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worksheets/sheet18.xml" ContentType="application/vnd.openxmlformats-officedocument.spreadsheetml.worksheet+xml"/>
  <Override PartName="/xl/comments/comment7.xml" ContentType="application/vnd.openxmlformats-officedocument.spreadsheetml.comments+xml"/>
  <Override PartName="/xl/worksheets/sheet19.xml" ContentType="application/vnd.openxmlformats-officedocument.spreadsheetml.worksheet+xml"/>
  <Override PartName="/xl/comments/comment8.xml" ContentType="application/vnd.openxmlformats-officedocument.spreadsheetml.comments+xml"/>
  <Override PartName="/xl/worksheets/sheet20.xml" ContentType="application/vnd.openxmlformats-officedocument.spreadsheetml.worksheet+xml"/>
  <Override PartName="/xl/comments/comment9.xml" ContentType="application/vnd.openxmlformats-officedocument.spreadsheetml.comments+xml"/>
  <Override PartName="/xl/worksheets/sheet21.xml" ContentType="application/vnd.openxmlformats-officedocument.spreadsheetml.worksheet+xml"/>
  <Override PartName="/xl/comments/comment10.xml" ContentType="application/vnd.openxmlformats-officedocument.spreadsheetml.comments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comments/comment12.xml" ContentType="application/vnd.openxmlformats-officedocument.spreadsheetml.comments+xml"/>
  <Override PartName="/xl/worksheets/sheet24.xml" ContentType="application/vnd.openxmlformats-officedocument.spreadsheetml.worksheet+xml"/>
  <Override PartName="/xl/comments/comment13.xml" ContentType="application/vnd.openxmlformats-officedocument.spreadsheetml.comments+xml"/>
  <Override PartName="/xl/worksheets/sheet25.xml" ContentType="application/vnd.openxmlformats-officedocument.spreadsheetml.worksheet+xml"/>
  <Override PartName="/xl/comments/comment14.xml" ContentType="application/vnd.openxmlformats-officedocument.spreadsheetml.comments+xml"/>
  <Override PartName="/xl/worksheets/sheet26.xml" ContentType="application/vnd.openxmlformats-officedocument.spreadsheetml.worksheet+xml"/>
  <Override PartName="/xl/comments/comment15.xml" ContentType="application/vnd.openxmlformats-officedocument.spreadsheetml.comments+xml"/>
  <Override PartName="/xl/worksheets/sheet27.xml" ContentType="application/vnd.openxmlformats-officedocument.spreadsheetml.worksheet+xml"/>
  <Override PartName="/xl/comments/comment16.xml" ContentType="application/vnd.openxmlformats-officedocument.spreadsheetml.comments+xml"/>
  <Override PartName="/xl/worksheets/sheet28.xml" ContentType="application/vnd.openxmlformats-officedocument.spreadsheetml.worksheet+xml"/>
  <Override PartName="/xl/comments/comment17.xml" ContentType="application/vnd.openxmlformats-officedocument.spreadsheetml.comments+xml"/>
  <Override PartName="/xl/worksheets/sheet29.xml" ContentType="application/vnd.openxmlformats-officedocument.spreadsheetml.worksheet+xml"/>
  <Override PartName="/xl/comments/comment18.xml" ContentType="application/vnd.openxmlformats-officedocument.spreadsheetml.comments+xml"/>
  <Override PartName="/xl/worksheets/sheet30.xml" ContentType="application/vnd.openxmlformats-officedocument.spreadsheetml.worksheet+xml"/>
  <Override PartName="/xl/comments/comment19.xml" ContentType="application/vnd.openxmlformats-officedocument.spreadsheetml.comments+xml"/>
  <Override PartName="/xl/worksheets/sheet31.xml" ContentType="application/vnd.openxmlformats-officedocument.spreadsheetml.worksheet+xml"/>
  <Override PartName="/xl/comments/comment20.xml" ContentType="application/vnd.openxmlformats-officedocument.spreadsheetml.comments+xml"/>
  <Override PartName="/xl/worksheets/sheet32.xml" ContentType="application/vnd.openxmlformats-officedocument.spreadsheetml.worksheet+xml"/>
  <Override PartName="/xl/comments/comment21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2.xml" ContentType="application/vnd.openxmlformats-officedocument.spreadsheetml.comments+xml"/>
  <Override PartName="/xl/worksheets/sheet35.xml" ContentType="application/vnd.openxmlformats-officedocument.spreadsheetml.worksheet+xml"/>
  <Override PartName="/xl/comments/comment23.xml" ContentType="application/vnd.openxmlformats-officedocument.spreadsheetml.comments+xml"/>
  <Override PartName="/xl/worksheets/sheet36.xml" ContentType="application/vnd.openxmlformats-officedocument.spreadsheetml.worksheet+xml"/>
  <Override PartName="/xl/comments/comment24.xml" ContentType="application/vnd.openxmlformats-officedocument.spreadsheetml.comments+xml"/>
  <Override PartName="/xl/worksheets/sheet37.xml" ContentType="application/vnd.openxmlformats-officedocument.spreadsheetml.worksheet+xml"/>
  <Override PartName="/xl/comments/comment25.xml" ContentType="application/vnd.openxmlformats-officedocument.spreadsheetml.comments+xml"/>
  <Override PartName="/xl/worksheets/sheet38.xml" ContentType="application/vnd.openxmlformats-officedocument.spreadsheetml.worksheet+xml"/>
  <Override PartName="/xl/comments/comment26.xml" ContentType="application/vnd.openxmlformats-officedocument.spreadsheetml.comments+xml"/>
  <Override PartName="/xl/worksheets/sheet39.xml" ContentType="application/vnd.openxmlformats-officedocument.spreadsheetml.worksheet+xml"/>
  <Override PartName="/xl/comments/comment27.xml" ContentType="application/vnd.openxmlformats-officedocument.spreadsheetml.comments+xml"/>
  <Override PartName="/xl/worksheets/sheet40.xml" ContentType="application/vnd.openxmlformats-officedocument.spreadsheetml.worksheet+xml"/>
  <Override PartName="/xl/comments/comment28.xml" ContentType="application/vnd.openxmlformats-officedocument.spreadsheetml.comments+xml"/>
  <Override PartName="/xl/worksheets/sheet41.xml" ContentType="application/vnd.openxmlformats-officedocument.spreadsheetml.worksheet+xml"/>
  <Override PartName="/xl/comments/comment29.xml" ContentType="application/vnd.openxmlformats-officedocument.spreadsheetml.comments+xml"/>
  <Override PartName="/xl/worksheets/sheet42.xml" ContentType="application/vnd.openxmlformats-officedocument.spreadsheetml.worksheet+xml"/>
  <Override PartName="/xl/comments/comment30.xml" ContentType="application/vnd.openxmlformats-officedocument.spreadsheetml.comments+xml"/>
  <Override PartName="/xl/worksheets/sheet43.xml" ContentType="application/vnd.openxmlformats-officedocument.spreadsheetml.worksheet+xml"/>
  <Override PartName="/xl/comments/comment31.xml" ContentType="application/vnd.openxmlformats-officedocument.spreadsheetml.comments+xml"/>
  <Override PartName="/xl/worksheets/sheet44.xml" ContentType="application/vnd.openxmlformats-officedocument.spreadsheetml.worksheet+xml"/>
  <Override PartName="/xl/comments/comment32.xml" ContentType="application/vnd.openxmlformats-officedocument.spreadsheetml.comments+xml"/>
  <Override PartName="/xl/worksheets/sheet45.xml" ContentType="application/vnd.openxmlformats-officedocument.spreadsheetml.worksheet+xml"/>
  <Override PartName="/xl/comments/comment33.xml" ContentType="application/vnd.openxmlformats-officedocument.spreadsheetml.comments+xml"/>
  <Override PartName="/xl/worksheets/sheet46.xml" ContentType="application/vnd.openxmlformats-officedocument.spreadsheetml.worksheet+xml"/>
  <Override PartName="/xl/comments/comment34.xml" ContentType="application/vnd.openxmlformats-officedocument.spreadsheetml.comments+xml"/>
  <Override PartName="/xl/worksheets/sheet47.xml" ContentType="application/vnd.openxmlformats-officedocument.spreadsheetml.worksheet+xml"/>
  <Override PartName="/xl/comments/comment35.xml" ContentType="application/vnd.openxmlformats-officedocument.spreadsheetml.comments+xml"/>
  <Override PartName="/xl/worksheets/sheet48.xml" ContentType="application/vnd.openxmlformats-officedocument.spreadsheetml.worksheet+xml"/>
  <Override PartName="/xl/comments/comment36.xml" ContentType="application/vnd.openxmlformats-officedocument.spreadsheetml.comments+xml"/>
  <Override PartName="/xl/worksheets/sheet49.xml" ContentType="application/vnd.openxmlformats-officedocument.spreadsheetml.worksheet+xml"/>
  <Override PartName="/xl/comments/comment37.xml" ContentType="application/vnd.openxmlformats-officedocument.spreadsheetml.comments+xml"/>
  <Override PartName="/xl/worksheets/sheet50.xml" ContentType="application/vnd.openxmlformats-officedocument.spreadsheetml.worksheet+xml"/>
  <Override PartName="/xl/comments/comment38.xml" ContentType="application/vnd.openxmlformats-officedocument.spreadsheetml.comments+xml"/>
  <Override PartName="/xl/worksheets/sheet51.xml" ContentType="application/vnd.openxmlformats-officedocument.spreadsheetml.worksheet+xml"/>
  <Override PartName="/xl/comments/comment39.xml" ContentType="application/vnd.openxmlformats-officedocument.spreadsheetml.comments+xml"/>
  <Override PartName="/xl/worksheets/sheet52.xml" ContentType="application/vnd.openxmlformats-officedocument.spreadsheetml.worksheet+xml"/>
  <Override PartName="/xl/comments/comment40.xml" ContentType="application/vnd.openxmlformats-officedocument.spreadsheetml.comments+xml"/>
  <Override PartName="/xl/worksheets/sheet53.xml" ContentType="application/vnd.openxmlformats-officedocument.spreadsheetml.worksheet+xml"/>
  <Override PartName="/xl/comments/comment4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PAVIMENTAÇÃO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%"/>
    <numFmt numFmtId="169" formatCode="mmm/yy"/>
    <numFmt numFmtId="170" formatCode="0.0%;[Red]-0.0%;&quot;-&quot;"/>
    <numFmt numFmtId="171" formatCode="mm/yyyy"/>
    <numFmt numFmtId="172" formatCode="&quot;R$&quot; #,##0"/>
    <numFmt numFmtId="173" formatCode="yyyy-mm-dd h:mm:ss"/>
    <numFmt numFmtId="174" formatCode="0.0"/>
    <numFmt numFmtId="175" formatCode="&quot;R$&quot; #,##0;[Red]-&quot;R$&quot; #,##0;&quot;-&quot;"/>
    <numFmt numFmtId="176" formatCode="&quot;R$&quot; #,##0.00;[Red]-&quot;R$&quot; #,##0.00;&quot;-&quot;"/>
  </numFmts>
  <fonts count="2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8" fillId="4" borderId="0" applyAlignment="1" pivotButton="0" quotePrefix="0" xfId="0">
      <alignment vertical="center"/>
    </xf>
    <xf numFmtId="0" fontId="0" fillId="4" borderId="0" pivotButton="0" quotePrefix="0" xfId="0"/>
    <xf numFmtId="0" fontId="9" fillId="4" borderId="0" applyAlignment="1" pivotButton="0" quotePrefix="0" xfId="0">
      <alignment vertical="top"/>
    </xf>
    <xf numFmtId="0" fontId="14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5" fontId="15" fillId="6" borderId="7" applyAlignment="1" pivotButton="0" quotePrefix="0" xfId="0">
      <alignment horizontal="left" vertical="center" indent="1"/>
    </xf>
    <xf numFmtId="168" fontId="15" fillId="6" borderId="7" applyAlignment="1" pivotButton="0" quotePrefix="0" xfId="0">
      <alignment horizontal="left" vertical="center" indent="1"/>
    </xf>
    <xf numFmtId="0" fontId="15" fillId="6" borderId="7" applyAlignment="1" pivotButton="0" quotePrefix="0" xfId="0">
      <alignment horizontal="left" vertical="center" indent="1"/>
    </xf>
    <xf numFmtId="0" fontId="16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5" fillId="7" borderId="11" applyAlignment="1" pivotButton="0" quotePrefix="0" xfId="0">
      <alignment horizontal="center"/>
    </xf>
    <xf numFmtId="176" fontId="2" fillId="7" borderId="11" pivotButton="0" quotePrefix="0" xfId="0"/>
    <xf numFmtId="10" fontId="2" fillId="7" borderId="11" pivotButton="0" quotePrefix="0" xfId="0"/>
    <xf numFmtId="1" fontId="25" fillId="8" borderId="11" applyAlignment="1" pivotButton="0" quotePrefix="0" xfId="0">
      <alignment horizontal="center"/>
    </xf>
    <xf numFmtId="176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6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0" fillId="0" borderId="0" pivotButton="0" quotePrefix="0" xfId="0"/>
    <xf numFmtId="0" fontId="23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8" fontId="2" fillId="7" borderId="11" pivotButton="0" quotePrefix="0" xfId="0"/>
    <xf numFmtId="0" fontId="2" fillId="8" borderId="11" applyAlignment="1" pivotButton="0" quotePrefix="0" xfId="0">
      <alignment indent="1"/>
    </xf>
    <xf numFmtId="168" fontId="2" fillId="8" borderId="11" pivotButton="0" quotePrefix="0" xfId="0"/>
    <xf numFmtId="0" fontId="7" fillId="4" borderId="0" applyAlignment="1" pivotButton="0" quotePrefix="0" xfId="0">
      <alignment indent="1"/>
    </xf>
    <xf numFmtId="168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168" fontId="5" fillId="0" borderId="1" pivotButton="0" quotePrefix="0" xfId="0"/>
    <xf numFmtId="164" fontId="5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0" fontId="9" fillId="4" borderId="0" pivotButton="0" quotePrefix="0" xfId="0"/>
    <xf numFmtId="0" fontId="10" fillId="0" borderId="0" applyAlignment="1" pivotButton="0" quotePrefix="0" xfId="0">
      <alignment horizontal="right"/>
    </xf>
    <xf numFmtId="1" fontId="11" fillId="2" borderId="1" pivotButton="0" quotePrefix="0" xfId="0"/>
    <xf numFmtId="171" fontId="12" fillId="2" borderId="1" pivotButton="0" quotePrefix="0" xfId="0"/>
    <xf numFmtId="167" fontId="13" fillId="0" borderId="0" applyAlignment="1" pivotButton="0" quotePrefix="0" xfId="0">
      <alignment horizontal="left"/>
    </xf>
    <xf numFmtId="172" fontId="15" fillId="6" borderId="7" applyAlignment="1" pivotButton="0" quotePrefix="0" xfId="0">
      <alignment horizontal="left" vertical="center" indent="1"/>
    </xf>
    <xf numFmtId="4" fontId="15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8" fontId="2" fillId="7" borderId="11" applyAlignment="1" pivotButton="0" quotePrefix="0" xfId="0">
      <alignment horizontal="right" vertical="top"/>
    </xf>
    <xf numFmtId="168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19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8" fontId="2" fillId="8" borderId="11" applyAlignment="1" pivotButton="0" quotePrefix="0" xfId="0">
      <alignment horizontal="right" vertical="top"/>
    </xf>
    <xf numFmtId="168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19" fillId="8" borderId="11" applyAlignment="1" pivotButton="0" quotePrefix="0" xfId="0">
      <alignment vertical="top" wrapText="1"/>
    </xf>
    <xf numFmtId="0" fontId="13" fillId="9" borderId="11" applyAlignment="1" pivotButton="0" quotePrefix="0" xfId="0">
      <alignment horizontal="left" vertical="top"/>
    </xf>
    <xf numFmtId="0" fontId="13" fillId="9" borderId="11" applyAlignment="1" pivotButton="0" quotePrefix="0" xfId="0">
      <alignment vertical="top" wrapText="1"/>
    </xf>
    <xf numFmtId="168" fontId="13" fillId="9" borderId="11" applyAlignment="1" pivotButton="0" quotePrefix="0" xfId="0">
      <alignment horizontal="right" vertical="top"/>
    </xf>
    <xf numFmtId="164" fontId="13" fillId="9" borderId="11" applyAlignment="1" pivotButton="0" quotePrefix="0" xfId="0">
      <alignment horizontal="right" vertical="top"/>
    </xf>
    <xf numFmtId="0" fontId="13" fillId="9" borderId="11" pivotButton="0" quotePrefix="0" xfId="0"/>
    <xf numFmtId="164" fontId="7" fillId="4" borderId="0" applyAlignment="1" pivotButton="0" quotePrefix="0" xfId="0">
      <alignment horizontal="right"/>
    </xf>
    <xf numFmtId="168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8" fontId="2" fillId="0" borderId="11" applyAlignment="1" pivotButton="0" quotePrefix="0" xfId="0">
      <alignment horizontal="right"/>
    </xf>
    <xf numFmtId="169" fontId="7" fillId="4" borderId="0" applyAlignment="1" pivotButton="0" quotePrefix="0" xfId="0">
      <alignment horizontal="center" vertical="center" wrapText="1"/>
    </xf>
    <xf numFmtId="165" fontId="3" fillId="0" borderId="1" pivotButton="0" quotePrefix="0" xfId="0"/>
    <xf numFmtId="170" fontId="2" fillId="0" borderId="1" pivotButton="0" quotePrefix="0" xfId="0"/>
    <xf numFmtId="0" fontId="21" fillId="0" borderId="0" pivotButton="0" quotePrefix="0" xfId="0"/>
    <xf numFmtId="169" fontId="5" fillId="0" borderId="1" pivotButton="0" quotePrefix="0" xfId="0"/>
    <xf numFmtId="10" fontId="4" fillId="0" borderId="1" pivotButton="0" quotePrefix="0" xfId="0"/>
    <xf numFmtId="171" fontId="4" fillId="0" borderId="1" pivotButton="0" quotePrefix="0" xfId="0"/>
    <xf numFmtId="10" fontId="2" fillId="0" borderId="0" pivotButton="0" quotePrefix="0" xfId="0"/>
    <xf numFmtId="0" fontId="22" fillId="0" borderId="0" pivotButton="0" quotePrefix="0" xfId="0"/>
    <xf numFmtId="171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1" fontId="5" fillId="0" borderId="1" pivotButton="0" quotePrefix="0" xfId="0"/>
    <xf numFmtId="1" fontId="22" fillId="0" borderId="0" pivotButton="0" quotePrefix="0" xfId="0"/>
    <xf numFmtId="169" fontId="7" fillId="4" borderId="1" pivotButton="0" quotePrefix="0" xfId="0"/>
    <xf numFmtId="174" fontId="2" fillId="0" borderId="1" pivotButton="0" quotePrefix="0" xfId="0"/>
    <xf numFmtId="165" fontId="2" fillId="0" borderId="0" pivotButton="0" quotePrefix="0" xfId="0"/>
    <xf numFmtId="165" fontId="3" fillId="5" borderId="1" pivotButton="0" quotePrefix="0" xfId="0"/>
    <xf numFmtId="169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69" fontId="2" fillId="0" borderId="1" pivotButton="0" quotePrefix="0" xfId="0"/>
    <xf numFmtId="164" fontId="4" fillId="2" borderId="1" pivotButton="0" quotePrefix="0" xfId="0"/>
    <xf numFmtId="168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0" fontId="3" fillId="5" borderId="1" pivotButton="0" quotePrefix="0" xfId="0"/>
    <xf numFmtId="164" fontId="3" fillId="0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L10" authorId="0" shapeId="0">
      <text>
        <t>Projeção IEC. Arquivo original: VALOR POR PL!L (taxa de adm.: TAX. ADM!J9).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L48" authorId="0" shapeId="0">
      <text>
        <t>Taxa de administração = somente o incorrido no ERP (sem previsão futura).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(PROJEÇÃO − INCORRIDO) é distribuído automaticamente nos meses futuros, então a linha DIFERENÇA fica zerada sozinha.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fechado; atualize a PROJEÇÃO (coluna L).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Valores em R$ nominais, com taxa de administração"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'VALOR POR PL'!L50</f>
        <v/>
      </c>
      <c r="D6" s="13">
        <f>SUMPRODUCT(('MODELO PARA BI'!$H$1:$CA$1&lt;='VALOR POR PL'!$P$5)*'MODELO PARA BI'!$H$63:$CA$63)</f>
        <v/>
      </c>
      <c r="E6" s="14">
        <f>IF(B6=0,0,D6/B6)</f>
        <v/>
      </c>
      <c r="F6" s="13">
        <f>SUMPRODUCT((YEAR('MODELO PARA BI'!$H$1:$CA$1)='RETRATO 2027'!$D$5)*'MODELO PARA BI'!$H$63:$CA$63)</f>
        <v/>
      </c>
      <c r="H6" s="13">
        <f>SUM('MODELO PARA BI'!$H$63:$CA$63)-D6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orçamento projetado (IEC)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BI'!$H$63:$CA$63)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BI'!$H$63:$CA$63)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BI'!$H$63:$CA$63)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BI'!$H$63:$CA$63)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BI'!$H$63:$CA$63)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BI'!$H$63:$CA$63)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BI'!$H$63:$CA$63)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BI'!$H$63:$CA$63)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BI'!$H$63:$CA$63)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BI'!$H$63:$CA$63)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BI'!$H$63:$CA$63)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BI'!$H$63:$CA$63)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BI'!$H$63:$CA$63)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BI'!$H$63:$CA$63)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Q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</cols>
  <sheetData>
    <row r="3">
      <c r="B3" s="45" t="inlineStr">
        <is>
          <t>ORÇAMENTO SET/25 - BOTÂNICO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>
        <v>1216.76</v>
      </c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>
        <v>143557.19</v>
      </c>
      <c r="H6" s="47" t="n">
        <v>1216.706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0.1</v>
      </c>
      <c r="O7" s="51" t="inlineStr">
        <is>
          <t>INCC no mês de corte</t>
        </is>
      </c>
      <c r="P7" s="56">
        <f>IFERROR(INDEX('"INCC-FGV"'!$B$2:$B$400,MATCH(P5,'"INCC-FGV"'!$A$2:$A$400,0)),IFERROR(INDEX('"INCC-FGV"'!$B$2:$B$400,MATCH(P5,'"INCC-FGV"'!$A$2:$A$400,1)),"FALTA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BOTÂNICO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(F ÷ INCC base)</t>
        </is>
      </c>
      <c r="H10" s="58" t="inlineStr">
        <is>
          <t>VALOR EM INCC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2400000</v>
      </c>
      <c r="G11" s="49">
        <f>IF($H$6=0,0,F11/$H$6)</f>
        <v/>
      </c>
      <c r="H11" s="49">
        <f>G11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53" t="n">
        <v>2640655</v>
      </c>
      <c r="M11" s="49">
        <f>L11-K11</f>
        <v/>
      </c>
      <c r="N11" s="51">
        <f>IF(D11="","",IF('PROJETO'!$C$78&gt;L11+1,"⚠ Incorrido acima da projeção",IF(AND('PROJETO'!$K$18&gt;1,'PROJETO'!$K$17=0),"⚠ Saldo sem curva (preencha a coluna H da aba)",IF(ABS('PROJETO'!$D$80)&gt;1,"⚠ Verificar","OK"))))</f>
        <v/>
      </c>
      <c r="O11" s="60">
        <f>'PROJETO'!$K$16</f>
        <v/>
      </c>
      <c r="P11" s="61">
        <f>'PROJETO'!$K$14</f>
        <v/>
      </c>
      <c r="Q11" s="59" t="inlineStr">
        <is>
          <t>01</t>
        </is>
      </c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126154.98</v>
      </c>
      <c r="G12" s="49">
        <f>IF($H$6=0,0,F12/$H$6)</f>
        <v/>
      </c>
      <c r="H12" s="49">
        <f>G12</f>
        <v/>
      </c>
      <c r="I12" s="59" t="inlineStr">
        <is>
          <t>INDIRETO</t>
        </is>
      </c>
      <c r="J12" s="59" t="inlineStr">
        <is>
          <t xml:space="preserve">SEGURO DE OBRA </t>
        </is>
      </c>
      <c r="K12" s="49">
        <f>IF(ISNUMBER($P$7),G12*$P$7,0)</f>
        <v/>
      </c>
      <c r="L12" s="53" t="n">
        <v>127911.99</v>
      </c>
      <c r="M12" s="49">
        <f>L12-K12</f>
        <v/>
      </c>
      <c r="N12" s="51">
        <f>IF(D12="","",IF('SEGUROS'!$C$78&gt;L12+1,"⚠ Incorrido acima da projeção",IF(AND('SEGUROS'!$K$18&gt;1,'SEGUROS'!$K$17=0),"⚠ Saldo sem curva (preencha a coluna H da aba)",IF(ABS('SEGUROS'!$D$80)&gt;1,"⚠ Verificar","OK"))))</f>
        <v/>
      </c>
      <c r="O12" s="60">
        <f>'SEGUROS'!$K$16</f>
        <v/>
      </c>
      <c r="P12" s="61">
        <f>'SEGUROS'!$K$14</f>
        <v/>
      </c>
      <c r="Q12" s="59" t="inlineStr">
        <is>
          <t>02</t>
        </is>
      </c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150000</v>
      </c>
      <c r="G13" s="49">
        <f>IF($H$6=0,0,F13/$H$6)</f>
        <v/>
      </c>
      <c r="H13" s="49">
        <f>G13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53" t="n">
        <v>158047.46</v>
      </c>
      <c r="M13" s="49">
        <f>L13-K13</f>
        <v/>
      </c>
      <c r="N13" s="51">
        <f>IF(D13="","",IF('TAX. DIVERSAS'!$C$78&gt;L13+1,"⚠ Incorrido acima da projeção",IF(AND('TAX. DIVERSAS'!$K$18&gt;1,'TAX. DIVERSAS'!$K$17=0),"⚠ Saldo sem curva (preencha a coluna H da aba)",IF(ABS('TAX. DIVERSAS'!$D$80)&gt;1,"⚠ Verificar","OK"))))</f>
        <v/>
      </c>
      <c r="O13" s="60">
        <f>'TAX. DIVERSAS'!$K$16</f>
        <v/>
      </c>
      <c r="P13" s="61">
        <f>'TAX. DIVERSAS'!$K$14</f>
        <v/>
      </c>
      <c r="Q13" s="59" t="inlineStr">
        <is>
          <t>03</t>
        </is>
      </c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934513.13</v>
      </c>
      <c r="G14" s="49">
        <f>IF($H$6=0,0,F14/$H$6)</f>
        <v/>
      </c>
      <c r="H14" s="49">
        <f>G14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53" t="n">
        <v>1249911.07</v>
      </c>
      <c r="M14" s="49">
        <f>L14-K14</f>
        <v/>
      </c>
      <c r="N14" s="51">
        <f>IF(D14="","",IF('BARRACÃO DE OBRA'!$C$78&gt;L14+1,"⚠ Incorrido acima da projeção",IF(AND('BARRACÃO DE OBRA'!$K$18&gt;1,'BARRACÃO DE OBRA'!$K$17=0),"⚠ Saldo sem curva (preencha a coluna H da aba)",IF(ABS('BARRACÃO DE OBRA'!$D$80)&gt;1,"⚠ Verificar","OK"))))</f>
        <v/>
      </c>
      <c r="O14" s="60">
        <f>'BARRACÃO DE OBRA'!$K$16</f>
        <v/>
      </c>
      <c r="P14" s="61">
        <f>'BARRACÃO DE OBRA'!$K$14</f>
        <v/>
      </c>
      <c r="Q14" s="59" t="inlineStr">
        <is>
          <t>04</t>
        </is>
      </c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49">
        <f>IF($H$6=0,0,F15/$H$6)</f>
        <v/>
      </c>
      <c r="H15" s="49">
        <f>G15</f>
        <v/>
      </c>
      <c r="I15" s="59" t="inlineStr">
        <is>
          <t>INDIRETO</t>
        </is>
      </c>
      <c r="J15" s="59" t="inlineStr">
        <is>
          <t>LIGAÇÕES PROVISÓRIAS AGUA, ESGOTO, ENERGIA,TELEFONE, INTERNET</t>
        </is>
      </c>
      <c r="K15" s="49">
        <f>IF(ISNUMBER($P$7),G15*$P$7,0)</f>
        <v/>
      </c>
      <c r="L15" s="53" t="n">
        <v>85665.05</v>
      </c>
      <c r="M15" s="49">
        <f>L15-K15</f>
        <v/>
      </c>
      <c r="N15" s="51">
        <f>IF(D15="","",IF('LIG. PROVISÓRIAS'!$C$78&gt;L15+1,"⚠ Incorrido acima da projeção",IF(AND('LIG. PROVISÓRIAS'!$K$18&gt;1,'LIG. PROVISÓRIAS'!$K$17=0),"⚠ Saldo sem curva (preencha a coluna H da aba)",IF(ABS('LIG. PROVISÓRIAS'!$D$80)&gt;1,"⚠ Verificar","OK"))))</f>
        <v/>
      </c>
      <c r="O15" s="60">
        <f>'LIG. PROVISÓRIAS'!$K$16</f>
        <v/>
      </c>
      <c r="P15" s="61">
        <f>'LIG. PROVISÓRIAS'!$K$14</f>
        <v/>
      </c>
      <c r="Q15" s="59" t="inlineStr">
        <is>
          <t>05</t>
        </is>
      </c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521400</v>
      </c>
      <c r="G16" s="49">
        <f>IF($H$6=0,0,F16/$H$6)</f>
        <v/>
      </c>
      <c r="H16" s="49">
        <f>G16</f>
        <v/>
      </c>
      <c r="I16" s="59" t="inlineStr">
        <is>
          <t>INDIRETO</t>
        </is>
      </c>
      <c r="J16" s="59" t="inlineStr">
        <is>
          <t>CONSUMO DE ÁGUA, ENERGIA, TELEFONE, INTERNET</t>
        </is>
      </c>
      <c r="K16" s="49">
        <f>IF(ISNUMBER($P$7),G16*$P$7,0)</f>
        <v/>
      </c>
      <c r="L16" s="53" t="n">
        <v>544229.22</v>
      </c>
      <c r="M16" s="49">
        <f>L16-K16</f>
        <v/>
      </c>
      <c r="N16" s="51">
        <f>IF(D16="","",IF('CONSUMOS'!$C$78&gt;L16+1,"⚠ Incorrido acima da projeção",IF(AND('CONSUMOS'!$K$18&gt;1,'CONSUMOS'!$K$17=0),"⚠ Saldo sem curva (preencha a coluna H da aba)",IF(ABS('CONSUMOS'!$D$80)&gt;1,"⚠ Verificar","OK"))))</f>
        <v/>
      </c>
      <c r="O16" s="60">
        <f>'CONSUMOS'!$K$16</f>
        <v/>
      </c>
      <c r="P16" s="61">
        <f>'CONSUMOS'!$K$14</f>
        <v/>
      </c>
      <c r="Q16" s="59" t="inlineStr">
        <is>
          <t>06</t>
        </is>
      </c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158400</v>
      </c>
      <c r="G17" s="49">
        <f>IF($H$6=0,0,F17/$H$6)</f>
        <v/>
      </c>
      <c r="H17" s="49">
        <f>G17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53" t="n">
        <v>194480.67</v>
      </c>
      <c r="M17" s="49">
        <f>L17-K17</f>
        <v/>
      </c>
      <c r="N17" s="51">
        <f>IF(D17="","",IF('DIVERSOS'!$C$78&gt;L17+1,"⚠ Incorrido acima da projeção",IF(AND('DIVERSOS'!$K$18&gt;1,'DIVERSOS'!$K$17=0),"⚠ Saldo sem curva (preencha a coluna H da aba)",IF(ABS('DIVERSOS'!$D$80)&gt;1,"⚠ Verificar","OK"))))</f>
        <v/>
      </c>
      <c r="O17" s="60">
        <f>'DIVERSOS'!$K$16</f>
        <v/>
      </c>
      <c r="P17" s="61">
        <f>'DIVERSOS'!$K$14</f>
        <v/>
      </c>
      <c r="Q17" s="59" t="inlineStr">
        <is>
          <t>07</t>
        </is>
      </c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779592</v>
      </c>
      <c r="G18" s="49">
        <f>IF($H$6=0,0,F18/$H$6)</f>
        <v/>
      </c>
      <c r="H18" s="49">
        <f>G18</f>
        <v/>
      </c>
      <c r="I18" s="59" t="inlineStr">
        <is>
          <t>INDIRETO</t>
        </is>
      </c>
      <c r="J18" s="59" t="inlineStr">
        <is>
          <t>FRETES E TRANSPORTES</t>
        </is>
      </c>
      <c r="K18" s="49">
        <f>IF(ISNUMBER($P$7),G18*$P$7,0)</f>
        <v/>
      </c>
      <c r="L18" s="53" t="n">
        <v>817599.4300000001</v>
      </c>
      <c r="M18" s="49">
        <f>L18-K18</f>
        <v/>
      </c>
      <c r="N18" s="51">
        <f>IF(D18="","",IF('TRANSPORTES'!$C$78&gt;L18+1,"⚠ Incorrido acima da projeção",IF(AND('TRANSPORTES'!$K$18&gt;1,'TRANSPORTES'!$K$17=0),"⚠ Saldo sem curva (preencha a coluna H da aba)",IF(ABS('TRANSPORTES'!$D$80)&gt;1,"⚠ Verificar","OK"))))</f>
        <v/>
      </c>
      <c r="O18" s="60">
        <f>'TRANSPORTES'!$K$16</f>
        <v/>
      </c>
      <c r="P18" s="61">
        <f>'TRANSPORTES'!$K$14</f>
        <v/>
      </c>
      <c r="Q18" s="59" t="inlineStr">
        <is>
          <t>08</t>
        </is>
      </c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1322660.98</v>
      </c>
      <c r="G19" s="49">
        <f>IF($H$6=0,0,F19/$H$6)</f>
        <v/>
      </c>
      <c r="H19" s="49">
        <f>G19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53" t="n">
        <v>1371532.11</v>
      </c>
      <c r="M19" s="49">
        <f>L19-K19</f>
        <v/>
      </c>
      <c r="N19" s="51">
        <f>IF(D19="","",IF('CONSULTORIAS'!$C$78&gt;L19+1,"⚠ Incorrido acima da projeção",IF(AND('CONSULTORIAS'!$K$18&gt;1,'CONSULTORIAS'!$K$17=0),"⚠ Saldo sem curva (preencha a coluna H da aba)",IF(ABS('CONSULTORIAS'!$D$80)&gt;1,"⚠ Verificar","OK"))))</f>
        <v/>
      </c>
      <c r="O19" s="60">
        <f>'CONSULTORIAS'!$K$16</f>
        <v/>
      </c>
      <c r="P19" s="61">
        <f>'CONSULTORIAS'!$K$14</f>
        <v/>
      </c>
      <c r="Q19" s="59" t="inlineStr">
        <is>
          <t>09</t>
        </is>
      </c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20188024.55</v>
      </c>
      <c r="G20" s="49">
        <f>IF($H$6=0,0,F20/$H$6)</f>
        <v/>
      </c>
      <c r="H20" s="49">
        <f>G20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53" t="n">
        <v>21271106.08</v>
      </c>
      <c r="M20" s="49">
        <f>L20-K20</f>
        <v/>
      </c>
      <c r="N20" s="51">
        <f>IF(D20="","",IF('MDO'!$C$78&gt;L20+1,"⚠ Incorrido acima da projeção",IF(AND('MDO'!$K$18&gt;1,'MDO'!$K$17=0),"⚠ Saldo sem curva (preencha a coluna H da aba)",IF(ABS('MDO'!$D$80)&gt;1,"⚠ Verificar","OK"))))</f>
        <v/>
      </c>
      <c r="O20" s="60">
        <f>'MDO'!$K$16</f>
        <v/>
      </c>
      <c r="P20" s="61">
        <f>'MDO'!$K$14</f>
        <v/>
      </c>
      <c r="Q20" s="59" t="inlineStr">
        <is>
          <t>10</t>
        </is>
      </c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6467911.66</v>
      </c>
      <c r="G21" s="49">
        <f>IF($H$6=0,0,F21/$H$6)</f>
        <v/>
      </c>
      <c r="H21" s="49">
        <f>G21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53" t="n">
        <v>6774432.94</v>
      </c>
      <c r="M21" s="49">
        <f>L21-K21</f>
        <v/>
      </c>
      <c r="N21" s="51">
        <f>IF(D21="","",IF('EQUIP E FER'!$C$78&gt;L21+1,"⚠ Incorrido acima da projeção",IF(AND('EQUIP E FER'!$K$18&gt;1,'EQUIP E FER'!$K$17=0),"⚠ Saldo sem curva (preencha a coluna H da aba)",IF(ABS('EQUIP E FER'!$D$80)&gt;1,"⚠ Verificar","OK"))))</f>
        <v/>
      </c>
      <c r="O21" s="60">
        <f>'EQUIP E FER'!$K$16</f>
        <v/>
      </c>
      <c r="P21" s="61">
        <f>'EQUIP E FER'!$K$14</f>
        <v/>
      </c>
      <c r="Q21" s="59" t="inlineStr">
        <is>
          <t>11</t>
        </is>
      </c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175350.93</v>
      </c>
      <c r="G22" s="49">
        <f>IF($H$6=0,0,F22/$H$6)</f>
        <v/>
      </c>
      <c r="H22" s="49">
        <f>G22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53" t="n">
        <v>176378.52</v>
      </c>
      <c r="M22" s="49">
        <f>L22-K22</f>
        <v/>
      </c>
      <c r="N22" s="51">
        <f>IF(D22="","",IF('SERV. INICIAIS'!$C$78&gt;L22+1,"⚠ Incorrido acima da projeção",IF(AND('SERV. INICIAIS'!$K$18&gt;1,'SERV. INICIAIS'!$K$17=0),"⚠ Saldo sem curva (preencha a coluna H da aba)",IF(ABS('SERV. INICIAIS'!$D$80)&gt;1,"⚠ Verificar","OK"))))</f>
        <v/>
      </c>
      <c r="O22" s="60">
        <f>'SERV. INICIAIS'!$K$16</f>
        <v/>
      </c>
      <c r="P22" s="61">
        <f>'SERV. INICIAIS'!$K$14</f>
        <v/>
      </c>
      <c r="Q22" s="59" t="inlineStr">
        <is>
          <t>12</t>
        </is>
      </c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1644553.52</v>
      </c>
      <c r="G23" s="49">
        <f>IF($H$6=0,0,F23/$H$6)</f>
        <v/>
      </c>
      <c r="H23" s="49">
        <f>G23</f>
        <v/>
      </c>
      <c r="I23" s="59" t="inlineStr">
        <is>
          <t>DIRETO</t>
        </is>
      </c>
      <c r="J23" s="59" t="inlineStr">
        <is>
          <t xml:space="preserve">CONTENÇÕES </t>
        </is>
      </c>
      <c r="K23" s="49">
        <f>IF(ISNUMBER($P$7),G23*$P$7,0)</f>
        <v/>
      </c>
      <c r="L23" s="53" t="n">
        <v>1475989.69</v>
      </c>
      <c r="M23" s="49">
        <f>L23-K23</f>
        <v/>
      </c>
      <c r="N23" s="51">
        <f>IF(D23="","",IF('CONTENÇÃO'!$C$78&gt;L23+1,"⚠ Incorrido acima da projeção",IF(AND('CONTENÇÃO'!$K$18&gt;1,'CONTENÇÃO'!$K$17=0),"⚠ Saldo sem curva (preencha a coluna H da aba)",IF(ABS('CONTENÇÃO'!$D$80)&gt;1,"⚠ Verificar","OK"))))</f>
        <v/>
      </c>
      <c r="O23" s="60">
        <f>'CONTENÇÃO'!$K$16</f>
        <v/>
      </c>
      <c r="P23" s="61">
        <f>'CONTENÇÃO'!$K$14</f>
        <v/>
      </c>
      <c r="Q23" s="59" t="inlineStr">
        <is>
          <t>13</t>
        </is>
      </c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1259784.46</v>
      </c>
      <c r="G24" s="49">
        <f>IF($H$6=0,0,F24/$H$6)</f>
        <v/>
      </c>
      <c r="H24" s="49">
        <f>G24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53" t="n">
        <v>1293873.46</v>
      </c>
      <c r="M24" s="49">
        <f>L24-K24</f>
        <v/>
      </c>
      <c r="N24" s="51">
        <f>IF(D24="","",IF('TERRAPLENAGEM'!$C$78&gt;L24+1,"⚠ Incorrido acima da projeção",IF(AND('TERRAPLENAGEM'!$K$18&gt;1,'TERRAPLENAGEM'!$K$17=0),"⚠ Saldo sem curva (preencha a coluna H da aba)",IF(ABS('TERRAPLENAGEM'!$D$80)&gt;1,"⚠ Verificar","OK"))))</f>
        <v/>
      </c>
      <c r="O24" s="60">
        <f>'TERRAPLENAGEM'!$K$16</f>
        <v/>
      </c>
      <c r="P24" s="61">
        <f>'TERRAPLENAGEM'!$K$14</f>
        <v/>
      </c>
      <c r="Q24" s="59" t="inlineStr">
        <is>
          <t>14</t>
        </is>
      </c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6226579.22</v>
      </c>
      <c r="G25" s="49">
        <f>IF($H$6=0,0,F25/$H$6)</f>
        <v/>
      </c>
      <c r="H25" s="49">
        <f>G25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53" t="n">
        <v>7012914.12</v>
      </c>
      <c r="M25" s="49">
        <f>L25-K25</f>
        <v/>
      </c>
      <c r="N25" s="51">
        <f>IF(D25="","",IF('FUND. PROF'!$C$78&gt;L25+1,"⚠ Incorrido acima da projeção",IF(AND('FUND. PROF'!$K$18&gt;1,'FUND. PROF'!$K$17=0),"⚠ Saldo sem curva (preencha a coluna H da aba)",IF(ABS('FUND. PROF'!$D$80)&gt;1,"⚠ Verificar","OK"))))</f>
        <v/>
      </c>
      <c r="O25" s="60">
        <f>'FUND. PROF'!$K$16</f>
        <v/>
      </c>
      <c r="P25" s="61">
        <f>'FUND. PROF'!$K$14</f>
        <v/>
      </c>
      <c r="Q25" s="59" t="inlineStr">
        <is>
          <t>15</t>
        </is>
      </c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4057797.91</v>
      </c>
      <c r="G26" s="49">
        <f>IF($H$6=0,0,F26/$H$6)</f>
        <v/>
      </c>
      <c r="H26" s="49">
        <f>G26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53" t="n">
        <v>4346500.29</v>
      </c>
      <c r="M26" s="49">
        <f>L26-K26</f>
        <v/>
      </c>
      <c r="N26" s="51">
        <f>IF(D26="","",IF('FUND. SUP'!$C$78&gt;L26+1,"⚠ Incorrido acima da projeção",IF(AND('FUND. SUP'!$K$18&gt;1,'FUND. SUP'!$K$17=0),"⚠ Saldo sem curva (preencha a coluna H da aba)",IF(ABS('FUND. SUP'!$D$80)&gt;1,"⚠ Verificar","OK"))))</f>
        <v/>
      </c>
      <c r="O26" s="60">
        <f>'FUND. SUP'!$K$16</f>
        <v/>
      </c>
      <c r="P26" s="61">
        <f>'FUND. SUP'!$K$14</f>
        <v/>
      </c>
      <c r="Q26" s="59" t="inlineStr">
        <is>
          <t>16</t>
        </is>
      </c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25651081.59</v>
      </c>
      <c r="G27" s="49">
        <f>IF($H$6=0,0,F27/$H$6)</f>
        <v/>
      </c>
      <c r="H27" s="49">
        <f>G27</f>
        <v/>
      </c>
      <c r="I27" s="59" t="inlineStr">
        <is>
          <t>DIRETO</t>
        </is>
      </c>
      <c r="J27" s="59" t="inlineStr">
        <is>
          <t>ESTRUTURA EM CONCRETO ARMADO</t>
        </is>
      </c>
      <c r="K27" s="49">
        <f>IF(ISNUMBER($P$7),G27*$P$7,0)</f>
        <v/>
      </c>
      <c r="L27" s="53" t="n">
        <v>26850931.32</v>
      </c>
      <c r="M27" s="49">
        <f>L27-K27</f>
        <v/>
      </c>
      <c r="N27" s="51">
        <f>IF(D27="","",IF('ESTRUTURA'!$C$78&gt;L27+1,"⚠ Incorrido acima da projeção",IF(AND('ESTRUTURA'!$K$18&gt;1,'ESTRUTURA'!$K$17=0),"⚠ Saldo sem curva (preencha a coluna H da aba)",IF(ABS('ESTRUTURA'!$D$80)&gt;1,"⚠ Verificar","OK"))))</f>
        <v/>
      </c>
      <c r="O27" s="60">
        <f>'ESTRUTURA'!$K$16</f>
        <v/>
      </c>
      <c r="P27" s="61">
        <f>'ESTRUTURA'!$K$14</f>
        <v/>
      </c>
      <c r="Q27" s="59" t="inlineStr">
        <is>
          <t>17</t>
        </is>
      </c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5927475.67</v>
      </c>
      <c r="G28" s="49">
        <f>IF($H$6=0,0,F28/$H$6)</f>
        <v/>
      </c>
      <c r="H28" s="49">
        <f>G28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53" t="n">
        <v>6245482.98</v>
      </c>
      <c r="M28" s="49">
        <f>L28-K28</f>
        <v/>
      </c>
      <c r="N28" s="51">
        <f>IF(D28="","",IF('ALVENARIA'!$C$78&gt;L28+1,"⚠ Incorrido acima da projeção",IF(AND('ALVENARIA'!$K$18&gt;1,'ALVENARIA'!$K$17=0),"⚠ Saldo sem curva (preencha a coluna H da aba)",IF(ABS('ALVENARIA'!$D$80)&gt;1,"⚠ Verificar","OK"))))</f>
        <v/>
      </c>
      <c r="O28" s="60">
        <f>'ALVENARIA'!$K$16</f>
        <v/>
      </c>
      <c r="P28" s="61">
        <f>'ALVENARIA'!$K$14</f>
        <v/>
      </c>
      <c r="Q28" s="59" t="inlineStr">
        <is>
          <t>18</t>
        </is>
      </c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3928343.29</v>
      </c>
      <c r="G29" s="49">
        <f>IF($H$6=0,0,F29/$H$6)</f>
        <v/>
      </c>
      <c r="H29" s="49">
        <f>G29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53" t="n">
        <v>4139097.74</v>
      </c>
      <c r="M29" s="49">
        <f>L29-K29</f>
        <v/>
      </c>
      <c r="N29" s="51">
        <f>IF(D29="","",IF('IMPERMEABILIZAÇÃO'!$C$78&gt;L29+1,"⚠ Incorrido acima da projeção",IF(AND('IMPERMEABILIZAÇÃO'!$K$18&gt;1,'IMPERMEABILIZAÇÃO'!$K$17=0),"⚠ Saldo sem curva (preencha a coluna H da aba)",IF(ABS('IMPERMEABILIZAÇÃO'!$D$80)&gt;1,"⚠ Verificar","OK"))))</f>
        <v/>
      </c>
      <c r="O29" s="60">
        <f>'IMPERMEABILIZAÇÃO'!$K$16</f>
        <v/>
      </c>
      <c r="P29" s="61">
        <f>'IMPERMEABILIZAÇÃO'!$K$14</f>
        <v/>
      </c>
      <c r="Q29" s="59" t="inlineStr">
        <is>
          <t>19</t>
        </is>
      </c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11262626.67</v>
      </c>
      <c r="G30" s="49">
        <f>IF($H$6=0,0,F30/$H$6)</f>
        <v/>
      </c>
      <c r="H30" s="49">
        <f>G30</f>
        <v/>
      </c>
      <c r="I30" s="59" t="inlineStr">
        <is>
          <t>DIRETO</t>
        </is>
      </c>
      <c r="J30" s="59" t="inlineStr">
        <is>
          <t xml:space="preserve">INSTALAÇÕES ELÉTRICAS </t>
        </is>
      </c>
      <c r="K30" s="49">
        <f>IF(ISNUMBER($P$7),G30*$P$7,0)</f>
        <v/>
      </c>
      <c r="L30" s="53" t="n">
        <v>11595096.01</v>
      </c>
      <c r="M30" s="49">
        <f>L30-K30</f>
        <v/>
      </c>
      <c r="N30" s="51">
        <f>IF(D30="","",IF('INST. ELÉTRICA'!$C$78&gt;L30+1,"⚠ Incorrido acima da projeção",IF(AND('INST. ELÉTRICA'!$K$18&gt;1,'INST. ELÉTRICA'!$K$17=0),"⚠ Saldo sem curva (preencha a coluna H da aba)",IF(ABS('INST. ELÉTRICA'!$D$80)&gt;1,"⚠ Verificar","OK"))))</f>
        <v/>
      </c>
      <c r="O30" s="60">
        <f>'INST. ELÉTRICA'!$K$16</f>
        <v/>
      </c>
      <c r="P30" s="61">
        <f>'INST. ELÉTRICA'!$K$14</f>
        <v/>
      </c>
      <c r="Q30" s="59" t="inlineStr">
        <is>
          <t>20</t>
        </is>
      </c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7374040</v>
      </c>
      <c r="G31" s="49">
        <f>IF($H$6=0,0,F31/$H$6)</f>
        <v/>
      </c>
      <c r="H31" s="49">
        <f>G31</f>
        <v/>
      </c>
      <c r="I31" s="59" t="inlineStr">
        <is>
          <t>DIRETO</t>
        </is>
      </c>
      <c r="J31" s="59" t="inlineStr">
        <is>
          <t>INSTALAÇÕES HIDROSANITÁRIAS</t>
        </is>
      </c>
      <c r="K31" s="49">
        <f>IF(ISNUMBER($P$7),G31*$P$7,0)</f>
        <v/>
      </c>
      <c r="L31" s="53" t="n">
        <v>7769655.06</v>
      </c>
      <c r="M31" s="49">
        <f>L31-K31</f>
        <v/>
      </c>
      <c r="N31" s="51">
        <f>IF(D31="","",IF('INST. HIDRO'!$C$78&gt;L31+1,"⚠ Incorrido acima da projeção",IF(AND('INST. HIDRO'!$K$18&gt;1,'INST. HIDRO'!$K$17=0),"⚠ Saldo sem curva (preencha a coluna H da aba)",IF(ABS('INST. HIDRO'!$D$80)&gt;1,"⚠ Verificar","OK"))))</f>
        <v/>
      </c>
      <c r="O31" s="60">
        <f>'INST. HIDRO'!$K$16</f>
        <v/>
      </c>
      <c r="P31" s="61">
        <f>'INST. HIDRO'!$K$14</f>
        <v/>
      </c>
      <c r="Q31" s="59" t="inlineStr">
        <is>
          <t>21</t>
        </is>
      </c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781560</v>
      </c>
      <c r="G32" s="49">
        <f>IF($H$6=0,0,F32/$H$6)</f>
        <v/>
      </c>
      <c r="H32" s="49">
        <f>G32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53" t="n">
        <v>823490.46</v>
      </c>
      <c r="M32" s="49">
        <f>L32-K32</f>
        <v/>
      </c>
      <c r="N32" s="51">
        <f>IF(D32="","",IF('INST. INC'!$C$78&gt;L32+1,"⚠ Incorrido acima da projeção",IF(AND('INST. INC'!$K$18&gt;1,'INST. INC'!$K$17=0),"⚠ Saldo sem curva (preencha a coluna H da aba)",IF(ABS('INST. INC'!$D$80)&gt;1,"⚠ Verificar","OK"))))</f>
        <v/>
      </c>
      <c r="O32" s="60">
        <f>'INST. INC'!$K$16</f>
        <v/>
      </c>
      <c r="P32" s="61">
        <f>'INST. INC'!$K$14</f>
        <v/>
      </c>
      <c r="Q32" s="59" t="inlineStr">
        <is>
          <t>22</t>
        </is>
      </c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2684762.92</v>
      </c>
      <c r="G33" s="49">
        <f>IF($H$6=0,0,F33/$H$6)</f>
        <v/>
      </c>
      <c r="H33" s="49">
        <f>G33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53" t="n">
        <v>2828799.66</v>
      </c>
      <c r="M33" s="49">
        <f>L33-K33</f>
        <v/>
      </c>
      <c r="N33" s="51">
        <f>IF(D33="","",IF('INST. ESP'!$C$78&gt;L33+1,"⚠ Incorrido acima da projeção",IF(AND('INST. ESP'!$K$18&gt;1,'INST. ESP'!$K$17=0),"⚠ Saldo sem curva (preencha a coluna H da aba)",IF(ABS('INST. ESP'!$D$80)&gt;1,"⚠ Verificar","OK"))))</f>
        <v/>
      </c>
      <c r="O33" s="60">
        <f>'INST. ESP'!$K$16</f>
        <v/>
      </c>
      <c r="P33" s="61">
        <f>'INST. ESP'!$K$14</f>
        <v/>
      </c>
      <c r="Q33" s="59" t="inlineStr">
        <is>
          <t>23</t>
        </is>
      </c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3236182.09</v>
      </c>
      <c r="G34" s="49">
        <f>IF($H$6=0,0,F34/$H$6)</f>
        <v/>
      </c>
      <c r="H34" s="49">
        <f>G34</f>
        <v/>
      </c>
      <c r="I34" s="59" t="inlineStr">
        <is>
          <t>DIRETO</t>
        </is>
      </c>
      <c r="J34" s="59" t="inlineStr">
        <is>
          <t xml:space="preserve">ELEVADORES </t>
        </is>
      </c>
      <c r="K34" s="49">
        <f>IF(ISNUMBER($P$7),G34*$P$7,0)</f>
        <v/>
      </c>
      <c r="L34" s="53" t="n">
        <v>3409802.3</v>
      </c>
      <c r="M34" s="49">
        <f>L34-K34</f>
        <v/>
      </c>
      <c r="N34" s="51">
        <f>IF(D34="","",IF('ELEVADORES '!$C$78&gt;L34+1,"⚠ Incorrido acima da projeção",IF(AND('ELEVADORES '!$K$18&gt;1,'ELEVADORES '!$K$17=0),"⚠ Saldo sem curva (preencha a coluna H da aba)",IF(ABS('ELEVADORES '!$D$80)&gt;1,"⚠ Verificar","OK"))))</f>
        <v/>
      </c>
      <c r="O34" s="60">
        <f>'ELEVADORES '!$K$16</f>
        <v/>
      </c>
      <c r="P34" s="61">
        <f>'ELEVADORES '!$K$14</f>
        <v/>
      </c>
      <c r="Q34" s="59" t="inlineStr">
        <is>
          <t>24</t>
        </is>
      </c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11181479.74</v>
      </c>
      <c r="G35" s="49">
        <f>IF($H$6=0,0,F35/$H$6)</f>
        <v/>
      </c>
      <c r="H35" s="49">
        <f>G35</f>
        <v/>
      </c>
      <c r="I35" s="59" t="inlineStr">
        <is>
          <t>DIRETO</t>
        </is>
      </c>
      <c r="J35" s="59" t="inlineStr">
        <is>
          <t xml:space="preserve">ESQUADRIAS </t>
        </is>
      </c>
      <c r="K35" s="49">
        <f>IF(ISNUMBER($P$7),G35*$P$7,0)</f>
        <v/>
      </c>
      <c r="L35" s="53" t="n">
        <v>11781362.82</v>
      </c>
      <c r="M35" s="49">
        <f>L35-K35</f>
        <v/>
      </c>
      <c r="N35" s="51">
        <f>IF(D35="","",IF('ESQUADRIAS'!$C$78&gt;L35+1,"⚠ Incorrido acima da projeção",IF(AND('ESQUADRIAS'!$K$18&gt;1,'ESQUADRIAS'!$K$17=0),"⚠ Saldo sem curva (preencha a coluna H da aba)",IF(ABS('ESQUADRIAS'!$D$80)&gt;1,"⚠ Verificar","OK"))))</f>
        <v/>
      </c>
      <c r="O35" s="60">
        <f>'ESQUADRIAS'!$K$16</f>
        <v/>
      </c>
      <c r="P35" s="61">
        <f>'ESQUADRIAS'!$K$14</f>
        <v/>
      </c>
      <c r="Q35" s="59" t="inlineStr">
        <is>
          <t>25</t>
        </is>
      </c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482766.76</v>
      </c>
      <c r="G36" s="49">
        <f>IF($H$6=0,0,F36/$H$6)</f>
        <v/>
      </c>
      <c r="H36" s="49">
        <f>G36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53" t="n">
        <v>508667.05</v>
      </c>
      <c r="M36" s="49">
        <f>L36-K36</f>
        <v/>
      </c>
      <c r="N36" s="51">
        <f>IF(D36="","",IF('SERRALHERIA'!$C$78&gt;L36+1,"⚠ Incorrido acima da projeção",IF(AND('SERRALHERIA'!$K$18&gt;1,'SERRALHERIA'!$K$17=0),"⚠ Saldo sem curva (preencha a coluna H da aba)",IF(ABS('SERRALHERIA'!$D$80)&gt;1,"⚠ Verificar","OK"))))</f>
        <v/>
      </c>
      <c r="O36" s="60">
        <f>'SERRALHERIA'!$K$16</f>
        <v/>
      </c>
      <c r="P36" s="61">
        <f>'SERRALHERIA'!$K$14</f>
        <v/>
      </c>
      <c r="Q36" s="59" t="inlineStr">
        <is>
          <t>26</t>
        </is>
      </c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2977368.36</v>
      </c>
      <c r="G37" s="49">
        <f>IF($H$6=0,0,F37/$H$6)</f>
        <v/>
      </c>
      <c r="H37" s="49">
        <f>G37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53" t="n">
        <v>3137103.29</v>
      </c>
      <c r="M37" s="49">
        <f>L37-K37</f>
        <v/>
      </c>
      <c r="N37" s="51">
        <f>IF(D37="","",IF('MARCENARIA'!$C$78&gt;L37+1,"⚠ Incorrido acima da projeção",IF(AND('MARCENARIA'!$K$18&gt;1,'MARCENARIA'!$K$17=0),"⚠ Saldo sem curva (preencha a coluna H da aba)",IF(ABS('MARCENARIA'!$D$80)&gt;1,"⚠ Verificar","OK"))))</f>
        <v/>
      </c>
      <c r="O37" s="60">
        <f>'MARCENARIA'!$K$16</f>
        <v/>
      </c>
      <c r="P37" s="61">
        <f>'MARCENARIA'!$K$14</f>
        <v/>
      </c>
      <c r="Q37" s="59" t="inlineStr">
        <is>
          <t>27</t>
        </is>
      </c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1096073.33</v>
      </c>
      <c r="G38" s="49">
        <f>IF($H$6=0,0,F38/$H$6)</f>
        <v/>
      </c>
      <c r="H38" s="49">
        <f>G38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53" t="n">
        <v>1154877.34</v>
      </c>
      <c r="M38" s="49">
        <f>L38-K38</f>
        <v/>
      </c>
      <c r="N38" s="51">
        <f>IF(D38="","",IF('REV. PISOS'!$C$78&gt;L38+1,"⚠ Incorrido acima da projeção",IF(AND('REV. PISOS'!$K$18&gt;1,'REV. PISOS'!$K$17=0),"⚠ Saldo sem curva (preencha a coluna H da aba)",IF(ABS('REV. PISOS'!$D$80)&gt;1,"⚠ Verificar","OK"))))</f>
        <v/>
      </c>
      <c r="O38" s="60">
        <f>'REV. PISOS'!$K$16</f>
        <v/>
      </c>
      <c r="P38" s="61">
        <f>'REV. PISOS'!$K$14</f>
        <v/>
      </c>
      <c r="Q38" s="59" t="inlineStr">
        <is>
          <t>28</t>
        </is>
      </c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2518191.19</v>
      </c>
      <c r="G39" s="49">
        <f>IF($H$6=0,0,F39/$H$6)</f>
        <v/>
      </c>
      <c r="H39" s="49">
        <f>G39</f>
        <v/>
      </c>
      <c r="I39" s="59" t="inlineStr">
        <is>
          <t>DIRETO</t>
        </is>
      </c>
      <c r="J39" s="59" t="inlineStr">
        <is>
          <t>REVESTIMENTOS DE MASSA EM PAREDES</t>
        </is>
      </c>
      <c r="K39" s="49">
        <f>IF(ISNUMBER($P$7),G39*$P$7,0)</f>
        <v/>
      </c>
      <c r="L39" s="53" t="n">
        <v>2653291.4</v>
      </c>
      <c r="M39" s="49">
        <f>L39-K39</f>
        <v/>
      </c>
      <c r="N39" s="51">
        <f>IF(D39="","",IF('REV. PAREDE'!$C$78&gt;L39+1,"⚠ Incorrido acima da projeção",IF(AND('REV. PAREDE'!$K$18&gt;1,'REV. PAREDE'!$K$17=0),"⚠ Saldo sem curva (preencha a coluna H da aba)",IF(ABS('REV. PAREDE'!$D$80)&gt;1,"⚠ Verificar","OK"))))</f>
        <v/>
      </c>
      <c r="O39" s="60">
        <f>'REV. PAREDE'!$K$16</f>
        <v/>
      </c>
      <c r="P39" s="61">
        <f>'REV. PAREDE'!$K$14</f>
        <v/>
      </c>
      <c r="Q39" s="59" t="inlineStr">
        <is>
          <t>29</t>
        </is>
      </c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10402356.25</v>
      </c>
      <c r="G40" s="49">
        <f>IF($H$6=0,0,F40/$H$6)</f>
        <v/>
      </c>
      <c r="H40" s="49">
        <f>G40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53" t="n">
        <v>10960439.57</v>
      </c>
      <c r="M40" s="49">
        <f>L40-K40</f>
        <v/>
      </c>
      <c r="N40" s="51">
        <f>IF(D40="","",IF('REV. ACAB'!$C$78&gt;L40+1,"⚠ Incorrido acima da projeção",IF(AND('REV. ACAB'!$K$18&gt;1,'REV. ACAB'!$K$17=0),"⚠ Saldo sem curva (preencha a coluna H da aba)",IF(ABS('REV. ACAB'!$D$80)&gt;1,"⚠ Verificar","OK"))))</f>
        <v/>
      </c>
      <c r="O40" s="60">
        <f>'REV. ACAB'!$K$16</f>
        <v/>
      </c>
      <c r="P40" s="61">
        <f>'REV. ACAB'!$K$14</f>
        <v/>
      </c>
      <c r="Q40" s="59" t="inlineStr">
        <is>
          <t>30</t>
        </is>
      </c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PAVIMENTAÇÃO</t>
        </is>
      </c>
      <c r="E41" s="48">
        <f>IF($F$50=0,0,F41/$F$50)</f>
        <v/>
      </c>
      <c r="F41" s="53" t="n">
        <v>106895.67</v>
      </c>
      <c r="G41" s="49">
        <f>IF($H$6=0,0,F41/$H$6)</f>
        <v/>
      </c>
      <c r="H41" s="49">
        <f>G41</f>
        <v/>
      </c>
      <c r="I41" s="59" t="inlineStr">
        <is>
          <t>DIRETO</t>
        </is>
      </c>
      <c r="J41" s="59" t="inlineStr">
        <is>
          <t>PAVIMENTÇÃO</t>
        </is>
      </c>
      <c r="K41" s="49">
        <f>IF(ISNUMBER($P$7),G41*$P$7,0)</f>
        <v/>
      </c>
      <c r="L41" s="53" t="n">
        <v>112630.59</v>
      </c>
      <c r="M41" s="49">
        <f>L41-K41</f>
        <v/>
      </c>
      <c r="N41" s="51">
        <f>IF(D41="","",IF('PAVIMENTAÇÃO'!$C$78&gt;L41+1,"⚠ Incorrido acima da projeção",IF(AND('PAVIMENTAÇÃO'!$K$18&gt;1,'PAVIMENTAÇÃO'!$K$17=0),"⚠ Saldo sem curva (preencha a coluna H da aba)",IF(ABS('PAVIMENTAÇÃO'!$D$80)&gt;1,"⚠ Verificar","OK"))))</f>
        <v/>
      </c>
      <c r="O41" s="60">
        <f>'PAVIMENTAÇÃO'!$K$16</f>
        <v/>
      </c>
      <c r="P41" s="61">
        <f>'PAVIMENTAÇÃO'!$K$14</f>
        <v/>
      </c>
      <c r="Q41" s="59" t="inlineStr">
        <is>
          <t>31</t>
        </is>
      </c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- FACHADA</t>
        </is>
      </c>
      <c r="E42" s="48">
        <f>IF($F$50=0,0,F42/$F$50)</f>
        <v/>
      </c>
      <c r="F42" s="53" t="n">
        <v>5055622.3</v>
      </c>
      <c r="G42" s="49">
        <f>IF($H$6=0,0,F42/$H$6)</f>
        <v/>
      </c>
      <c r="H42" s="49">
        <f>G42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53" t="n">
        <v>5326854.93</v>
      </c>
      <c r="M42" s="49">
        <f>L42-K42</f>
        <v/>
      </c>
      <c r="N42" s="51">
        <f>IF(D42="","",IF('REV. FACHADA'!$C$78&gt;L42+1,"⚠ Incorrido acima da projeção",IF(AND('REV. FACHADA'!$K$18&gt;1,'REV. FACHADA'!$K$17=0),"⚠ Saldo sem curva (preencha a coluna H da aba)",IF(ABS('REV. FACHADA'!$D$80)&gt;1,"⚠ Verificar","OK"))))</f>
        <v/>
      </c>
      <c r="O42" s="60">
        <f>'REV. FACHADA'!$K$16</f>
        <v/>
      </c>
      <c r="P42" s="61">
        <f>'REV. FACHADA'!$K$14</f>
        <v/>
      </c>
      <c r="Q42" s="59" t="inlineStr">
        <is>
          <t>32</t>
        </is>
      </c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1690544.88</v>
      </c>
      <c r="G43" s="49">
        <f>IF($H$6=0,0,F43/$H$6)</f>
        <v/>
      </c>
      <c r="H43" s="49">
        <f>G43</f>
        <v/>
      </c>
      <c r="I43" s="59" t="inlineStr">
        <is>
          <t>DIRETO</t>
        </is>
      </c>
      <c r="J43" s="59" t="inlineStr">
        <is>
          <t>FORROS DIVERSOS</t>
        </is>
      </c>
      <c r="K43" s="49">
        <f>IF(ISNUMBER($P$7),G43*$P$7,0)</f>
        <v/>
      </c>
      <c r="L43" s="53" t="n">
        <v>1781242.11</v>
      </c>
      <c r="M43" s="49">
        <f>L43-K43</f>
        <v/>
      </c>
      <c r="N43" s="51">
        <f>IF(D43="","",IF('FORRO'!$C$78&gt;L43+1,"⚠ Incorrido acima da projeção",IF(AND('FORRO'!$K$18&gt;1,'FORRO'!$K$17=0),"⚠ Saldo sem curva (preencha a coluna H da aba)",IF(ABS('FORRO'!$D$80)&gt;1,"⚠ Verificar","OK"))))</f>
        <v/>
      </c>
      <c r="O43" s="60">
        <f>'FORRO'!$K$16</f>
        <v/>
      </c>
      <c r="P43" s="61">
        <f>'FORRO'!$K$14</f>
        <v/>
      </c>
      <c r="Q43" s="59" t="inlineStr">
        <is>
          <t>33</t>
        </is>
      </c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2050613.5</v>
      </c>
      <c r="G44" s="49">
        <f>IF($H$6=0,0,F44/$H$6)</f>
        <v/>
      </c>
      <c r="H44" s="49">
        <f>G44</f>
        <v/>
      </c>
      <c r="I44" s="59" t="inlineStr">
        <is>
          <t>DIRETO</t>
        </is>
      </c>
      <c r="J44" s="59" t="inlineStr">
        <is>
          <t>LOUÇAS E METAIS</t>
        </is>
      </c>
      <c r="K44" s="49">
        <f>IF(ISNUMBER($P$7),G44*$P$7,0)</f>
        <v/>
      </c>
      <c r="L44" s="53" t="n">
        <v>2160628.3</v>
      </c>
      <c r="M44" s="49">
        <f>L44-K44</f>
        <v/>
      </c>
      <c r="N44" s="51">
        <f>IF(D44="","",IF('LOUÇAS'!$C$78&gt;L44+1,"⚠ Incorrido acima da projeção",IF(AND('LOUÇAS'!$K$18&gt;1,'LOUÇAS'!$K$17=0),"⚠ Saldo sem curva (preencha a coluna H da aba)",IF(ABS('LOUÇAS'!$D$80)&gt;1,"⚠ Verificar","OK"))))</f>
        <v/>
      </c>
      <c r="O44" s="60">
        <f>'LOUÇAS'!$K$16</f>
        <v/>
      </c>
      <c r="P44" s="61">
        <f>'LOUÇAS'!$K$14</f>
        <v/>
      </c>
      <c r="Q44" s="59" t="inlineStr">
        <is>
          <t>34</t>
        </is>
      </c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3676746.93</v>
      </c>
      <c r="G45" s="49">
        <f>IF($H$6=0,0,F45/$H$6)</f>
        <v/>
      </c>
      <c r="H45" s="49">
        <f>G45</f>
        <v/>
      </c>
      <c r="I45" s="59" t="inlineStr">
        <is>
          <t>DIRETO</t>
        </is>
      </c>
      <c r="J45" s="59" t="inlineStr">
        <is>
          <t>PINTURAS</t>
        </is>
      </c>
      <c r="K45" s="49">
        <f>IF(ISNUMBER($P$7),G45*$P$7,0)</f>
        <v/>
      </c>
      <c r="L45" s="53" t="n">
        <v>3874003.32</v>
      </c>
      <c r="M45" s="49">
        <f>L45-K45</f>
        <v/>
      </c>
      <c r="N45" s="51">
        <f>IF(D45="","",IF('PINTURA'!$C$78&gt;L45+1,"⚠ Incorrido acima da projeção",IF(AND('PINTURA'!$K$18&gt;1,'PINTURA'!$K$17=0),"⚠ Saldo sem curva (preencha a coluna H da aba)",IF(ABS('PINTURA'!$D$80)&gt;1,"⚠ Verificar","OK"))))</f>
        <v/>
      </c>
      <c r="O45" s="60">
        <f>'PINTURA'!$K$16</f>
        <v/>
      </c>
      <c r="P45" s="61">
        <f>'PINTURA'!$K$14</f>
        <v/>
      </c>
      <c r="Q45" s="59" t="inlineStr">
        <is>
          <t>35</t>
        </is>
      </c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PAISAGISMO</t>
        </is>
      </c>
      <c r="E46" s="48">
        <f>IF($F$50=0,0,F46/$F$50)</f>
        <v/>
      </c>
      <c r="F46" s="53" t="n">
        <v>1116999.6</v>
      </c>
      <c r="G46" s="49">
        <f>IF($H$6=0,0,F46/$H$6)</f>
        <v/>
      </c>
      <c r="H46" s="49">
        <f>G46</f>
        <v/>
      </c>
      <c r="I46" s="59" t="inlineStr">
        <is>
          <t>DIRETO</t>
        </is>
      </c>
      <c r="J46" s="59" t="inlineStr">
        <is>
          <t>PAISAGISMO</t>
        </is>
      </c>
      <c r="K46" s="49">
        <f>IF(ISNUMBER($P$7),G46*$P$7,0)</f>
        <v/>
      </c>
      <c r="L46" s="53" t="n">
        <v>1176926.3</v>
      </c>
      <c r="M46" s="49">
        <f>L46-K46</f>
        <v/>
      </c>
      <c r="N46" s="51">
        <f>IF(D46="","",IF('PAISAGISMO'!$C$78&gt;L46+1,"⚠ Incorrido acima da projeção",IF(AND('PAISAGISMO'!$K$18&gt;1,'PAISAGISMO'!$K$17=0),"⚠ Saldo sem curva (preencha a coluna H da aba)",IF(ABS('PAISAGISMO'!$D$80)&gt;1,"⚠ Verificar","OK"))))</f>
        <v/>
      </c>
      <c r="O46" s="60">
        <f>'PAISAGISMO'!$K$16</f>
        <v/>
      </c>
      <c r="P46" s="61">
        <f>'PAISAGISMO'!$K$14</f>
        <v/>
      </c>
      <c r="Q46" s="59" t="inlineStr">
        <is>
          <t>36</t>
        </is>
      </c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887766.61</v>
      </c>
      <c r="G47" s="49">
        <f>IF($H$6=0,0,F47/$H$6)</f>
        <v/>
      </c>
      <c r="H47" s="49">
        <f>G47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53" t="n">
        <v>935395.03</v>
      </c>
      <c r="M47" s="49">
        <f>L47-K47</f>
        <v/>
      </c>
      <c r="N47" s="51">
        <f>IF(D47="","",IF('LIMPEZA'!$C$78&gt;L47+1,"⚠ Incorrido acima da projeção",IF(AND('LIMPEZA'!$K$18&gt;1,'LIMPEZA'!$K$17=0),"⚠ Saldo sem curva (preencha a coluna H da aba)",IF(ABS('LIMPEZA'!$D$80)&gt;1,"⚠ Verificar","OK"))))</f>
        <v/>
      </c>
      <c r="O47" s="60">
        <f>'LIMPEZA'!$K$16</f>
        <v/>
      </c>
      <c r="P47" s="61">
        <f>'LIMPEZA'!$K$14</f>
        <v/>
      </c>
      <c r="Q47" s="59" t="inlineStr">
        <is>
          <t>37</t>
        </is>
      </c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566105.29</v>
      </c>
      <c r="G48" s="49">
        <f>IF($H$6=0,0,F48/$H$6)</f>
        <v/>
      </c>
      <c r="H48" s="49">
        <f>G48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2">
        <f>'TAX. ADM'!$C$78</f>
        <v/>
      </c>
      <c r="M48" s="49">
        <f>L48-K48</f>
        <v/>
      </c>
      <c r="N48" s="51">
        <f>IF(D48="","",IF('TAX. ADM'!$C$78&gt;L48+1,"⚠ Incorrido acima da projeção",IF(AND('TAX. ADM'!$K$18&gt;1,'TAX. ADM'!$K$17=0),"⚠ Saldo sem curva (preencha a coluna H da aba)",IF(ABS('TAX. ADM'!$D$80)&gt;1,"⚠ Verificar","OK"))))</f>
        <v/>
      </c>
      <c r="O48" s="60">
        <f>'TAX. ADM'!$K$16</f>
        <v/>
      </c>
      <c r="P48" s="61">
        <f>'TAX. ADM'!$K$14</f>
        <v/>
      </c>
      <c r="Q48" s="59" t="inlineStr">
        <is>
          <t>00</t>
        </is>
      </c>
    </row>
    <row r="49">
      <c r="D49" s="46" t="inlineStr">
        <is>
          <t>TOTAIS (sem taxa de adm.)</t>
        </is>
      </c>
      <c r="E49" s="63">
        <f>SUM(E11:E47)</f>
        <v/>
      </c>
      <c r="F49" s="64">
        <f>SUM(F11:F47)</f>
        <v/>
      </c>
      <c r="G49" s="64">
        <f>SUM(G11:G47)</f>
        <v/>
      </c>
      <c r="H49" s="64">
        <f>SUM(H11:H47)</f>
        <v/>
      </c>
      <c r="K49" s="64">
        <f>SUM(K11:K47)</f>
        <v/>
      </c>
      <c r="L49" s="64">
        <f>SUM(L11:L47)</f>
        <v/>
      </c>
      <c r="M49" s="64">
        <f>SUM(M11:M47)</f>
        <v/>
      </c>
    </row>
    <row r="50">
      <c r="D50" s="46" t="inlineStr">
        <is>
          <t>TOTAL COM TAXA DE ADMINISTRAÇÃO</t>
        </is>
      </c>
      <c r="E50" s="63">
        <f>SUM(E11:E48)</f>
        <v/>
      </c>
      <c r="F50" s="64">
        <f>SUM(F11:F48)</f>
        <v/>
      </c>
      <c r="G50" s="64">
        <f>SUM(G11:G48)</f>
        <v/>
      </c>
      <c r="H50" s="64">
        <f>SUM(H11:H48)</f>
        <v/>
      </c>
      <c r="K50" s="64">
        <f>SUM(K11:K48)</f>
        <v/>
      </c>
      <c r="L50" s="64">
        <f>SUM(L11:L48)</f>
        <v/>
      </c>
      <c r="M50" s="64">
        <f>SUM(M11:M48)</f>
        <v/>
      </c>
    </row>
    <row r="53">
      <c r="D53" s="65" t="inlineStr">
        <is>
          <t>CONFERÊNCIA GERAL</t>
        </is>
      </c>
      <c r="E53" s="65" t="inlineStr">
        <is>
          <t>RESULTADO</t>
        </is>
      </c>
      <c r="F53" s="65" t="inlineStr">
        <is>
          <t>STATUS</t>
        </is>
      </c>
      <c r="G53" s="66" t="n"/>
      <c r="H53" s="67" t="n"/>
    </row>
    <row r="54">
      <c r="D54" s="51" t="inlineStr">
        <is>
          <t>Disciplinas com pendência (coluna N)</t>
        </is>
      </c>
      <c r="E54" s="68">
        <f>COUNTIF(N11:N48,"⚠*")</f>
        <v/>
      </c>
      <c r="F54" s="51">
        <f>IF(E54=0,"OK","⚠ Veja a coluna N")</f>
        <v/>
      </c>
      <c r="G54" s="66" t="n"/>
      <c r="H54" s="67" t="n"/>
    </row>
    <row r="55">
      <c r="D55" s="51" t="inlineStr">
        <is>
          <t>Grupos do ERP sem correspondência</t>
        </is>
      </c>
      <c r="E55" s="69">
        <f>'DADOS HISTORICOS'!C2</f>
        <v/>
      </c>
      <c r="F55" s="51">
        <f>IF(E55=0,"OK","⚠ Veja nomes em vermelho em DADOS BRUTOS")</f>
        <v/>
      </c>
      <c r="G55" s="66" t="n"/>
      <c r="H55" s="67" t="n"/>
    </row>
    <row r="56">
      <c r="D56" s="51" t="inlineStr">
        <is>
          <t>Valores do ERP fora do horizonte (R$)</t>
        </is>
      </c>
      <c r="E56" s="70">
        <f>'DADOS HISTORICOS'!BX44</f>
        <v/>
      </c>
      <c r="F56" s="51">
        <f>IF(ABS(E56)&lt;1,"OK","⚠ Aumente o horizonte ou revise datas")</f>
        <v/>
      </c>
      <c r="G56" s="66" t="n"/>
      <c r="H56" s="67" t="n"/>
    </row>
    <row r="57">
      <c r="D57" s="51" t="inlineStr">
        <is>
          <t>INCC do mês de corte</t>
        </is>
      </c>
      <c r="E57" s="71">
        <f>IF(ISNUMBER(P7),P7,0)</f>
        <v/>
      </c>
      <c r="F57" s="51">
        <f>IF(COUNTIF('"INCC-FGV"'!$A$2:$A$400,P5)&gt;0,"OK",IF(E57&gt;0,"⚠ INCC do mês de corte não cadastrado: usando o último índice disponível","⚠ Inclua o índice na aba INCC-FGV"))</f>
        <v/>
      </c>
      <c r="G57" s="66" t="n"/>
      <c r="H57" s="67" t="n"/>
    </row>
    <row r="58">
      <c r="D58" s="51" t="inlineStr">
        <is>
          <t>Meses realizados sem INCC</t>
        </is>
      </c>
      <c r="E58" s="69">
        <f>SUMPRODUCT(('MODELO PARA BI'!$H$1:$CA$1&lt;=P5)*(COUNTIF('"INCC-FGV"'!$A$2:$A$400,'MODELO PARA BI'!$H$1:$CA$1)=0))</f>
        <v/>
      </c>
      <c r="F58" s="51">
        <f>IF(E58=0,"OK","⚠ Complete a aba INCC-FGV")</f>
        <v/>
      </c>
      <c r="G58" s="66" t="n"/>
      <c r="H58" s="67" t="n"/>
    </row>
    <row r="59">
      <c r="D59" s="51" t="inlineStr">
        <is>
          <t>Fluxo total − projeção total (R$)</t>
        </is>
      </c>
      <c r="E59" s="70">
        <f>'MODELO PARA BI'!E64-L50</f>
        <v/>
      </c>
      <c r="F59" s="51">
        <f>IF(L50=0,"⚠ Preencha o orçamento e a projeção (colunas F e L)",IF(ABS(E59)&lt;1,"OK","⚠ Há saldo sem distribuição"))</f>
        <v/>
      </c>
      <c r="G59" s="66" t="n"/>
      <c r="H59" s="67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1"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2">
        <f>"Execução física (Prevision), desembolso do ano (fluxo financeiro) e situação da obra em 31/12/"&amp;D5&amp;"     ·     Data de corte do fluxo: "&amp;CHOOSE(MONTH('VALOR POR PL'!$P$5),"jan","fev","mar","abr","mai","jun","jul","ago","set","out","nov","dez")&amp;"/"&amp;YEAR('VALOR POR PL'!$P$5)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3" t="inlineStr">
        <is>
          <t>ANO DO RETRATO →</t>
        </is>
      </c>
      <c r="D5" s="74" t="n">
        <v>2027</v>
      </c>
      <c r="E5" s="73" t="inlineStr">
        <is>
          <t>INCC →</t>
        </is>
      </c>
      <c r="F5" s="75">
        <f>'VALOR POR PL'!$P$5</f>
        <v/>
      </c>
      <c r="G5" s="56">
        <f>IFERROR(INDEX('"INCC-FGV"'!$B$2:$B$400,MATCH(DATE(YEAR(F5),MONTH(F5),1),'"INCC-FGV"'!$A$2:$A$400,0)),IFERROR(INDEX('"INCC-FGV"'!$B$2:$B$400,MATCH(DATE(YEAR(F5),MONTH(F5),1),'"INCC-FGV"'!$A$2:$A$400,1)),"FALTA INCC"))</f>
        <v/>
      </c>
      <c r="J5" s="73" t="inlineStr">
        <is>
          <t>SITUAÇÃO EM →</t>
        </is>
      </c>
      <c r="K5" s="76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77">
        <f>F53</f>
        <v/>
      </c>
      <c r="D8" s="78">
        <f>G53</f>
        <v/>
      </c>
      <c r="F8" s="77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79">
        <f>INDEX(C12:C50,MATCH(MAX(F12:F50),F12:F50,0))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>"R$ "&amp;TEXT(MAX(F12:F50)/1000000,"0.0")&amp;" mi no ano"</f>
        <v/>
      </c>
    </row>
    <row r="11" ht="44" customHeight="1">
      <c r="B11" s="80" t="inlineStr">
        <is>
          <t>Cód.</t>
        </is>
      </c>
      <c r="C11" s="80" t="inlineStr">
        <is>
          <t>PL / serviço</t>
        </is>
      </c>
      <c r="D11" s="81" t="inlineStr">
        <is>
          <t>Execução física
fim do ano
(Prevision)</t>
        </is>
      </c>
      <c r="E11" s="81" t="inlineStr">
        <is>
          <t>Execução física
no corte
(Prevision)</t>
        </is>
      </c>
      <c r="F11" s="81" t="inlineStr">
        <is>
          <t>Desembolso
no ano
R$ nominal</t>
        </is>
      </c>
      <c r="G11" s="81" t="inlineStr">
        <is>
          <t>Desembolso
no ano
INCC</t>
        </is>
      </c>
      <c r="H11" s="81" t="inlineStr">
        <is>
          <t>Desembolso no ano
R$ do INCC
selecionado</t>
        </is>
      </c>
      <c r="I11" s="81" t="inlineStr">
        <is>
          <t>% do
ano</t>
        </is>
      </c>
      <c r="J11" s="81" t="inlineStr">
        <is>
          <t>Avanço
financeiro
fim do ano</t>
        </is>
      </c>
      <c r="K11" s="80">
        <f>"Situação em 31/12/"&amp;D5&amp;" (cronograma de atividades do Prevision)"</f>
        <v/>
      </c>
      <c r="L11" s="80" t="inlineStr">
        <is>
          <t>Anotação do modelo anterior / justificativa</t>
        </is>
      </c>
    </row>
    <row r="12" ht="16.2" customHeight="1">
      <c r="B12" s="82">
        <f>'VALOR POR PL'!C11</f>
        <v/>
      </c>
      <c r="C12" s="83">
        <f>'VALOR POR PL'!D11</f>
        <v/>
      </c>
      <c r="D12" s="84">
        <f>IF(OR('VALOR POR PL'!I11&lt;&gt;"DIRETO",'CP RESUMO'!$C$5=""),"",IFERROR(INDEX('CP RESUMO'!$D$5:$BW$5,MATCH(DATE($D$5,12,1),'CP RESUMO'!$D$4:$BW$4,0))/100,""))</f>
        <v/>
      </c>
      <c r="E12" s="85">
        <f>IF('VALOR POR PL'!I11&lt;&gt;"DIRETO","",'PROJETO'!$K$14)</f>
        <v/>
      </c>
      <c r="F12" s="86">
        <f>SUMPRODUCT((YEAR('PROJETO'!$B$5:$B$76)=$D$5)*('PROJETO'!$C$5:$C$76+'PROJETO'!$D$5:$D$76))</f>
        <v/>
      </c>
      <c r="G12" s="86">
        <f>SUMPRODUCT((YEAR('MODELO PARA BI'!$H$1:$CA$1)=$D$5)*'MODELO PARA BI'!$H$29:$CA$29)</f>
        <v/>
      </c>
      <c r="H12" s="86">
        <f>IF(ISNUMBER($G$5),G12*$G$5,0)</f>
        <v/>
      </c>
      <c r="I12" s="84">
        <f>IF($F$53=0,0,F12/$F$53)</f>
        <v/>
      </c>
      <c r="J12" s="84">
        <f>IF('VALOR POR PL'!L11=0,0,SUMPRODUCT(('PROJETO'!$B$5:$B$76&lt;=DATE($D$5,12,1))*('PROJETO'!$C$5:$C$76+'PROJETO'!$D$5:$D$76))/'VALOR POR PL'!L11)</f>
        <v/>
      </c>
      <c r="K12" s="87">
        <f t="array" ref="K12">IF(COUNTIF('CRONOGRAMA ATIVIDADES'!$M$5:$M$3004,B12)=0,"",IF(COUNTIFS('CRONOGRAMA ATIVIDADES'!$M$5:$M$3004,B12,'CRONOGRAMA ATIVIDADES'!$O$5:$O$3004,"CONCLUÍDA")=COUNTIF('CRONOGRAMA ATIVIDADES'!$M$5:$M$3004,B12),"Concluído (todas as "&amp;COUNTIF('CRONOGRAMA ATIVIDADES'!$M$5:$M$3004,B12)&amp;" atividades)",IF(COUNTIFS('CRONOGRAMA ATIVIDADES'!$M$5:$M$3004,B12,'CRONOGRAMA ATIVIDADES'!$O$5:$O$3004,"A INICIAR")=COUNTIF('CRONOGRAMA ATIVIDADES'!$M$5:$M$3004,B12),"Não iniciado · início previsto em "&amp;CHOOSE(MONTH(_xlfn.MINIFS('CRONOGRAMA ATIVIDADES'!$F$5:$F$3004,'CRONOGRAMA ATIVIDADES'!$M$5:$M$3004,B12)),"jan","fev","mar","abr","mai","jun","jul","ago","set","out","nov","dez")&amp;"/"&amp;YEAR(_xlfn.MINIFS('CRONOGRAMA ATIVIDADES'!$F$5:$F$3004,'CRONOGRAMA ATIVIDADES'!$M$5:$M$3004,B12)),_xlfn.TEXTJOIN(" / ",TRUE,IF(('CRONOGRAMA ATIVIDADES'!$S$5:$S$304=B12)*('CRONOGRAMA ATIVIDADES'!$AA$5:$AA$304&lt;&gt;""),'CRONOGRAMA ATIVIDADES'!$AA$5:$AA$304,"")))))</f>
        <v/>
      </c>
      <c r="L12" s="88" t="n"/>
      <c r="M12" s="89">
        <f>'VALOR POR PL'!L11</f>
        <v/>
      </c>
      <c r="N12" s="89">
        <f>IF('VALOR POR PL'!I11="DIRETO",'VALOR POR PL'!L11,0)</f>
        <v/>
      </c>
    </row>
    <row r="13" ht="16.2" customHeight="1">
      <c r="B13" s="90">
        <f>'VALOR POR PL'!C12</f>
        <v/>
      </c>
      <c r="C13" s="91">
        <f>'VALOR POR PL'!D12</f>
        <v/>
      </c>
      <c r="D13" s="92">
        <f>IF(OR('VALOR POR PL'!I12&lt;&gt;"DIRETO",'CP RESUMO'!$C$6=""),"",IFERROR(INDEX('CP RESUMO'!$D$6:$BW$6,MATCH(DATE($D$5,12,1),'CP RESUMO'!$D$4:$BW$4,0))/100,""))</f>
        <v/>
      </c>
      <c r="E13" s="93">
        <f>IF('VALOR POR PL'!I12&lt;&gt;"DIRETO","",'SEGUROS'!$K$14)</f>
        <v/>
      </c>
      <c r="F13" s="94">
        <f>SUMPRODUCT((YEAR('SEGUROS'!$B$5:$B$76)=$D$5)*('SEGUROS'!$C$5:$C$76+'SEGUROS'!$D$5:$D$76))</f>
        <v/>
      </c>
      <c r="G13" s="94">
        <f>SUMPRODUCT((YEAR('MODELO PARA BI'!$H$1:$CA$1)=$D$5)*'MODELO PARA BI'!$H$40:$CA$40)</f>
        <v/>
      </c>
      <c r="H13" s="94">
        <f>IF(ISNUMBER($G$5),G13*$G$5,0)</f>
        <v/>
      </c>
      <c r="I13" s="92">
        <f>IF($F$53=0,0,F13/$F$53)</f>
        <v/>
      </c>
      <c r="J13" s="92">
        <f>IF('VALOR POR PL'!L12=0,0,SUMPRODUCT(('SEGUROS'!$B$5:$B$76&lt;=DATE($D$5,12,1))*('SEGUROS'!$C$5:$C$76+'SEGUROS'!$D$5:$D$76))/'VALOR POR PL'!L12)</f>
        <v/>
      </c>
      <c r="K13" s="95">
        <f t="array" ref="K13">IF(COUNTIF('CRONOGRAMA ATIVIDADES'!$M$5:$M$3004,B13)=0,"",IF(COUNTIFS('CRONOGRAMA ATIVIDADES'!$M$5:$M$3004,B13,'CRONOGRAMA ATIVIDADES'!$O$5:$O$3004,"CONCLUÍDA")=COUNTIF('CRONOGRAMA ATIVIDADES'!$M$5:$M$3004,B13),"Concluído (todas as "&amp;COUNTIF('CRONOGRAMA ATIVIDADES'!$M$5:$M$3004,B13)&amp;" atividades)",IF(COUNTIFS('CRONOGRAMA ATIVIDADES'!$M$5:$M$3004,B13,'CRONOGRAMA ATIVIDADES'!$O$5:$O$3004,"A INICIAR")=COUNTIF('CRONOGRAMA ATIVIDADES'!$M$5:$M$3004,B13),"Não iniciado · início previsto em "&amp;CHOOSE(MONTH(_xlfn.MINIFS('CRONOGRAMA ATIVIDADES'!$F$5:$F$3004,'CRONOGRAMA ATIVIDADES'!$M$5:$M$3004,B13)),"jan","fev","mar","abr","mai","jun","jul","ago","set","out","nov","dez")&amp;"/"&amp;YEAR(_xlfn.MINIFS('CRONOGRAMA ATIVIDADES'!$F$5:$F$3004,'CRONOGRAMA ATIVIDADES'!$M$5:$M$3004,B13)),_xlfn.TEXTJOIN(" / ",TRUE,IF(('CRONOGRAMA ATIVIDADES'!$S$5:$S$304=B13)*('CRONOGRAMA ATIVIDADES'!$AA$5:$AA$304&lt;&gt;""),'CRONOGRAMA ATIVIDADES'!$AA$5:$AA$304,"")))))</f>
        <v/>
      </c>
      <c r="L13" s="96" t="n"/>
      <c r="M13" s="89">
        <f>'VALOR POR PL'!L12</f>
        <v/>
      </c>
      <c r="N13" s="89">
        <f>IF('VALOR POR PL'!I12="DIRETO",'VALOR POR PL'!L12,0)</f>
        <v/>
      </c>
    </row>
    <row r="14" ht="16.2" customHeight="1">
      <c r="B14" s="82">
        <f>'VALOR POR PL'!C13</f>
        <v/>
      </c>
      <c r="C14" s="83">
        <f>'VALOR POR PL'!D13</f>
        <v/>
      </c>
      <c r="D14" s="84">
        <f>IF(OR('VALOR POR PL'!I13&lt;&gt;"DIRETO",'CP RESUMO'!$C$7=""),"",IFERROR(INDEX('CP RESUMO'!$D$7:$BW$7,MATCH(DATE($D$5,12,1),'CP RESUMO'!$D$4:$BW$4,0))/100,""))</f>
        <v/>
      </c>
      <c r="E14" s="85">
        <f>IF('VALOR POR PL'!I13&lt;&gt;"DIRETO","",'TAX. DIVERSAS'!$K$14)</f>
        <v/>
      </c>
      <c r="F14" s="86">
        <f>SUMPRODUCT((YEAR('TAX. DIVERSAS'!$B$5:$B$76)=$D$5)*('TAX. DIVERSAS'!$C$5:$C$76+'TAX. DIVERSAS'!$D$5:$D$76))</f>
        <v/>
      </c>
      <c r="G14" s="86">
        <f>SUMPRODUCT((YEAR('MODELO PARA BI'!$H$1:$CA$1)=$D$5)*'MODELO PARA BI'!$H$50:$CA$50)</f>
        <v/>
      </c>
      <c r="H14" s="86">
        <f>IF(ISNUMBER($G$5),G14*$G$5,0)</f>
        <v/>
      </c>
      <c r="I14" s="84">
        <f>IF($F$53=0,0,F14/$F$53)</f>
        <v/>
      </c>
      <c r="J14" s="84">
        <f>IF('VALOR POR PL'!L13=0,0,SUMPRODUCT(('TAX. DIVERSAS'!$B$5:$B$76&lt;=DATE($D$5,12,1))*('TAX. DIVERSAS'!$C$5:$C$76+'TAX. DIVERSAS'!$D$5:$D$76))/'VALOR POR PL'!L13)</f>
        <v/>
      </c>
      <c r="K14" s="87">
        <f t="array" ref="K14">IF(COUNTIF('CRONOGRAMA ATIVIDADES'!$M$5:$M$3004,B14)=0,"",IF(COUNTIFS('CRONOGRAMA ATIVIDADES'!$M$5:$M$3004,B14,'CRONOGRAMA ATIVIDADES'!$O$5:$O$3004,"CONCLUÍDA")=COUNTIF('CRONOGRAMA ATIVIDADES'!$M$5:$M$3004,B14),"Concluído (todas as "&amp;COUNTIF('CRONOGRAMA ATIVIDADES'!$M$5:$M$3004,B14)&amp;" atividades)",IF(COUNTIFS('CRONOGRAMA ATIVIDADES'!$M$5:$M$3004,B14,'CRONOGRAMA ATIVIDADES'!$O$5:$O$3004,"A INICIAR")=COUNTIF('CRONOGRAMA ATIVIDADES'!$M$5:$M$3004,B14),"Não iniciado · início previsto em "&amp;CHOOSE(MONTH(_xlfn.MINIFS('CRONOGRAMA ATIVIDADES'!$F$5:$F$3004,'CRONOGRAMA ATIVIDADES'!$M$5:$M$3004,B14)),"jan","fev","mar","abr","mai","jun","jul","ago","set","out","nov","dez")&amp;"/"&amp;YEAR(_xlfn.MINIFS('CRONOGRAMA ATIVIDADES'!$F$5:$F$3004,'CRONOGRAMA ATIVIDADES'!$M$5:$M$3004,B14)),_xlfn.TEXTJOIN(" / ",TRUE,IF(('CRONOGRAMA ATIVIDADES'!$S$5:$S$304=B14)*('CRONOGRAMA ATIVIDADES'!$AA$5:$AA$304&lt;&gt;""),'CRONOGRAMA ATIVIDADES'!$AA$5:$AA$304,"")))))</f>
        <v/>
      </c>
      <c r="L14" s="88" t="n"/>
      <c r="M14" s="89">
        <f>'VALOR POR PL'!L13</f>
        <v/>
      </c>
      <c r="N14" s="89">
        <f>IF('VALOR POR PL'!I13="DIRETO",'VALOR POR PL'!L13,0)</f>
        <v/>
      </c>
    </row>
    <row r="15" ht="16.2" customHeight="1">
      <c r="B15" s="90">
        <f>'VALOR POR PL'!C14</f>
        <v/>
      </c>
      <c r="C15" s="91">
        <f>'VALOR POR PL'!D14</f>
        <v/>
      </c>
      <c r="D15" s="92">
        <f>IF(OR('VALOR POR PL'!I14&lt;&gt;"DIRETO",'CP RESUMO'!$C$8=""),"",IFERROR(INDEX('CP RESUMO'!$D$8:$BW$8,MATCH(DATE($D$5,12,1),'CP RESUMO'!$D$4:$BW$4,0))/100,""))</f>
        <v/>
      </c>
      <c r="E15" s="93">
        <f>IF('VALOR POR PL'!I14&lt;&gt;"DIRETO","",'BARRACÃO DE OBRA'!$K$14)</f>
        <v/>
      </c>
      <c r="F15" s="94">
        <f>SUMPRODUCT((YEAR('BARRACÃO DE OBRA'!$B$5:$B$76)=$D$5)*('BARRACÃO DE OBRA'!$C$5:$C$76+'BARRACÃO DE OBRA'!$D$5:$D$76))</f>
        <v/>
      </c>
      <c r="G15" s="94">
        <f>SUMPRODUCT((YEAR('MODELO PARA BI'!$H$1:$CA$1)=$D$5)*'MODELO PARA BI'!$H$3:$CA$3)</f>
        <v/>
      </c>
      <c r="H15" s="94">
        <f>IF(ISNUMBER($G$5),G15*$G$5,0)</f>
        <v/>
      </c>
      <c r="I15" s="92">
        <f>IF($F$53=0,0,F15/$F$53)</f>
        <v/>
      </c>
      <c r="J15" s="92">
        <f>IF('VALOR POR PL'!L14=0,0,SUMPRODUCT(('BARRACÃO DE OBRA'!$B$5:$B$76&lt;=DATE($D$5,12,1))*('BARRACÃO DE OBRA'!$C$5:$C$76+'BARRACÃO DE OBRA'!$D$5:$D$76))/'VALOR POR PL'!L14)</f>
        <v/>
      </c>
      <c r="K15" s="95">
        <f t="array" ref="K15">IF(COUNTIF('CRONOGRAMA ATIVIDADES'!$M$5:$M$3004,B15)=0,"",IF(COUNTIFS('CRONOGRAMA ATIVIDADES'!$M$5:$M$3004,B15,'CRONOGRAMA ATIVIDADES'!$O$5:$O$3004,"CONCLUÍDA")=COUNTIF('CRONOGRAMA ATIVIDADES'!$M$5:$M$3004,B15),"Concluído (todas as "&amp;COUNTIF('CRONOGRAMA ATIVIDADES'!$M$5:$M$3004,B15)&amp;" atividades)",IF(COUNTIFS('CRONOGRAMA ATIVIDADES'!$M$5:$M$3004,B15,'CRONOGRAMA ATIVIDADES'!$O$5:$O$3004,"A INICIAR")=COUNTIF('CRONOGRAMA ATIVIDADES'!$M$5:$M$3004,B15),"Não iniciado · início previsto em "&amp;CHOOSE(MONTH(_xlfn.MINIFS('CRONOGRAMA ATIVIDADES'!$F$5:$F$3004,'CRONOGRAMA ATIVIDADES'!$M$5:$M$3004,B15)),"jan","fev","mar","abr","mai","jun","jul","ago","set","out","nov","dez")&amp;"/"&amp;YEAR(_xlfn.MINIFS('CRONOGRAMA ATIVIDADES'!$F$5:$F$3004,'CRONOGRAMA ATIVIDADES'!$M$5:$M$3004,B15)),_xlfn.TEXTJOIN(" / ",TRUE,IF(('CRONOGRAMA ATIVIDADES'!$S$5:$S$304=B15)*('CRONOGRAMA ATIVIDADES'!$AA$5:$AA$304&lt;&gt;""),'CRONOGRAMA ATIVIDADES'!$AA$5:$AA$304,"")))))</f>
        <v/>
      </c>
      <c r="L15" s="96" t="n"/>
      <c r="M15" s="89">
        <f>'VALOR POR PL'!L14</f>
        <v/>
      </c>
      <c r="N15" s="89">
        <f>IF('VALOR POR PL'!I14="DIRETO",'VALOR POR PL'!L14,0)</f>
        <v/>
      </c>
    </row>
    <row r="16" ht="29.4" customHeight="1">
      <c r="B16" s="82">
        <f>'VALOR POR PL'!C15</f>
        <v/>
      </c>
      <c r="C16" s="83">
        <f>'VALOR POR PL'!D15</f>
        <v/>
      </c>
      <c r="D16" s="84">
        <f>IF(OR('VALOR POR PL'!I15&lt;&gt;"DIRETO",'CP RESUMO'!$C$9=""),"",IFERROR(INDEX('CP RESUMO'!$D$9:$BW$9,MATCH(DATE($D$5,12,1),'CP RESUMO'!$D$4:$BW$4,0))/100,""))</f>
        <v/>
      </c>
      <c r="E16" s="85">
        <f>IF('VALOR POR PL'!I15&lt;&gt;"DIRETO","",'LIG. PROVISÓRIAS'!$K$14)</f>
        <v/>
      </c>
      <c r="F16" s="86">
        <f>SUMPRODUCT((YEAR('LIG. PROVISÓRIAS'!$B$5:$B$76)=$D$5)*('LIG. PROVISÓRIAS'!$C$5:$C$76+'LIG. PROVISÓRIAS'!$D$5:$D$76))</f>
        <v/>
      </c>
      <c r="G16" s="86">
        <f>SUMPRODUCT((YEAR('MODELO PARA BI'!$H$1:$CA$1)=$D$5)*'MODELO PARA BI'!$H$42:$CA$42)</f>
        <v/>
      </c>
      <c r="H16" s="86">
        <f>IF(ISNUMBER($G$5),G16*$G$5,0)</f>
        <v/>
      </c>
      <c r="I16" s="84">
        <f>IF($F$53=0,0,F16/$F$53)</f>
        <v/>
      </c>
      <c r="J16" s="84">
        <f>IF('VALOR POR PL'!L15=0,0,SUMPRODUCT(('LIG. PROVISÓRIAS'!$B$5:$B$76&lt;=DATE($D$5,12,1))*('LIG. PROVISÓRIAS'!$C$5:$C$76+'LIG. PROVISÓRIAS'!$D$5:$D$76))/'VALOR POR PL'!L15)</f>
        <v/>
      </c>
      <c r="K16" s="87">
        <f t="array" ref="K16">IF(COUNTIF('CRONOGRAMA ATIVIDADES'!$M$5:$M$3004,B16)=0,"",IF(COUNTIFS('CRONOGRAMA ATIVIDADES'!$M$5:$M$3004,B16,'CRONOGRAMA ATIVIDADES'!$O$5:$O$3004,"CONCLUÍDA")=COUNTIF('CRONOGRAMA ATIVIDADES'!$M$5:$M$3004,B16),"Concluído (todas as "&amp;COUNTIF('CRONOGRAMA ATIVIDADES'!$M$5:$M$3004,B16)&amp;" atividades)",IF(COUNTIFS('CRONOGRAMA ATIVIDADES'!$M$5:$M$3004,B16,'CRONOGRAMA ATIVIDADES'!$O$5:$O$3004,"A INICIAR")=COUNTIF('CRONOGRAMA ATIVIDADES'!$M$5:$M$3004,B16),"Não iniciado · início previsto em "&amp;CHOOSE(MONTH(_xlfn.MINIFS('CRONOGRAMA ATIVIDADES'!$F$5:$F$3004,'CRONOGRAMA ATIVIDADES'!$M$5:$M$3004,B16)),"jan","fev","mar","abr","mai","jun","jul","ago","set","out","nov","dez")&amp;"/"&amp;YEAR(_xlfn.MINIFS('CRONOGRAMA ATIVIDADES'!$F$5:$F$3004,'CRONOGRAMA ATIVIDADES'!$M$5:$M$3004,B16)),_xlfn.TEXTJOIN(" / ",TRUE,IF(('CRONOGRAMA ATIVIDADES'!$S$5:$S$304=B16)*('CRONOGRAMA ATIVIDADES'!$AA$5:$AA$304&lt;&gt;""),'CRONOGRAMA ATIVIDADES'!$AA$5:$AA$304,"")))))</f>
        <v/>
      </c>
      <c r="L16" s="88" t="n"/>
      <c r="M16" s="89">
        <f>'VALOR POR PL'!L15</f>
        <v/>
      </c>
      <c r="N16" s="89">
        <f>IF('VALOR POR PL'!I15="DIRETO",'VALOR POR PL'!L15,0)</f>
        <v/>
      </c>
    </row>
    <row r="17" ht="16.2" customHeight="1">
      <c r="B17" s="90">
        <f>'VALOR POR PL'!C16</f>
        <v/>
      </c>
      <c r="C17" s="91">
        <f>'VALOR POR PL'!D16</f>
        <v/>
      </c>
      <c r="D17" s="92">
        <f>IF(OR('VALOR POR PL'!I16&lt;&gt;"DIRETO",'CP RESUMO'!$C$10=""),"",IFERROR(INDEX('CP RESUMO'!$D$10:$BW$10,MATCH(DATE($D$5,12,1),'CP RESUMO'!$D$4:$BW$4,0))/100,""))</f>
        <v/>
      </c>
      <c r="E17" s="93">
        <f>IF('VALOR POR PL'!I16&lt;&gt;"DIRETO","",'CONSUMOS'!$K$14)</f>
        <v/>
      </c>
      <c r="F17" s="94">
        <f>SUMPRODUCT((YEAR('CONSUMOS'!$B$5:$B$76)=$D$5)*('CONSUMOS'!$C$5:$C$76+'CONSUMOS'!$D$5:$D$76))</f>
        <v/>
      </c>
      <c r="G17" s="94">
        <f>SUMPRODUCT((YEAR('MODELO PARA BI'!$H$1:$CA$1)=$D$5)*'MODELO PARA BI'!$H$5:$CA$5)</f>
        <v/>
      </c>
      <c r="H17" s="94">
        <f>IF(ISNUMBER($G$5),G17*$G$5,0)</f>
        <v/>
      </c>
      <c r="I17" s="92">
        <f>IF($F$53=0,0,F17/$F$53)</f>
        <v/>
      </c>
      <c r="J17" s="92">
        <f>IF('VALOR POR PL'!L16=0,0,SUMPRODUCT(('CONSUMOS'!$B$5:$B$76&lt;=DATE($D$5,12,1))*('CONSUMOS'!$C$5:$C$76+'CONSUMOS'!$D$5:$D$76))/'VALOR POR PL'!L16)</f>
        <v/>
      </c>
      <c r="K17" s="95">
        <f t="array" ref="K17">IF(COUNTIF('CRONOGRAMA ATIVIDADES'!$M$5:$M$3004,B17)=0,"",IF(COUNTIFS('CRONOGRAMA ATIVIDADES'!$M$5:$M$3004,B17,'CRONOGRAMA ATIVIDADES'!$O$5:$O$3004,"CONCLUÍDA")=COUNTIF('CRONOGRAMA ATIVIDADES'!$M$5:$M$3004,B17),"Concluído (todas as "&amp;COUNTIF('CRONOGRAMA ATIVIDADES'!$M$5:$M$3004,B17)&amp;" atividades)",IF(COUNTIFS('CRONOGRAMA ATIVIDADES'!$M$5:$M$3004,B17,'CRONOGRAMA ATIVIDADES'!$O$5:$O$3004,"A INICIAR")=COUNTIF('CRONOGRAMA ATIVIDADES'!$M$5:$M$3004,B17),"Não iniciado · início previsto em "&amp;CHOOSE(MONTH(_xlfn.MINIFS('CRONOGRAMA ATIVIDADES'!$F$5:$F$3004,'CRONOGRAMA ATIVIDADES'!$M$5:$M$3004,B17)),"jan","fev","mar","abr","mai","jun","jul","ago","set","out","nov","dez")&amp;"/"&amp;YEAR(_xlfn.MINIFS('CRONOGRAMA ATIVIDADES'!$F$5:$F$3004,'CRONOGRAMA ATIVIDADES'!$M$5:$M$3004,B17)),_xlfn.TEXTJOIN(" / ",TRUE,IF(('CRONOGRAMA ATIVIDADES'!$S$5:$S$304=B17)*('CRONOGRAMA ATIVIDADES'!$AA$5:$AA$304&lt;&gt;""),'CRONOGRAMA ATIVIDADES'!$AA$5:$AA$304,"")))))</f>
        <v/>
      </c>
      <c r="L17" s="96" t="n"/>
      <c r="M17" s="89">
        <f>'VALOR POR PL'!L16</f>
        <v/>
      </c>
      <c r="N17" s="89">
        <f>IF('VALOR POR PL'!I16="DIRETO",'VALOR POR PL'!L16,0)</f>
        <v/>
      </c>
    </row>
    <row r="18" ht="16.2" customHeight="1">
      <c r="B18" s="82">
        <f>'VALOR POR PL'!C17</f>
        <v/>
      </c>
      <c r="C18" s="83">
        <f>'VALOR POR PL'!D17</f>
        <v/>
      </c>
      <c r="D18" s="84">
        <f>IF(OR('VALOR POR PL'!I17&lt;&gt;"DIRETO",'CP RESUMO'!$C$11=""),"",IFERROR(INDEX('CP RESUMO'!$D$11:$BW$11,MATCH(DATE($D$5,12,1),'CP RESUMO'!$D$4:$BW$4,0))/100,""))</f>
        <v/>
      </c>
      <c r="E18" s="85">
        <f>IF('VALOR POR PL'!I17&lt;&gt;"DIRETO","",'DIVERSOS'!$K$14)</f>
        <v/>
      </c>
      <c r="F18" s="86">
        <f>SUMPRODUCT((YEAR('DIVERSOS'!$B$5:$B$76)=$D$5)*('DIVERSOS'!$C$5:$C$76+'DIVERSOS'!$D$5:$D$76))</f>
        <v/>
      </c>
      <c r="G18" s="86">
        <f>SUMPRODUCT((YEAR('MODELO PARA BI'!$H$1:$CA$1)=$D$5)*'MODELO PARA BI'!$H$9:$CA$9)</f>
        <v/>
      </c>
      <c r="H18" s="86">
        <f>IF(ISNUMBER($G$5),G18*$G$5,0)</f>
        <v/>
      </c>
      <c r="I18" s="84">
        <f>IF($F$53=0,0,F18/$F$53)</f>
        <v/>
      </c>
      <c r="J18" s="84">
        <f>IF('VALOR POR PL'!L17=0,0,SUMPRODUCT(('DIVERSOS'!$B$5:$B$76&lt;=DATE($D$5,12,1))*('DIVERSOS'!$C$5:$C$76+'DIVERSOS'!$D$5:$D$76))/'VALOR POR PL'!L17)</f>
        <v/>
      </c>
      <c r="K18" s="87">
        <f t="array" ref="K18">IF(COUNTIF('CRONOGRAMA ATIVIDADES'!$M$5:$M$3004,B18)=0,"",IF(COUNTIFS('CRONOGRAMA ATIVIDADES'!$M$5:$M$3004,B18,'CRONOGRAMA ATIVIDADES'!$O$5:$O$3004,"CONCLUÍDA")=COUNTIF('CRONOGRAMA ATIVIDADES'!$M$5:$M$3004,B18),"Concluído (todas as "&amp;COUNTIF('CRONOGRAMA ATIVIDADES'!$M$5:$M$3004,B18)&amp;" atividades)",IF(COUNTIFS('CRONOGRAMA ATIVIDADES'!$M$5:$M$3004,B18,'CRONOGRAMA ATIVIDADES'!$O$5:$O$3004,"A INICIAR")=COUNTIF('CRONOGRAMA ATIVIDADES'!$M$5:$M$3004,B18),"Não iniciado · início previsto em "&amp;CHOOSE(MONTH(_xlfn.MINIFS('CRONOGRAMA ATIVIDADES'!$F$5:$F$3004,'CRONOGRAMA ATIVIDADES'!$M$5:$M$3004,B18)),"jan","fev","mar","abr","mai","jun","jul","ago","set","out","nov","dez")&amp;"/"&amp;YEAR(_xlfn.MINIFS('CRONOGRAMA ATIVIDADES'!$F$5:$F$3004,'CRONOGRAMA ATIVIDADES'!$M$5:$M$3004,B18)),_xlfn.TEXTJOIN(" / ",TRUE,IF(('CRONOGRAMA ATIVIDADES'!$S$5:$S$304=B18)*('CRONOGRAMA ATIVIDADES'!$AA$5:$AA$304&lt;&gt;""),'CRONOGRAMA ATIVIDADES'!$AA$5:$AA$304,"")))))</f>
        <v/>
      </c>
      <c r="L18" s="88" t="n"/>
      <c r="M18" s="89">
        <f>'VALOR POR PL'!L17</f>
        <v/>
      </c>
      <c r="N18" s="89">
        <f>IF('VALOR POR PL'!I17="DIRETO",'VALOR POR PL'!L17,0)</f>
        <v/>
      </c>
    </row>
    <row r="19" ht="16.2" customHeight="1">
      <c r="B19" s="90">
        <f>'VALOR POR PL'!C18</f>
        <v/>
      </c>
      <c r="C19" s="91">
        <f>'VALOR POR PL'!D18</f>
        <v/>
      </c>
      <c r="D19" s="92">
        <f>IF(OR('VALOR POR PL'!I18&lt;&gt;"DIRETO",'CP RESUMO'!$C$12=""),"",IFERROR(INDEX('CP RESUMO'!$D$12:$BW$12,MATCH(DATE($D$5,12,1),'CP RESUMO'!$D$4:$BW$4,0))/100,""))</f>
        <v/>
      </c>
      <c r="E19" s="93">
        <f>IF('VALOR POR PL'!I18&lt;&gt;"DIRETO","",'TRANSPORTES'!$K$14)</f>
        <v/>
      </c>
      <c r="F19" s="94">
        <f>SUMPRODUCT((YEAR('TRANSPORTES'!$B$5:$B$76)=$D$5)*('TRANSPORTES'!$C$5:$C$76+'TRANSPORTES'!$D$5:$D$76))</f>
        <v/>
      </c>
      <c r="G19" s="94">
        <f>SUMPRODUCT((YEAR('MODELO PARA BI'!$H$1:$CA$1)=$D$5)*'MODELO PARA BI'!$H$46:$CA$46)</f>
        <v/>
      </c>
      <c r="H19" s="94">
        <f>IF(ISNUMBER($G$5),G19*$G$5,0)</f>
        <v/>
      </c>
      <c r="I19" s="92">
        <f>IF($F$53=0,0,F19/$F$53)</f>
        <v/>
      </c>
      <c r="J19" s="92">
        <f>IF('VALOR POR PL'!L18=0,0,SUMPRODUCT(('TRANSPORTES'!$B$5:$B$76&lt;=DATE($D$5,12,1))*('TRANSPORTES'!$C$5:$C$76+'TRANSPORTES'!$D$5:$D$76))/'VALOR POR PL'!L18)</f>
        <v/>
      </c>
      <c r="K19" s="95">
        <f t="array" ref="K19">IF(COUNTIF('CRONOGRAMA ATIVIDADES'!$M$5:$M$3004,B19)=0,"",IF(COUNTIFS('CRONOGRAMA ATIVIDADES'!$M$5:$M$3004,B19,'CRONOGRAMA ATIVIDADES'!$O$5:$O$3004,"CONCLUÍDA")=COUNTIF('CRONOGRAMA ATIVIDADES'!$M$5:$M$3004,B19),"Concluído (todas as "&amp;COUNTIF('CRONOGRAMA ATIVIDADES'!$M$5:$M$3004,B19)&amp;" atividades)",IF(COUNTIFS('CRONOGRAMA ATIVIDADES'!$M$5:$M$3004,B19,'CRONOGRAMA ATIVIDADES'!$O$5:$O$3004,"A INICIAR")=COUNTIF('CRONOGRAMA ATIVIDADES'!$M$5:$M$3004,B19),"Não iniciado · início previsto em "&amp;CHOOSE(MONTH(_xlfn.MINIFS('CRONOGRAMA ATIVIDADES'!$F$5:$F$3004,'CRONOGRAMA ATIVIDADES'!$M$5:$M$3004,B19)),"jan","fev","mar","abr","mai","jun","jul","ago","set","out","nov","dez")&amp;"/"&amp;YEAR(_xlfn.MINIFS('CRONOGRAMA ATIVIDADES'!$F$5:$F$3004,'CRONOGRAMA ATIVIDADES'!$M$5:$M$3004,B19)),_xlfn.TEXTJOIN(" / ",TRUE,IF(('CRONOGRAMA ATIVIDADES'!$S$5:$S$304=B19)*('CRONOGRAMA ATIVIDADES'!$AA$5:$AA$304&lt;&gt;""),'CRONOGRAMA ATIVIDADES'!$AA$5:$AA$304,"")))))</f>
        <v/>
      </c>
      <c r="L19" s="96" t="n"/>
      <c r="M19" s="89">
        <f>'VALOR POR PL'!L18</f>
        <v/>
      </c>
      <c r="N19" s="89">
        <f>IF('VALOR POR PL'!I18="DIRETO",'VALOR POR PL'!L18,0)</f>
        <v/>
      </c>
    </row>
    <row r="20" ht="16.2" customHeight="1">
      <c r="B20" s="82">
        <f>'VALOR POR PL'!C19</f>
        <v/>
      </c>
      <c r="C20" s="83">
        <f>'VALOR POR PL'!D19</f>
        <v/>
      </c>
      <c r="D20" s="84">
        <f>IF(OR('VALOR POR PL'!I19&lt;&gt;"DIRETO",'CP RESUMO'!$C$13=""),"",IFERROR(INDEX('CP RESUMO'!$D$13:$BW$13,MATCH(DATE($D$5,12,1),'CP RESUMO'!$D$4:$BW$4,0))/100,""))</f>
        <v/>
      </c>
      <c r="E20" s="85">
        <f>IF('VALOR POR PL'!I19&lt;&gt;"DIRETO","",'CONSULTORIAS'!$K$14)</f>
        <v/>
      </c>
      <c r="F20" s="86">
        <f>SUMPRODUCT((YEAR('CONSULTORIAS'!$B$5:$B$76)=$D$5)*('CONSULTORIAS'!$C$5:$C$76+'CONSULTORIAS'!$D$5:$D$76))</f>
        <v/>
      </c>
      <c r="G20" s="86">
        <f>SUMPRODUCT((YEAR('MODELO PARA BI'!$H$1:$CA$1)=$D$5)*'MODELO PARA BI'!$H$4:$CA$4)</f>
        <v/>
      </c>
      <c r="H20" s="86">
        <f>IF(ISNUMBER($G$5),G20*$G$5,0)</f>
        <v/>
      </c>
      <c r="I20" s="84">
        <f>IF($F$53=0,0,F20/$F$53)</f>
        <v/>
      </c>
      <c r="J20" s="84">
        <f>IF('VALOR POR PL'!L19=0,0,SUMPRODUCT(('CONSULTORIAS'!$B$5:$B$76&lt;=DATE($D$5,12,1))*('CONSULTORIAS'!$C$5:$C$76+'CONSULTORIAS'!$D$5:$D$76))/'VALOR POR PL'!L19)</f>
        <v/>
      </c>
      <c r="K20" s="87">
        <f t="array" ref="K20">IF(COUNTIF('CRONOGRAMA ATIVIDADES'!$M$5:$M$3004,B20)=0,"",IF(COUNTIFS('CRONOGRAMA ATIVIDADES'!$M$5:$M$3004,B20,'CRONOGRAMA ATIVIDADES'!$O$5:$O$3004,"CONCLUÍDA")=COUNTIF('CRONOGRAMA ATIVIDADES'!$M$5:$M$3004,B20),"Concluído (todas as "&amp;COUNTIF('CRONOGRAMA ATIVIDADES'!$M$5:$M$3004,B20)&amp;" atividades)",IF(COUNTIFS('CRONOGRAMA ATIVIDADES'!$M$5:$M$3004,B20,'CRONOGRAMA ATIVIDADES'!$O$5:$O$3004,"A INICIAR")=COUNTIF('CRONOGRAMA ATIVIDADES'!$M$5:$M$3004,B20),"Não iniciado · início previsto em "&amp;CHOOSE(MONTH(_xlfn.MINIFS('CRONOGRAMA ATIVIDADES'!$F$5:$F$3004,'CRONOGRAMA ATIVIDADES'!$M$5:$M$3004,B20)),"jan","fev","mar","abr","mai","jun","jul","ago","set","out","nov","dez")&amp;"/"&amp;YEAR(_xlfn.MINIFS('CRONOGRAMA ATIVIDADES'!$F$5:$F$3004,'CRONOGRAMA ATIVIDADES'!$M$5:$M$3004,B20)),_xlfn.TEXTJOIN(" / ",TRUE,IF(('CRONOGRAMA ATIVIDADES'!$S$5:$S$304=B20)*('CRONOGRAMA ATIVIDADES'!$AA$5:$AA$304&lt;&gt;""),'CRONOGRAMA ATIVIDADES'!$AA$5:$AA$304,"")))))</f>
        <v/>
      </c>
      <c r="L20" s="88" t="n"/>
      <c r="M20" s="89">
        <f>'VALOR POR PL'!L19</f>
        <v/>
      </c>
      <c r="N20" s="89">
        <f>IF('VALOR POR PL'!I19="DIRETO",'VALOR POR PL'!L19,0)</f>
        <v/>
      </c>
    </row>
    <row r="21" ht="16.2" customHeight="1">
      <c r="B21" s="90">
        <f>'VALOR POR PL'!C20</f>
        <v/>
      </c>
      <c r="C21" s="91">
        <f>'VALOR POR PL'!D20</f>
        <v/>
      </c>
      <c r="D21" s="92">
        <f>IF(OR('VALOR POR PL'!I20&lt;&gt;"DIRETO",'CP RESUMO'!$C$14=""),"",IFERROR(INDEX('CP RESUMO'!$D$14:$BW$14,MATCH(DATE($D$5,12,1),'CP RESUMO'!$D$4:$BW$4,0))/100,""))</f>
        <v/>
      </c>
      <c r="E21" s="93">
        <f>IF('VALOR POR PL'!I20&lt;&gt;"DIRETO","",'MDO'!$K$14)</f>
        <v/>
      </c>
      <c r="F21" s="94">
        <f>SUMPRODUCT((YEAR('MDO'!$B$5:$B$76)=$D$5)*('MDO'!$C$5:$C$76+'MDO'!$D$5:$D$76))</f>
        <v/>
      </c>
      <c r="G21" s="94">
        <f>SUMPRODUCT((YEAR('MODELO PARA BI'!$H$1:$CA$1)=$D$5)*'MODELO PARA BI'!$H$49:$CA$49)</f>
        <v/>
      </c>
      <c r="H21" s="94">
        <f>IF(ISNUMBER($G$5),G21*$G$5,0)</f>
        <v/>
      </c>
      <c r="I21" s="92">
        <f>IF($F$53=0,0,F21/$F$53)</f>
        <v/>
      </c>
      <c r="J21" s="92">
        <f>IF('VALOR POR PL'!L20=0,0,SUMPRODUCT(('MDO'!$B$5:$B$76&lt;=DATE($D$5,12,1))*('MDO'!$C$5:$C$76+'MDO'!$D$5:$D$76))/'VALOR POR PL'!L20)</f>
        <v/>
      </c>
      <c r="K21" s="95">
        <f t="array" ref="K21">IF(COUNTIF('CRONOGRAMA ATIVIDADES'!$M$5:$M$3004,B21)=0,"",IF(COUNTIFS('CRONOGRAMA ATIVIDADES'!$M$5:$M$3004,B21,'CRONOGRAMA ATIVIDADES'!$O$5:$O$3004,"CONCLUÍDA")=COUNTIF('CRONOGRAMA ATIVIDADES'!$M$5:$M$3004,B21),"Concluído (todas as "&amp;COUNTIF('CRONOGRAMA ATIVIDADES'!$M$5:$M$3004,B21)&amp;" atividades)",IF(COUNTIFS('CRONOGRAMA ATIVIDADES'!$M$5:$M$3004,B21,'CRONOGRAMA ATIVIDADES'!$O$5:$O$3004,"A INICIAR")=COUNTIF('CRONOGRAMA ATIVIDADES'!$M$5:$M$3004,B21),"Não iniciado · início previsto em "&amp;CHOOSE(MONTH(_xlfn.MINIFS('CRONOGRAMA ATIVIDADES'!$F$5:$F$3004,'CRONOGRAMA ATIVIDADES'!$M$5:$M$3004,B21)),"jan","fev","mar","abr","mai","jun","jul","ago","set","out","nov","dez")&amp;"/"&amp;YEAR(_xlfn.MINIFS('CRONOGRAMA ATIVIDADES'!$F$5:$F$3004,'CRONOGRAMA ATIVIDADES'!$M$5:$M$3004,B21)),_xlfn.TEXTJOIN(" / ",TRUE,IF(('CRONOGRAMA ATIVIDADES'!$S$5:$S$304=B21)*('CRONOGRAMA ATIVIDADES'!$AA$5:$AA$304&lt;&gt;""),'CRONOGRAMA ATIVIDADES'!$AA$5:$AA$304,"")))))</f>
        <v/>
      </c>
      <c r="L21" s="96" t="n"/>
      <c r="M21" s="89">
        <f>'VALOR POR PL'!L20</f>
        <v/>
      </c>
      <c r="N21" s="89">
        <f>IF('VALOR POR PL'!I20="DIRETO",'VALOR POR PL'!L20,0)</f>
        <v/>
      </c>
    </row>
    <row r="22" ht="16.2" customHeight="1">
      <c r="B22" s="82">
        <f>'VALOR POR PL'!C21</f>
        <v/>
      </c>
      <c r="C22" s="83">
        <f>'VALOR POR PL'!D21</f>
        <v/>
      </c>
      <c r="D22" s="84">
        <f>IF(OR('VALOR POR PL'!I21&lt;&gt;"DIRETO",'CP RESUMO'!$C$15=""),"",IFERROR(INDEX('CP RESUMO'!$D$15:$BW$15,MATCH(DATE($D$5,12,1),'CP RESUMO'!$D$4:$BW$4,0))/100,""))</f>
        <v/>
      </c>
      <c r="E22" s="85">
        <f>IF('VALOR POR PL'!I21&lt;&gt;"DIRETO","",'EQUIP E FER'!$K$14)</f>
        <v/>
      </c>
      <c r="F22" s="86">
        <f>SUMPRODUCT((YEAR('EQUIP E FER'!$B$5:$B$76)=$D$5)*('EQUIP E FER'!$C$5:$C$76+'EQUIP E FER'!$D$5:$D$76))</f>
        <v/>
      </c>
      <c r="G22" s="86">
        <f>SUMPRODUCT((YEAR('MODELO PARA BI'!$H$1:$CA$1)=$D$5)*'MODELO PARA BI'!$H$11:$CA$11)</f>
        <v/>
      </c>
      <c r="H22" s="86">
        <f>IF(ISNUMBER($G$5),G22*$G$5,0)</f>
        <v/>
      </c>
      <c r="I22" s="84">
        <f>IF($F$53=0,0,F22/$F$53)</f>
        <v/>
      </c>
      <c r="J22" s="84">
        <f>IF('VALOR POR PL'!L21=0,0,SUMPRODUCT(('EQUIP E FER'!$B$5:$B$76&lt;=DATE($D$5,12,1))*('EQUIP E FER'!$C$5:$C$76+'EQUIP E FER'!$D$5:$D$76))/'VALOR POR PL'!L21)</f>
        <v/>
      </c>
      <c r="K22" s="87">
        <f t="array" ref="K22">IF(COUNTIF('CRONOGRAMA ATIVIDADES'!$M$5:$M$3004,B22)=0,"",IF(COUNTIFS('CRONOGRAMA ATIVIDADES'!$M$5:$M$3004,B22,'CRONOGRAMA ATIVIDADES'!$O$5:$O$3004,"CONCLUÍDA")=COUNTIF('CRONOGRAMA ATIVIDADES'!$M$5:$M$3004,B22),"Concluído (todas as "&amp;COUNTIF('CRONOGRAMA ATIVIDADES'!$M$5:$M$3004,B22)&amp;" atividades)",IF(COUNTIFS('CRONOGRAMA ATIVIDADES'!$M$5:$M$3004,B22,'CRONOGRAMA ATIVIDADES'!$O$5:$O$3004,"A INICIAR")=COUNTIF('CRONOGRAMA ATIVIDADES'!$M$5:$M$3004,B22),"Não iniciado · início previsto em "&amp;CHOOSE(MONTH(_xlfn.MINIFS('CRONOGRAMA ATIVIDADES'!$F$5:$F$3004,'CRONOGRAMA ATIVIDADES'!$M$5:$M$3004,B22)),"jan","fev","mar","abr","mai","jun","jul","ago","set","out","nov","dez")&amp;"/"&amp;YEAR(_xlfn.MINIFS('CRONOGRAMA ATIVIDADES'!$F$5:$F$3004,'CRONOGRAMA ATIVIDADES'!$M$5:$M$3004,B22)),_xlfn.TEXTJOIN(" / ",TRUE,IF(('CRONOGRAMA ATIVIDADES'!$S$5:$S$304=B22)*('CRONOGRAMA ATIVIDADES'!$AA$5:$AA$304&lt;&gt;""),'CRONOGRAMA ATIVIDADES'!$AA$5:$AA$304,"")))))</f>
        <v/>
      </c>
      <c r="L22" s="88" t="n"/>
      <c r="M22" s="89">
        <f>'VALOR POR PL'!L21</f>
        <v/>
      </c>
      <c r="N22" s="89">
        <f>IF('VALOR POR PL'!I21="DIRETO",'VALOR POR PL'!L21,0)</f>
        <v/>
      </c>
    </row>
    <row r="23" ht="16.2" customHeight="1">
      <c r="B23" s="97" t="inlineStr">
        <is>
          <t>01 a 11</t>
        </is>
      </c>
      <c r="C23" s="98" t="inlineStr">
        <is>
          <t>INDIRETOS</t>
        </is>
      </c>
      <c r="D23" s="99">
        <f>IFERROR(SUMPRODUCT(D12:D22,N12:N22)/SUMPRODUCT(ISNUMBER(D12:D22)*N12:N22),"")</f>
        <v/>
      </c>
      <c r="E23" s="99">
        <f>IFERROR(SUMPRODUCT(E12:E22,N12:N22)/SUMPRODUCT(ISNUMBER(E12:E22)*N12:N22),"")</f>
        <v/>
      </c>
      <c r="F23" s="100">
        <f>SUM(F12:F22)</f>
        <v/>
      </c>
      <c r="G23" s="100">
        <f>SUM(G12:G22)</f>
        <v/>
      </c>
      <c r="H23" s="100">
        <f>SUM(H12:H22)</f>
        <v/>
      </c>
      <c r="I23" s="99">
        <f>IF($F$53=0,0,F23/$F$53)</f>
        <v/>
      </c>
      <c r="J23" s="99">
        <f>IFERROR(SUMPRODUCT(J12:J22,M12:M22)/SUM(M12:M22),0)</f>
        <v/>
      </c>
      <c r="K23" s="101" t="n"/>
      <c r="L23" s="101" t="n"/>
      <c r="M23">
        <f>SUM(M12:M22)</f>
        <v/>
      </c>
      <c r="N23">
        <f>SUM(N12:N22)</f>
        <v/>
      </c>
    </row>
    <row r="24" ht="16.2" customHeight="1">
      <c r="B24" s="82">
        <f>'VALOR POR PL'!C22</f>
        <v/>
      </c>
      <c r="C24" s="83">
        <f>'VALOR POR PL'!D22</f>
        <v/>
      </c>
      <c r="D24" s="84">
        <f>IF(OR('VALOR POR PL'!I22&lt;&gt;"DIRETO",'CP RESUMO'!$C$16=""),"",IFERROR(INDEX('CP RESUMO'!$D$16:$BW$16,MATCH(DATE($D$5,12,1),'CP RESUMO'!$D$4:$BW$4,0))/100,""))</f>
        <v/>
      </c>
      <c r="E24" s="85">
        <f>IF('VALOR POR PL'!I22&lt;&gt;"DIRETO","",'SERV. INICIAIS'!$K$14)</f>
        <v/>
      </c>
      <c r="F24" s="86">
        <f>SUMPRODUCT((YEAR('SERV. INICIAIS'!$B$5:$B$76)=$D$5)*('SERV. INICIAIS'!$C$5:$C$76+'SERV. INICIAIS'!$D$5:$D$76))</f>
        <v/>
      </c>
      <c r="G24" s="86">
        <f>SUMPRODUCT((YEAR('MODELO PARA BI'!$H$1:$CA$1)=$D$5)*'MODELO PARA BI'!$H$52:$CA$52)</f>
        <v/>
      </c>
      <c r="H24" s="86">
        <f>IF(ISNUMBER($G$5),G24*$G$5,0)</f>
        <v/>
      </c>
      <c r="I24" s="84">
        <f>IF($F$53=0,0,F24/$F$53)</f>
        <v/>
      </c>
      <c r="J24" s="84">
        <f>IF('VALOR POR PL'!L22=0,0,SUMPRODUCT(('SERV. INICIAIS'!$B$5:$B$76&lt;=DATE($D$5,12,1))*('SERV. INICIAIS'!$C$5:$C$76+'SERV. INICIAIS'!$D$5:$D$76))/'VALOR POR PL'!L22)</f>
        <v/>
      </c>
      <c r="K24" s="87">
        <f t="array" ref="K24">IF(COUNTIF('CRONOGRAMA ATIVIDADES'!$M$5:$M$3004,B24)=0,"",IF(COUNTIFS('CRONOGRAMA ATIVIDADES'!$M$5:$M$3004,B24,'CRONOGRAMA ATIVIDADES'!$O$5:$O$3004,"CONCLUÍDA")=COUNTIF('CRONOGRAMA ATIVIDADES'!$M$5:$M$3004,B24),"Concluído (todas as "&amp;COUNTIF('CRONOGRAMA ATIVIDADES'!$M$5:$M$3004,B24)&amp;" atividades)",IF(COUNTIFS('CRONOGRAMA ATIVIDADES'!$M$5:$M$3004,B24,'CRONOGRAMA ATIVIDADES'!$O$5:$O$3004,"A INICIAR")=COUNTIF('CRONOGRAMA ATIVIDADES'!$M$5:$M$3004,B24),"Não iniciado · início previsto em "&amp;CHOOSE(MONTH(_xlfn.MINIFS('CRONOGRAMA ATIVIDADES'!$F$5:$F$3004,'CRONOGRAMA ATIVIDADES'!$M$5:$M$3004,B24)),"jan","fev","mar","abr","mai","jun","jul","ago","set","out","nov","dez")&amp;"/"&amp;YEAR(_xlfn.MINIFS('CRONOGRAMA ATIVIDADES'!$F$5:$F$3004,'CRONOGRAMA ATIVIDADES'!$M$5:$M$3004,B24)),_xlfn.TEXTJOIN(" / ",TRUE,IF(('CRONOGRAMA ATIVIDADES'!$S$5:$S$304=B24)*('CRONOGRAMA ATIVIDADES'!$AA$5:$AA$304&lt;&gt;""),'CRONOGRAMA ATIVIDADES'!$AA$5:$AA$304,"")))))</f>
        <v/>
      </c>
      <c r="L24" s="88" t="n"/>
      <c r="M24" s="89">
        <f>'VALOR POR PL'!L22</f>
        <v/>
      </c>
      <c r="N24" s="89">
        <f>IF('VALOR POR PL'!I22="DIRETO",'VALOR POR PL'!L22,0)</f>
        <v/>
      </c>
    </row>
    <row r="25" ht="16.2" customHeight="1">
      <c r="B25" s="90">
        <f>'VALOR POR PL'!C23</f>
        <v/>
      </c>
      <c r="C25" s="91">
        <f>'VALOR POR PL'!D23</f>
        <v/>
      </c>
      <c r="D25" s="92">
        <f>IF(OR('VALOR POR PL'!I23&lt;&gt;"DIRETO",'CP RESUMO'!$C$17=""),"",IFERROR(INDEX('CP RESUMO'!$D$17:$BW$17,MATCH(DATE($D$5,12,1),'CP RESUMO'!$D$4:$BW$4,0))/100,""))</f>
        <v/>
      </c>
      <c r="E25" s="93">
        <f>IF('VALOR POR PL'!I23&lt;&gt;"DIRETO","",'CONTENÇÃO'!$K$14)</f>
        <v/>
      </c>
      <c r="F25" s="94">
        <f>SUMPRODUCT((YEAR('CONTENÇÃO'!$B$5:$B$76)=$D$5)*('CONTENÇÃO'!$C$5:$C$76+'CONTENÇÃO'!$D$5:$D$76))</f>
        <v/>
      </c>
      <c r="G25" s="94">
        <f>SUMPRODUCT((YEAR('MODELO PARA BI'!$H$1:$CA$1)=$D$5)*'MODELO PARA BI'!$H$6:$CA$6)</f>
        <v/>
      </c>
      <c r="H25" s="94">
        <f>IF(ISNUMBER($G$5),G25*$G$5,0)</f>
        <v/>
      </c>
      <c r="I25" s="92">
        <f>IF($F$53=0,0,F25/$F$53)</f>
        <v/>
      </c>
      <c r="J25" s="92">
        <f>IF('VALOR POR PL'!L23=0,0,SUMPRODUCT(('CONTENÇÃO'!$B$5:$B$76&lt;=DATE($D$5,12,1))*('CONTENÇÃO'!$C$5:$C$76+'CONTENÇÃO'!$D$5:$D$76))/'VALOR POR PL'!L23)</f>
        <v/>
      </c>
      <c r="K25" s="95">
        <f t="array" ref="K25">IF(COUNTIF('CRONOGRAMA ATIVIDADES'!$M$5:$M$3004,B25)=0,"",IF(COUNTIFS('CRONOGRAMA ATIVIDADES'!$M$5:$M$3004,B25,'CRONOGRAMA ATIVIDADES'!$O$5:$O$3004,"CONCLUÍDA")=COUNTIF('CRONOGRAMA ATIVIDADES'!$M$5:$M$3004,B25),"Concluído (todas as "&amp;COUNTIF('CRONOGRAMA ATIVIDADES'!$M$5:$M$3004,B25)&amp;" atividades)",IF(COUNTIFS('CRONOGRAMA ATIVIDADES'!$M$5:$M$3004,B25,'CRONOGRAMA ATIVIDADES'!$O$5:$O$3004,"A INICIAR")=COUNTIF('CRONOGRAMA ATIVIDADES'!$M$5:$M$3004,B25),"Não iniciado · início previsto em "&amp;CHOOSE(MONTH(_xlfn.MINIFS('CRONOGRAMA ATIVIDADES'!$F$5:$F$3004,'CRONOGRAMA ATIVIDADES'!$M$5:$M$3004,B25)),"jan","fev","mar","abr","mai","jun","jul","ago","set","out","nov","dez")&amp;"/"&amp;YEAR(_xlfn.MINIFS('CRONOGRAMA ATIVIDADES'!$F$5:$F$3004,'CRONOGRAMA ATIVIDADES'!$M$5:$M$3004,B25)),_xlfn.TEXTJOIN(" / ",TRUE,IF(('CRONOGRAMA ATIVIDADES'!$S$5:$S$304=B25)*('CRONOGRAMA ATIVIDADES'!$AA$5:$AA$304&lt;&gt;""),'CRONOGRAMA ATIVIDADES'!$AA$5:$AA$304,"")))))</f>
        <v/>
      </c>
      <c r="L25" s="96" t="n"/>
      <c r="M25" s="89">
        <f>'VALOR POR PL'!L23</f>
        <v/>
      </c>
      <c r="N25" s="89">
        <f>IF('VALOR POR PL'!I23="DIRETO",'VALOR POR PL'!L23,0)</f>
        <v/>
      </c>
    </row>
    <row r="26" ht="16.2" customHeight="1">
      <c r="B26" s="82">
        <f>'VALOR POR PL'!C24</f>
        <v/>
      </c>
      <c r="C26" s="83">
        <f>'VALOR POR PL'!D24</f>
        <v/>
      </c>
      <c r="D26" s="84">
        <f>IF(OR('VALOR POR PL'!I24&lt;&gt;"DIRETO",'CP RESUMO'!$C$18=""),"",IFERROR(INDEX('CP RESUMO'!$D$18:$BW$18,MATCH(DATE($D$5,12,1),'CP RESUMO'!$D$4:$BW$4,0))/100,""))</f>
        <v/>
      </c>
      <c r="E26" s="85">
        <f>IF('VALOR POR PL'!I24&lt;&gt;"DIRETO","",'TERRAPLENAGEM'!$K$14)</f>
        <v/>
      </c>
      <c r="F26" s="86">
        <f>SUMPRODUCT((YEAR('TERRAPLENAGEM'!$B$5:$B$76)=$D$5)*('TERRAPLENAGEM'!$C$5:$C$76+'TERRAPLENAGEM'!$D$5:$D$76))</f>
        <v/>
      </c>
      <c r="G26" s="86">
        <f>SUMPRODUCT((YEAR('MODELO PARA BI'!$H$1:$CA$1)=$D$5)*'MODELO PARA BI'!$H$44:$CA$44)</f>
        <v/>
      </c>
      <c r="H26" s="86">
        <f>IF(ISNUMBER($G$5),G26*$G$5,0)</f>
        <v/>
      </c>
      <c r="I26" s="84">
        <f>IF($F$53=0,0,F26/$F$53)</f>
        <v/>
      </c>
      <c r="J26" s="84">
        <f>IF('VALOR POR PL'!L24=0,0,SUMPRODUCT(('TERRAPLENAGEM'!$B$5:$B$76&lt;=DATE($D$5,12,1))*('TERRAPLENAGEM'!$C$5:$C$76+'TERRAPLENAGEM'!$D$5:$D$76))/'VALOR POR PL'!L24)</f>
        <v/>
      </c>
      <c r="K26" s="87">
        <f t="array" ref="K26">IF(COUNTIF('CRONOGRAMA ATIVIDADES'!$M$5:$M$3004,B26)=0,"",IF(COUNTIFS('CRONOGRAMA ATIVIDADES'!$M$5:$M$3004,B26,'CRONOGRAMA ATIVIDADES'!$O$5:$O$3004,"CONCLUÍDA")=COUNTIF('CRONOGRAMA ATIVIDADES'!$M$5:$M$3004,B26),"Concluído (todas as "&amp;COUNTIF('CRONOGRAMA ATIVIDADES'!$M$5:$M$3004,B26)&amp;" atividades)",IF(COUNTIFS('CRONOGRAMA ATIVIDADES'!$M$5:$M$3004,B26,'CRONOGRAMA ATIVIDADES'!$O$5:$O$3004,"A INICIAR")=COUNTIF('CRONOGRAMA ATIVIDADES'!$M$5:$M$3004,B26),"Não iniciado · início previsto em "&amp;CHOOSE(MONTH(_xlfn.MINIFS('CRONOGRAMA ATIVIDADES'!$F$5:$F$3004,'CRONOGRAMA ATIVIDADES'!$M$5:$M$3004,B26)),"jan","fev","mar","abr","mai","jun","jul","ago","set","out","nov","dez")&amp;"/"&amp;YEAR(_xlfn.MINIFS('CRONOGRAMA ATIVIDADES'!$F$5:$F$3004,'CRONOGRAMA ATIVIDADES'!$M$5:$M$3004,B26)),_xlfn.TEXTJOIN(" / ",TRUE,IF(('CRONOGRAMA ATIVIDADES'!$S$5:$S$304=B26)*('CRONOGRAMA ATIVIDADES'!$AA$5:$AA$304&lt;&gt;""),'CRONOGRAMA ATIVIDADES'!$AA$5:$AA$304,"")))))</f>
        <v/>
      </c>
      <c r="L26" s="88" t="n"/>
      <c r="M26" s="89">
        <f>'VALOR POR PL'!L24</f>
        <v/>
      </c>
      <c r="N26" s="89">
        <f>IF('VALOR POR PL'!I24="DIRETO",'VALOR POR PL'!L24,0)</f>
        <v/>
      </c>
    </row>
    <row r="27" ht="16.2" customHeight="1">
      <c r="B27" s="90">
        <f>'VALOR POR PL'!C25</f>
        <v/>
      </c>
      <c r="C27" s="91">
        <f>'VALOR POR PL'!D25</f>
        <v/>
      </c>
      <c r="D27" s="92">
        <f>IF(OR('VALOR POR PL'!I25&lt;&gt;"DIRETO",'CP RESUMO'!$C$19=""),"",IFERROR(INDEX('CP RESUMO'!$D$19:$BW$19,MATCH(DATE($D$5,12,1),'CP RESUMO'!$D$4:$BW$4,0))/100,""))</f>
        <v/>
      </c>
      <c r="E27" s="93">
        <f>IF('VALOR POR PL'!I25&lt;&gt;"DIRETO","",'FUND. PROF'!$K$14)</f>
        <v/>
      </c>
      <c r="F27" s="94">
        <f>SUMPRODUCT((YEAR('FUND. PROF'!$B$5:$B$76)=$D$5)*('FUND. PROF'!$C$5:$C$76+'FUND. PROF'!$D$5:$D$76))</f>
        <v/>
      </c>
      <c r="G27" s="94">
        <f>SUMPRODUCT((YEAR('MODELO PARA BI'!$H$1:$CA$1)=$D$5)*'MODELO PARA BI'!$H$15:$CA$15)</f>
        <v/>
      </c>
      <c r="H27" s="94">
        <f>IF(ISNUMBER($G$5),G27*$G$5,0)</f>
        <v/>
      </c>
      <c r="I27" s="92">
        <f>IF($F$53=0,0,F27/$F$53)</f>
        <v/>
      </c>
      <c r="J27" s="92">
        <f>IF('VALOR POR PL'!L25=0,0,SUMPRODUCT(('FUND. PROF'!$B$5:$B$76&lt;=DATE($D$5,12,1))*('FUND. PROF'!$C$5:$C$76+'FUND. PROF'!$D$5:$D$76))/'VALOR POR PL'!L25)</f>
        <v/>
      </c>
      <c r="K27" s="95">
        <f t="array" ref="K27">IF(COUNTIF('CRONOGRAMA ATIVIDADES'!$M$5:$M$3004,B27)=0,"",IF(COUNTIFS('CRONOGRAMA ATIVIDADES'!$M$5:$M$3004,B27,'CRONOGRAMA ATIVIDADES'!$O$5:$O$3004,"CONCLUÍDA")=COUNTIF('CRONOGRAMA ATIVIDADES'!$M$5:$M$3004,B27),"Concluído (todas as "&amp;COUNTIF('CRONOGRAMA ATIVIDADES'!$M$5:$M$3004,B27)&amp;" atividades)",IF(COUNTIFS('CRONOGRAMA ATIVIDADES'!$M$5:$M$3004,B27,'CRONOGRAMA ATIVIDADES'!$O$5:$O$3004,"A INICIAR")=COUNTIF('CRONOGRAMA ATIVIDADES'!$M$5:$M$3004,B27),"Não iniciado · início previsto em "&amp;CHOOSE(MONTH(_xlfn.MINIFS('CRONOGRAMA ATIVIDADES'!$F$5:$F$3004,'CRONOGRAMA ATIVIDADES'!$M$5:$M$3004,B27)),"jan","fev","mar","abr","mai","jun","jul","ago","set","out","nov","dez")&amp;"/"&amp;YEAR(_xlfn.MINIFS('CRONOGRAMA ATIVIDADES'!$F$5:$F$3004,'CRONOGRAMA ATIVIDADES'!$M$5:$M$3004,B27)),_xlfn.TEXTJOIN(" / ",TRUE,IF(('CRONOGRAMA ATIVIDADES'!$S$5:$S$304=B27)*('CRONOGRAMA ATIVIDADES'!$AA$5:$AA$304&lt;&gt;""),'CRONOGRAMA ATIVIDADES'!$AA$5:$AA$304,"")))))</f>
        <v/>
      </c>
      <c r="L27" s="96" t="n"/>
      <c r="M27" s="89">
        <f>'VALOR POR PL'!L25</f>
        <v/>
      </c>
      <c r="N27" s="89">
        <f>IF('VALOR POR PL'!I25="DIRETO",'VALOR POR PL'!L25,0)</f>
        <v/>
      </c>
    </row>
    <row r="28" ht="16.2" customHeight="1">
      <c r="B28" s="82">
        <f>'VALOR POR PL'!C26</f>
        <v/>
      </c>
      <c r="C28" s="83">
        <f>'VALOR POR PL'!D26</f>
        <v/>
      </c>
      <c r="D28" s="84">
        <f>IF(OR('VALOR POR PL'!I26&lt;&gt;"DIRETO",'CP RESUMO'!$C$20=""),"",IFERROR(INDEX('CP RESUMO'!$D$20:$BW$20,MATCH(DATE($D$5,12,1),'CP RESUMO'!$D$4:$BW$4,0))/100,""))</f>
        <v/>
      </c>
      <c r="E28" s="85">
        <f>IF('VALOR POR PL'!I26&lt;&gt;"DIRETO","",'FUND. SUP'!$K$14)</f>
        <v/>
      </c>
      <c r="F28" s="86">
        <f>SUMPRODUCT((YEAR('FUND. SUP'!$B$5:$B$76)=$D$5)*('FUND. SUP'!$C$5:$C$76+'FUND. SUP'!$D$5:$D$76))</f>
        <v/>
      </c>
      <c r="G28" s="86">
        <f>SUMPRODUCT((YEAR('MODELO PARA BI'!$H$1:$CA$1)=$D$5)*'MODELO PARA BI'!$H$16:$CA$16)</f>
        <v/>
      </c>
      <c r="H28" s="86">
        <f>IF(ISNUMBER($G$5),G28*$G$5,0)</f>
        <v/>
      </c>
      <c r="I28" s="84">
        <f>IF($F$53=0,0,F28/$F$53)</f>
        <v/>
      </c>
      <c r="J28" s="84">
        <f>IF('VALOR POR PL'!L26=0,0,SUMPRODUCT(('FUND. SUP'!$B$5:$B$76&lt;=DATE($D$5,12,1))*('FUND. SUP'!$C$5:$C$76+'FUND. SUP'!$D$5:$D$76))/'VALOR POR PL'!L26)</f>
        <v/>
      </c>
      <c r="K28" s="87">
        <f t="array" ref="K28">IF(COUNTIF('CRONOGRAMA ATIVIDADES'!$M$5:$M$3004,B28)=0,"",IF(COUNTIFS('CRONOGRAMA ATIVIDADES'!$M$5:$M$3004,B28,'CRONOGRAMA ATIVIDADES'!$O$5:$O$3004,"CONCLUÍDA")=COUNTIF('CRONOGRAMA ATIVIDADES'!$M$5:$M$3004,B28),"Concluído (todas as "&amp;COUNTIF('CRONOGRAMA ATIVIDADES'!$M$5:$M$3004,B28)&amp;" atividades)",IF(COUNTIFS('CRONOGRAMA ATIVIDADES'!$M$5:$M$3004,B28,'CRONOGRAMA ATIVIDADES'!$O$5:$O$3004,"A INICIAR")=COUNTIF('CRONOGRAMA ATIVIDADES'!$M$5:$M$3004,B28),"Não iniciado · início previsto em "&amp;CHOOSE(MONTH(_xlfn.MINIFS('CRONOGRAMA ATIVIDADES'!$F$5:$F$3004,'CRONOGRAMA ATIVIDADES'!$M$5:$M$3004,B28)),"jan","fev","mar","abr","mai","jun","jul","ago","set","out","nov","dez")&amp;"/"&amp;YEAR(_xlfn.MINIFS('CRONOGRAMA ATIVIDADES'!$F$5:$F$3004,'CRONOGRAMA ATIVIDADES'!$M$5:$M$3004,B28)),_xlfn.TEXTJOIN(" / ",TRUE,IF(('CRONOGRAMA ATIVIDADES'!$S$5:$S$304=B28)*('CRONOGRAMA ATIVIDADES'!$AA$5:$AA$304&lt;&gt;""),'CRONOGRAMA ATIVIDADES'!$AA$5:$AA$304,"")))))</f>
        <v/>
      </c>
      <c r="L28" s="88" t="n"/>
      <c r="M28" s="89">
        <f>'VALOR POR PL'!L26</f>
        <v/>
      </c>
      <c r="N28" s="89">
        <f>IF('VALOR POR PL'!I26="DIRETO",'VALOR POR PL'!L26,0)</f>
        <v/>
      </c>
    </row>
    <row r="29" ht="29.4" customHeight="1">
      <c r="B29" s="97" t="inlineStr">
        <is>
          <t>12 a 16</t>
        </is>
      </c>
      <c r="C29" s="98" t="inlineStr">
        <is>
          <t>SERVIÇOS INICIAIS, CONTENÇÃO, TERRAPLENAGEM E FUNDAÇÕES</t>
        </is>
      </c>
      <c r="D29" s="99">
        <f>IFERROR(SUMPRODUCT(D24:D28,N24:N28)/SUMPRODUCT(ISNUMBER(D24:D28)*N24:N28),"")</f>
        <v/>
      </c>
      <c r="E29" s="99">
        <f>IFERROR(SUMPRODUCT(E24:E28,N24:N28)/SUMPRODUCT(ISNUMBER(E24:E28)*N24:N28),"")</f>
        <v/>
      </c>
      <c r="F29" s="100">
        <f>SUM(F24:F28)</f>
        <v/>
      </c>
      <c r="G29" s="100">
        <f>SUM(G24:G28)</f>
        <v/>
      </c>
      <c r="H29" s="100">
        <f>SUM(H24:H28)</f>
        <v/>
      </c>
      <c r="I29" s="99">
        <f>IF($F$53=0,0,F29/$F$53)</f>
        <v/>
      </c>
      <c r="J29" s="99">
        <f>IFERROR(SUMPRODUCT(J24:J28,M24:M28)/SUM(M24:M28),0)</f>
        <v/>
      </c>
      <c r="K29" s="101" t="n"/>
      <c r="L29" s="101" t="n"/>
      <c r="M29">
        <f>SUM(M24:M28)</f>
        <v/>
      </c>
      <c r="N29">
        <f>SUM(N24:N28)</f>
        <v/>
      </c>
    </row>
    <row r="30" ht="16.2" customHeight="1">
      <c r="B30" s="82">
        <f>'VALOR POR PL'!C27</f>
        <v/>
      </c>
      <c r="C30" s="83">
        <f>'VALOR POR PL'!D27</f>
        <v/>
      </c>
      <c r="D30" s="84">
        <f>IF(OR('VALOR POR PL'!I27&lt;&gt;"DIRETO",'CP RESUMO'!$C$21=""),"",IFERROR(INDEX('CP RESUMO'!$D$21:$BW$21,MATCH(DATE($D$5,12,1),'CP RESUMO'!$D$4:$BW$4,0))/100,""))</f>
        <v/>
      </c>
      <c r="E30" s="85">
        <f>IF('VALOR POR PL'!I27&lt;&gt;"DIRETO","",'ESTRUTURA'!$K$14)</f>
        <v/>
      </c>
      <c r="F30" s="86">
        <f>SUMPRODUCT((YEAR('ESTRUTURA'!$B$5:$B$76)=$D$5)*('ESTRUTURA'!$C$5:$C$76+'ESTRUTURA'!$D$5:$D$76))</f>
        <v/>
      </c>
      <c r="G30" s="86">
        <f>SUMPRODUCT((YEAR('MODELO PARA BI'!$H$1:$CA$1)=$D$5)*'MODELO PARA BI'!$H$13:$CA$13)</f>
        <v/>
      </c>
      <c r="H30" s="86">
        <f>IF(ISNUMBER($G$5),G30*$G$5,0)</f>
        <v/>
      </c>
      <c r="I30" s="84">
        <f>IF($F$53=0,0,F30/$F$53)</f>
        <v/>
      </c>
      <c r="J30" s="84">
        <f>IF('VALOR POR PL'!L27=0,0,SUMPRODUCT(('ESTRUTURA'!$B$5:$B$76&lt;=DATE($D$5,12,1))*('ESTRUTURA'!$C$5:$C$76+'ESTRUTURA'!$D$5:$D$76))/'VALOR POR PL'!L27)</f>
        <v/>
      </c>
      <c r="K30" s="87">
        <f t="array" ref="K30">IF(COUNTIF('CRONOGRAMA ATIVIDADES'!$M$5:$M$3004,B30)=0,"",IF(COUNTIFS('CRONOGRAMA ATIVIDADES'!$M$5:$M$3004,B30,'CRONOGRAMA ATIVIDADES'!$O$5:$O$3004,"CONCLUÍDA")=COUNTIF('CRONOGRAMA ATIVIDADES'!$M$5:$M$3004,B30),"Concluído (todas as "&amp;COUNTIF('CRONOGRAMA ATIVIDADES'!$M$5:$M$3004,B30)&amp;" atividades)",IF(COUNTIFS('CRONOGRAMA ATIVIDADES'!$M$5:$M$3004,B30,'CRONOGRAMA ATIVIDADES'!$O$5:$O$3004,"A INICIAR")=COUNTIF('CRONOGRAMA ATIVIDADES'!$M$5:$M$3004,B30),"Não iniciado · início previsto em "&amp;CHOOSE(MONTH(_xlfn.MINIFS('CRONOGRAMA ATIVIDADES'!$F$5:$F$3004,'CRONOGRAMA ATIVIDADES'!$M$5:$M$3004,B30)),"jan","fev","mar","abr","mai","jun","jul","ago","set","out","nov","dez")&amp;"/"&amp;YEAR(_xlfn.MINIFS('CRONOGRAMA ATIVIDADES'!$F$5:$F$3004,'CRONOGRAMA ATIVIDADES'!$M$5:$M$3004,B30)),_xlfn.TEXTJOIN(" / ",TRUE,IF(('CRONOGRAMA ATIVIDADES'!$S$5:$S$304=B30)*('CRONOGRAMA ATIVIDADES'!$AA$5:$AA$304&lt;&gt;""),'CRONOGRAMA ATIVIDADES'!$AA$5:$AA$304,"")))))</f>
        <v/>
      </c>
      <c r="L30" s="88" t="inlineStr">
        <is>
          <t>ATÉ O COBERTURA - 32º PAVIMENTO</t>
        </is>
      </c>
      <c r="M30" s="89">
        <f>'VALOR POR PL'!L27</f>
        <v/>
      </c>
      <c r="N30" s="89">
        <f>IF('VALOR POR PL'!I27="DIRETO",'VALOR POR PL'!L27,0)</f>
        <v/>
      </c>
    </row>
    <row r="31" ht="42.59999999999999" customHeight="1">
      <c r="B31" s="90">
        <f>'VALOR POR PL'!C28</f>
        <v/>
      </c>
      <c r="C31" s="91">
        <f>'VALOR POR PL'!D28</f>
        <v/>
      </c>
      <c r="D31" s="92">
        <f>IF(OR('VALOR POR PL'!I28&lt;&gt;"DIRETO",'CP RESUMO'!$C$22=""),"",IFERROR(INDEX('CP RESUMO'!$D$22:$BW$22,MATCH(DATE($D$5,12,1),'CP RESUMO'!$D$4:$BW$4,0))/100,""))</f>
        <v/>
      </c>
      <c r="E31" s="93">
        <f>IF('VALOR POR PL'!I28&lt;&gt;"DIRETO","",'ALVENARIA'!$K$14)</f>
        <v/>
      </c>
      <c r="F31" s="94">
        <f>SUMPRODUCT((YEAR('ALVENARIA'!$B$5:$B$76)=$D$5)*('ALVENARIA'!$C$5:$C$76+'ALVENARIA'!$D$5:$D$76))</f>
        <v/>
      </c>
      <c r="G31" s="94">
        <f>SUMPRODUCT((YEAR('MODELO PARA BI'!$H$1:$CA$1)=$D$5)*'MODELO PARA BI'!$H$2:$CA$2)</f>
        <v/>
      </c>
      <c r="H31" s="94">
        <f>IF(ISNUMBER($G$5),G31*$G$5,0)</f>
        <v/>
      </c>
      <c r="I31" s="92">
        <f>IF($F$53=0,0,F31/$F$53)</f>
        <v/>
      </c>
      <c r="J31" s="92">
        <f>IF('VALOR POR PL'!L28=0,0,SUMPRODUCT(('ALVENARIA'!$B$5:$B$76&lt;=DATE($D$5,12,1))*('ALVENARIA'!$C$5:$C$76+'ALVENARIA'!$D$5:$D$76))/'VALOR POR PL'!L28)</f>
        <v/>
      </c>
      <c r="K31" s="95">
        <f t="array" ref="K31">IF(COUNTIF('CRONOGRAMA ATIVIDADES'!$M$5:$M$3004,B31)=0,"",IF(COUNTIFS('CRONOGRAMA ATIVIDADES'!$M$5:$M$3004,B31,'CRONOGRAMA ATIVIDADES'!$O$5:$O$3004,"CONCLUÍDA")=COUNTIF('CRONOGRAMA ATIVIDADES'!$M$5:$M$3004,B31),"Concluído (todas as "&amp;COUNTIF('CRONOGRAMA ATIVIDADES'!$M$5:$M$3004,B31)&amp;" atividades)",IF(COUNTIFS('CRONOGRAMA ATIVIDADES'!$M$5:$M$3004,B31,'CRONOGRAMA ATIVIDADES'!$O$5:$O$3004,"A INICIAR")=COUNTIF('CRONOGRAMA ATIVIDADES'!$M$5:$M$3004,B31),"Não iniciado · início previsto em "&amp;CHOOSE(MONTH(_xlfn.MINIFS('CRONOGRAMA ATIVIDADES'!$F$5:$F$3004,'CRONOGRAMA ATIVIDADES'!$M$5:$M$3004,B31)),"jan","fev","mar","abr","mai","jun","jul","ago","set","out","nov","dez")&amp;"/"&amp;YEAR(_xlfn.MINIFS('CRONOGRAMA ATIVIDADES'!$F$5:$F$3004,'CRONOGRAMA ATIVIDADES'!$M$5:$M$3004,B31)),_xlfn.TEXTJOIN(" / ",TRUE,IF(('CRONOGRAMA ATIVIDADES'!$S$5:$S$304=B31)*('CRONOGRAMA ATIVIDADES'!$AA$5:$AA$304&lt;&gt;""),'CRONOGRAMA ATIVIDADES'!$AA$5:$AA$304,"")))))</f>
        <v/>
      </c>
      <c r="L31" s="96" t="inlineStr">
        <is>
          <t>ALVENARIA - ATÉ 27º PAVIMENTO / GESSO ACARTONADO - 2ª FACE - ATÉ 16º PAVIMENTO</t>
        </is>
      </c>
      <c r="M31" s="89">
        <f>'VALOR POR PL'!L28</f>
        <v/>
      </c>
      <c r="N31" s="89">
        <f>IF('VALOR POR PL'!I28="DIRETO",'VALOR POR PL'!L28,0)</f>
        <v/>
      </c>
    </row>
    <row r="32" ht="16.2" customHeight="1">
      <c r="B32" s="82">
        <f>'VALOR POR PL'!C29</f>
        <v/>
      </c>
      <c r="C32" s="83">
        <f>'VALOR POR PL'!D29</f>
        <v/>
      </c>
      <c r="D32" s="84">
        <f>IF(OR('VALOR POR PL'!I29&lt;&gt;"DIRETO",'CP RESUMO'!$C$23=""),"",IFERROR(INDEX('CP RESUMO'!$D$23:$BW$23,MATCH(DATE($D$5,12,1),'CP RESUMO'!$D$4:$BW$4,0))/100,""))</f>
        <v/>
      </c>
      <c r="E32" s="85">
        <f>IF('VALOR POR PL'!I29&lt;&gt;"DIRETO","",'IMPERMEABILIZAÇÃO'!$K$14)</f>
        <v/>
      </c>
      <c r="F32" s="86">
        <f>SUMPRODUCT((YEAR('IMPERMEABILIZAÇÃO'!$B$5:$B$76)=$D$5)*('IMPERMEABILIZAÇÃO'!$C$5:$C$76+'IMPERMEABILIZAÇÃO'!$D$5:$D$76))</f>
        <v/>
      </c>
      <c r="G32" s="86">
        <f>SUMPRODUCT((YEAR('MODELO PARA BI'!$H$1:$CA$1)=$D$5)*'MODELO PARA BI'!$H$17:$CA$17)</f>
        <v/>
      </c>
      <c r="H32" s="86">
        <f>IF(ISNUMBER($G$5),G32*$G$5,0)</f>
        <v/>
      </c>
      <c r="I32" s="84">
        <f>IF($F$53=0,0,F32/$F$53)</f>
        <v/>
      </c>
      <c r="J32" s="84">
        <f>IF('VALOR POR PL'!L29=0,0,SUMPRODUCT(('IMPERMEABILIZAÇÃO'!$B$5:$B$76&lt;=DATE($D$5,12,1))*('IMPERMEABILIZAÇÃO'!$C$5:$C$76+'IMPERMEABILIZAÇÃO'!$D$5:$D$76))/'VALOR POR PL'!L29)</f>
        <v/>
      </c>
      <c r="K32" s="87">
        <f t="array" ref="K32">IF(COUNTIF('CRONOGRAMA ATIVIDADES'!$M$5:$M$3004,B32)=0,"",IF(COUNTIFS('CRONOGRAMA ATIVIDADES'!$M$5:$M$3004,B32,'CRONOGRAMA ATIVIDADES'!$O$5:$O$3004,"CONCLUÍDA")=COUNTIF('CRONOGRAMA ATIVIDADES'!$M$5:$M$3004,B32),"Concluído (todas as "&amp;COUNTIF('CRONOGRAMA ATIVIDADES'!$M$5:$M$3004,B32)&amp;" atividades)",IF(COUNTIFS('CRONOGRAMA ATIVIDADES'!$M$5:$M$3004,B32,'CRONOGRAMA ATIVIDADES'!$O$5:$O$3004,"A INICIAR")=COUNTIF('CRONOGRAMA ATIVIDADES'!$M$5:$M$3004,B32),"Não iniciado · início previsto em "&amp;CHOOSE(MONTH(_xlfn.MINIFS('CRONOGRAMA ATIVIDADES'!$F$5:$F$3004,'CRONOGRAMA ATIVIDADES'!$M$5:$M$3004,B32)),"jan","fev","mar","abr","mai","jun","jul","ago","set","out","nov","dez")&amp;"/"&amp;YEAR(_xlfn.MINIFS('CRONOGRAMA ATIVIDADES'!$F$5:$F$3004,'CRONOGRAMA ATIVIDADES'!$M$5:$M$3004,B32)),_xlfn.TEXTJOIN(" / ",TRUE,IF(('CRONOGRAMA ATIVIDADES'!$S$5:$S$304=B32)*('CRONOGRAMA ATIVIDADES'!$AA$5:$AA$304&lt;&gt;""),'CRONOGRAMA ATIVIDADES'!$AA$5:$AA$304,"")))))</f>
        <v/>
      </c>
      <c r="L32" s="88" t="inlineStr">
        <is>
          <t>ATÉ O 15º PAVIMENTO</t>
        </is>
      </c>
      <c r="M32" s="89">
        <f>'VALOR POR PL'!L29</f>
        <v/>
      </c>
      <c r="N32" s="89">
        <f>IF('VALOR POR PL'!I29="DIRETO",'VALOR POR PL'!L29,0)</f>
        <v/>
      </c>
    </row>
    <row r="33" ht="69" customHeight="1">
      <c r="B33" s="90">
        <f>'VALOR POR PL'!C30</f>
        <v/>
      </c>
      <c r="C33" s="91">
        <f>'VALOR POR PL'!D30</f>
        <v/>
      </c>
      <c r="D33" s="92">
        <f>IF(OR('VALOR POR PL'!I30&lt;&gt;"DIRETO",'CP RESUMO'!$C$24=""),"",IFERROR(INDEX('CP RESUMO'!$D$24:$BW$24,MATCH(DATE($D$5,12,1),'CP RESUMO'!$D$4:$BW$4,0))/100,""))</f>
        <v/>
      </c>
      <c r="E33" s="93">
        <f>IF('VALOR POR PL'!I30&lt;&gt;"DIRETO","",'INST. ELÉTRICA'!$K$14)</f>
        <v/>
      </c>
      <c r="F33" s="94">
        <f>SUMPRODUCT((YEAR('INST. ELÉTRICA'!$B$5:$B$76)=$D$5)*('INST. ELÉTRICA'!$C$5:$C$76+'INST. ELÉTRICA'!$D$5:$D$76))</f>
        <v/>
      </c>
      <c r="G33" s="94">
        <f>SUMPRODUCT((YEAR('MODELO PARA BI'!$H$1:$CA$1)=$D$5)*'MODELO PARA BI'!$H$19:$CA$19)</f>
        <v/>
      </c>
      <c r="H33" s="94">
        <f>IF(ISNUMBER($G$5),G33*$G$5,0)</f>
        <v/>
      </c>
      <c r="I33" s="92">
        <f>IF($F$53=0,0,F33/$F$53)</f>
        <v/>
      </c>
      <c r="J33" s="92">
        <f>IF('VALOR POR PL'!L30=0,0,SUMPRODUCT(('INST. ELÉTRICA'!$B$5:$B$76&lt;=DATE($D$5,12,1))*('INST. ELÉTRICA'!$C$5:$C$76+'INST. ELÉTRICA'!$D$5:$D$76))/'VALOR POR PL'!L30)</f>
        <v/>
      </c>
      <c r="K33" s="95">
        <f t="array" ref="K33">IF(COUNTIF('CRONOGRAMA ATIVIDADES'!$M$5:$M$3004,B33)=0,"",IF(COUNTIFS('CRONOGRAMA ATIVIDADES'!$M$5:$M$3004,B33,'CRONOGRAMA ATIVIDADES'!$O$5:$O$3004,"CONCLUÍDA")=COUNTIF('CRONOGRAMA ATIVIDADES'!$M$5:$M$3004,B33),"Concluído (todas as "&amp;COUNTIF('CRONOGRAMA ATIVIDADES'!$M$5:$M$3004,B33)&amp;" atividades)",IF(COUNTIFS('CRONOGRAMA ATIVIDADES'!$M$5:$M$3004,B33,'CRONOGRAMA ATIVIDADES'!$O$5:$O$3004,"A INICIAR")=COUNTIF('CRONOGRAMA ATIVIDADES'!$M$5:$M$3004,B33),"Não iniciado · início previsto em "&amp;CHOOSE(MONTH(_xlfn.MINIFS('CRONOGRAMA ATIVIDADES'!$F$5:$F$3004,'CRONOGRAMA ATIVIDADES'!$M$5:$M$3004,B33)),"jan","fev","mar","abr","mai","jun","jul","ago","set","out","nov","dez")&amp;"/"&amp;YEAR(_xlfn.MINIFS('CRONOGRAMA ATIVIDADES'!$F$5:$F$3004,'CRONOGRAMA ATIVIDADES'!$M$5:$M$3004,B33)),_xlfn.TEXTJOIN(" / ",TRUE,IF(('CRONOGRAMA ATIVIDADES'!$S$5:$S$304=B33)*('CRONOGRAMA ATIVIDADES'!$AA$5:$AA$304&lt;&gt;""),'CRONOGRAMA ATIVIDADES'!$AA$5:$AA$304,"")))))</f>
        <v/>
      </c>
      <c r="L33" s="96" t="inlineStr">
        <is>
          <t>INFRAESTRUTURA - ATÉ O 14º PAVIMENTO / FIAÇÃO - ATÉ O 10º PAVIMENTO</t>
        </is>
      </c>
      <c r="M33" s="89">
        <f>'VALOR POR PL'!L30</f>
        <v/>
      </c>
      <c r="N33" s="89">
        <f>IF('VALOR POR PL'!I30="DIRETO",'VALOR POR PL'!L30,0)</f>
        <v/>
      </c>
    </row>
    <row r="34" ht="69" customHeight="1">
      <c r="B34" s="82">
        <f>'VALOR POR PL'!C31</f>
        <v/>
      </c>
      <c r="C34" s="83">
        <f>'VALOR POR PL'!D31</f>
        <v/>
      </c>
      <c r="D34" s="84">
        <f>IF(OR('VALOR POR PL'!I31&lt;&gt;"DIRETO",'CP RESUMO'!$C$25=""),"",IFERROR(INDEX('CP RESUMO'!$D$25:$BW$25,MATCH(DATE($D$5,12,1),'CP RESUMO'!$D$4:$BW$4,0))/100,""))</f>
        <v/>
      </c>
      <c r="E34" s="85">
        <f>IF('VALOR POR PL'!I31&lt;&gt;"DIRETO","",'INST. HIDRO'!$K$14)</f>
        <v/>
      </c>
      <c r="F34" s="86">
        <f>SUMPRODUCT((YEAR('INST. HIDRO'!$B$5:$B$76)=$D$5)*('INST. HIDRO'!$C$5:$C$76+'INST. HIDRO'!$D$5:$D$76))</f>
        <v/>
      </c>
      <c r="G34" s="86">
        <f>SUMPRODUCT((YEAR('MODELO PARA BI'!$H$1:$CA$1)=$D$5)*'MODELO PARA BI'!$H$21:$CA$21)</f>
        <v/>
      </c>
      <c r="H34" s="86">
        <f>IF(ISNUMBER($G$5),G34*$G$5,0)</f>
        <v/>
      </c>
      <c r="I34" s="84">
        <f>IF($F$53=0,0,F34/$F$53)</f>
        <v/>
      </c>
      <c r="J34" s="84">
        <f>IF('VALOR POR PL'!L31=0,0,SUMPRODUCT(('INST. HIDRO'!$B$5:$B$76&lt;=DATE($D$5,12,1))*('INST. HIDRO'!$C$5:$C$76+'INST. HIDRO'!$D$5:$D$76))/'VALOR POR PL'!L31)</f>
        <v/>
      </c>
      <c r="K34" s="87">
        <f t="array" ref="K34">IF(COUNTIF('CRONOGRAMA ATIVIDADES'!$M$5:$M$3004,B34)=0,"",IF(COUNTIFS('CRONOGRAMA ATIVIDADES'!$M$5:$M$3004,B34,'CRONOGRAMA ATIVIDADES'!$O$5:$O$3004,"CONCLUÍDA")=COUNTIF('CRONOGRAMA ATIVIDADES'!$M$5:$M$3004,B34),"Concluído (todas as "&amp;COUNTIF('CRONOGRAMA ATIVIDADES'!$M$5:$M$3004,B34)&amp;" atividades)",IF(COUNTIFS('CRONOGRAMA ATIVIDADES'!$M$5:$M$3004,B34,'CRONOGRAMA ATIVIDADES'!$O$5:$O$3004,"A INICIAR")=COUNTIF('CRONOGRAMA ATIVIDADES'!$M$5:$M$3004,B34),"Não iniciado · início previsto em "&amp;CHOOSE(MONTH(_xlfn.MINIFS('CRONOGRAMA ATIVIDADES'!$F$5:$F$3004,'CRONOGRAMA ATIVIDADES'!$M$5:$M$3004,B34)),"jan","fev","mar","abr","mai","jun","jul","ago","set","out","nov","dez")&amp;"/"&amp;YEAR(_xlfn.MINIFS('CRONOGRAMA ATIVIDADES'!$F$5:$F$3004,'CRONOGRAMA ATIVIDADES'!$M$5:$M$3004,B34)),_xlfn.TEXTJOIN(" / ",TRUE,IF(('CRONOGRAMA ATIVIDADES'!$S$5:$S$304=B34)*('CRONOGRAMA ATIVIDADES'!$AA$5:$AA$304&lt;&gt;""),'CRONOGRAMA ATIVIDADES'!$AA$5:$AA$304,"")))))</f>
        <v/>
      </c>
      <c r="L34" s="88" t="inlineStr">
        <is>
          <t xml:space="preserve">INFRAESTRUTURA - ATÉ O 15º PAVIMENTO </t>
        </is>
      </c>
      <c r="M34" s="89">
        <f>'VALOR POR PL'!L31</f>
        <v/>
      </c>
      <c r="N34" s="89">
        <f>IF('VALOR POR PL'!I31="DIRETO",'VALOR POR PL'!L31,0)</f>
        <v/>
      </c>
    </row>
    <row r="35" ht="16.2" customHeight="1">
      <c r="B35" s="90">
        <f>'VALOR POR PL'!C32</f>
        <v/>
      </c>
      <c r="C35" s="91">
        <f>'VALOR POR PL'!D32</f>
        <v/>
      </c>
      <c r="D35" s="92">
        <f>IF(OR('VALOR POR PL'!I32&lt;&gt;"DIRETO",'CP RESUMO'!$C$26=""),"",IFERROR(INDEX('CP RESUMO'!$D$26:$BW$26,MATCH(DATE($D$5,12,1),'CP RESUMO'!$D$4:$BW$4,0))/100,""))</f>
        <v/>
      </c>
      <c r="E35" s="93">
        <f>IF('VALOR POR PL'!I32&lt;&gt;"DIRETO","",'INST. INC'!$K$14)</f>
        <v/>
      </c>
      <c r="F35" s="94">
        <f>SUMPRODUCT((YEAR('INST. INC'!$B$5:$B$76)=$D$5)*('INST. INC'!$C$5:$C$76+'INST. INC'!$D$5:$D$76))</f>
        <v/>
      </c>
      <c r="G35" s="94">
        <f>SUMPRODUCT((YEAR('MODELO PARA BI'!$H$1:$CA$1)=$D$5)*'MODELO PARA BI'!$H$18:$CA$18)</f>
        <v/>
      </c>
      <c r="H35" s="94">
        <f>IF(ISNUMBER($G$5),G35*$G$5,0)</f>
        <v/>
      </c>
      <c r="I35" s="92">
        <f>IF($F$53=0,0,F35/$F$53)</f>
        <v/>
      </c>
      <c r="J35" s="92">
        <f>IF('VALOR POR PL'!L32=0,0,SUMPRODUCT(('INST. INC'!$B$5:$B$76&lt;=DATE($D$5,12,1))*('INST. INC'!$C$5:$C$76+'INST. INC'!$D$5:$D$76))/'VALOR POR PL'!L32)</f>
        <v/>
      </c>
      <c r="K35" s="95">
        <f t="array" ref="K35">IF(COUNTIF('CRONOGRAMA ATIVIDADES'!$M$5:$M$3004,B35)=0,"",IF(COUNTIFS('CRONOGRAMA ATIVIDADES'!$M$5:$M$3004,B35,'CRONOGRAMA ATIVIDADES'!$O$5:$O$3004,"CONCLUÍDA")=COUNTIF('CRONOGRAMA ATIVIDADES'!$M$5:$M$3004,B35),"Concluído (todas as "&amp;COUNTIF('CRONOGRAMA ATIVIDADES'!$M$5:$M$3004,B35)&amp;" atividades)",IF(COUNTIFS('CRONOGRAMA ATIVIDADES'!$M$5:$M$3004,B35,'CRONOGRAMA ATIVIDADES'!$O$5:$O$3004,"A INICIAR")=COUNTIF('CRONOGRAMA ATIVIDADES'!$M$5:$M$3004,B35),"Não iniciado · início previsto em "&amp;CHOOSE(MONTH(_xlfn.MINIFS('CRONOGRAMA ATIVIDADES'!$F$5:$F$3004,'CRONOGRAMA ATIVIDADES'!$M$5:$M$3004,B35)),"jan","fev","mar","abr","mai","jun","jul","ago","set","out","nov","dez")&amp;"/"&amp;YEAR(_xlfn.MINIFS('CRONOGRAMA ATIVIDADES'!$F$5:$F$3004,'CRONOGRAMA ATIVIDADES'!$M$5:$M$3004,B35)),_xlfn.TEXTJOIN(" / ",TRUE,IF(('CRONOGRAMA ATIVIDADES'!$S$5:$S$304=B35)*('CRONOGRAMA ATIVIDADES'!$AA$5:$AA$304&lt;&gt;""),'CRONOGRAMA ATIVIDADES'!$AA$5:$AA$304,"")))))</f>
        <v/>
      </c>
      <c r="L35" s="96" t="inlineStr">
        <is>
          <t>PRUMADA - ATÉ 28º PAVIMENTO</t>
        </is>
      </c>
      <c r="M35" s="89">
        <f>'VALOR POR PL'!L32</f>
        <v/>
      </c>
      <c r="N35" s="89">
        <f>IF('VALOR POR PL'!I32="DIRETO",'VALOR POR PL'!L32,0)</f>
        <v/>
      </c>
    </row>
    <row r="36" ht="16.2" customHeight="1">
      <c r="B36" s="82">
        <f>'VALOR POR PL'!C33</f>
        <v/>
      </c>
      <c r="C36" s="83">
        <f>'VALOR POR PL'!D33</f>
        <v/>
      </c>
      <c r="D36" s="84">
        <f>IF(OR('VALOR POR PL'!I33&lt;&gt;"DIRETO",'CP RESUMO'!$C$27=""),"",IFERROR(INDEX('CP RESUMO'!$D$27:$BW$27,MATCH(DATE($D$5,12,1),'CP RESUMO'!$D$4:$BW$4,0))/100,""))</f>
        <v/>
      </c>
      <c r="E36" s="85">
        <f>IF('VALOR POR PL'!I33&lt;&gt;"DIRETO","",'INST. ESP'!$K$14)</f>
        <v/>
      </c>
      <c r="F36" s="86">
        <f>SUMPRODUCT((YEAR('INST. ESP'!$B$5:$B$76)=$D$5)*('INST. ESP'!$C$5:$C$76+'INST. ESP'!$D$5:$D$76))</f>
        <v/>
      </c>
      <c r="G36" s="86">
        <f>SUMPRODUCT((YEAR('MODELO PARA BI'!$H$1:$CA$1)=$D$5)*'MODELO PARA BI'!$H$20:$CA$20)</f>
        <v/>
      </c>
      <c r="H36" s="86">
        <f>IF(ISNUMBER($G$5),G36*$G$5,0)</f>
        <v/>
      </c>
      <c r="I36" s="84">
        <f>IF($F$53=0,0,F36/$F$53)</f>
        <v/>
      </c>
      <c r="J36" s="84">
        <f>IF('VALOR POR PL'!L33=0,0,SUMPRODUCT(('INST. ESP'!$B$5:$B$76&lt;=DATE($D$5,12,1))*('INST. ESP'!$C$5:$C$76+'INST. ESP'!$D$5:$D$76))/'VALOR POR PL'!L33)</f>
        <v/>
      </c>
      <c r="K36" s="87">
        <f t="array" ref="K36">IF(COUNTIF('CRONOGRAMA ATIVIDADES'!$M$5:$M$3004,B36)=0,"",IF(COUNTIFS('CRONOGRAMA ATIVIDADES'!$M$5:$M$3004,B36,'CRONOGRAMA ATIVIDADES'!$O$5:$O$3004,"CONCLUÍDA")=COUNTIF('CRONOGRAMA ATIVIDADES'!$M$5:$M$3004,B36),"Concluído (todas as "&amp;COUNTIF('CRONOGRAMA ATIVIDADES'!$M$5:$M$3004,B36)&amp;" atividades)",IF(COUNTIFS('CRONOGRAMA ATIVIDADES'!$M$5:$M$3004,B36,'CRONOGRAMA ATIVIDADES'!$O$5:$O$3004,"A INICIAR")=COUNTIF('CRONOGRAMA ATIVIDADES'!$M$5:$M$3004,B36),"Não iniciado · início previsto em "&amp;CHOOSE(MONTH(_xlfn.MINIFS('CRONOGRAMA ATIVIDADES'!$F$5:$F$3004,'CRONOGRAMA ATIVIDADES'!$M$5:$M$3004,B36)),"jan","fev","mar","abr","mai","jun","jul","ago","set","out","nov","dez")&amp;"/"&amp;YEAR(_xlfn.MINIFS('CRONOGRAMA ATIVIDADES'!$F$5:$F$3004,'CRONOGRAMA ATIVIDADES'!$M$5:$M$3004,B36)),_xlfn.TEXTJOIN(" / ",TRUE,IF(('CRONOGRAMA ATIVIDADES'!$S$5:$S$304=B36)*('CRONOGRAMA ATIVIDADES'!$AA$5:$AA$304&lt;&gt;""),'CRONOGRAMA ATIVIDADES'!$AA$5:$AA$304,"")))))</f>
        <v/>
      </c>
      <c r="L36" s="88" t="inlineStr">
        <is>
          <t>RENOVAÇÃO DE AR - SUBSOLO</t>
        </is>
      </c>
      <c r="M36" s="89">
        <f>'VALOR POR PL'!L33</f>
        <v/>
      </c>
      <c r="N36" s="89">
        <f>IF('VALOR POR PL'!I33="DIRETO",'VALOR POR PL'!L33,0)</f>
        <v/>
      </c>
    </row>
    <row r="37" ht="16.2" customHeight="1">
      <c r="B37" s="90">
        <f>'VALOR POR PL'!C34</f>
        <v/>
      </c>
      <c r="C37" s="91">
        <f>'VALOR POR PL'!D34</f>
        <v/>
      </c>
      <c r="D37" s="92">
        <f>IF(OR('VALOR POR PL'!I34&lt;&gt;"DIRETO",'CP RESUMO'!$C$28=""),"",IFERROR(INDEX('CP RESUMO'!$D$28:$BW$28,MATCH(DATE($D$5,12,1),'CP RESUMO'!$D$4:$BW$4,0))/100,""))</f>
        <v/>
      </c>
      <c r="E37" s="93">
        <f>IF('VALOR POR PL'!I34&lt;&gt;"DIRETO","",'ELEVADORES '!$K$14)</f>
        <v/>
      </c>
      <c r="F37" s="94">
        <f>SUMPRODUCT((YEAR('ELEVADORES '!$B$5:$B$76)=$D$5)*('ELEVADORES '!$C$5:$C$76+'ELEVADORES '!$D$5:$D$76))</f>
        <v/>
      </c>
      <c r="G37" s="94">
        <f>SUMPRODUCT((YEAR('MODELO PARA BI'!$H$1:$CA$1)=$D$5)*'MODELO PARA BI'!$H$10:$CA$10)</f>
        <v/>
      </c>
      <c r="H37" s="94">
        <f>IF(ISNUMBER($G$5),G37*$G$5,0)</f>
        <v/>
      </c>
      <c r="I37" s="92">
        <f>IF($F$53=0,0,F37/$F$53)</f>
        <v/>
      </c>
      <c r="J37" s="92">
        <f>IF('VALOR POR PL'!L34=0,0,SUMPRODUCT(('ELEVADORES '!$B$5:$B$76&lt;=DATE($D$5,12,1))*('ELEVADORES '!$C$5:$C$76+'ELEVADORES '!$D$5:$D$76))/'VALOR POR PL'!L34)</f>
        <v/>
      </c>
      <c r="K37" s="95">
        <f t="array" ref="K37">IF(COUNTIF('CRONOGRAMA ATIVIDADES'!$M$5:$M$3004,B37)=0,"",IF(COUNTIFS('CRONOGRAMA ATIVIDADES'!$M$5:$M$3004,B37,'CRONOGRAMA ATIVIDADES'!$O$5:$O$3004,"CONCLUÍDA")=COUNTIF('CRONOGRAMA ATIVIDADES'!$M$5:$M$3004,B37),"Concluído (todas as "&amp;COUNTIF('CRONOGRAMA ATIVIDADES'!$M$5:$M$3004,B37)&amp;" atividades)",IF(COUNTIFS('CRONOGRAMA ATIVIDADES'!$M$5:$M$3004,B37,'CRONOGRAMA ATIVIDADES'!$O$5:$O$3004,"A INICIAR")=COUNTIF('CRONOGRAMA ATIVIDADES'!$M$5:$M$3004,B37),"Não iniciado · início previsto em "&amp;CHOOSE(MONTH(_xlfn.MINIFS('CRONOGRAMA ATIVIDADES'!$F$5:$F$3004,'CRONOGRAMA ATIVIDADES'!$M$5:$M$3004,B37)),"jan","fev","mar","abr","mai","jun","jul","ago","set","out","nov","dez")&amp;"/"&amp;YEAR(_xlfn.MINIFS('CRONOGRAMA ATIVIDADES'!$F$5:$F$3004,'CRONOGRAMA ATIVIDADES'!$M$5:$M$3004,B37)),_xlfn.TEXTJOIN(" / ",TRUE,IF(('CRONOGRAMA ATIVIDADES'!$S$5:$S$304=B37)*('CRONOGRAMA ATIVIDADES'!$AA$5:$AA$304&lt;&gt;""),'CRONOGRAMA ATIVIDADES'!$AA$5:$AA$304,"")))))</f>
        <v/>
      </c>
      <c r="L37" s="96" t="inlineStr">
        <is>
          <t>APENAS DESEMBOLSO FINANCEIRO - MONTAGEM PARA 2028</t>
        </is>
      </c>
      <c r="M37" s="89">
        <f>'VALOR POR PL'!L34</f>
        <v/>
      </c>
      <c r="N37" s="89">
        <f>IF('VALOR POR PL'!I34="DIRETO",'VALOR POR PL'!L34,0)</f>
        <v/>
      </c>
    </row>
    <row r="38" ht="29.4" customHeight="1">
      <c r="B38" s="82">
        <f>'VALOR POR PL'!C35</f>
        <v/>
      </c>
      <c r="C38" s="83">
        <f>'VALOR POR PL'!D35</f>
        <v/>
      </c>
      <c r="D38" s="84">
        <f>IF(OR('VALOR POR PL'!I35&lt;&gt;"DIRETO",'CP RESUMO'!$C$29=""),"",IFERROR(INDEX('CP RESUMO'!$D$29:$BW$29,MATCH(DATE($D$5,12,1),'CP RESUMO'!$D$4:$BW$4,0))/100,""))</f>
        <v/>
      </c>
      <c r="E38" s="85">
        <f>IF('VALOR POR PL'!I35&lt;&gt;"DIRETO","",'ESQUADRIAS'!$K$14)</f>
        <v/>
      </c>
      <c r="F38" s="86">
        <f>SUMPRODUCT((YEAR('ESQUADRIAS'!$B$5:$B$76)=$D$5)*('ESQUADRIAS'!$C$5:$C$76+'ESQUADRIAS'!$D$5:$D$76))</f>
        <v/>
      </c>
      <c r="G38" s="86">
        <f>SUMPRODUCT((YEAR('MODELO PARA BI'!$H$1:$CA$1)=$D$5)*'MODELO PARA BI'!$H$12:$CA$12)</f>
        <v/>
      </c>
      <c r="H38" s="86">
        <f>IF(ISNUMBER($G$5),G38*$G$5,0)</f>
        <v/>
      </c>
      <c r="I38" s="84">
        <f>IF($F$53=0,0,F38/$F$53)</f>
        <v/>
      </c>
      <c r="J38" s="84">
        <f>IF('VALOR POR PL'!L35=0,0,SUMPRODUCT(('ESQUADRIAS'!$B$5:$B$76&lt;=DATE($D$5,12,1))*('ESQUADRIAS'!$C$5:$C$76+'ESQUADRIAS'!$D$5:$D$76))/'VALOR POR PL'!L35)</f>
        <v/>
      </c>
      <c r="K38" s="87">
        <f t="array" ref="K38">IF(COUNTIF('CRONOGRAMA ATIVIDADES'!$M$5:$M$3004,B38)=0,"",IF(COUNTIFS('CRONOGRAMA ATIVIDADES'!$M$5:$M$3004,B38,'CRONOGRAMA ATIVIDADES'!$O$5:$O$3004,"CONCLUÍDA")=COUNTIF('CRONOGRAMA ATIVIDADES'!$M$5:$M$3004,B38),"Concluído (todas as "&amp;COUNTIF('CRONOGRAMA ATIVIDADES'!$M$5:$M$3004,B38)&amp;" atividades)",IF(COUNTIFS('CRONOGRAMA ATIVIDADES'!$M$5:$M$3004,B38,'CRONOGRAMA ATIVIDADES'!$O$5:$O$3004,"A INICIAR")=COUNTIF('CRONOGRAMA ATIVIDADES'!$M$5:$M$3004,B38),"Não iniciado · início previsto em "&amp;CHOOSE(MONTH(_xlfn.MINIFS('CRONOGRAMA ATIVIDADES'!$F$5:$F$3004,'CRONOGRAMA ATIVIDADES'!$M$5:$M$3004,B38)),"jan","fev","mar","abr","mai","jun","jul","ago","set","out","nov","dez")&amp;"/"&amp;YEAR(_xlfn.MINIFS('CRONOGRAMA ATIVIDADES'!$F$5:$F$3004,'CRONOGRAMA ATIVIDADES'!$M$5:$M$3004,B38)),_xlfn.TEXTJOIN(" / ",TRUE,IF(('CRONOGRAMA ATIVIDADES'!$S$5:$S$304=B38)*('CRONOGRAMA ATIVIDADES'!$AA$5:$AA$304&lt;&gt;""),'CRONOGRAMA ATIVIDADES'!$AA$5:$AA$304,"")))))</f>
        <v/>
      </c>
      <c r="L38" s="88" t="inlineStr">
        <is>
          <t>APENAS DESEMBOLSO FINANCEIRO - MONTAGEM PARA 2028</t>
        </is>
      </c>
      <c r="M38" s="89">
        <f>'VALOR POR PL'!L35</f>
        <v/>
      </c>
      <c r="N38" s="89">
        <f>IF('VALOR POR PL'!I35="DIRETO",'VALOR POR PL'!L35,0)</f>
        <v/>
      </c>
    </row>
    <row r="39" ht="29.4" customHeight="1">
      <c r="B39" s="90">
        <f>'VALOR POR PL'!C36</f>
        <v/>
      </c>
      <c r="C39" s="91">
        <f>'VALOR POR PL'!D36</f>
        <v/>
      </c>
      <c r="D39" s="92">
        <f>IF(OR('VALOR POR PL'!I36&lt;&gt;"DIRETO",'CP RESUMO'!$C$30=""),"",IFERROR(INDEX('CP RESUMO'!$D$30:$BW$30,MATCH(DATE($D$5,12,1),'CP RESUMO'!$D$4:$BW$4,0))/100,""))</f>
        <v/>
      </c>
      <c r="E39" s="93">
        <f>IF('VALOR POR PL'!I36&lt;&gt;"DIRETO","",'SERRALHERIA'!$K$14)</f>
        <v/>
      </c>
      <c r="F39" s="94">
        <f>SUMPRODUCT((YEAR('SERRALHERIA'!$B$5:$B$76)=$D$5)*('SERRALHERIA'!$C$5:$C$76+'SERRALHERIA'!$D$5:$D$76))</f>
        <v/>
      </c>
      <c r="G39" s="94">
        <f>SUMPRODUCT((YEAR('MODELO PARA BI'!$H$1:$CA$1)=$D$5)*'MODELO PARA BI'!$H$41:$CA$41)</f>
        <v/>
      </c>
      <c r="H39" s="94">
        <f>IF(ISNUMBER($G$5),G39*$G$5,0)</f>
        <v/>
      </c>
      <c r="I39" s="92">
        <f>IF($F$53=0,0,F39/$F$53)</f>
        <v/>
      </c>
      <c r="J39" s="92">
        <f>IF('VALOR POR PL'!L36=0,0,SUMPRODUCT(('SERRALHERIA'!$B$5:$B$76&lt;=DATE($D$5,12,1))*('SERRALHERIA'!$C$5:$C$76+'SERRALHERIA'!$D$5:$D$76))/'VALOR POR PL'!L36)</f>
        <v/>
      </c>
      <c r="K39" s="95">
        <f t="array" ref="K39">IF(COUNTIF('CRONOGRAMA ATIVIDADES'!$M$5:$M$3004,B39)=0,"",IF(COUNTIFS('CRONOGRAMA ATIVIDADES'!$M$5:$M$3004,B39,'CRONOGRAMA ATIVIDADES'!$O$5:$O$3004,"CONCLUÍDA")=COUNTIF('CRONOGRAMA ATIVIDADES'!$M$5:$M$3004,B39),"Concluído (todas as "&amp;COUNTIF('CRONOGRAMA ATIVIDADES'!$M$5:$M$3004,B39)&amp;" atividades)",IF(COUNTIFS('CRONOGRAMA ATIVIDADES'!$M$5:$M$3004,B39,'CRONOGRAMA ATIVIDADES'!$O$5:$O$3004,"A INICIAR")=COUNTIF('CRONOGRAMA ATIVIDADES'!$M$5:$M$3004,B39),"Não iniciado · início previsto em "&amp;CHOOSE(MONTH(_xlfn.MINIFS('CRONOGRAMA ATIVIDADES'!$F$5:$F$3004,'CRONOGRAMA ATIVIDADES'!$M$5:$M$3004,B39)),"jan","fev","mar","abr","mai","jun","jul","ago","set","out","nov","dez")&amp;"/"&amp;YEAR(_xlfn.MINIFS('CRONOGRAMA ATIVIDADES'!$F$5:$F$3004,'CRONOGRAMA ATIVIDADES'!$M$5:$M$3004,B39)),_xlfn.TEXTJOIN(" / ",TRUE,IF(('CRONOGRAMA ATIVIDADES'!$S$5:$S$304=B39)*('CRONOGRAMA ATIVIDADES'!$AA$5:$AA$304&lt;&gt;""),'CRONOGRAMA ATIVIDADES'!$AA$5:$AA$304,"")))))</f>
        <v/>
      </c>
      <c r="L39" s="96" t="n"/>
      <c r="M39" s="89">
        <f>'VALOR POR PL'!L36</f>
        <v/>
      </c>
      <c r="N39" s="89">
        <f>IF('VALOR POR PL'!I36="DIRETO",'VALOR POR PL'!L36,0)</f>
        <v/>
      </c>
    </row>
    <row r="40" ht="16.2" customHeight="1">
      <c r="B40" s="82">
        <f>'VALOR POR PL'!C37</f>
        <v/>
      </c>
      <c r="C40" s="83">
        <f>'VALOR POR PL'!D37</f>
        <v/>
      </c>
      <c r="D40" s="84">
        <f>IF(OR('VALOR POR PL'!I37&lt;&gt;"DIRETO",'CP RESUMO'!$C$31=""),"",IFERROR(INDEX('CP RESUMO'!$D$31:$BW$31,MATCH(DATE($D$5,12,1),'CP RESUMO'!$D$4:$BW$4,0))/100,""))</f>
        <v/>
      </c>
      <c r="E40" s="85">
        <f>IF('VALOR POR PL'!I37&lt;&gt;"DIRETO","",'MARCENARIA'!$K$14)</f>
        <v/>
      </c>
      <c r="F40" s="86">
        <f>SUMPRODUCT((YEAR('MARCENARIA'!$B$5:$B$76)=$D$5)*('MARCENARIA'!$C$5:$C$76+'MARCENARIA'!$D$5:$D$76))</f>
        <v/>
      </c>
      <c r="G40" s="86">
        <f>SUMPRODUCT((YEAR('MODELO PARA BI'!$H$1:$CA$1)=$D$5)*'MODELO PARA BI'!$H$25:$CA$25)</f>
        <v/>
      </c>
      <c r="H40" s="86">
        <f>IF(ISNUMBER($G$5),G40*$G$5,0)</f>
        <v/>
      </c>
      <c r="I40" s="84">
        <f>IF($F$53=0,0,F40/$F$53)</f>
        <v/>
      </c>
      <c r="J40" s="84">
        <f>IF('VALOR POR PL'!L37=0,0,SUMPRODUCT(('MARCENARIA'!$B$5:$B$76&lt;=DATE($D$5,12,1))*('MARCENARIA'!$C$5:$C$76+'MARCENARIA'!$D$5:$D$76))/'VALOR POR PL'!L37)</f>
        <v/>
      </c>
      <c r="K40" s="87">
        <f t="array" ref="K40">IF(COUNTIF('CRONOGRAMA ATIVIDADES'!$M$5:$M$3004,B40)=0,"",IF(COUNTIFS('CRONOGRAMA ATIVIDADES'!$M$5:$M$3004,B40,'CRONOGRAMA ATIVIDADES'!$O$5:$O$3004,"CONCLUÍDA")=COUNTIF('CRONOGRAMA ATIVIDADES'!$M$5:$M$3004,B40),"Concluído (todas as "&amp;COUNTIF('CRONOGRAMA ATIVIDADES'!$M$5:$M$3004,B40)&amp;" atividades)",IF(COUNTIFS('CRONOGRAMA ATIVIDADES'!$M$5:$M$3004,B40,'CRONOGRAMA ATIVIDADES'!$O$5:$O$3004,"A INICIAR")=COUNTIF('CRONOGRAMA ATIVIDADES'!$M$5:$M$3004,B40),"Não iniciado · início previsto em "&amp;CHOOSE(MONTH(_xlfn.MINIFS('CRONOGRAMA ATIVIDADES'!$F$5:$F$3004,'CRONOGRAMA ATIVIDADES'!$M$5:$M$3004,B40)),"jan","fev","mar","abr","mai","jun","jul","ago","set","out","nov","dez")&amp;"/"&amp;YEAR(_xlfn.MINIFS('CRONOGRAMA ATIVIDADES'!$F$5:$F$3004,'CRONOGRAMA ATIVIDADES'!$M$5:$M$3004,B40)),_xlfn.TEXTJOIN(" / ",TRUE,IF(('CRONOGRAMA ATIVIDADES'!$S$5:$S$304=B40)*('CRONOGRAMA ATIVIDADES'!$AA$5:$AA$304&lt;&gt;""),'CRONOGRAMA ATIVIDADES'!$AA$5:$AA$304,"")))))</f>
        <v/>
      </c>
      <c r="L40" s="88" t="n"/>
      <c r="M40" s="89">
        <f>'VALOR POR PL'!L37</f>
        <v/>
      </c>
      <c r="N40" s="89">
        <f>IF('VALOR POR PL'!I37="DIRETO",'VALOR POR PL'!L37,0)</f>
        <v/>
      </c>
    </row>
    <row r="41" ht="16.2" customHeight="1">
      <c r="B41" s="90">
        <f>'VALOR POR PL'!C38</f>
        <v/>
      </c>
      <c r="C41" s="91">
        <f>'VALOR POR PL'!D38</f>
        <v/>
      </c>
      <c r="D41" s="92">
        <f>IF(OR('VALOR POR PL'!I38&lt;&gt;"DIRETO",'CP RESUMO'!$C$32=""),"",IFERROR(INDEX('CP RESUMO'!$D$32:$BW$32,MATCH(DATE($D$5,12,1),'CP RESUMO'!$D$4:$BW$4,0))/100,""))</f>
        <v/>
      </c>
      <c r="E41" s="93">
        <f>IF('VALOR POR PL'!I38&lt;&gt;"DIRETO","",'REV. PISOS'!$K$14)</f>
        <v/>
      </c>
      <c r="F41" s="94">
        <f>SUMPRODUCT((YEAR('REV. PISOS'!$B$5:$B$76)=$D$5)*('REV. PISOS'!$C$5:$C$76+'REV. PISOS'!$D$5:$D$76))</f>
        <v/>
      </c>
      <c r="G41" s="94">
        <f>SUMPRODUCT((YEAR('MODELO PARA BI'!$H$1:$CA$1)=$D$5)*'MODELO PARA BI'!$H$33:$CA$33)</f>
        <v/>
      </c>
      <c r="H41" s="94">
        <f>IF(ISNUMBER($G$5),G41*$G$5,0)</f>
        <v/>
      </c>
      <c r="I41" s="92">
        <f>IF($F$53=0,0,F41/$F$53)</f>
        <v/>
      </c>
      <c r="J41" s="92">
        <f>IF('VALOR POR PL'!L38=0,0,SUMPRODUCT(('REV. PISOS'!$B$5:$B$76&lt;=DATE($D$5,12,1))*('REV. PISOS'!$C$5:$C$76+'REV. PISOS'!$D$5:$D$76))/'VALOR POR PL'!L38)</f>
        <v/>
      </c>
      <c r="K41" s="95">
        <f t="array" ref="K41">IF(COUNTIF('CRONOGRAMA ATIVIDADES'!$M$5:$M$3004,B41)=0,"",IF(COUNTIFS('CRONOGRAMA ATIVIDADES'!$M$5:$M$3004,B41,'CRONOGRAMA ATIVIDADES'!$O$5:$O$3004,"CONCLUÍDA")=COUNTIF('CRONOGRAMA ATIVIDADES'!$M$5:$M$3004,B41),"Concluído (todas as "&amp;COUNTIF('CRONOGRAMA ATIVIDADES'!$M$5:$M$3004,B41)&amp;" atividades)",IF(COUNTIFS('CRONOGRAMA ATIVIDADES'!$M$5:$M$3004,B41,'CRONOGRAMA ATIVIDADES'!$O$5:$O$3004,"A INICIAR")=COUNTIF('CRONOGRAMA ATIVIDADES'!$M$5:$M$3004,B41),"Não iniciado · início previsto em "&amp;CHOOSE(MONTH(_xlfn.MINIFS('CRONOGRAMA ATIVIDADES'!$F$5:$F$3004,'CRONOGRAMA ATIVIDADES'!$M$5:$M$3004,B41)),"jan","fev","mar","abr","mai","jun","jul","ago","set","out","nov","dez")&amp;"/"&amp;YEAR(_xlfn.MINIFS('CRONOGRAMA ATIVIDADES'!$F$5:$F$3004,'CRONOGRAMA ATIVIDADES'!$M$5:$M$3004,B41)),_xlfn.TEXTJOIN(" / ",TRUE,IF(('CRONOGRAMA ATIVIDADES'!$S$5:$S$304=B41)*('CRONOGRAMA ATIVIDADES'!$AA$5:$AA$304&lt;&gt;""),'CRONOGRAMA ATIVIDADES'!$AA$5:$AA$304,"")))))</f>
        <v/>
      </c>
      <c r="L41" s="96" t="inlineStr">
        <is>
          <t>ATÉ O 21º PAVIMENTO</t>
        </is>
      </c>
      <c r="M41" s="89">
        <f>'VALOR POR PL'!L38</f>
        <v/>
      </c>
      <c r="N41" s="89">
        <f>IF('VALOR POR PL'!I38="DIRETO",'VALOR POR PL'!L38,0)</f>
        <v/>
      </c>
    </row>
    <row r="42" ht="29.4" customHeight="1">
      <c r="B42" s="82">
        <f>'VALOR POR PL'!C39</f>
        <v/>
      </c>
      <c r="C42" s="83">
        <f>'VALOR POR PL'!D39</f>
        <v/>
      </c>
      <c r="D42" s="84">
        <f>IF(OR('VALOR POR PL'!I39&lt;&gt;"DIRETO",'CP RESUMO'!$C$33=""),"",IFERROR(INDEX('CP RESUMO'!$D$33:$BW$33,MATCH(DATE($D$5,12,1),'CP RESUMO'!$D$4:$BW$4,0))/100,""))</f>
        <v/>
      </c>
      <c r="E42" s="85">
        <f>IF('VALOR POR PL'!I39&lt;&gt;"DIRETO","",'REV. PAREDE'!$K$14)</f>
        <v/>
      </c>
      <c r="F42" s="86">
        <f>SUMPRODUCT((YEAR('REV. PAREDE'!$B$5:$B$76)=$D$5)*('REV. PAREDE'!$C$5:$C$76+'REV. PAREDE'!$D$5:$D$76))</f>
        <v/>
      </c>
      <c r="G42" s="86">
        <f>SUMPRODUCT((YEAR('MODELO PARA BI'!$H$1:$CA$1)=$D$5)*'MODELO PARA BI'!$H$34:$CA$34)</f>
        <v/>
      </c>
      <c r="H42" s="86">
        <f>IF(ISNUMBER($G$5),G42*$G$5,0)</f>
        <v/>
      </c>
      <c r="I42" s="84">
        <f>IF($F$53=0,0,F42/$F$53)</f>
        <v/>
      </c>
      <c r="J42" s="84">
        <f>IF('VALOR POR PL'!L39=0,0,SUMPRODUCT(('REV. PAREDE'!$B$5:$B$76&lt;=DATE($D$5,12,1))*('REV. PAREDE'!$C$5:$C$76+'REV. PAREDE'!$D$5:$D$76))/'VALOR POR PL'!L39)</f>
        <v/>
      </c>
      <c r="K42" s="87">
        <f t="array" ref="K42">IF(COUNTIF('CRONOGRAMA ATIVIDADES'!$M$5:$M$3004,B42)=0,"",IF(COUNTIFS('CRONOGRAMA ATIVIDADES'!$M$5:$M$3004,B42,'CRONOGRAMA ATIVIDADES'!$O$5:$O$3004,"CONCLUÍDA")=COUNTIF('CRONOGRAMA ATIVIDADES'!$M$5:$M$3004,B42),"Concluído (todas as "&amp;COUNTIF('CRONOGRAMA ATIVIDADES'!$M$5:$M$3004,B42)&amp;" atividades)",IF(COUNTIFS('CRONOGRAMA ATIVIDADES'!$M$5:$M$3004,B42,'CRONOGRAMA ATIVIDADES'!$O$5:$O$3004,"A INICIAR")=COUNTIF('CRONOGRAMA ATIVIDADES'!$M$5:$M$3004,B42),"Não iniciado · início previsto em "&amp;CHOOSE(MONTH(_xlfn.MINIFS('CRONOGRAMA ATIVIDADES'!$F$5:$F$3004,'CRONOGRAMA ATIVIDADES'!$M$5:$M$3004,B42)),"jan","fev","mar","abr","mai","jun","jul","ago","set","out","nov","dez")&amp;"/"&amp;YEAR(_xlfn.MINIFS('CRONOGRAMA ATIVIDADES'!$F$5:$F$3004,'CRONOGRAMA ATIVIDADES'!$M$5:$M$3004,B42)),_xlfn.TEXTJOIN(" / ",TRUE,IF(('CRONOGRAMA ATIVIDADES'!$S$5:$S$304=B42)*('CRONOGRAMA ATIVIDADES'!$AA$5:$AA$304&lt;&gt;""),'CRONOGRAMA ATIVIDADES'!$AA$5:$AA$304,"")))))</f>
        <v/>
      </c>
      <c r="L42" s="88" t="inlineStr">
        <is>
          <t>ATÉ O 23º PAVIMENTO</t>
        </is>
      </c>
      <c r="M42" s="89">
        <f>'VALOR POR PL'!L39</f>
        <v/>
      </c>
      <c r="N42" s="89">
        <f>IF('VALOR POR PL'!I39="DIRETO",'VALOR POR PL'!L39,0)</f>
        <v/>
      </c>
    </row>
    <row r="43" ht="29.4" customHeight="1">
      <c r="B43" s="90">
        <f>'VALOR POR PL'!C40</f>
        <v/>
      </c>
      <c r="C43" s="91">
        <f>'VALOR POR PL'!D40</f>
        <v/>
      </c>
      <c r="D43" s="92">
        <f>IF(OR('VALOR POR PL'!I40&lt;&gt;"DIRETO",'CP RESUMO'!$C$34=""),"",IFERROR(INDEX('CP RESUMO'!$D$34:$BW$34,MATCH(DATE($D$5,12,1),'CP RESUMO'!$D$4:$BW$4,0))/100,""))</f>
        <v/>
      </c>
      <c r="E43" s="93">
        <f>IF('VALOR POR PL'!I40&lt;&gt;"DIRETO","",'REV. ACAB'!$K$14)</f>
        <v/>
      </c>
      <c r="F43" s="94">
        <f>SUMPRODUCT((YEAR('REV. ACAB'!$B$5:$B$76)=$D$5)*('REV. ACAB'!$C$5:$C$76+'REV. ACAB'!$D$5:$D$76))</f>
        <v/>
      </c>
      <c r="G43" s="94">
        <f>SUMPRODUCT((YEAR('MODELO PARA BI'!$H$1:$CA$1)=$D$5)*'MODELO PARA BI'!$H$32:$CA$32)</f>
        <v/>
      </c>
      <c r="H43" s="94">
        <f>IF(ISNUMBER($G$5),G43*$G$5,0)</f>
        <v/>
      </c>
      <c r="I43" s="92">
        <f>IF($F$53=0,0,F43/$F$53)</f>
        <v/>
      </c>
      <c r="J43" s="92">
        <f>IF('VALOR POR PL'!L40=0,0,SUMPRODUCT(('REV. ACAB'!$B$5:$B$76&lt;=DATE($D$5,12,1))*('REV. ACAB'!$C$5:$C$76+'REV. ACAB'!$D$5:$D$76))/'VALOR POR PL'!L40)</f>
        <v/>
      </c>
      <c r="K43" s="95">
        <f t="array" ref="K43">IF(COUNTIF('CRONOGRAMA ATIVIDADES'!$M$5:$M$3004,B43)=0,"",IF(COUNTIFS('CRONOGRAMA ATIVIDADES'!$M$5:$M$3004,B43,'CRONOGRAMA ATIVIDADES'!$O$5:$O$3004,"CONCLUÍDA")=COUNTIF('CRONOGRAMA ATIVIDADES'!$M$5:$M$3004,B43),"Concluído (todas as "&amp;COUNTIF('CRONOGRAMA ATIVIDADES'!$M$5:$M$3004,B43)&amp;" atividades)",IF(COUNTIFS('CRONOGRAMA ATIVIDADES'!$M$5:$M$3004,B43,'CRONOGRAMA ATIVIDADES'!$O$5:$O$3004,"A INICIAR")=COUNTIF('CRONOGRAMA ATIVIDADES'!$M$5:$M$3004,B43),"Não iniciado · início previsto em "&amp;CHOOSE(MONTH(_xlfn.MINIFS('CRONOGRAMA ATIVIDADES'!$F$5:$F$3004,'CRONOGRAMA ATIVIDADES'!$M$5:$M$3004,B43)),"jan","fev","mar","abr","mai","jun","jul","ago","set","out","nov","dez")&amp;"/"&amp;YEAR(_xlfn.MINIFS('CRONOGRAMA ATIVIDADES'!$F$5:$F$3004,'CRONOGRAMA ATIVIDADES'!$M$5:$M$3004,B43)),_xlfn.TEXTJOIN(" / ",TRUE,IF(('CRONOGRAMA ATIVIDADES'!$S$5:$S$304=B43)*('CRONOGRAMA ATIVIDADES'!$AA$5:$AA$304&lt;&gt;""),'CRONOGRAMA ATIVIDADES'!$AA$5:$AA$304,"")))))</f>
        <v/>
      </c>
      <c r="L43" s="96" t="inlineStr">
        <is>
          <t>PAREDES - ATÉ O 15º PAVIMENTO / PISOS - ATÉ O 14º PAVIMENTO</t>
        </is>
      </c>
      <c r="M43" s="89">
        <f>'VALOR POR PL'!L40</f>
        <v/>
      </c>
      <c r="N43" s="89">
        <f>IF('VALOR POR PL'!I40="DIRETO",'VALOR POR PL'!L40,0)</f>
        <v/>
      </c>
    </row>
    <row r="44" ht="16.2" customHeight="1">
      <c r="B44" s="82">
        <f>'VALOR POR PL'!C41</f>
        <v/>
      </c>
      <c r="C44" s="83">
        <f>'VALOR POR PL'!D41</f>
        <v/>
      </c>
      <c r="D44" s="84">
        <f>IF(OR('VALOR POR PL'!I41&lt;&gt;"DIRETO",'CP RESUMO'!$C$35=""),"",IFERROR(INDEX('CP RESUMO'!$D$35:$BW$35,MATCH(DATE($D$5,12,1),'CP RESUMO'!$D$4:$BW$4,0))/100,""))</f>
        <v/>
      </c>
      <c r="E44" s="85">
        <f>IF('VALOR POR PL'!I41&lt;&gt;"DIRETO","",'PAVIMENTAÇÃO'!$K$14)</f>
        <v/>
      </c>
      <c r="F44" s="86">
        <f>SUMPRODUCT((YEAR('PAVIMENTAÇÃO'!$B$5:$B$76)=$D$5)*('PAVIMENTAÇÃO'!$C$5:$C$76+'PAVIMENTAÇÃO'!$D$5:$D$76))</f>
        <v/>
      </c>
      <c r="G44" s="86">
        <f>SUMPRODUCT((YEAR('MODELO PARA BI'!$H$1:$CA$1)=$D$5)*'MODELO PARA BI'!$H$27:$CA$27)</f>
        <v/>
      </c>
      <c r="H44" s="86">
        <f>IF(ISNUMBER($G$5),G44*$G$5,0)</f>
        <v/>
      </c>
      <c r="I44" s="84">
        <f>IF($F$53=0,0,F44/$F$53)</f>
        <v/>
      </c>
      <c r="J44" s="84">
        <f>IF('VALOR POR PL'!L41=0,0,SUMPRODUCT(('PAVIMENTAÇÃO'!$B$5:$B$76&lt;=DATE($D$5,12,1))*('PAVIMENTAÇÃO'!$C$5:$C$76+'PAVIMENTAÇÃO'!$D$5:$D$76))/'VALOR POR PL'!L41)</f>
        <v/>
      </c>
      <c r="K44" s="87">
        <f t="array" ref="K44">IF(COUNTIF('CRONOGRAMA ATIVIDADES'!$M$5:$M$3004,B44)=0,"",IF(COUNTIFS('CRONOGRAMA ATIVIDADES'!$M$5:$M$3004,B44,'CRONOGRAMA ATIVIDADES'!$O$5:$O$3004,"CONCLUÍDA")=COUNTIF('CRONOGRAMA ATIVIDADES'!$M$5:$M$3004,B44),"Concluído (todas as "&amp;COUNTIF('CRONOGRAMA ATIVIDADES'!$M$5:$M$3004,B44)&amp;" atividades)",IF(COUNTIFS('CRONOGRAMA ATIVIDADES'!$M$5:$M$3004,B44,'CRONOGRAMA ATIVIDADES'!$O$5:$O$3004,"A INICIAR")=COUNTIF('CRONOGRAMA ATIVIDADES'!$M$5:$M$3004,B44),"Não iniciado · início previsto em "&amp;CHOOSE(MONTH(_xlfn.MINIFS('CRONOGRAMA ATIVIDADES'!$F$5:$F$3004,'CRONOGRAMA ATIVIDADES'!$M$5:$M$3004,B44)),"jan","fev","mar","abr","mai","jun","jul","ago","set","out","nov","dez")&amp;"/"&amp;YEAR(_xlfn.MINIFS('CRONOGRAMA ATIVIDADES'!$F$5:$F$3004,'CRONOGRAMA ATIVIDADES'!$M$5:$M$3004,B44)),_xlfn.TEXTJOIN(" / ",TRUE,IF(('CRONOGRAMA ATIVIDADES'!$S$5:$S$304=B44)*('CRONOGRAMA ATIVIDADES'!$AA$5:$AA$304&lt;&gt;""),'CRONOGRAMA ATIVIDADES'!$AA$5:$AA$304,"")))))</f>
        <v/>
      </c>
      <c r="L44" s="88" t="n"/>
      <c r="M44" s="89">
        <f>'VALOR POR PL'!L41</f>
        <v/>
      </c>
      <c r="N44" s="89">
        <f>IF('VALOR POR PL'!I41="DIRETO",'VALOR POR PL'!L41,0)</f>
        <v/>
      </c>
    </row>
    <row r="45" ht="69" customHeight="1">
      <c r="B45" s="90">
        <f>'VALOR POR PL'!C42</f>
        <v/>
      </c>
      <c r="C45" s="91">
        <f>'VALOR POR PL'!D42</f>
        <v/>
      </c>
      <c r="D45" s="92">
        <f>IF(OR('VALOR POR PL'!I42&lt;&gt;"DIRETO",'CP RESUMO'!$C$36=""),"",IFERROR(INDEX('CP RESUMO'!$D$36:$BW$36,MATCH(DATE($D$5,12,1),'CP RESUMO'!$D$4:$BW$4,0))/100,""))</f>
        <v/>
      </c>
      <c r="E45" s="93">
        <f>IF('VALOR POR PL'!I42&lt;&gt;"DIRETO","",'REV. FACHADA'!$K$14)</f>
        <v/>
      </c>
      <c r="F45" s="94">
        <f>SUMPRODUCT((YEAR('REV. FACHADA'!$B$5:$B$76)=$D$5)*('REV. FACHADA'!$C$5:$C$76+'REV. FACHADA'!$D$5:$D$76))</f>
        <v/>
      </c>
      <c r="G45" s="94">
        <f>SUMPRODUCT((YEAR('MODELO PARA BI'!$H$1:$CA$1)=$D$5)*'MODELO PARA BI'!$H$31:$CA$31)</f>
        <v/>
      </c>
      <c r="H45" s="94">
        <f>IF(ISNUMBER($G$5),G45*$G$5,0)</f>
        <v/>
      </c>
      <c r="I45" s="92">
        <f>IF($F$53=0,0,F45/$F$53)</f>
        <v/>
      </c>
      <c r="J45" s="92">
        <f>IF('VALOR POR PL'!L42=0,0,SUMPRODUCT(('REV. FACHADA'!$B$5:$B$76&lt;=DATE($D$5,12,1))*('REV. FACHADA'!$C$5:$C$76+'REV. FACHADA'!$D$5:$D$76))/'VALOR POR PL'!L42)</f>
        <v/>
      </c>
      <c r="K45" s="95">
        <f t="array" ref="K45">IF(COUNTIF('CRONOGRAMA ATIVIDADES'!$M$5:$M$3004,B45)=0,"",IF(COUNTIFS('CRONOGRAMA ATIVIDADES'!$M$5:$M$3004,B45,'CRONOGRAMA ATIVIDADES'!$O$5:$O$3004,"CONCLUÍDA")=COUNTIF('CRONOGRAMA ATIVIDADES'!$M$5:$M$3004,B45),"Concluído (todas as "&amp;COUNTIF('CRONOGRAMA ATIVIDADES'!$M$5:$M$3004,B45)&amp;" atividades)",IF(COUNTIFS('CRONOGRAMA ATIVIDADES'!$M$5:$M$3004,B45,'CRONOGRAMA ATIVIDADES'!$O$5:$O$3004,"A INICIAR")=COUNTIF('CRONOGRAMA ATIVIDADES'!$M$5:$M$3004,B45),"Não iniciado · início previsto em "&amp;CHOOSE(MONTH(_xlfn.MINIFS('CRONOGRAMA ATIVIDADES'!$F$5:$F$3004,'CRONOGRAMA ATIVIDADES'!$M$5:$M$3004,B45)),"jan","fev","mar","abr","mai","jun","jul","ago","set","out","nov","dez")&amp;"/"&amp;YEAR(_xlfn.MINIFS('CRONOGRAMA ATIVIDADES'!$F$5:$F$3004,'CRONOGRAMA ATIVIDADES'!$M$5:$M$3004,B45)),_xlfn.TEXTJOIN(" / ",TRUE,IF(('CRONOGRAMA ATIVIDADES'!$S$5:$S$304=B45)*('CRONOGRAMA ATIVIDADES'!$AA$5:$AA$304&lt;&gt;""),'CRONOGRAMA ATIVIDADES'!$AA$5:$AA$304,"")))))</f>
        <v/>
      </c>
      <c r="L45" s="96" t="inlineStr">
        <is>
          <t>1ª ETAPA DE FACHADA - 70 % FINAIZADA</t>
        </is>
      </c>
      <c r="M45" s="89">
        <f>'VALOR POR PL'!L42</f>
        <v/>
      </c>
      <c r="N45" s="89">
        <f>IF('VALOR POR PL'!I42="DIRETO",'VALOR POR PL'!L42,0)</f>
        <v/>
      </c>
    </row>
    <row r="46" ht="16.2" customHeight="1">
      <c r="B46" s="82">
        <f>'VALOR POR PL'!C43</f>
        <v/>
      </c>
      <c r="C46" s="83">
        <f>'VALOR POR PL'!D43</f>
        <v/>
      </c>
      <c r="D46" s="84">
        <f>IF(OR('VALOR POR PL'!I43&lt;&gt;"DIRETO",'CP RESUMO'!$C$37=""),"",IFERROR(INDEX('CP RESUMO'!$D$37:$BW$37,MATCH(DATE($D$5,12,1),'CP RESUMO'!$D$4:$BW$4,0))/100,""))</f>
        <v/>
      </c>
      <c r="E46" s="85">
        <f>IF('VALOR POR PL'!I43&lt;&gt;"DIRETO","",'FORRO'!$K$14)</f>
        <v/>
      </c>
      <c r="F46" s="86">
        <f>SUMPRODUCT((YEAR('FORRO'!$B$5:$B$76)=$D$5)*('FORRO'!$C$5:$C$76+'FORRO'!$D$5:$D$76))</f>
        <v/>
      </c>
      <c r="G46" s="86">
        <f>SUMPRODUCT((YEAR('MODELO PARA BI'!$H$1:$CA$1)=$D$5)*'MODELO PARA BI'!$H$14:$CA$14)</f>
        <v/>
      </c>
      <c r="H46" s="86">
        <f>IF(ISNUMBER($G$5),G46*$G$5,0)</f>
        <v/>
      </c>
      <c r="I46" s="84">
        <f>IF($F$53=0,0,F46/$F$53)</f>
        <v/>
      </c>
      <c r="J46" s="84">
        <f>IF('VALOR POR PL'!L43=0,0,SUMPRODUCT(('FORRO'!$B$5:$B$76&lt;=DATE($D$5,12,1))*('FORRO'!$C$5:$C$76+'FORRO'!$D$5:$D$76))/'VALOR POR PL'!L43)</f>
        <v/>
      </c>
      <c r="K46" s="87">
        <f t="array" ref="K46">IF(COUNTIF('CRONOGRAMA ATIVIDADES'!$M$5:$M$3004,B46)=0,"",IF(COUNTIFS('CRONOGRAMA ATIVIDADES'!$M$5:$M$3004,B46,'CRONOGRAMA ATIVIDADES'!$O$5:$O$3004,"CONCLUÍDA")=COUNTIF('CRONOGRAMA ATIVIDADES'!$M$5:$M$3004,B46),"Concluído (todas as "&amp;COUNTIF('CRONOGRAMA ATIVIDADES'!$M$5:$M$3004,B46)&amp;" atividades)",IF(COUNTIFS('CRONOGRAMA ATIVIDADES'!$M$5:$M$3004,B46,'CRONOGRAMA ATIVIDADES'!$O$5:$O$3004,"A INICIAR")=COUNTIF('CRONOGRAMA ATIVIDADES'!$M$5:$M$3004,B46),"Não iniciado · início previsto em "&amp;CHOOSE(MONTH(_xlfn.MINIFS('CRONOGRAMA ATIVIDADES'!$F$5:$F$3004,'CRONOGRAMA ATIVIDADES'!$M$5:$M$3004,B46)),"jan","fev","mar","abr","mai","jun","jul","ago","set","out","nov","dez")&amp;"/"&amp;YEAR(_xlfn.MINIFS('CRONOGRAMA ATIVIDADES'!$F$5:$F$3004,'CRONOGRAMA ATIVIDADES'!$M$5:$M$3004,B46)),_xlfn.TEXTJOIN(" / ",TRUE,IF(('CRONOGRAMA ATIVIDADES'!$S$5:$S$304=B46)*('CRONOGRAMA ATIVIDADES'!$AA$5:$AA$304&lt;&gt;""),'CRONOGRAMA ATIVIDADES'!$AA$5:$AA$304,"")))))</f>
        <v/>
      </c>
      <c r="L46" s="88" t="inlineStr">
        <is>
          <t>ATÉ O 11º PAVIMENTO</t>
        </is>
      </c>
      <c r="M46" s="89">
        <f>'VALOR POR PL'!L43</f>
        <v/>
      </c>
      <c r="N46" s="89">
        <f>IF('VALOR POR PL'!I43="DIRETO",'VALOR POR PL'!L43,0)</f>
        <v/>
      </c>
    </row>
    <row r="47" ht="16.2" customHeight="1">
      <c r="B47" s="90">
        <f>'VALOR POR PL'!C44</f>
        <v/>
      </c>
      <c r="C47" s="91">
        <f>'VALOR POR PL'!D44</f>
        <v/>
      </c>
      <c r="D47" s="92">
        <f>IF(OR('VALOR POR PL'!I44&lt;&gt;"DIRETO",'CP RESUMO'!$C$38=""),"",IFERROR(INDEX('CP RESUMO'!$D$38:$BW$38,MATCH(DATE($D$5,12,1),'CP RESUMO'!$D$4:$BW$4,0))/100,""))</f>
        <v/>
      </c>
      <c r="E47" s="93">
        <f>IF('VALOR POR PL'!I44&lt;&gt;"DIRETO","",'LOUÇAS'!$K$14)</f>
        <v/>
      </c>
      <c r="F47" s="94">
        <f>SUMPRODUCT((YEAR('LOUÇAS'!$B$5:$B$76)=$D$5)*('LOUÇAS'!$C$5:$C$76+'LOUÇAS'!$D$5:$D$76))</f>
        <v/>
      </c>
      <c r="G47" s="94">
        <f>SUMPRODUCT((YEAR('MODELO PARA BI'!$H$1:$CA$1)=$D$5)*'MODELO PARA BI'!$H$23:$CA$23)</f>
        <v/>
      </c>
      <c r="H47" s="94">
        <f>IF(ISNUMBER($G$5),G47*$G$5,0)</f>
        <v/>
      </c>
      <c r="I47" s="92">
        <f>IF($F$53=0,0,F47/$F$53)</f>
        <v/>
      </c>
      <c r="J47" s="92">
        <f>IF('VALOR POR PL'!L44=0,0,SUMPRODUCT(('LOUÇAS'!$B$5:$B$76&lt;=DATE($D$5,12,1))*('LOUÇAS'!$C$5:$C$76+'LOUÇAS'!$D$5:$D$76))/'VALOR POR PL'!L44)</f>
        <v/>
      </c>
      <c r="K47" s="95">
        <f t="array" ref="K47">IF(COUNTIF('CRONOGRAMA ATIVIDADES'!$M$5:$M$3004,B47)=0,"",IF(COUNTIFS('CRONOGRAMA ATIVIDADES'!$M$5:$M$3004,B47,'CRONOGRAMA ATIVIDADES'!$O$5:$O$3004,"CONCLUÍDA")=COUNTIF('CRONOGRAMA ATIVIDADES'!$M$5:$M$3004,B47),"Concluído (todas as "&amp;COUNTIF('CRONOGRAMA ATIVIDADES'!$M$5:$M$3004,B47)&amp;" atividades)",IF(COUNTIFS('CRONOGRAMA ATIVIDADES'!$M$5:$M$3004,B47,'CRONOGRAMA ATIVIDADES'!$O$5:$O$3004,"A INICIAR")=COUNTIF('CRONOGRAMA ATIVIDADES'!$M$5:$M$3004,B47),"Não iniciado · início previsto em "&amp;CHOOSE(MONTH(_xlfn.MINIFS('CRONOGRAMA ATIVIDADES'!$F$5:$F$3004,'CRONOGRAMA ATIVIDADES'!$M$5:$M$3004,B47)),"jan","fev","mar","abr","mai","jun","jul","ago","set","out","nov","dez")&amp;"/"&amp;YEAR(_xlfn.MINIFS('CRONOGRAMA ATIVIDADES'!$F$5:$F$3004,'CRONOGRAMA ATIVIDADES'!$M$5:$M$3004,B47)),_xlfn.TEXTJOIN(" / ",TRUE,IF(('CRONOGRAMA ATIVIDADES'!$S$5:$S$304=B47)*('CRONOGRAMA ATIVIDADES'!$AA$5:$AA$304&lt;&gt;""),'CRONOGRAMA ATIVIDADES'!$AA$5:$AA$304,"")))))</f>
        <v/>
      </c>
      <c r="L47" s="96" t="n"/>
      <c r="M47" s="89">
        <f>'VALOR POR PL'!L44</f>
        <v/>
      </c>
      <c r="N47" s="89">
        <f>IF('VALOR POR PL'!I44="DIRETO",'VALOR POR PL'!L44,0)</f>
        <v/>
      </c>
    </row>
    <row r="48" ht="16.2" customHeight="1">
      <c r="B48" s="82">
        <f>'VALOR POR PL'!C45</f>
        <v/>
      </c>
      <c r="C48" s="83">
        <f>'VALOR POR PL'!D45</f>
        <v/>
      </c>
      <c r="D48" s="84">
        <f>IF(OR('VALOR POR PL'!I45&lt;&gt;"DIRETO",'CP RESUMO'!$C$39=""),"",IFERROR(INDEX('CP RESUMO'!$D$39:$BW$39,MATCH(DATE($D$5,12,1),'CP RESUMO'!$D$4:$BW$4,0))/100,""))</f>
        <v/>
      </c>
      <c r="E48" s="85">
        <f>IF('VALOR POR PL'!I45&lt;&gt;"DIRETO","",'PINTURA'!$K$14)</f>
        <v/>
      </c>
      <c r="F48" s="86">
        <f>SUMPRODUCT((YEAR('PINTURA'!$B$5:$B$76)=$D$5)*('PINTURA'!$C$5:$C$76+'PINTURA'!$D$5:$D$76))</f>
        <v/>
      </c>
      <c r="G48" s="86">
        <f>SUMPRODUCT((YEAR('MODELO PARA BI'!$H$1:$CA$1)=$D$5)*'MODELO PARA BI'!$H$28:$CA$28)</f>
        <v/>
      </c>
      <c r="H48" s="86">
        <f>IF(ISNUMBER($G$5),G48*$G$5,0)</f>
        <v/>
      </c>
      <c r="I48" s="84">
        <f>IF($F$53=0,0,F48/$F$53)</f>
        <v/>
      </c>
      <c r="J48" s="84">
        <f>IF('VALOR POR PL'!L45=0,0,SUMPRODUCT(('PINTURA'!$B$5:$B$76&lt;=DATE($D$5,12,1))*('PINTURA'!$C$5:$C$76+'PINTURA'!$D$5:$D$76))/'VALOR POR PL'!L45)</f>
        <v/>
      </c>
      <c r="K48" s="87">
        <f t="array" ref="K48">IF(COUNTIF('CRONOGRAMA ATIVIDADES'!$M$5:$M$3004,B48)=0,"",IF(COUNTIFS('CRONOGRAMA ATIVIDADES'!$M$5:$M$3004,B48,'CRONOGRAMA ATIVIDADES'!$O$5:$O$3004,"CONCLUÍDA")=COUNTIF('CRONOGRAMA ATIVIDADES'!$M$5:$M$3004,B48),"Concluído (todas as "&amp;COUNTIF('CRONOGRAMA ATIVIDADES'!$M$5:$M$3004,B48)&amp;" atividades)",IF(COUNTIFS('CRONOGRAMA ATIVIDADES'!$M$5:$M$3004,B48,'CRONOGRAMA ATIVIDADES'!$O$5:$O$3004,"A INICIAR")=COUNTIF('CRONOGRAMA ATIVIDADES'!$M$5:$M$3004,B48),"Não iniciado · início previsto em "&amp;CHOOSE(MONTH(_xlfn.MINIFS('CRONOGRAMA ATIVIDADES'!$F$5:$F$3004,'CRONOGRAMA ATIVIDADES'!$M$5:$M$3004,B48)),"jan","fev","mar","abr","mai","jun","jul","ago","set","out","nov","dez")&amp;"/"&amp;YEAR(_xlfn.MINIFS('CRONOGRAMA ATIVIDADES'!$F$5:$F$3004,'CRONOGRAMA ATIVIDADES'!$M$5:$M$3004,B48)),_xlfn.TEXTJOIN(" / ",TRUE,IF(('CRONOGRAMA ATIVIDADES'!$S$5:$S$304=B48)*('CRONOGRAMA ATIVIDADES'!$AA$5:$AA$304&lt;&gt;""),'CRONOGRAMA ATIVIDADES'!$AA$5:$AA$304,"")))))</f>
        <v/>
      </c>
      <c r="L48" s="88" t="inlineStr">
        <is>
          <t>TRATAMENTO DE CONCRETO APARENTE</t>
        </is>
      </c>
      <c r="M48" s="89">
        <f>'VALOR POR PL'!L45</f>
        <v/>
      </c>
      <c r="N48" s="89">
        <f>IF('VALOR POR PL'!I45="DIRETO",'VALOR POR PL'!L45,0)</f>
        <v/>
      </c>
    </row>
    <row r="49" ht="16.2" customHeight="1">
      <c r="B49" s="90">
        <f>'VALOR POR PL'!C46</f>
        <v/>
      </c>
      <c r="C49" s="91">
        <f>'VALOR POR PL'!D46</f>
        <v/>
      </c>
      <c r="D49" s="92">
        <f>IF(OR('VALOR POR PL'!I46&lt;&gt;"DIRETO",'CP RESUMO'!$C$40=""),"",IFERROR(INDEX('CP RESUMO'!$D$40:$BW$40,MATCH(DATE($D$5,12,1),'CP RESUMO'!$D$4:$BW$4,0))/100,""))</f>
        <v/>
      </c>
      <c r="E49" s="93">
        <f>IF('VALOR POR PL'!I46&lt;&gt;"DIRETO","",'PAISAGISMO'!$K$14)</f>
        <v/>
      </c>
      <c r="F49" s="94">
        <f>SUMPRODUCT((YEAR('PAISAGISMO'!$B$5:$B$76)=$D$5)*('PAISAGISMO'!$C$5:$C$76+'PAISAGISMO'!$D$5:$D$76))</f>
        <v/>
      </c>
      <c r="G49" s="94">
        <f>SUMPRODUCT((YEAR('MODELO PARA BI'!$H$1:$CA$1)=$D$5)*'MODELO PARA BI'!$H$26:$CA$26)</f>
        <v/>
      </c>
      <c r="H49" s="94">
        <f>IF(ISNUMBER($G$5),G49*$G$5,0)</f>
        <v/>
      </c>
      <c r="I49" s="92">
        <f>IF($F$53=0,0,F49/$F$53)</f>
        <v/>
      </c>
      <c r="J49" s="92">
        <f>IF('VALOR POR PL'!L46=0,0,SUMPRODUCT(('PAISAGISMO'!$B$5:$B$76&lt;=DATE($D$5,12,1))*('PAISAGISMO'!$C$5:$C$76+'PAISAGISMO'!$D$5:$D$76))/'VALOR POR PL'!L46)</f>
        <v/>
      </c>
      <c r="K49" s="95">
        <f t="array" ref="K49">IF(COUNTIF('CRONOGRAMA ATIVIDADES'!$M$5:$M$3004,B49)=0,"",IF(COUNTIFS('CRONOGRAMA ATIVIDADES'!$M$5:$M$3004,B49,'CRONOGRAMA ATIVIDADES'!$O$5:$O$3004,"CONCLUÍDA")=COUNTIF('CRONOGRAMA ATIVIDADES'!$M$5:$M$3004,B49),"Concluído (todas as "&amp;COUNTIF('CRONOGRAMA ATIVIDADES'!$M$5:$M$3004,B49)&amp;" atividades)",IF(COUNTIFS('CRONOGRAMA ATIVIDADES'!$M$5:$M$3004,B49,'CRONOGRAMA ATIVIDADES'!$O$5:$O$3004,"A INICIAR")=COUNTIF('CRONOGRAMA ATIVIDADES'!$M$5:$M$3004,B49),"Não iniciado · início previsto em "&amp;CHOOSE(MONTH(_xlfn.MINIFS('CRONOGRAMA ATIVIDADES'!$F$5:$F$3004,'CRONOGRAMA ATIVIDADES'!$M$5:$M$3004,B49)),"jan","fev","mar","abr","mai","jun","jul","ago","set","out","nov","dez")&amp;"/"&amp;YEAR(_xlfn.MINIFS('CRONOGRAMA ATIVIDADES'!$F$5:$F$3004,'CRONOGRAMA ATIVIDADES'!$M$5:$M$3004,B49)),_xlfn.TEXTJOIN(" / ",TRUE,IF(('CRONOGRAMA ATIVIDADES'!$S$5:$S$304=B49)*('CRONOGRAMA ATIVIDADES'!$AA$5:$AA$304&lt;&gt;""),'CRONOGRAMA ATIVIDADES'!$AA$5:$AA$304,"")))))</f>
        <v/>
      </c>
      <c r="L49" s="96" t="n"/>
      <c r="M49" s="89">
        <f>'VALOR POR PL'!L46</f>
        <v/>
      </c>
      <c r="N49" s="89">
        <f>IF('VALOR POR PL'!I46="DIRETO",'VALOR POR PL'!L46,0)</f>
        <v/>
      </c>
    </row>
    <row r="50" ht="16.2" customHeight="1">
      <c r="B50" s="82">
        <f>'VALOR POR PL'!C47</f>
        <v/>
      </c>
      <c r="C50" s="83">
        <f>'VALOR POR PL'!D47</f>
        <v/>
      </c>
      <c r="D50" s="84">
        <f>IF(OR('VALOR POR PL'!I47&lt;&gt;"DIRETO",'CP RESUMO'!$C$41=""),"",IFERROR(INDEX('CP RESUMO'!$D$41:$BW$41,MATCH(DATE($D$5,12,1),'CP RESUMO'!$D$4:$BW$4,0))/100,""))</f>
        <v/>
      </c>
      <c r="E50" s="85">
        <f>IF('VALOR POR PL'!I47&lt;&gt;"DIRETO","",'LIMPEZA'!$K$14)</f>
        <v/>
      </c>
      <c r="F50" s="86">
        <f>SUMPRODUCT((YEAR('LIMPEZA'!$B$5:$B$76)=$D$5)*('LIMPEZA'!$C$5:$C$76+'LIMPEZA'!$D$5:$D$76))</f>
        <v/>
      </c>
      <c r="G50" s="86">
        <f>SUMPRODUCT((YEAR('MODELO PARA BI'!$H$1:$CA$1)=$D$5)*'MODELO PARA BI'!$H$24:$CA$24)</f>
        <v/>
      </c>
      <c r="H50" s="86">
        <f>IF(ISNUMBER($G$5),G50*$G$5,0)</f>
        <v/>
      </c>
      <c r="I50" s="84">
        <f>IF($F$53=0,0,F50/$F$53)</f>
        <v/>
      </c>
      <c r="J50" s="84">
        <f>IF('VALOR POR PL'!L47=0,0,SUMPRODUCT(('LIMPEZA'!$B$5:$B$76&lt;=DATE($D$5,12,1))*('LIMPEZA'!$C$5:$C$76+'LIMPEZA'!$D$5:$D$76))/'VALOR POR PL'!L47)</f>
        <v/>
      </c>
      <c r="K50" s="87">
        <f t="array" ref="K50">IF(COUNTIF('CRONOGRAMA ATIVIDADES'!$M$5:$M$3004,B50)=0,"",IF(COUNTIFS('CRONOGRAMA ATIVIDADES'!$M$5:$M$3004,B50,'CRONOGRAMA ATIVIDADES'!$O$5:$O$3004,"CONCLUÍDA")=COUNTIF('CRONOGRAMA ATIVIDADES'!$M$5:$M$3004,B50),"Concluído (todas as "&amp;COUNTIF('CRONOGRAMA ATIVIDADES'!$M$5:$M$3004,B50)&amp;" atividades)",IF(COUNTIFS('CRONOGRAMA ATIVIDADES'!$M$5:$M$3004,B50,'CRONOGRAMA ATIVIDADES'!$O$5:$O$3004,"A INICIAR")=COUNTIF('CRONOGRAMA ATIVIDADES'!$M$5:$M$3004,B50),"Não iniciado · início previsto em "&amp;CHOOSE(MONTH(_xlfn.MINIFS('CRONOGRAMA ATIVIDADES'!$F$5:$F$3004,'CRONOGRAMA ATIVIDADES'!$M$5:$M$3004,B50)),"jan","fev","mar","abr","mai","jun","jul","ago","set","out","nov","dez")&amp;"/"&amp;YEAR(_xlfn.MINIFS('CRONOGRAMA ATIVIDADES'!$F$5:$F$3004,'CRONOGRAMA ATIVIDADES'!$M$5:$M$3004,B50)),_xlfn.TEXTJOIN(" / ",TRUE,IF(('CRONOGRAMA ATIVIDADES'!$S$5:$S$304=B50)*('CRONOGRAMA ATIVIDADES'!$AA$5:$AA$304&lt;&gt;""),'CRONOGRAMA ATIVIDADES'!$AA$5:$AA$304,"")))))</f>
        <v/>
      </c>
      <c r="L50" s="88" t="n"/>
      <c r="M50" s="89">
        <f>'VALOR POR PL'!L47</f>
        <v/>
      </c>
      <c r="N50" s="89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2">
        <f>F23+F29+SUM(F30:F50)</f>
        <v/>
      </c>
      <c r="G51" s="102">
        <f>G23+G29+SUM(G30:G50)</f>
        <v/>
      </c>
      <c r="H51" s="102">
        <f>H23+H29+SUM(H30:H50)</f>
        <v/>
      </c>
      <c r="I51" s="103">
        <f>IF($F$53=0,0,F51/$F$53)</f>
        <v/>
      </c>
      <c r="J51" s="33" t="n"/>
      <c r="K51" s="33" t="n"/>
      <c r="L51" s="33" t="n"/>
    </row>
    <row r="52" ht="20" customHeight="1">
      <c r="B52" s="104">
        <f>'VALOR POR PL'!C48</f>
        <v/>
      </c>
      <c r="C52" s="104">
        <f>'VALOR POR PL'!D48</f>
        <v/>
      </c>
      <c r="D52" s="104" t="n"/>
      <c r="E52" s="104" t="n"/>
      <c r="F52" s="105">
        <f>SUMPRODUCT((YEAR('TAX. ADM'!$B$5:$B$76)=$D$5)*('TAX. ADM'!$C$5:$C$76+'TAX. ADM'!$D$5:$D$76))</f>
        <v/>
      </c>
      <c r="G52" s="105">
        <f>SUMPRODUCT((YEAR('MODELO PARA BI'!$H$1:$CA$1)=$D$5)*'MODELO PARA BI'!$H$43:$CA$43)</f>
        <v/>
      </c>
      <c r="H52" s="105">
        <f>IF(ISNUMBER($G$5),G52*$G$5,0)</f>
        <v/>
      </c>
      <c r="I52" s="106">
        <f>IF($F$53=0,0,F52/$F$53)</f>
        <v/>
      </c>
      <c r="J52" s="104" t="n"/>
      <c r="K52" s="104" t="n"/>
      <c r="L52" s="104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2">
        <f>F51+F52</f>
        <v/>
      </c>
      <c r="G53" s="102">
        <f>G51+G52</f>
        <v/>
      </c>
      <c r="H53" s="102">
        <f>H51+H52</f>
        <v/>
      </c>
      <c r="I53" s="103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07">
        <f>'VALOR POR PL'!$P$6</f>
        <v/>
      </c>
      <c r="I1" s="107">
        <f>DATE(YEAR(H1),MONTH(H1)+1,1)</f>
        <v/>
      </c>
      <c r="J1" s="107">
        <f>DATE(YEAR(I1),MONTH(I1)+1,1)</f>
        <v/>
      </c>
      <c r="K1" s="107">
        <f>DATE(YEAR(J1),MONTH(J1)+1,1)</f>
        <v/>
      </c>
      <c r="L1" s="107">
        <f>DATE(YEAR(K1),MONTH(K1)+1,1)</f>
        <v/>
      </c>
      <c r="M1" s="107">
        <f>DATE(YEAR(L1),MONTH(L1)+1,1)</f>
        <v/>
      </c>
      <c r="N1" s="107">
        <f>DATE(YEAR(M1),MONTH(M1)+1,1)</f>
        <v/>
      </c>
      <c r="O1" s="107">
        <f>DATE(YEAR(N1),MONTH(N1)+1,1)</f>
        <v/>
      </c>
      <c r="P1" s="107">
        <f>DATE(YEAR(O1),MONTH(O1)+1,1)</f>
        <v/>
      </c>
      <c r="Q1" s="107">
        <f>DATE(YEAR(P1),MONTH(P1)+1,1)</f>
        <v/>
      </c>
      <c r="R1" s="107">
        <f>DATE(YEAR(Q1),MONTH(Q1)+1,1)</f>
        <v/>
      </c>
      <c r="S1" s="107">
        <f>DATE(YEAR(R1),MONTH(R1)+1,1)</f>
        <v/>
      </c>
      <c r="T1" s="107">
        <f>DATE(YEAR(S1),MONTH(S1)+1,1)</f>
        <v/>
      </c>
      <c r="U1" s="107">
        <f>DATE(YEAR(T1),MONTH(T1)+1,1)</f>
        <v/>
      </c>
      <c r="V1" s="107">
        <f>DATE(YEAR(U1),MONTH(U1)+1,1)</f>
        <v/>
      </c>
      <c r="W1" s="107">
        <f>DATE(YEAR(V1),MONTH(V1)+1,1)</f>
        <v/>
      </c>
      <c r="X1" s="107">
        <f>DATE(YEAR(W1),MONTH(W1)+1,1)</f>
        <v/>
      </c>
      <c r="Y1" s="107">
        <f>DATE(YEAR(X1),MONTH(X1)+1,1)</f>
        <v/>
      </c>
      <c r="Z1" s="107">
        <f>DATE(YEAR(Y1),MONTH(Y1)+1,1)</f>
        <v/>
      </c>
      <c r="AA1" s="107">
        <f>DATE(YEAR(Z1),MONTH(Z1)+1,1)</f>
        <v/>
      </c>
      <c r="AB1" s="107">
        <f>DATE(YEAR(AA1),MONTH(AA1)+1,1)</f>
        <v/>
      </c>
      <c r="AC1" s="107">
        <f>DATE(YEAR(AB1),MONTH(AB1)+1,1)</f>
        <v/>
      </c>
      <c r="AD1" s="107">
        <f>DATE(YEAR(AC1),MONTH(AC1)+1,1)</f>
        <v/>
      </c>
      <c r="AE1" s="107">
        <f>DATE(YEAR(AD1),MONTH(AD1)+1,1)</f>
        <v/>
      </c>
      <c r="AF1" s="107">
        <f>DATE(YEAR(AE1),MONTH(AE1)+1,1)</f>
        <v/>
      </c>
      <c r="AG1" s="107">
        <f>DATE(YEAR(AF1),MONTH(AF1)+1,1)</f>
        <v/>
      </c>
      <c r="AH1" s="107">
        <f>DATE(YEAR(AG1),MONTH(AG1)+1,1)</f>
        <v/>
      </c>
      <c r="AI1" s="107">
        <f>DATE(YEAR(AH1),MONTH(AH1)+1,1)</f>
        <v/>
      </c>
      <c r="AJ1" s="107">
        <f>DATE(YEAR(AI1),MONTH(AI1)+1,1)</f>
        <v/>
      </c>
      <c r="AK1" s="107">
        <f>DATE(YEAR(AJ1),MONTH(AJ1)+1,1)</f>
        <v/>
      </c>
      <c r="AL1" s="107">
        <f>DATE(YEAR(AK1),MONTH(AK1)+1,1)</f>
        <v/>
      </c>
      <c r="AM1" s="107">
        <f>DATE(YEAR(AL1),MONTH(AL1)+1,1)</f>
        <v/>
      </c>
      <c r="AN1" s="107">
        <f>DATE(YEAR(AM1),MONTH(AM1)+1,1)</f>
        <v/>
      </c>
      <c r="AO1" s="107">
        <f>DATE(YEAR(AN1),MONTH(AN1)+1,1)</f>
        <v/>
      </c>
      <c r="AP1" s="107">
        <f>DATE(YEAR(AO1),MONTH(AO1)+1,1)</f>
        <v/>
      </c>
      <c r="AQ1" s="107">
        <f>DATE(YEAR(AP1),MONTH(AP1)+1,1)</f>
        <v/>
      </c>
      <c r="AR1" s="107">
        <f>DATE(YEAR(AQ1),MONTH(AQ1)+1,1)</f>
        <v/>
      </c>
      <c r="AS1" s="107">
        <f>DATE(YEAR(AR1),MONTH(AR1)+1,1)</f>
        <v/>
      </c>
      <c r="AT1" s="107">
        <f>DATE(YEAR(AS1),MONTH(AS1)+1,1)</f>
        <v/>
      </c>
      <c r="AU1" s="107">
        <f>DATE(YEAR(AT1),MONTH(AT1)+1,1)</f>
        <v/>
      </c>
      <c r="AV1" s="107">
        <f>DATE(YEAR(AU1),MONTH(AU1)+1,1)</f>
        <v/>
      </c>
      <c r="AW1" s="107">
        <f>DATE(YEAR(AV1),MONTH(AV1)+1,1)</f>
        <v/>
      </c>
      <c r="AX1" s="107">
        <f>DATE(YEAR(AW1),MONTH(AW1)+1,1)</f>
        <v/>
      </c>
      <c r="AY1" s="107">
        <f>DATE(YEAR(AX1),MONTH(AX1)+1,1)</f>
        <v/>
      </c>
      <c r="AZ1" s="107">
        <f>DATE(YEAR(AY1),MONTH(AY1)+1,1)</f>
        <v/>
      </c>
      <c r="BA1" s="107">
        <f>DATE(YEAR(AZ1),MONTH(AZ1)+1,1)</f>
        <v/>
      </c>
      <c r="BB1" s="107">
        <f>DATE(YEAR(BA1),MONTH(BA1)+1,1)</f>
        <v/>
      </c>
      <c r="BC1" s="107">
        <f>DATE(YEAR(BB1),MONTH(BB1)+1,1)</f>
        <v/>
      </c>
      <c r="BD1" s="107">
        <f>DATE(YEAR(BC1),MONTH(BC1)+1,1)</f>
        <v/>
      </c>
      <c r="BE1" s="107">
        <f>DATE(YEAR(BD1),MONTH(BD1)+1,1)</f>
        <v/>
      </c>
      <c r="BF1" s="107">
        <f>DATE(YEAR(BE1),MONTH(BE1)+1,1)</f>
        <v/>
      </c>
      <c r="BG1" s="107">
        <f>DATE(YEAR(BF1),MONTH(BF1)+1,1)</f>
        <v/>
      </c>
      <c r="BH1" s="107">
        <f>DATE(YEAR(BG1),MONTH(BG1)+1,1)</f>
        <v/>
      </c>
      <c r="BI1" s="107">
        <f>DATE(YEAR(BH1),MONTH(BH1)+1,1)</f>
        <v/>
      </c>
      <c r="BJ1" s="107">
        <f>DATE(YEAR(BI1),MONTH(BI1)+1,1)</f>
        <v/>
      </c>
      <c r="BK1" s="107">
        <f>DATE(YEAR(BJ1),MONTH(BJ1)+1,1)</f>
        <v/>
      </c>
      <c r="BL1" s="107">
        <f>DATE(YEAR(BK1),MONTH(BK1)+1,1)</f>
        <v/>
      </c>
      <c r="BM1" s="107">
        <f>DATE(YEAR(BL1),MONTH(BL1)+1,1)</f>
        <v/>
      </c>
      <c r="BN1" s="107">
        <f>DATE(YEAR(BM1),MONTH(BM1)+1,1)</f>
        <v/>
      </c>
      <c r="BO1" s="107">
        <f>DATE(YEAR(BN1),MONTH(BN1)+1,1)</f>
        <v/>
      </c>
      <c r="BP1" s="107">
        <f>DATE(YEAR(BO1),MONTH(BO1)+1,1)</f>
        <v/>
      </c>
      <c r="BQ1" s="107">
        <f>DATE(YEAR(BP1),MONTH(BP1)+1,1)</f>
        <v/>
      </c>
      <c r="BR1" s="107">
        <f>DATE(YEAR(BQ1),MONTH(BQ1)+1,1)</f>
        <v/>
      </c>
      <c r="BS1" s="107">
        <f>DATE(YEAR(BR1),MONTH(BR1)+1,1)</f>
        <v/>
      </c>
      <c r="BT1" s="107">
        <f>DATE(YEAR(BS1),MONTH(BS1)+1,1)</f>
        <v/>
      </c>
      <c r="BU1" s="107">
        <f>DATE(YEAR(BT1),MONTH(BT1)+1,1)</f>
        <v/>
      </c>
      <c r="BV1" s="107">
        <f>DATE(YEAR(BU1),MONTH(BU1)+1,1)</f>
        <v/>
      </c>
      <c r="BW1" s="107">
        <f>DATE(YEAR(BV1),MONTH(BV1)+1,1)</f>
        <v/>
      </c>
      <c r="BX1" s="107">
        <f>DATE(YEAR(BW1),MONTH(BW1)+1,1)</f>
        <v/>
      </c>
      <c r="BY1" s="107">
        <f>DATE(YEAR(BX1),MONTH(BX1)+1,1)</f>
        <v/>
      </c>
      <c r="BZ1" s="107">
        <f>DATE(YEAR(BY1),MONTH(BY1)+1,1)</f>
        <v/>
      </c>
      <c r="CA1" s="107">
        <f>DATE(YEAR(BZ1),MONTH(BZ1)+1,1)</f>
        <v/>
      </c>
    </row>
    <row r="2">
      <c r="A2" s="59" t="inlineStr">
        <is>
          <t>G041.002</t>
        </is>
      </c>
      <c r="B2" s="59" t="inlineStr">
        <is>
          <t>1030-1070-280</t>
        </is>
      </c>
      <c r="C2" s="59" t="inlineStr">
        <is>
          <t>ALVENARIA</t>
        </is>
      </c>
      <c r="D2" s="62">
        <f>'ALVENARIA'!$K$5</f>
        <v/>
      </c>
      <c r="E2" s="49">
        <f>SUM(H2:CA2)</f>
        <v/>
      </c>
      <c r="F2" s="49">
        <f>IF(D2="","",D2-E2)</f>
        <v/>
      </c>
      <c r="H2" s="89">
        <f>'ALVENARIA'!E5</f>
        <v/>
      </c>
      <c r="I2" s="89">
        <f>'ALVENARIA'!E6</f>
        <v/>
      </c>
      <c r="J2" s="89">
        <f>'ALVENARIA'!E7</f>
        <v/>
      </c>
      <c r="K2" s="89">
        <f>'ALVENARIA'!E8</f>
        <v/>
      </c>
      <c r="L2" s="89">
        <f>'ALVENARIA'!E9</f>
        <v/>
      </c>
      <c r="M2" s="89">
        <f>'ALVENARIA'!E10</f>
        <v/>
      </c>
      <c r="N2" s="89">
        <f>'ALVENARIA'!E11</f>
        <v/>
      </c>
      <c r="O2" s="89">
        <f>'ALVENARIA'!E12</f>
        <v/>
      </c>
      <c r="P2" s="89">
        <f>'ALVENARIA'!E13</f>
        <v/>
      </c>
      <c r="Q2" s="89">
        <f>'ALVENARIA'!E14</f>
        <v/>
      </c>
      <c r="R2" s="89">
        <f>'ALVENARIA'!E15</f>
        <v/>
      </c>
      <c r="S2" s="89">
        <f>'ALVENARIA'!E16</f>
        <v/>
      </c>
      <c r="T2" s="89">
        <f>'ALVENARIA'!E17</f>
        <v/>
      </c>
      <c r="U2" s="89">
        <f>'ALVENARIA'!E18</f>
        <v/>
      </c>
      <c r="V2" s="89">
        <f>'ALVENARIA'!E19</f>
        <v/>
      </c>
      <c r="W2" s="89">
        <f>'ALVENARIA'!E20</f>
        <v/>
      </c>
      <c r="X2" s="89">
        <f>'ALVENARIA'!E21</f>
        <v/>
      </c>
      <c r="Y2" s="89">
        <f>'ALVENARIA'!E22</f>
        <v/>
      </c>
      <c r="Z2" s="89">
        <f>'ALVENARIA'!E23</f>
        <v/>
      </c>
      <c r="AA2" s="89">
        <f>'ALVENARIA'!E24</f>
        <v/>
      </c>
      <c r="AB2" s="89">
        <f>'ALVENARIA'!E25</f>
        <v/>
      </c>
      <c r="AC2" s="89">
        <f>'ALVENARIA'!E26</f>
        <v/>
      </c>
      <c r="AD2" s="89">
        <f>'ALVENARIA'!E27</f>
        <v/>
      </c>
      <c r="AE2" s="89">
        <f>'ALVENARIA'!E28</f>
        <v/>
      </c>
      <c r="AF2" s="89">
        <f>'ALVENARIA'!E29</f>
        <v/>
      </c>
      <c r="AG2" s="89">
        <f>'ALVENARIA'!E30</f>
        <v/>
      </c>
      <c r="AH2" s="89">
        <f>'ALVENARIA'!E31</f>
        <v/>
      </c>
      <c r="AI2" s="89">
        <f>'ALVENARIA'!E32</f>
        <v/>
      </c>
      <c r="AJ2" s="89">
        <f>'ALVENARIA'!E33</f>
        <v/>
      </c>
      <c r="AK2" s="89">
        <f>'ALVENARIA'!E34</f>
        <v/>
      </c>
      <c r="AL2" s="89">
        <f>'ALVENARIA'!E35</f>
        <v/>
      </c>
      <c r="AM2" s="89">
        <f>'ALVENARIA'!E36</f>
        <v/>
      </c>
      <c r="AN2" s="89">
        <f>'ALVENARIA'!E37</f>
        <v/>
      </c>
      <c r="AO2" s="89">
        <f>'ALVENARIA'!E38</f>
        <v/>
      </c>
      <c r="AP2" s="89">
        <f>'ALVENARIA'!E39</f>
        <v/>
      </c>
      <c r="AQ2" s="89">
        <f>'ALVENARIA'!E40</f>
        <v/>
      </c>
      <c r="AR2" s="89">
        <f>'ALVENARIA'!E41</f>
        <v/>
      </c>
      <c r="AS2" s="89">
        <f>'ALVENARIA'!E42</f>
        <v/>
      </c>
      <c r="AT2" s="89">
        <f>'ALVENARIA'!E43</f>
        <v/>
      </c>
      <c r="AU2" s="89">
        <f>'ALVENARIA'!E44</f>
        <v/>
      </c>
      <c r="AV2" s="89">
        <f>'ALVENARIA'!E45</f>
        <v/>
      </c>
      <c r="AW2" s="89">
        <f>'ALVENARIA'!E46</f>
        <v/>
      </c>
      <c r="AX2" s="89">
        <f>'ALVENARIA'!E47</f>
        <v/>
      </c>
      <c r="AY2" s="89">
        <f>'ALVENARIA'!E48</f>
        <v/>
      </c>
      <c r="AZ2" s="89">
        <f>'ALVENARIA'!E49</f>
        <v/>
      </c>
      <c r="BA2" s="89">
        <f>'ALVENARIA'!E50</f>
        <v/>
      </c>
      <c r="BB2" s="89">
        <f>'ALVENARIA'!E51</f>
        <v/>
      </c>
      <c r="BC2" s="89">
        <f>'ALVENARIA'!E52</f>
        <v/>
      </c>
      <c r="BD2" s="89">
        <f>'ALVENARIA'!E53</f>
        <v/>
      </c>
      <c r="BE2" s="89">
        <f>'ALVENARIA'!E54</f>
        <v/>
      </c>
      <c r="BF2" s="89">
        <f>'ALVENARIA'!E55</f>
        <v/>
      </c>
      <c r="BG2" s="89">
        <f>'ALVENARIA'!E56</f>
        <v/>
      </c>
      <c r="BH2" s="89">
        <f>'ALVENARIA'!E57</f>
        <v/>
      </c>
      <c r="BI2" s="89">
        <f>'ALVENARIA'!E58</f>
        <v/>
      </c>
      <c r="BJ2" s="89">
        <f>'ALVENARIA'!E59</f>
        <v/>
      </c>
      <c r="BK2" s="89">
        <f>'ALVENARIA'!E60</f>
        <v/>
      </c>
      <c r="BL2" s="89">
        <f>'ALVENARIA'!E61</f>
        <v/>
      </c>
      <c r="BM2" s="89">
        <f>'ALVENARIA'!E62</f>
        <v/>
      </c>
      <c r="BN2" s="89">
        <f>'ALVENARIA'!E63</f>
        <v/>
      </c>
      <c r="BO2" s="89">
        <f>'ALVENARIA'!E64</f>
        <v/>
      </c>
      <c r="BP2" s="89">
        <f>'ALVENARIA'!E65</f>
        <v/>
      </c>
      <c r="BQ2" s="89">
        <f>'ALVENARIA'!E66</f>
        <v/>
      </c>
      <c r="BR2" s="89">
        <f>'ALVENARIA'!E67</f>
        <v/>
      </c>
      <c r="BS2" s="89">
        <f>'ALVENARIA'!E68</f>
        <v/>
      </c>
      <c r="BT2" s="89">
        <f>'ALVENARIA'!E69</f>
        <v/>
      </c>
      <c r="BU2" s="89">
        <f>'ALVENARIA'!E70</f>
        <v/>
      </c>
      <c r="BV2" s="89">
        <f>'ALVENARIA'!E71</f>
        <v/>
      </c>
      <c r="BW2" s="89">
        <f>'ALVENARIA'!E72</f>
        <v/>
      </c>
      <c r="BX2" s="89">
        <f>'ALVENARIA'!E73</f>
        <v/>
      </c>
      <c r="BY2" s="89">
        <f>'ALVENARIA'!E74</f>
        <v/>
      </c>
      <c r="BZ2" s="89">
        <f>'ALVENARIA'!E75</f>
        <v/>
      </c>
      <c r="CA2" s="89">
        <f>'ALVENARIA'!E76</f>
        <v/>
      </c>
    </row>
    <row r="3">
      <c r="A3" s="59" t="inlineStr">
        <is>
          <t>G041.002</t>
        </is>
      </c>
      <c r="B3" s="59" t="inlineStr">
        <is>
          <t>1030-1070-140</t>
        </is>
      </c>
      <c r="C3" s="59" t="inlineStr">
        <is>
          <t>BARRACAO DE OBRA</t>
        </is>
      </c>
      <c r="D3" s="62">
        <f>'BARRACÃO DE OBRA'!$K$5</f>
        <v/>
      </c>
      <c r="E3" s="49">
        <f>SUM(H3:CA3)</f>
        <v/>
      </c>
      <c r="F3" s="49">
        <f>IF(D3="","",D3-E3)</f>
        <v/>
      </c>
      <c r="H3" s="89">
        <f>'BARRACÃO DE OBRA'!E5</f>
        <v/>
      </c>
      <c r="I3" s="89">
        <f>'BARRACÃO DE OBRA'!E6</f>
        <v/>
      </c>
      <c r="J3" s="89">
        <f>'BARRACÃO DE OBRA'!E7</f>
        <v/>
      </c>
      <c r="K3" s="89">
        <f>'BARRACÃO DE OBRA'!E8</f>
        <v/>
      </c>
      <c r="L3" s="89">
        <f>'BARRACÃO DE OBRA'!E9</f>
        <v/>
      </c>
      <c r="M3" s="89">
        <f>'BARRACÃO DE OBRA'!E10</f>
        <v/>
      </c>
      <c r="N3" s="89">
        <f>'BARRACÃO DE OBRA'!E11</f>
        <v/>
      </c>
      <c r="O3" s="89">
        <f>'BARRACÃO DE OBRA'!E12</f>
        <v/>
      </c>
      <c r="P3" s="89">
        <f>'BARRACÃO DE OBRA'!E13</f>
        <v/>
      </c>
      <c r="Q3" s="89">
        <f>'BARRACÃO DE OBRA'!E14</f>
        <v/>
      </c>
      <c r="R3" s="89">
        <f>'BARRACÃO DE OBRA'!E15</f>
        <v/>
      </c>
      <c r="S3" s="89">
        <f>'BARRACÃO DE OBRA'!E16</f>
        <v/>
      </c>
      <c r="T3" s="89">
        <f>'BARRACÃO DE OBRA'!E17</f>
        <v/>
      </c>
      <c r="U3" s="89">
        <f>'BARRACÃO DE OBRA'!E18</f>
        <v/>
      </c>
      <c r="V3" s="89">
        <f>'BARRACÃO DE OBRA'!E19</f>
        <v/>
      </c>
      <c r="W3" s="89">
        <f>'BARRACÃO DE OBRA'!E20</f>
        <v/>
      </c>
      <c r="X3" s="89">
        <f>'BARRACÃO DE OBRA'!E21</f>
        <v/>
      </c>
      <c r="Y3" s="89">
        <f>'BARRACÃO DE OBRA'!E22</f>
        <v/>
      </c>
      <c r="Z3" s="89">
        <f>'BARRACÃO DE OBRA'!E23</f>
        <v/>
      </c>
      <c r="AA3" s="89">
        <f>'BARRACÃO DE OBRA'!E24</f>
        <v/>
      </c>
      <c r="AB3" s="89">
        <f>'BARRACÃO DE OBRA'!E25</f>
        <v/>
      </c>
      <c r="AC3" s="89">
        <f>'BARRACÃO DE OBRA'!E26</f>
        <v/>
      </c>
      <c r="AD3" s="89">
        <f>'BARRACÃO DE OBRA'!E27</f>
        <v/>
      </c>
      <c r="AE3" s="89">
        <f>'BARRACÃO DE OBRA'!E28</f>
        <v/>
      </c>
      <c r="AF3" s="89">
        <f>'BARRACÃO DE OBRA'!E29</f>
        <v/>
      </c>
      <c r="AG3" s="89">
        <f>'BARRACÃO DE OBRA'!E30</f>
        <v/>
      </c>
      <c r="AH3" s="89">
        <f>'BARRACÃO DE OBRA'!E31</f>
        <v/>
      </c>
      <c r="AI3" s="89">
        <f>'BARRACÃO DE OBRA'!E32</f>
        <v/>
      </c>
      <c r="AJ3" s="89">
        <f>'BARRACÃO DE OBRA'!E33</f>
        <v/>
      </c>
      <c r="AK3" s="89">
        <f>'BARRACÃO DE OBRA'!E34</f>
        <v/>
      </c>
      <c r="AL3" s="89">
        <f>'BARRACÃO DE OBRA'!E35</f>
        <v/>
      </c>
      <c r="AM3" s="89">
        <f>'BARRACÃO DE OBRA'!E36</f>
        <v/>
      </c>
      <c r="AN3" s="89">
        <f>'BARRACÃO DE OBRA'!E37</f>
        <v/>
      </c>
      <c r="AO3" s="89">
        <f>'BARRACÃO DE OBRA'!E38</f>
        <v/>
      </c>
      <c r="AP3" s="89">
        <f>'BARRACÃO DE OBRA'!E39</f>
        <v/>
      </c>
      <c r="AQ3" s="89">
        <f>'BARRACÃO DE OBRA'!E40</f>
        <v/>
      </c>
      <c r="AR3" s="89">
        <f>'BARRACÃO DE OBRA'!E41</f>
        <v/>
      </c>
      <c r="AS3" s="89">
        <f>'BARRACÃO DE OBRA'!E42</f>
        <v/>
      </c>
      <c r="AT3" s="89">
        <f>'BARRACÃO DE OBRA'!E43</f>
        <v/>
      </c>
      <c r="AU3" s="89">
        <f>'BARRACÃO DE OBRA'!E44</f>
        <v/>
      </c>
      <c r="AV3" s="89">
        <f>'BARRACÃO DE OBRA'!E45</f>
        <v/>
      </c>
      <c r="AW3" s="89">
        <f>'BARRACÃO DE OBRA'!E46</f>
        <v/>
      </c>
      <c r="AX3" s="89">
        <f>'BARRACÃO DE OBRA'!E47</f>
        <v/>
      </c>
      <c r="AY3" s="89">
        <f>'BARRACÃO DE OBRA'!E48</f>
        <v/>
      </c>
      <c r="AZ3" s="89">
        <f>'BARRACÃO DE OBRA'!E49</f>
        <v/>
      </c>
      <c r="BA3" s="89">
        <f>'BARRACÃO DE OBRA'!E50</f>
        <v/>
      </c>
      <c r="BB3" s="89">
        <f>'BARRACÃO DE OBRA'!E51</f>
        <v/>
      </c>
      <c r="BC3" s="89">
        <f>'BARRACÃO DE OBRA'!E52</f>
        <v/>
      </c>
      <c r="BD3" s="89">
        <f>'BARRACÃO DE OBRA'!E53</f>
        <v/>
      </c>
      <c r="BE3" s="89">
        <f>'BARRACÃO DE OBRA'!E54</f>
        <v/>
      </c>
      <c r="BF3" s="89">
        <f>'BARRACÃO DE OBRA'!E55</f>
        <v/>
      </c>
      <c r="BG3" s="89">
        <f>'BARRACÃO DE OBRA'!E56</f>
        <v/>
      </c>
      <c r="BH3" s="89">
        <f>'BARRACÃO DE OBRA'!E57</f>
        <v/>
      </c>
      <c r="BI3" s="89">
        <f>'BARRACÃO DE OBRA'!E58</f>
        <v/>
      </c>
      <c r="BJ3" s="89">
        <f>'BARRACÃO DE OBRA'!E59</f>
        <v/>
      </c>
      <c r="BK3" s="89">
        <f>'BARRACÃO DE OBRA'!E60</f>
        <v/>
      </c>
      <c r="BL3" s="89">
        <f>'BARRACÃO DE OBRA'!E61</f>
        <v/>
      </c>
      <c r="BM3" s="89">
        <f>'BARRACÃO DE OBRA'!E62</f>
        <v/>
      </c>
      <c r="BN3" s="89">
        <f>'BARRACÃO DE OBRA'!E63</f>
        <v/>
      </c>
      <c r="BO3" s="89">
        <f>'BARRACÃO DE OBRA'!E64</f>
        <v/>
      </c>
      <c r="BP3" s="89">
        <f>'BARRACÃO DE OBRA'!E65</f>
        <v/>
      </c>
      <c r="BQ3" s="89">
        <f>'BARRACÃO DE OBRA'!E66</f>
        <v/>
      </c>
      <c r="BR3" s="89">
        <f>'BARRACÃO DE OBRA'!E67</f>
        <v/>
      </c>
      <c r="BS3" s="89">
        <f>'BARRACÃO DE OBRA'!E68</f>
        <v/>
      </c>
      <c r="BT3" s="89">
        <f>'BARRACÃO DE OBRA'!E69</f>
        <v/>
      </c>
      <c r="BU3" s="89">
        <f>'BARRACÃO DE OBRA'!E70</f>
        <v/>
      </c>
      <c r="BV3" s="89">
        <f>'BARRACÃO DE OBRA'!E71</f>
        <v/>
      </c>
      <c r="BW3" s="89">
        <f>'BARRACÃO DE OBRA'!E72</f>
        <v/>
      </c>
      <c r="BX3" s="89">
        <f>'BARRACÃO DE OBRA'!E73</f>
        <v/>
      </c>
      <c r="BY3" s="89">
        <f>'BARRACÃO DE OBRA'!E74</f>
        <v/>
      </c>
      <c r="BZ3" s="89">
        <f>'BARRACÃO DE OBRA'!E75</f>
        <v/>
      </c>
      <c r="CA3" s="89">
        <f>'BARRACÃO DE OBRA'!E76</f>
        <v/>
      </c>
    </row>
    <row r="4">
      <c r="A4" s="59" t="inlineStr">
        <is>
          <t>G041.002</t>
        </is>
      </c>
      <c r="B4" s="59" t="inlineStr">
        <is>
          <t>1030-1070-160</t>
        </is>
      </c>
      <c r="C4" s="59" t="inlineStr">
        <is>
          <t>CONSULTORIAS (OBRAS)</t>
        </is>
      </c>
      <c r="D4" s="62">
        <f>'CONSULTORIAS'!$K$5</f>
        <v/>
      </c>
      <c r="E4" s="49">
        <f>SUM(H4:CA4)</f>
        <v/>
      </c>
      <c r="F4" s="49">
        <f>IF(D4="","",D4-E4)</f>
        <v/>
      </c>
      <c r="H4" s="89">
        <f>'CONSULTORIAS'!E5</f>
        <v/>
      </c>
      <c r="I4" s="89">
        <f>'CONSULTORIAS'!E6</f>
        <v/>
      </c>
      <c r="J4" s="89">
        <f>'CONSULTORIAS'!E7</f>
        <v/>
      </c>
      <c r="K4" s="89">
        <f>'CONSULTORIAS'!E8</f>
        <v/>
      </c>
      <c r="L4" s="89">
        <f>'CONSULTORIAS'!E9</f>
        <v/>
      </c>
      <c r="M4" s="89">
        <f>'CONSULTORIAS'!E10</f>
        <v/>
      </c>
      <c r="N4" s="89">
        <f>'CONSULTORIAS'!E11</f>
        <v/>
      </c>
      <c r="O4" s="89">
        <f>'CONSULTORIAS'!E12</f>
        <v/>
      </c>
      <c r="P4" s="89">
        <f>'CONSULTORIAS'!E13</f>
        <v/>
      </c>
      <c r="Q4" s="89">
        <f>'CONSULTORIAS'!E14</f>
        <v/>
      </c>
      <c r="R4" s="89">
        <f>'CONSULTORIAS'!E15</f>
        <v/>
      </c>
      <c r="S4" s="89">
        <f>'CONSULTORIAS'!E16</f>
        <v/>
      </c>
      <c r="T4" s="89">
        <f>'CONSULTORIAS'!E17</f>
        <v/>
      </c>
      <c r="U4" s="89">
        <f>'CONSULTORIAS'!E18</f>
        <v/>
      </c>
      <c r="V4" s="89">
        <f>'CONSULTORIAS'!E19</f>
        <v/>
      </c>
      <c r="W4" s="89">
        <f>'CONSULTORIAS'!E20</f>
        <v/>
      </c>
      <c r="X4" s="89">
        <f>'CONSULTORIAS'!E21</f>
        <v/>
      </c>
      <c r="Y4" s="89">
        <f>'CONSULTORIAS'!E22</f>
        <v/>
      </c>
      <c r="Z4" s="89">
        <f>'CONSULTORIAS'!E23</f>
        <v/>
      </c>
      <c r="AA4" s="89">
        <f>'CONSULTORIAS'!E24</f>
        <v/>
      </c>
      <c r="AB4" s="89">
        <f>'CONSULTORIAS'!E25</f>
        <v/>
      </c>
      <c r="AC4" s="89">
        <f>'CONSULTORIAS'!E26</f>
        <v/>
      </c>
      <c r="AD4" s="89">
        <f>'CONSULTORIAS'!E27</f>
        <v/>
      </c>
      <c r="AE4" s="89">
        <f>'CONSULTORIAS'!E28</f>
        <v/>
      </c>
      <c r="AF4" s="89">
        <f>'CONSULTORIAS'!E29</f>
        <v/>
      </c>
      <c r="AG4" s="89">
        <f>'CONSULTORIAS'!E30</f>
        <v/>
      </c>
      <c r="AH4" s="89">
        <f>'CONSULTORIAS'!E31</f>
        <v/>
      </c>
      <c r="AI4" s="89">
        <f>'CONSULTORIAS'!E32</f>
        <v/>
      </c>
      <c r="AJ4" s="89">
        <f>'CONSULTORIAS'!E33</f>
        <v/>
      </c>
      <c r="AK4" s="89">
        <f>'CONSULTORIAS'!E34</f>
        <v/>
      </c>
      <c r="AL4" s="89">
        <f>'CONSULTORIAS'!E35</f>
        <v/>
      </c>
      <c r="AM4" s="89">
        <f>'CONSULTORIAS'!E36</f>
        <v/>
      </c>
      <c r="AN4" s="89">
        <f>'CONSULTORIAS'!E37</f>
        <v/>
      </c>
      <c r="AO4" s="89">
        <f>'CONSULTORIAS'!E38</f>
        <v/>
      </c>
      <c r="AP4" s="89">
        <f>'CONSULTORIAS'!E39</f>
        <v/>
      </c>
      <c r="AQ4" s="89">
        <f>'CONSULTORIAS'!E40</f>
        <v/>
      </c>
      <c r="AR4" s="89">
        <f>'CONSULTORIAS'!E41</f>
        <v/>
      </c>
      <c r="AS4" s="89">
        <f>'CONSULTORIAS'!E42</f>
        <v/>
      </c>
      <c r="AT4" s="89">
        <f>'CONSULTORIAS'!E43</f>
        <v/>
      </c>
      <c r="AU4" s="89">
        <f>'CONSULTORIAS'!E44</f>
        <v/>
      </c>
      <c r="AV4" s="89">
        <f>'CONSULTORIAS'!E45</f>
        <v/>
      </c>
      <c r="AW4" s="89">
        <f>'CONSULTORIAS'!E46</f>
        <v/>
      </c>
      <c r="AX4" s="89">
        <f>'CONSULTORIAS'!E47</f>
        <v/>
      </c>
      <c r="AY4" s="89">
        <f>'CONSULTORIAS'!E48</f>
        <v/>
      </c>
      <c r="AZ4" s="89">
        <f>'CONSULTORIAS'!E49</f>
        <v/>
      </c>
      <c r="BA4" s="89">
        <f>'CONSULTORIAS'!E50</f>
        <v/>
      </c>
      <c r="BB4" s="89">
        <f>'CONSULTORIAS'!E51</f>
        <v/>
      </c>
      <c r="BC4" s="89">
        <f>'CONSULTORIAS'!E52</f>
        <v/>
      </c>
      <c r="BD4" s="89">
        <f>'CONSULTORIAS'!E53</f>
        <v/>
      </c>
      <c r="BE4" s="89">
        <f>'CONSULTORIAS'!E54</f>
        <v/>
      </c>
      <c r="BF4" s="89">
        <f>'CONSULTORIAS'!E55</f>
        <v/>
      </c>
      <c r="BG4" s="89">
        <f>'CONSULTORIAS'!E56</f>
        <v/>
      </c>
      <c r="BH4" s="89">
        <f>'CONSULTORIAS'!E57</f>
        <v/>
      </c>
      <c r="BI4" s="89">
        <f>'CONSULTORIAS'!E58</f>
        <v/>
      </c>
      <c r="BJ4" s="89">
        <f>'CONSULTORIAS'!E59</f>
        <v/>
      </c>
      <c r="BK4" s="89">
        <f>'CONSULTORIAS'!E60</f>
        <v/>
      </c>
      <c r="BL4" s="89">
        <f>'CONSULTORIAS'!E61</f>
        <v/>
      </c>
      <c r="BM4" s="89">
        <f>'CONSULTORIAS'!E62</f>
        <v/>
      </c>
      <c r="BN4" s="89">
        <f>'CONSULTORIAS'!E63</f>
        <v/>
      </c>
      <c r="BO4" s="89">
        <f>'CONSULTORIAS'!E64</f>
        <v/>
      </c>
      <c r="BP4" s="89">
        <f>'CONSULTORIAS'!E65</f>
        <v/>
      </c>
      <c r="BQ4" s="89">
        <f>'CONSULTORIAS'!E66</f>
        <v/>
      </c>
      <c r="BR4" s="89">
        <f>'CONSULTORIAS'!E67</f>
        <v/>
      </c>
      <c r="BS4" s="89">
        <f>'CONSULTORIAS'!E68</f>
        <v/>
      </c>
      <c r="BT4" s="89">
        <f>'CONSULTORIAS'!E69</f>
        <v/>
      </c>
      <c r="BU4" s="89">
        <f>'CONSULTORIAS'!E70</f>
        <v/>
      </c>
      <c r="BV4" s="89">
        <f>'CONSULTORIAS'!E71</f>
        <v/>
      </c>
      <c r="BW4" s="89">
        <f>'CONSULTORIAS'!E72</f>
        <v/>
      </c>
      <c r="BX4" s="89">
        <f>'CONSULTORIAS'!E73</f>
        <v/>
      </c>
      <c r="BY4" s="89">
        <f>'CONSULTORIAS'!E74</f>
        <v/>
      </c>
      <c r="BZ4" s="89">
        <f>'CONSULTORIAS'!E75</f>
        <v/>
      </c>
      <c r="CA4" s="89">
        <f>'CONSULTORIAS'!E76</f>
        <v/>
      </c>
    </row>
    <row r="5">
      <c r="A5" s="59" t="inlineStr">
        <is>
          <t>G041.002</t>
        </is>
      </c>
      <c r="B5" s="59" t="inlineStr">
        <is>
          <t>1030-1070-170</t>
        </is>
      </c>
      <c r="C5" s="59" t="inlineStr">
        <is>
          <t>CONSUMO DE ÁGUA, ENERGIA, ETC.</t>
        </is>
      </c>
      <c r="D5" s="62">
        <f>'CONSUMOS'!$K$5</f>
        <v/>
      </c>
      <c r="E5" s="49">
        <f>SUM(H5:CA5)</f>
        <v/>
      </c>
      <c r="F5" s="49">
        <f>IF(D5="","",D5-E5)</f>
        <v/>
      </c>
      <c r="H5" s="89">
        <f>'CONSUMOS'!E5</f>
        <v/>
      </c>
      <c r="I5" s="89">
        <f>'CONSUMOS'!E6</f>
        <v/>
      </c>
      <c r="J5" s="89">
        <f>'CONSUMOS'!E7</f>
        <v/>
      </c>
      <c r="K5" s="89">
        <f>'CONSUMOS'!E8</f>
        <v/>
      </c>
      <c r="L5" s="89">
        <f>'CONSUMOS'!E9</f>
        <v/>
      </c>
      <c r="M5" s="89">
        <f>'CONSUMOS'!E10</f>
        <v/>
      </c>
      <c r="N5" s="89">
        <f>'CONSUMOS'!E11</f>
        <v/>
      </c>
      <c r="O5" s="89">
        <f>'CONSUMOS'!E12</f>
        <v/>
      </c>
      <c r="P5" s="89">
        <f>'CONSUMOS'!E13</f>
        <v/>
      </c>
      <c r="Q5" s="89">
        <f>'CONSUMOS'!E14</f>
        <v/>
      </c>
      <c r="R5" s="89">
        <f>'CONSUMOS'!E15</f>
        <v/>
      </c>
      <c r="S5" s="89">
        <f>'CONSUMOS'!E16</f>
        <v/>
      </c>
      <c r="T5" s="89">
        <f>'CONSUMOS'!E17</f>
        <v/>
      </c>
      <c r="U5" s="89">
        <f>'CONSUMOS'!E18</f>
        <v/>
      </c>
      <c r="V5" s="89">
        <f>'CONSUMOS'!E19</f>
        <v/>
      </c>
      <c r="W5" s="89">
        <f>'CONSUMOS'!E20</f>
        <v/>
      </c>
      <c r="X5" s="89">
        <f>'CONSUMOS'!E21</f>
        <v/>
      </c>
      <c r="Y5" s="89">
        <f>'CONSUMOS'!E22</f>
        <v/>
      </c>
      <c r="Z5" s="89">
        <f>'CONSUMOS'!E23</f>
        <v/>
      </c>
      <c r="AA5" s="89">
        <f>'CONSUMOS'!E24</f>
        <v/>
      </c>
      <c r="AB5" s="89">
        <f>'CONSUMOS'!E25</f>
        <v/>
      </c>
      <c r="AC5" s="89">
        <f>'CONSUMOS'!E26</f>
        <v/>
      </c>
      <c r="AD5" s="89">
        <f>'CONSUMOS'!E27</f>
        <v/>
      </c>
      <c r="AE5" s="89">
        <f>'CONSUMOS'!E28</f>
        <v/>
      </c>
      <c r="AF5" s="89">
        <f>'CONSUMOS'!E29</f>
        <v/>
      </c>
      <c r="AG5" s="89">
        <f>'CONSUMOS'!E30</f>
        <v/>
      </c>
      <c r="AH5" s="89">
        <f>'CONSUMOS'!E31</f>
        <v/>
      </c>
      <c r="AI5" s="89">
        <f>'CONSUMOS'!E32</f>
        <v/>
      </c>
      <c r="AJ5" s="89">
        <f>'CONSUMOS'!E33</f>
        <v/>
      </c>
      <c r="AK5" s="89">
        <f>'CONSUMOS'!E34</f>
        <v/>
      </c>
      <c r="AL5" s="89">
        <f>'CONSUMOS'!E35</f>
        <v/>
      </c>
      <c r="AM5" s="89">
        <f>'CONSUMOS'!E36</f>
        <v/>
      </c>
      <c r="AN5" s="89">
        <f>'CONSUMOS'!E37</f>
        <v/>
      </c>
      <c r="AO5" s="89">
        <f>'CONSUMOS'!E38</f>
        <v/>
      </c>
      <c r="AP5" s="89">
        <f>'CONSUMOS'!E39</f>
        <v/>
      </c>
      <c r="AQ5" s="89">
        <f>'CONSUMOS'!E40</f>
        <v/>
      </c>
      <c r="AR5" s="89">
        <f>'CONSUMOS'!E41</f>
        <v/>
      </c>
      <c r="AS5" s="89">
        <f>'CONSUMOS'!E42</f>
        <v/>
      </c>
      <c r="AT5" s="89">
        <f>'CONSUMOS'!E43</f>
        <v/>
      </c>
      <c r="AU5" s="89">
        <f>'CONSUMOS'!E44</f>
        <v/>
      </c>
      <c r="AV5" s="89">
        <f>'CONSUMOS'!E45</f>
        <v/>
      </c>
      <c r="AW5" s="89">
        <f>'CONSUMOS'!E46</f>
        <v/>
      </c>
      <c r="AX5" s="89">
        <f>'CONSUMOS'!E47</f>
        <v/>
      </c>
      <c r="AY5" s="89">
        <f>'CONSUMOS'!E48</f>
        <v/>
      </c>
      <c r="AZ5" s="89">
        <f>'CONSUMOS'!E49</f>
        <v/>
      </c>
      <c r="BA5" s="89">
        <f>'CONSUMOS'!E50</f>
        <v/>
      </c>
      <c r="BB5" s="89">
        <f>'CONSUMOS'!E51</f>
        <v/>
      </c>
      <c r="BC5" s="89">
        <f>'CONSUMOS'!E52</f>
        <v/>
      </c>
      <c r="BD5" s="89">
        <f>'CONSUMOS'!E53</f>
        <v/>
      </c>
      <c r="BE5" s="89">
        <f>'CONSUMOS'!E54</f>
        <v/>
      </c>
      <c r="BF5" s="89">
        <f>'CONSUMOS'!E55</f>
        <v/>
      </c>
      <c r="BG5" s="89">
        <f>'CONSUMOS'!E56</f>
        <v/>
      </c>
      <c r="BH5" s="89">
        <f>'CONSUMOS'!E57</f>
        <v/>
      </c>
      <c r="BI5" s="89">
        <f>'CONSUMOS'!E58</f>
        <v/>
      </c>
      <c r="BJ5" s="89">
        <f>'CONSUMOS'!E59</f>
        <v/>
      </c>
      <c r="BK5" s="89">
        <f>'CONSUMOS'!E60</f>
        <v/>
      </c>
      <c r="BL5" s="89">
        <f>'CONSUMOS'!E61</f>
        <v/>
      </c>
      <c r="BM5" s="89">
        <f>'CONSUMOS'!E62</f>
        <v/>
      </c>
      <c r="BN5" s="89">
        <f>'CONSUMOS'!E63</f>
        <v/>
      </c>
      <c r="BO5" s="89">
        <f>'CONSUMOS'!E64</f>
        <v/>
      </c>
      <c r="BP5" s="89">
        <f>'CONSUMOS'!E65</f>
        <v/>
      </c>
      <c r="BQ5" s="89">
        <f>'CONSUMOS'!E66</f>
        <v/>
      </c>
      <c r="BR5" s="89">
        <f>'CONSUMOS'!E67</f>
        <v/>
      </c>
      <c r="BS5" s="89">
        <f>'CONSUMOS'!E68</f>
        <v/>
      </c>
      <c r="BT5" s="89">
        <f>'CONSUMOS'!E69</f>
        <v/>
      </c>
      <c r="BU5" s="89">
        <f>'CONSUMOS'!E70</f>
        <v/>
      </c>
      <c r="BV5" s="89">
        <f>'CONSUMOS'!E71</f>
        <v/>
      </c>
      <c r="BW5" s="89">
        <f>'CONSUMOS'!E72</f>
        <v/>
      </c>
      <c r="BX5" s="89">
        <f>'CONSUMOS'!E73</f>
        <v/>
      </c>
      <c r="BY5" s="89">
        <f>'CONSUMOS'!E74</f>
        <v/>
      </c>
      <c r="BZ5" s="89">
        <f>'CONSUMOS'!E75</f>
        <v/>
      </c>
      <c r="CA5" s="89">
        <f>'CONSUMOS'!E76</f>
        <v/>
      </c>
    </row>
    <row r="6">
      <c r="A6" s="59" t="inlineStr">
        <is>
          <t>G041.002</t>
        </is>
      </c>
      <c r="B6" s="59" t="inlineStr">
        <is>
          <t>1030-1070-190</t>
        </is>
      </c>
      <c r="C6" s="59" t="inlineStr">
        <is>
          <t>CONTENÇÃO</t>
        </is>
      </c>
      <c r="D6" s="62">
        <f>'CONTENÇÃO'!$K$5</f>
        <v/>
      </c>
      <c r="E6" s="49">
        <f>SUM(H6:CA6)</f>
        <v/>
      </c>
      <c r="F6" s="49">
        <f>IF(D6="","",D6-E6)</f>
        <v/>
      </c>
      <c r="H6" s="89">
        <f>'CONTENÇÃO'!E5</f>
        <v/>
      </c>
      <c r="I6" s="89">
        <f>'CONTENÇÃO'!E6</f>
        <v/>
      </c>
      <c r="J6" s="89">
        <f>'CONTENÇÃO'!E7</f>
        <v/>
      </c>
      <c r="K6" s="89">
        <f>'CONTENÇÃO'!E8</f>
        <v/>
      </c>
      <c r="L6" s="89">
        <f>'CONTENÇÃO'!E9</f>
        <v/>
      </c>
      <c r="M6" s="89">
        <f>'CONTENÇÃO'!E10</f>
        <v/>
      </c>
      <c r="N6" s="89">
        <f>'CONTENÇÃO'!E11</f>
        <v/>
      </c>
      <c r="O6" s="89">
        <f>'CONTENÇÃO'!E12</f>
        <v/>
      </c>
      <c r="P6" s="89">
        <f>'CONTENÇÃO'!E13</f>
        <v/>
      </c>
      <c r="Q6" s="89">
        <f>'CONTENÇÃO'!E14</f>
        <v/>
      </c>
      <c r="R6" s="89">
        <f>'CONTENÇÃO'!E15</f>
        <v/>
      </c>
      <c r="S6" s="89">
        <f>'CONTENÇÃO'!E16</f>
        <v/>
      </c>
      <c r="T6" s="89">
        <f>'CONTENÇÃO'!E17</f>
        <v/>
      </c>
      <c r="U6" s="89">
        <f>'CONTENÇÃO'!E18</f>
        <v/>
      </c>
      <c r="V6" s="89">
        <f>'CONTENÇÃO'!E19</f>
        <v/>
      </c>
      <c r="W6" s="89">
        <f>'CONTENÇÃO'!E20</f>
        <v/>
      </c>
      <c r="X6" s="89">
        <f>'CONTENÇÃO'!E21</f>
        <v/>
      </c>
      <c r="Y6" s="89">
        <f>'CONTENÇÃO'!E22</f>
        <v/>
      </c>
      <c r="Z6" s="89">
        <f>'CONTENÇÃO'!E23</f>
        <v/>
      </c>
      <c r="AA6" s="89">
        <f>'CONTENÇÃO'!E24</f>
        <v/>
      </c>
      <c r="AB6" s="89">
        <f>'CONTENÇÃO'!E25</f>
        <v/>
      </c>
      <c r="AC6" s="89">
        <f>'CONTENÇÃO'!E26</f>
        <v/>
      </c>
      <c r="AD6" s="89">
        <f>'CONTENÇÃO'!E27</f>
        <v/>
      </c>
      <c r="AE6" s="89">
        <f>'CONTENÇÃO'!E28</f>
        <v/>
      </c>
      <c r="AF6" s="89">
        <f>'CONTENÇÃO'!E29</f>
        <v/>
      </c>
      <c r="AG6" s="89">
        <f>'CONTENÇÃO'!E30</f>
        <v/>
      </c>
      <c r="AH6" s="89">
        <f>'CONTENÇÃO'!E31</f>
        <v/>
      </c>
      <c r="AI6" s="89">
        <f>'CONTENÇÃO'!E32</f>
        <v/>
      </c>
      <c r="AJ6" s="89">
        <f>'CONTENÇÃO'!E33</f>
        <v/>
      </c>
      <c r="AK6" s="89">
        <f>'CONTENÇÃO'!E34</f>
        <v/>
      </c>
      <c r="AL6" s="89">
        <f>'CONTENÇÃO'!E35</f>
        <v/>
      </c>
      <c r="AM6" s="89">
        <f>'CONTENÇÃO'!E36</f>
        <v/>
      </c>
      <c r="AN6" s="89">
        <f>'CONTENÇÃO'!E37</f>
        <v/>
      </c>
      <c r="AO6" s="89">
        <f>'CONTENÇÃO'!E38</f>
        <v/>
      </c>
      <c r="AP6" s="89">
        <f>'CONTENÇÃO'!E39</f>
        <v/>
      </c>
      <c r="AQ6" s="89">
        <f>'CONTENÇÃO'!E40</f>
        <v/>
      </c>
      <c r="AR6" s="89">
        <f>'CONTENÇÃO'!E41</f>
        <v/>
      </c>
      <c r="AS6" s="89">
        <f>'CONTENÇÃO'!E42</f>
        <v/>
      </c>
      <c r="AT6" s="89">
        <f>'CONTENÇÃO'!E43</f>
        <v/>
      </c>
      <c r="AU6" s="89">
        <f>'CONTENÇÃO'!E44</f>
        <v/>
      </c>
      <c r="AV6" s="89">
        <f>'CONTENÇÃO'!E45</f>
        <v/>
      </c>
      <c r="AW6" s="89">
        <f>'CONTENÇÃO'!E46</f>
        <v/>
      </c>
      <c r="AX6" s="89">
        <f>'CONTENÇÃO'!E47</f>
        <v/>
      </c>
      <c r="AY6" s="89">
        <f>'CONTENÇÃO'!E48</f>
        <v/>
      </c>
      <c r="AZ6" s="89">
        <f>'CONTENÇÃO'!E49</f>
        <v/>
      </c>
      <c r="BA6" s="89">
        <f>'CONTENÇÃO'!E50</f>
        <v/>
      </c>
      <c r="BB6" s="89">
        <f>'CONTENÇÃO'!E51</f>
        <v/>
      </c>
      <c r="BC6" s="89">
        <f>'CONTENÇÃO'!E52</f>
        <v/>
      </c>
      <c r="BD6" s="89">
        <f>'CONTENÇÃO'!E53</f>
        <v/>
      </c>
      <c r="BE6" s="89">
        <f>'CONTENÇÃO'!E54</f>
        <v/>
      </c>
      <c r="BF6" s="89">
        <f>'CONTENÇÃO'!E55</f>
        <v/>
      </c>
      <c r="BG6" s="89">
        <f>'CONTENÇÃO'!E56</f>
        <v/>
      </c>
      <c r="BH6" s="89">
        <f>'CONTENÇÃO'!E57</f>
        <v/>
      </c>
      <c r="BI6" s="89">
        <f>'CONTENÇÃO'!E58</f>
        <v/>
      </c>
      <c r="BJ6" s="89">
        <f>'CONTENÇÃO'!E59</f>
        <v/>
      </c>
      <c r="BK6" s="89">
        <f>'CONTENÇÃO'!E60</f>
        <v/>
      </c>
      <c r="BL6" s="89">
        <f>'CONTENÇÃO'!E61</f>
        <v/>
      </c>
      <c r="BM6" s="89">
        <f>'CONTENÇÃO'!E62</f>
        <v/>
      </c>
      <c r="BN6" s="89">
        <f>'CONTENÇÃO'!E63</f>
        <v/>
      </c>
      <c r="BO6" s="89">
        <f>'CONTENÇÃO'!E64</f>
        <v/>
      </c>
      <c r="BP6" s="89">
        <f>'CONTENÇÃO'!E65</f>
        <v/>
      </c>
      <c r="BQ6" s="89">
        <f>'CONTENÇÃO'!E66</f>
        <v/>
      </c>
      <c r="BR6" s="89">
        <f>'CONTENÇÃO'!E67</f>
        <v/>
      </c>
      <c r="BS6" s="89">
        <f>'CONTENÇÃO'!E68</f>
        <v/>
      </c>
      <c r="BT6" s="89">
        <f>'CONTENÇÃO'!E69</f>
        <v/>
      </c>
      <c r="BU6" s="89">
        <f>'CONTENÇÃO'!E70</f>
        <v/>
      </c>
      <c r="BV6" s="89">
        <f>'CONTENÇÃO'!E71</f>
        <v/>
      </c>
      <c r="BW6" s="89">
        <f>'CONTENÇÃO'!E72</f>
        <v/>
      </c>
      <c r="BX6" s="89">
        <f>'CONTENÇÃO'!E73</f>
        <v/>
      </c>
      <c r="BY6" s="89">
        <f>'CONTENÇÃO'!E74</f>
        <v/>
      </c>
      <c r="BZ6" s="89">
        <f>'CONTENÇÃO'!E75</f>
        <v/>
      </c>
      <c r="CA6" s="89">
        <f>'CONTENÇÃO'!E76</f>
        <v/>
      </c>
    </row>
    <row r="7">
      <c r="A7" s="59" t="inlineStr">
        <is>
          <t>G041.002</t>
        </is>
      </c>
      <c r="B7" s="59" t="inlineStr">
        <is>
          <t>1030-1070-510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1030-1070-550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1030-1070-560</t>
        </is>
      </c>
      <c r="C9" s="59" t="inlineStr">
        <is>
          <t>DIVERSOS</t>
        </is>
      </c>
      <c r="D9" s="62">
        <f>'DIVERSOS'!$K$5</f>
        <v/>
      </c>
      <c r="E9" s="49">
        <f>SUM(H9:CA9)</f>
        <v/>
      </c>
      <c r="F9" s="49">
        <f>IF(D9="","",D9-E9)</f>
        <v/>
      </c>
      <c r="H9" s="89">
        <f>'DIVERSOS'!E5</f>
        <v/>
      </c>
      <c r="I9" s="89">
        <f>'DIVERSOS'!E6</f>
        <v/>
      </c>
      <c r="J9" s="89">
        <f>'DIVERSOS'!E7</f>
        <v/>
      </c>
      <c r="K9" s="89">
        <f>'DIVERSOS'!E8</f>
        <v/>
      </c>
      <c r="L9" s="89">
        <f>'DIVERSOS'!E9</f>
        <v/>
      </c>
      <c r="M9" s="89">
        <f>'DIVERSOS'!E10</f>
        <v/>
      </c>
      <c r="N9" s="89">
        <f>'DIVERSOS'!E11</f>
        <v/>
      </c>
      <c r="O9" s="89">
        <f>'DIVERSOS'!E12</f>
        <v/>
      </c>
      <c r="P9" s="89">
        <f>'DIVERSOS'!E13</f>
        <v/>
      </c>
      <c r="Q9" s="89">
        <f>'DIVERSOS'!E14</f>
        <v/>
      </c>
      <c r="R9" s="89">
        <f>'DIVERSOS'!E15</f>
        <v/>
      </c>
      <c r="S9" s="89">
        <f>'DIVERSOS'!E16</f>
        <v/>
      </c>
      <c r="T9" s="89">
        <f>'DIVERSOS'!E17</f>
        <v/>
      </c>
      <c r="U9" s="89">
        <f>'DIVERSOS'!E18</f>
        <v/>
      </c>
      <c r="V9" s="89">
        <f>'DIVERSOS'!E19</f>
        <v/>
      </c>
      <c r="W9" s="89">
        <f>'DIVERSOS'!E20</f>
        <v/>
      </c>
      <c r="X9" s="89">
        <f>'DIVERSOS'!E21</f>
        <v/>
      </c>
      <c r="Y9" s="89">
        <f>'DIVERSOS'!E22</f>
        <v/>
      </c>
      <c r="Z9" s="89">
        <f>'DIVERSOS'!E23</f>
        <v/>
      </c>
      <c r="AA9" s="89">
        <f>'DIVERSOS'!E24</f>
        <v/>
      </c>
      <c r="AB9" s="89">
        <f>'DIVERSOS'!E25</f>
        <v/>
      </c>
      <c r="AC9" s="89">
        <f>'DIVERSOS'!E26</f>
        <v/>
      </c>
      <c r="AD9" s="89">
        <f>'DIVERSOS'!E27</f>
        <v/>
      </c>
      <c r="AE9" s="89">
        <f>'DIVERSOS'!E28</f>
        <v/>
      </c>
      <c r="AF9" s="89">
        <f>'DIVERSOS'!E29</f>
        <v/>
      </c>
      <c r="AG9" s="89">
        <f>'DIVERSOS'!E30</f>
        <v/>
      </c>
      <c r="AH9" s="89">
        <f>'DIVERSOS'!E31</f>
        <v/>
      </c>
      <c r="AI9" s="89">
        <f>'DIVERSOS'!E32</f>
        <v/>
      </c>
      <c r="AJ9" s="89">
        <f>'DIVERSOS'!E33</f>
        <v/>
      </c>
      <c r="AK9" s="89">
        <f>'DIVERSOS'!E34</f>
        <v/>
      </c>
      <c r="AL9" s="89">
        <f>'DIVERSOS'!E35</f>
        <v/>
      </c>
      <c r="AM9" s="89">
        <f>'DIVERSOS'!E36</f>
        <v/>
      </c>
      <c r="AN9" s="89">
        <f>'DIVERSOS'!E37</f>
        <v/>
      </c>
      <c r="AO9" s="89">
        <f>'DIVERSOS'!E38</f>
        <v/>
      </c>
      <c r="AP9" s="89">
        <f>'DIVERSOS'!E39</f>
        <v/>
      </c>
      <c r="AQ9" s="89">
        <f>'DIVERSOS'!E40</f>
        <v/>
      </c>
      <c r="AR9" s="89">
        <f>'DIVERSOS'!E41</f>
        <v/>
      </c>
      <c r="AS9" s="89">
        <f>'DIVERSOS'!E42</f>
        <v/>
      </c>
      <c r="AT9" s="89">
        <f>'DIVERSOS'!E43</f>
        <v/>
      </c>
      <c r="AU9" s="89">
        <f>'DIVERSOS'!E44</f>
        <v/>
      </c>
      <c r="AV9" s="89">
        <f>'DIVERSOS'!E45</f>
        <v/>
      </c>
      <c r="AW9" s="89">
        <f>'DIVERSOS'!E46</f>
        <v/>
      </c>
      <c r="AX9" s="89">
        <f>'DIVERSOS'!E47</f>
        <v/>
      </c>
      <c r="AY9" s="89">
        <f>'DIVERSOS'!E48</f>
        <v/>
      </c>
      <c r="AZ9" s="89">
        <f>'DIVERSOS'!E49</f>
        <v/>
      </c>
      <c r="BA9" s="89">
        <f>'DIVERSOS'!E50</f>
        <v/>
      </c>
      <c r="BB9" s="89">
        <f>'DIVERSOS'!E51</f>
        <v/>
      </c>
      <c r="BC9" s="89">
        <f>'DIVERSOS'!E52</f>
        <v/>
      </c>
      <c r="BD9" s="89">
        <f>'DIVERSOS'!E53</f>
        <v/>
      </c>
      <c r="BE9" s="89">
        <f>'DIVERSOS'!E54</f>
        <v/>
      </c>
      <c r="BF9" s="89">
        <f>'DIVERSOS'!E55</f>
        <v/>
      </c>
      <c r="BG9" s="89">
        <f>'DIVERSOS'!E56</f>
        <v/>
      </c>
      <c r="BH9" s="89">
        <f>'DIVERSOS'!E57</f>
        <v/>
      </c>
      <c r="BI9" s="89">
        <f>'DIVERSOS'!E58</f>
        <v/>
      </c>
      <c r="BJ9" s="89">
        <f>'DIVERSOS'!E59</f>
        <v/>
      </c>
      <c r="BK9" s="89">
        <f>'DIVERSOS'!E60</f>
        <v/>
      </c>
      <c r="BL9" s="89">
        <f>'DIVERSOS'!E61</f>
        <v/>
      </c>
      <c r="BM9" s="89">
        <f>'DIVERSOS'!E62</f>
        <v/>
      </c>
      <c r="BN9" s="89">
        <f>'DIVERSOS'!E63</f>
        <v/>
      </c>
      <c r="BO9" s="89">
        <f>'DIVERSOS'!E64</f>
        <v/>
      </c>
      <c r="BP9" s="89">
        <f>'DIVERSOS'!E65</f>
        <v/>
      </c>
      <c r="BQ9" s="89">
        <f>'DIVERSOS'!E66</f>
        <v/>
      </c>
      <c r="BR9" s="89">
        <f>'DIVERSOS'!E67</f>
        <v/>
      </c>
      <c r="BS9" s="89">
        <f>'DIVERSOS'!E68</f>
        <v/>
      </c>
      <c r="BT9" s="89">
        <f>'DIVERSOS'!E69</f>
        <v/>
      </c>
      <c r="BU9" s="89">
        <f>'DIVERSOS'!E70</f>
        <v/>
      </c>
      <c r="BV9" s="89">
        <f>'DIVERSOS'!E71</f>
        <v/>
      </c>
      <c r="BW9" s="89">
        <f>'DIVERSOS'!E72</f>
        <v/>
      </c>
      <c r="BX9" s="89">
        <f>'DIVERSOS'!E73</f>
        <v/>
      </c>
      <c r="BY9" s="89">
        <f>'DIVERSOS'!E74</f>
        <v/>
      </c>
      <c r="BZ9" s="89">
        <f>'DIVERSOS'!E75</f>
        <v/>
      </c>
      <c r="CA9" s="89">
        <f>'DIVERSOS'!E76</f>
        <v/>
      </c>
    </row>
    <row r="10">
      <c r="A10" s="59" t="inlineStr">
        <is>
          <t>G041.002</t>
        </is>
      </c>
      <c r="B10" s="59" t="inlineStr">
        <is>
          <t>1030-1070-400</t>
        </is>
      </c>
      <c r="C10" s="59" t="inlineStr">
        <is>
          <t xml:space="preserve">ELEVADORES </t>
        </is>
      </c>
      <c r="D10" s="62">
        <f>'ELEVADORES '!$K$5</f>
        <v/>
      </c>
      <c r="E10" s="49">
        <f>SUM(H10:CA10)</f>
        <v/>
      </c>
      <c r="F10" s="49">
        <f>IF(D10="","",D10-E10)</f>
        <v/>
      </c>
      <c r="H10" s="89">
        <f>'ELEVADORES '!E5</f>
        <v/>
      </c>
      <c r="I10" s="89">
        <f>'ELEVADORES '!E6</f>
        <v/>
      </c>
      <c r="J10" s="89">
        <f>'ELEVADORES '!E7</f>
        <v/>
      </c>
      <c r="K10" s="89">
        <f>'ELEVADORES '!E8</f>
        <v/>
      </c>
      <c r="L10" s="89">
        <f>'ELEVADORES '!E9</f>
        <v/>
      </c>
      <c r="M10" s="89">
        <f>'ELEVADORES '!E10</f>
        <v/>
      </c>
      <c r="N10" s="89">
        <f>'ELEVADORES '!E11</f>
        <v/>
      </c>
      <c r="O10" s="89">
        <f>'ELEVADORES '!E12</f>
        <v/>
      </c>
      <c r="P10" s="89">
        <f>'ELEVADORES '!E13</f>
        <v/>
      </c>
      <c r="Q10" s="89">
        <f>'ELEVADORES '!E14</f>
        <v/>
      </c>
      <c r="R10" s="89">
        <f>'ELEVADORES '!E15</f>
        <v/>
      </c>
      <c r="S10" s="89">
        <f>'ELEVADORES '!E16</f>
        <v/>
      </c>
      <c r="T10" s="89">
        <f>'ELEVADORES '!E17</f>
        <v/>
      </c>
      <c r="U10" s="89">
        <f>'ELEVADORES '!E18</f>
        <v/>
      </c>
      <c r="V10" s="89">
        <f>'ELEVADORES '!E19</f>
        <v/>
      </c>
      <c r="W10" s="89">
        <f>'ELEVADORES '!E20</f>
        <v/>
      </c>
      <c r="X10" s="89">
        <f>'ELEVADORES '!E21</f>
        <v/>
      </c>
      <c r="Y10" s="89">
        <f>'ELEVADORES '!E22</f>
        <v/>
      </c>
      <c r="Z10" s="89">
        <f>'ELEVADORES '!E23</f>
        <v/>
      </c>
      <c r="AA10" s="89">
        <f>'ELEVADORES '!E24</f>
        <v/>
      </c>
      <c r="AB10" s="89">
        <f>'ELEVADORES '!E25</f>
        <v/>
      </c>
      <c r="AC10" s="89">
        <f>'ELEVADORES '!E26</f>
        <v/>
      </c>
      <c r="AD10" s="89">
        <f>'ELEVADORES '!E27</f>
        <v/>
      </c>
      <c r="AE10" s="89">
        <f>'ELEVADORES '!E28</f>
        <v/>
      </c>
      <c r="AF10" s="89">
        <f>'ELEVADORES '!E29</f>
        <v/>
      </c>
      <c r="AG10" s="89">
        <f>'ELEVADORES '!E30</f>
        <v/>
      </c>
      <c r="AH10" s="89">
        <f>'ELEVADORES '!E31</f>
        <v/>
      </c>
      <c r="AI10" s="89">
        <f>'ELEVADORES '!E32</f>
        <v/>
      </c>
      <c r="AJ10" s="89">
        <f>'ELEVADORES '!E33</f>
        <v/>
      </c>
      <c r="AK10" s="89">
        <f>'ELEVADORES '!E34</f>
        <v/>
      </c>
      <c r="AL10" s="89">
        <f>'ELEVADORES '!E35</f>
        <v/>
      </c>
      <c r="AM10" s="89">
        <f>'ELEVADORES '!E36</f>
        <v/>
      </c>
      <c r="AN10" s="89">
        <f>'ELEVADORES '!E37</f>
        <v/>
      </c>
      <c r="AO10" s="89">
        <f>'ELEVADORES '!E38</f>
        <v/>
      </c>
      <c r="AP10" s="89">
        <f>'ELEVADORES '!E39</f>
        <v/>
      </c>
      <c r="AQ10" s="89">
        <f>'ELEVADORES '!E40</f>
        <v/>
      </c>
      <c r="AR10" s="89">
        <f>'ELEVADORES '!E41</f>
        <v/>
      </c>
      <c r="AS10" s="89">
        <f>'ELEVADORES '!E42</f>
        <v/>
      </c>
      <c r="AT10" s="89">
        <f>'ELEVADORES '!E43</f>
        <v/>
      </c>
      <c r="AU10" s="89">
        <f>'ELEVADORES '!E44</f>
        <v/>
      </c>
      <c r="AV10" s="89">
        <f>'ELEVADORES '!E45</f>
        <v/>
      </c>
      <c r="AW10" s="89">
        <f>'ELEVADORES '!E46</f>
        <v/>
      </c>
      <c r="AX10" s="89">
        <f>'ELEVADORES '!E47</f>
        <v/>
      </c>
      <c r="AY10" s="89">
        <f>'ELEVADORES '!E48</f>
        <v/>
      </c>
      <c r="AZ10" s="89">
        <f>'ELEVADORES '!E49</f>
        <v/>
      </c>
      <c r="BA10" s="89">
        <f>'ELEVADORES '!E50</f>
        <v/>
      </c>
      <c r="BB10" s="89">
        <f>'ELEVADORES '!E51</f>
        <v/>
      </c>
      <c r="BC10" s="89">
        <f>'ELEVADORES '!E52</f>
        <v/>
      </c>
      <c r="BD10" s="89">
        <f>'ELEVADORES '!E53</f>
        <v/>
      </c>
      <c r="BE10" s="89">
        <f>'ELEVADORES '!E54</f>
        <v/>
      </c>
      <c r="BF10" s="89">
        <f>'ELEVADORES '!E55</f>
        <v/>
      </c>
      <c r="BG10" s="89">
        <f>'ELEVADORES '!E56</f>
        <v/>
      </c>
      <c r="BH10" s="89">
        <f>'ELEVADORES '!E57</f>
        <v/>
      </c>
      <c r="BI10" s="89">
        <f>'ELEVADORES '!E58</f>
        <v/>
      </c>
      <c r="BJ10" s="89">
        <f>'ELEVADORES '!E59</f>
        <v/>
      </c>
      <c r="BK10" s="89">
        <f>'ELEVADORES '!E60</f>
        <v/>
      </c>
      <c r="BL10" s="89">
        <f>'ELEVADORES '!E61</f>
        <v/>
      </c>
      <c r="BM10" s="89">
        <f>'ELEVADORES '!E62</f>
        <v/>
      </c>
      <c r="BN10" s="89">
        <f>'ELEVADORES '!E63</f>
        <v/>
      </c>
      <c r="BO10" s="89">
        <f>'ELEVADORES '!E64</f>
        <v/>
      </c>
      <c r="BP10" s="89">
        <f>'ELEVADORES '!E65</f>
        <v/>
      </c>
      <c r="BQ10" s="89">
        <f>'ELEVADORES '!E66</f>
        <v/>
      </c>
      <c r="BR10" s="89">
        <f>'ELEVADORES '!E67</f>
        <v/>
      </c>
      <c r="BS10" s="89">
        <f>'ELEVADORES '!E68</f>
        <v/>
      </c>
      <c r="BT10" s="89">
        <f>'ELEVADORES '!E69</f>
        <v/>
      </c>
      <c r="BU10" s="89">
        <f>'ELEVADORES '!E70</f>
        <v/>
      </c>
      <c r="BV10" s="89">
        <f>'ELEVADORES '!E71</f>
        <v/>
      </c>
      <c r="BW10" s="89">
        <f>'ELEVADORES '!E72</f>
        <v/>
      </c>
      <c r="BX10" s="89">
        <f>'ELEVADORES '!E73</f>
        <v/>
      </c>
      <c r="BY10" s="89">
        <f>'ELEVADORES '!E74</f>
        <v/>
      </c>
      <c r="BZ10" s="89">
        <f>'ELEVADORES '!E75</f>
        <v/>
      </c>
      <c r="CA10" s="89">
        <f>'ELEVADORES '!E76</f>
        <v/>
      </c>
    </row>
    <row r="11">
      <c r="A11" s="59" t="inlineStr">
        <is>
          <t>G041.002</t>
        </is>
      </c>
      <c r="B11" s="59" t="inlineStr">
        <is>
          <t>1030-1070-450</t>
        </is>
      </c>
      <c r="C11" s="59" t="inlineStr">
        <is>
          <t>EQUIPAMENTOS E FERRAMENTAS</t>
        </is>
      </c>
      <c r="D11" s="62">
        <f>'EQUIP E FER'!$K$5</f>
        <v/>
      </c>
      <c r="E11" s="49">
        <f>SUM(H11:CA11)</f>
        <v/>
      </c>
      <c r="F11" s="49">
        <f>IF(D11="","",D11-E11)</f>
        <v/>
      </c>
      <c r="H11" s="89">
        <f>'EQUIP E FER'!E5</f>
        <v/>
      </c>
      <c r="I11" s="89">
        <f>'EQUIP E FER'!E6</f>
        <v/>
      </c>
      <c r="J11" s="89">
        <f>'EQUIP E FER'!E7</f>
        <v/>
      </c>
      <c r="K11" s="89">
        <f>'EQUIP E FER'!E8</f>
        <v/>
      </c>
      <c r="L11" s="89">
        <f>'EQUIP E FER'!E9</f>
        <v/>
      </c>
      <c r="M11" s="89">
        <f>'EQUIP E FER'!E10</f>
        <v/>
      </c>
      <c r="N11" s="89">
        <f>'EQUIP E FER'!E11</f>
        <v/>
      </c>
      <c r="O11" s="89">
        <f>'EQUIP E FER'!E12</f>
        <v/>
      </c>
      <c r="P11" s="89">
        <f>'EQUIP E FER'!E13</f>
        <v/>
      </c>
      <c r="Q11" s="89">
        <f>'EQUIP E FER'!E14</f>
        <v/>
      </c>
      <c r="R11" s="89">
        <f>'EQUIP E FER'!E15</f>
        <v/>
      </c>
      <c r="S11" s="89">
        <f>'EQUIP E FER'!E16</f>
        <v/>
      </c>
      <c r="T11" s="89">
        <f>'EQUIP E FER'!E17</f>
        <v/>
      </c>
      <c r="U11" s="89">
        <f>'EQUIP E FER'!E18</f>
        <v/>
      </c>
      <c r="V11" s="89">
        <f>'EQUIP E FER'!E19</f>
        <v/>
      </c>
      <c r="W11" s="89">
        <f>'EQUIP E FER'!E20</f>
        <v/>
      </c>
      <c r="X11" s="89">
        <f>'EQUIP E FER'!E21</f>
        <v/>
      </c>
      <c r="Y11" s="89">
        <f>'EQUIP E FER'!E22</f>
        <v/>
      </c>
      <c r="Z11" s="89">
        <f>'EQUIP E FER'!E23</f>
        <v/>
      </c>
      <c r="AA11" s="89">
        <f>'EQUIP E FER'!E24</f>
        <v/>
      </c>
      <c r="AB11" s="89">
        <f>'EQUIP E FER'!E25</f>
        <v/>
      </c>
      <c r="AC11" s="89">
        <f>'EQUIP E FER'!E26</f>
        <v/>
      </c>
      <c r="AD11" s="89">
        <f>'EQUIP E FER'!E27</f>
        <v/>
      </c>
      <c r="AE11" s="89">
        <f>'EQUIP E FER'!E28</f>
        <v/>
      </c>
      <c r="AF11" s="89">
        <f>'EQUIP E FER'!E29</f>
        <v/>
      </c>
      <c r="AG11" s="89">
        <f>'EQUIP E FER'!E30</f>
        <v/>
      </c>
      <c r="AH11" s="89">
        <f>'EQUIP E FER'!E31</f>
        <v/>
      </c>
      <c r="AI11" s="89">
        <f>'EQUIP E FER'!E32</f>
        <v/>
      </c>
      <c r="AJ11" s="89">
        <f>'EQUIP E FER'!E33</f>
        <v/>
      </c>
      <c r="AK11" s="89">
        <f>'EQUIP E FER'!E34</f>
        <v/>
      </c>
      <c r="AL11" s="89">
        <f>'EQUIP E FER'!E35</f>
        <v/>
      </c>
      <c r="AM11" s="89">
        <f>'EQUIP E FER'!E36</f>
        <v/>
      </c>
      <c r="AN11" s="89">
        <f>'EQUIP E FER'!E37</f>
        <v/>
      </c>
      <c r="AO11" s="89">
        <f>'EQUIP E FER'!E38</f>
        <v/>
      </c>
      <c r="AP11" s="89">
        <f>'EQUIP E FER'!E39</f>
        <v/>
      </c>
      <c r="AQ11" s="89">
        <f>'EQUIP E FER'!E40</f>
        <v/>
      </c>
      <c r="AR11" s="89">
        <f>'EQUIP E FER'!E41</f>
        <v/>
      </c>
      <c r="AS11" s="89">
        <f>'EQUIP E FER'!E42</f>
        <v/>
      </c>
      <c r="AT11" s="89">
        <f>'EQUIP E FER'!E43</f>
        <v/>
      </c>
      <c r="AU11" s="89">
        <f>'EQUIP E FER'!E44</f>
        <v/>
      </c>
      <c r="AV11" s="89">
        <f>'EQUIP E FER'!E45</f>
        <v/>
      </c>
      <c r="AW11" s="89">
        <f>'EQUIP E FER'!E46</f>
        <v/>
      </c>
      <c r="AX11" s="89">
        <f>'EQUIP E FER'!E47</f>
        <v/>
      </c>
      <c r="AY11" s="89">
        <f>'EQUIP E FER'!E48</f>
        <v/>
      </c>
      <c r="AZ11" s="89">
        <f>'EQUIP E FER'!E49</f>
        <v/>
      </c>
      <c r="BA11" s="89">
        <f>'EQUIP E FER'!E50</f>
        <v/>
      </c>
      <c r="BB11" s="89">
        <f>'EQUIP E FER'!E51</f>
        <v/>
      </c>
      <c r="BC11" s="89">
        <f>'EQUIP E FER'!E52</f>
        <v/>
      </c>
      <c r="BD11" s="89">
        <f>'EQUIP E FER'!E53</f>
        <v/>
      </c>
      <c r="BE11" s="89">
        <f>'EQUIP E FER'!E54</f>
        <v/>
      </c>
      <c r="BF11" s="89">
        <f>'EQUIP E FER'!E55</f>
        <v/>
      </c>
      <c r="BG11" s="89">
        <f>'EQUIP E FER'!E56</f>
        <v/>
      </c>
      <c r="BH11" s="89">
        <f>'EQUIP E FER'!E57</f>
        <v/>
      </c>
      <c r="BI11" s="89">
        <f>'EQUIP E FER'!E58</f>
        <v/>
      </c>
      <c r="BJ11" s="89">
        <f>'EQUIP E FER'!E59</f>
        <v/>
      </c>
      <c r="BK11" s="89">
        <f>'EQUIP E FER'!E60</f>
        <v/>
      </c>
      <c r="BL11" s="89">
        <f>'EQUIP E FER'!E61</f>
        <v/>
      </c>
      <c r="BM11" s="89">
        <f>'EQUIP E FER'!E62</f>
        <v/>
      </c>
      <c r="BN11" s="89">
        <f>'EQUIP E FER'!E63</f>
        <v/>
      </c>
      <c r="BO11" s="89">
        <f>'EQUIP E FER'!E64</f>
        <v/>
      </c>
      <c r="BP11" s="89">
        <f>'EQUIP E FER'!E65</f>
        <v/>
      </c>
      <c r="BQ11" s="89">
        <f>'EQUIP E FER'!E66</f>
        <v/>
      </c>
      <c r="BR11" s="89">
        <f>'EQUIP E FER'!E67</f>
        <v/>
      </c>
      <c r="BS11" s="89">
        <f>'EQUIP E FER'!E68</f>
        <v/>
      </c>
      <c r="BT11" s="89">
        <f>'EQUIP E FER'!E69</f>
        <v/>
      </c>
      <c r="BU11" s="89">
        <f>'EQUIP E FER'!E70</f>
        <v/>
      </c>
      <c r="BV11" s="89">
        <f>'EQUIP E FER'!E71</f>
        <v/>
      </c>
      <c r="BW11" s="89">
        <f>'EQUIP E FER'!E72</f>
        <v/>
      </c>
      <c r="BX11" s="89">
        <f>'EQUIP E FER'!E73</f>
        <v/>
      </c>
      <c r="BY11" s="89">
        <f>'EQUIP E FER'!E74</f>
        <v/>
      </c>
      <c r="BZ11" s="89">
        <f>'EQUIP E FER'!E75</f>
        <v/>
      </c>
      <c r="CA11" s="89">
        <f>'EQUIP E FER'!E76</f>
        <v/>
      </c>
    </row>
    <row r="12">
      <c r="A12" s="59" t="inlineStr">
        <is>
          <t>G041.002</t>
        </is>
      </c>
      <c r="B12" s="59" t="inlineStr">
        <is>
          <t>1030-1070-370</t>
        </is>
      </c>
      <c r="C12" s="59" t="inlineStr">
        <is>
          <t>ESQUADRIAS</t>
        </is>
      </c>
      <c r="D12" s="62">
        <f>'ESQUADRIAS'!$K$5</f>
        <v/>
      </c>
      <c r="E12" s="49">
        <f>SUM(H12:CA12)</f>
        <v/>
      </c>
      <c r="F12" s="49">
        <f>IF(D12="","",D12-E12)</f>
        <v/>
      </c>
      <c r="H12" s="89">
        <f>'ESQUADRIAS'!E5</f>
        <v/>
      </c>
      <c r="I12" s="89">
        <f>'ESQUADRIAS'!E6</f>
        <v/>
      </c>
      <c r="J12" s="89">
        <f>'ESQUADRIAS'!E7</f>
        <v/>
      </c>
      <c r="K12" s="89">
        <f>'ESQUADRIAS'!E8</f>
        <v/>
      </c>
      <c r="L12" s="89">
        <f>'ESQUADRIAS'!E9</f>
        <v/>
      </c>
      <c r="M12" s="89">
        <f>'ESQUADRIAS'!E10</f>
        <v/>
      </c>
      <c r="N12" s="89">
        <f>'ESQUADRIAS'!E11</f>
        <v/>
      </c>
      <c r="O12" s="89">
        <f>'ESQUADRIAS'!E12</f>
        <v/>
      </c>
      <c r="P12" s="89">
        <f>'ESQUADRIAS'!E13</f>
        <v/>
      </c>
      <c r="Q12" s="89">
        <f>'ESQUADRIAS'!E14</f>
        <v/>
      </c>
      <c r="R12" s="89">
        <f>'ESQUADRIAS'!E15</f>
        <v/>
      </c>
      <c r="S12" s="89">
        <f>'ESQUADRIAS'!E16</f>
        <v/>
      </c>
      <c r="T12" s="89">
        <f>'ESQUADRIAS'!E17</f>
        <v/>
      </c>
      <c r="U12" s="89">
        <f>'ESQUADRIAS'!E18</f>
        <v/>
      </c>
      <c r="V12" s="89">
        <f>'ESQUADRIAS'!E19</f>
        <v/>
      </c>
      <c r="W12" s="89">
        <f>'ESQUADRIAS'!E20</f>
        <v/>
      </c>
      <c r="X12" s="89">
        <f>'ESQUADRIAS'!E21</f>
        <v/>
      </c>
      <c r="Y12" s="89">
        <f>'ESQUADRIAS'!E22</f>
        <v/>
      </c>
      <c r="Z12" s="89">
        <f>'ESQUADRIAS'!E23</f>
        <v/>
      </c>
      <c r="AA12" s="89">
        <f>'ESQUADRIAS'!E24</f>
        <v/>
      </c>
      <c r="AB12" s="89">
        <f>'ESQUADRIAS'!E25</f>
        <v/>
      </c>
      <c r="AC12" s="89">
        <f>'ESQUADRIAS'!E26</f>
        <v/>
      </c>
      <c r="AD12" s="89">
        <f>'ESQUADRIAS'!E27</f>
        <v/>
      </c>
      <c r="AE12" s="89">
        <f>'ESQUADRIAS'!E28</f>
        <v/>
      </c>
      <c r="AF12" s="89">
        <f>'ESQUADRIAS'!E29</f>
        <v/>
      </c>
      <c r="AG12" s="89">
        <f>'ESQUADRIAS'!E30</f>
        <v/>
      </c>
      <c r="AH12" s="89">
        <f>'ESQUADRIAS'!E31</f>
        <v/>
      </c>
      <c r="AI12" s="89">
        <f>'ESQUADRIAS'!E32</f>
        <v/>
      </c>
      <c r="AJ12" s="89">
        <f>'ESQUADRIAS'!E33</f>
        <v/>
      </c>
      <c r="AK12" s="89">
        <f>'ESQUADRIAS'!E34</f>
        <v/>
      </c>
      <c r="AL12" s="89">
        <f>'ESQUADRIAS'!E35</f>
        <v/>
      </c>
      <c r="AM12" s="89">
        <f>'ESQUADRIAS'!E36</f>
        <v/>
      </c>
      <c r="AN12" s="89">
        <f>'ESQUADRIAS'!E37</f>
        <v/>
      </c>
      <c r="AO12" s="89">
        <f>'ESQUADRIAS'!E38</f>
        <v/>
      </c>
      <c r="AP12" s="89">
        <f>'ESQUADRIAS'!E39</f>
        <v/>
      </c>
      <c r="AQ12" s="89">
        <f>'ESQUADRIAS'!E40</f>
        <v/>
      </c>
      <c r="AR12" s="89">
        <f>'ESQUADRIAS'!E41</f>
        <v/>
      </c>
      <c r="AS12" s="89">
        <f>'ESQUADRIAS'!E42</f>
        <v/>
      </c>
      <c r="AT12" s="89">
        <f>'ESQUADRIAS'!E43</f>
        <v/>
      </c>
      <c r="AU12" s="89">
        <f>'ESQUADRIAS'!E44</f>
        <v/>
      </c>
      <c r="AV12" s="89">
        <f>'ESQUADRIAS'!E45</f>
        <v/>
      </c>
      <c r="AW12" s="89">
        <f>'ESQUADRIAS'!E46</f>
        <v/>
      </c>
      <c r="AX12" s="89">
        <f>'ESQUADRIAS'!E47</f>
        <v/>
      </c>
      <c r="AY12" s="89">
        <f>'ESQUADRIAS'!E48</f>
        <v/>
      </c>
      <c r="AZ12" s="89">
        <f>'ESQUADRIAS'!E49</f>
        <v/>
      </c>
      <c r="BA12" s="89">
        <f>'ESQUADRIAS'!E50</f>
        <v/>
      </c>
      <c r="BB12" s="89">
        <f>'ESQUADRIAS'!E51</f>
        <v/>
      </c>
      <c r="BC12" s="89">
        <f>'ESQUADRIAS'!E52</f>
        <v/>
      </c>
      <c r="BD12" s="89">
        <f>'ESQUADRIAS'!E53</f>
        <v/>
      </c>
      <c r="BE12" s="89">
        <f>'ESQUADRIAS'!E54</f>
        <v/>
      </c>
      <c r="BF12" s="89">
        <f>'ESQUADRIAS'!E55</f>
        <v/>
      </c>
      <c r="BG12" s="89">
        <f>'ESQUADRIAS'!E56</f>
        <v/>
      </c>
      <c r="BH12" s="89">
        <f>'ESQUADRIAS'!E57</f>
        <v/>
      </c>
      <c r="BI12" s="89">
        <f>'ESQUADRIAS'!E58</f>
        <v/>
      </c>
      <c r="BJ12" s="89">
        <f>'ESQUADRIAS'!E59</f>
        <v/>
      </c>
      <c r="BK12" s="89">
        <f>'ESQUADRIAS'!E60</f>
        <v/>
      </c>
      <c r="BL12" s="89">
        <f>'ESQUADRIAS'!E61</f>
        <v/>
      </c>
      <c r="BM12" s="89">
        <f>'ESQUADRIAS'!E62</f>
        <v/>
      </c>
      <c r="BN12" s="89">
        <f>'ESQUADRIAS'!E63</f>
        <v/>
      </c>
      <c r="BO12" s="89">
        <f>'ESQUADRIAS'!E64</f>
        <v/>
      </c>
      <c r="BP12" s="89">
        <f>'ESQUADRIAS'!E65</f>
        <v/>
      </c>
      <c r="BQ12" s="89">
        <f>'ESQUADRIAS'!E66</f>
        <v/>
      </c>
      <c r="BR12" s="89">
        <f>'ESQUADRIAS'!E67</f>
        <v/>
      </c>
      <c r="BS12" s="89">
        <f>'ESQUADRIAS'!E68</f>
        <v/>
      </c>
      <c r="BT12" s="89">
        <f>'ESQUADRIAS'!E69</f>
        <v/>
      </c>
      <c r="BU12" s="89">
        <f>'ESQUADRIAS'!E70</f>
        <v/>
      </c>
      <c r="BV12" s="89">
        <f>'ESQUADRIAS'!E71</f>
        <v/>
      </c>
      <c r="BW12" s="89">
        <f>'ESQUADRIAS'!E72</f>
        <v/>
      </c>
      <c r="BX12" s="89">
        <f>'ESQUADRIAS'!E73</f>
        <v/>
      </c>
      <c r="BY12" s="89">
        <f>'ESQUADRIAS'!E74</f>
        <v/>
      </c>
      <c r="BZ12" s="89">
        <f>'ESQUADRIAS'!E75</f>
        <v/>
      </c>
      <c r="CA12" s="89">
        <f>'ESQUADRIAS'!E76</f>
        <v/>
      </c>
    </row>
    <row r="13">
      <c r="A13" s="59" t="inlineStr">
        <is>
          <t>G041.002</t>
        </is>
      </c>
      <c r="B13" s="59" t="inlineStr">
        <is>
          <t>1030-1070-230</t>
        </is>
      </c>
      <c r="C13" s="59" t="inlineStr">
        <is>
          <t>ESTRUTURA EM CONCRETO ARMADO</t>
        </is>
      </c>
      <c r="D13" s="62">
        <f>'ESTRUTURA'!$K$5</f>
        <v/>
      </c>
      <c r="E13" s="49">
        <f>SUM(H13:CA13)</f>
        <v/>
      </c>
      <c r="F13" s="49">
        <f>IF(D13="","",D13-E13)</f>
        <v/>
      </c>
      <c r="H13" s="89">
        <f>'ESTRUTURA'!E5</f>
        <v/>
      </c>
      <c r="I13" s="89">
        <f>'ESTRUTURA'!E6</f>
        <v/>
      </c>
      <c r="J13" s="89">
        <f>'ESTRUTURA'!E7</f>
        <v/>
      </c>
      <c r="K13" s="89">
        <f>'ESTRUTURA'!E8</f>
        <v/>
      </c>
      <c r="L13" s="89">
        <f>'ESTRUTURA'!E9</f>
        <v/>
      </c>
      <c r="M13" s="89">
        <f>'ESTRUTURA'!E10</f>
        <v/>
      </c>
      <c r="N13" s="89">
        <f>'ESTRUTURA'!E11</f>
        <v/>
      </c>
      <c r="O13" s="89">
        <f>'ESTRUTURA'!E12</f>
        <v/>
      </c>
      <c r="P13" s="89">
        <f>'ESTRUTURA'!E13</f>
        <v/>
      </c>
      <c r="Q13" s="89">
        <f>'ESTRUTURA'!E14</f>
        <v/>
      </c>
      <c r="R13" s="89">
        <f>'ESTRUTURA'!E15</f>
        <v/>
      </c>
      <c r="S13" s="89">
        <f>'ESTRUTURA'!E16</f>
        <v/>
      </c>
      <c r="T13" s="89">
        <f>'ESTRUTURA'!E17</f>
        <v/>
      </c>
      <c r="U13" s="89">
        <f>'ESTRUTURA'!E18</f>
        <v/>
      </c>
      <c r="V13" s="89">
        <f>'ESTRUTURA'!E19</f>
        <v/>
      </c>
      <c r="W13" s="89">
        <f>'ESTRUTURA'!E20</f>
        <v/>
      </c>
      <c r="X13" s="89">
        <f>'ESTRUTURA'!E21</f>
        <v/>
      </c>
      <c r="Y13" s="89">
        <f>'ESTRUTURA'!E22</f>
        <v/>
      </c>
      <c r="Z13" s="89">
        <f>'ESTRUTURA'!E23</f>
        <v/>
      </c>
      <c r="AA13" s="89">
        <f>'ESTRUTURA'!E24</f>
        <v/>
      </c>
      <c r="AB13" s="89">
        <f>'ESTRUTURA'!E25</f>
        <v/>
      </c>
      <c r="AC13" s="89">
        <f>'ESTRUTURA'!E26</f>
        <v/>
      </c>
      <c r="AD13" s="89">
        <f>'ESTRUTURA'!E27</f>
        <v/>
      </c>
      <c r="AE13" s="89">
        <f>'ESTRUTURA'!E28</f>
        <v/>
      </c>
      <c r="AF13" s="89">
        <f>'ESTRUTURA'!E29</f>
        <v/>
      </c>
      <c r="AG13" s="89">
        <f>'ESTRUTURA'!E30</f>
        <v/>
      </c>
      <c r="AH13" s="89">
        <f>'ESTRUTURA'!E31</f>
        <v/>
      </c>
      <c r="AI13" s="89">
        <f>'ESTRUTURA'!E32</f>
        <v/>
      </c>
      <c r="AJ13" s="89">
        <f>'ESTRUTURA'!E33</f>
        <v/>
      </c>
      <c r="AK13" s="89">
        <f>'ESTRUTURA'!E34</f>
        <v/>
      </c>
      <c r="AL13" s="89">
        <f>'ESTRUTURA'!E35</f>
        <v/>
      </c>
      <c r="AM13" s="89">
        <f>'ESTRUTURA'!E36</f>
        <v/>
      </c>
      <c r="AN13" s="89">
        <f>'ESTRUTURA'!E37</f>
        <v/>
      </c>
      <c r="AO13" s="89">
        <f>'ESTRUTURA'!E38</f>
        <v/>
      </c>
      <c r="AP13" s="89">
        <f>'ESTRUTURA'!E39</f>
        <v/>
      </c>
      <c r="AQ13" s="89">
        <f>'ESTRUTURA'!E40</f>
        <v/>
      </c>
      <c r="AR13" s="89">
        <f>'ESTRUTURA'!E41</f>
        <v/>
      </c>
      <c r="AS13" s="89">
        <f>'ESTRUTURA'!E42</f>
        <v/>
      </c>
      <c r="AT13" s="89">
        <f>'ESTRUTURA'!E43</f>
        <v/>
      </c>
      <c r="AU13" s="89">
        <f>'ESTRUTURA'!E44</f>
        <v/>
      </c>
      <c r="AV13" s="89">
        <f>'ESTRUTURA'!E45</f>
        <v/>
      </c>
      <c r="AW13" s="89">
        <f>'ESTRUTURA'!E46</f>
        <v/>
      </c>
      <c r="AX13" s="89">
        <f>'ESTRUTURA'!E47</f>
        <v/>
      </c>
      <c r="AY13" s="89">
        <f>'ESTRUTURA'!E48</f>
        <v/>
      </c>
      <c r="AZ13" s="89">
        <f>'ESTRUTURA'!E49</f>
        <v/>
      </c>
      <c r="BA13" s="89">
        <f>'ESTRUTURA'!E50</f>
        <v/>
      </c>
      <c r="BB13" s="89">
        <f>'ESTRUTURA'!E51</f>
        <v/>
      </c>
      <c r="BC13" s="89">
        <f>'ESTRUTURA'!E52</f>
        <v/>
      </c>
      <c r="BD13" s="89">
        <f>'ESTRUTURA'!E53</f>
        <v/>
      </c>
      <c r="BE13" s="89">
        <f>'ESTRUTURA'!E54</f>
        <v/>
      </c>
      <c r="BF13" s="89">
        <f>'ESTRUTURA'!E55</f>
        <v/>
      </c>
      <c r="BG13" s="89">
        <f>'ESTRUTURA'!E56</f>
        <v/>
      </c>
      <c r="BH13" s="89">
        <f>'ESTRUTURA'!E57</f>
        <v/>
      </c>
      <c r="BI13" s="89">
        <f>'ESTRUTURA'!E58</f>
        <v/>
      </c>
      <c r="BJ13" s="89">
        <f>'ESTRUTURA'!E59</f>
        <v/>
      </c>
      <c r="BK13" s="89">
        <f>'ESTRUTURA'!E60</f>
        <v/>
      </c>
      <c r="BL13" s="89">
        <f>'ESTRUTURA'!E61</f>
        <v/>
      </c>
      <c r="BM13" s="89">
        <f>'ESTRUTURA'!E62</f>
        <v/>
      </c>
      <c r="BN13" s="89">
        <f>'ESTRUTURA'!E63</f>
        <v/>
      </c>
      <c r="BO13" s="89">
        <f>'ESTRUTURA'!E64</f>
        <v/>
      </c>
      <c r="BP13" s="89">
        <f>'ESTRUTURA'!E65</f>
        <v/>
      </c>
      <c r="BQ13" s="89">
        <f>'ESTRUTURA'!E66</f>
        <v/>
      </c>
      <c r="BR13" s="89">
        <f>'ESTRUTURA'!E67</f>
        <v/>
      </c>
      <c r="BS13" s="89">
        <f>'ESTRUTURA'!E68</f>
        <v/>
      </c>
      <c r="BT13" s="89">
        <f>'ESTRUTURA'!E69</f>
        <v/>
      </c>
      <c r="BU13" s="89">
        <f>'ESTRUTURA'!E70</f>
        <v/>
      </c>
      <c r="BV13" s="89">
        <f>'ESTRUTURA'!E71</f>
        <v/>
      </c>
      <c r="BW13" s="89">
        <f>'ESTRUTURA'!E72</f>
        <v/>
      </c>
      <c r="BX13" s="89">
        <f>'ESTRUTURA'!E73</f>
        <v/>
      </c>
      <c r="BY13" s="89">
        <f>'ESTRUTURA'!E74</f>
        <v/>
      </c>
      <c r="BZ13" s="89">
        <f>'ESTRUTURA'!E75</f>
        <v/>
      </c>
      <c r="CA13" s="89">
        <f>'ESTRUTURA'!E76</f>
        <v/>
      </c>
    </row>
    <row r="14">
      <c r="A14" s="59" t="inlineStr">
        <is>
          <t>G041.002</t>
        </is>
      </c>
      <c r="B14" s="59" t="inlineStr">
        <is>
          <t>1030-1070-350</t>
        </is>
      </c>
      <c r="C14" s="59" t="inlineStr">
        <is>
          <t>FORRO</t>
        </is>
      </c>
      <c r="D14" s="62">
        <f>'FORRO'!$K$5</f>
        <v/>
      </c>
      <c r="E14" s="49">
        <f>SUM(H14:CA14)</f>
        <v/>
      </c>
      <c r="F14" s="49">
        <f>IF(D14="","",D14-E14)</f>
        <v/>
      </c>
      <c r="H14" s="89">
        <f>'FORRO'!E5</f>
        <v/>
      </c>
      <c r="I14" s="89">
        <f>'FORRO'!E6</f>
        <v/>
      </c>
      <c r="J14" s="89">
        <f>'FORRO'!E7</f>
        <v/>
      </c>
      <c r="K14" s="89">
        <f>'FORRO'!E8</f>
        <v/>
      </c>
      <c r="L14" s="89">
        <f>'FORRO'!E9</f>
        <v/>
      </c>
      <c r="M14" s="89">
        <f>'FORRO'!E10</f>
        <v/>
      </c>
      <c r="N14" s="89">
        <f>'FORRO'!E11</f>
        <v/>
      </c>
      <c r="O14" s="89">
        <f>'FORRO'!E12</f>
        <v/>
      </c>
      <c r="P14" s="89">
        <f>'FORRO'!E13</f>
        <v/>
      </c>
      <c r="Q14" s="89">
        <f>'FORRO'!E14</f>
        <v/>
      </c>
      <c r="R14" s="89">
        <f>'FORRO'!E15</f>
        <v/>
      </c>
      <c r="S14" s="89">
        <f>'FORRO'!E16</f>
        <v/>
      </c>
      <c r="T14" s="89">
        <f>'FORRO'!E17</f>
        <v/>
      </c>
      <c r="U14" s="89">
        <f>'FORRO'!E18</f>
        <v/>
      </c>
      <c r="V14" s="89">
        <f>'FORRO'!E19</f>
        <v/>
      </c>
      <c r="W14" s="89">
        <f>'FORRO'!E20</f>
        <v/>
      </c>
      <c r="X14" s="89">
        <f>'FORRO'!E21</f>
        <v/>
      </c>
      <c r="Y14" s="89">
        <f>'FORRO'!E22</f>
        <v/>
      </c>
      <c r="Z14" s="89">
        <f>'FORRO'!E23</f>
        <v/>
      </c>
      <c r="AA14" s="89">
        <f>'FORRO'!E24</f>
        <v/>
      </c>
      <c r="AB14" s="89">
        <f>'FORRO'!E25</f>
        <v/>
      </c>
      <c r="AC14" s="89">
        <f>'FORRO'!E26</f>
        <v/>
      </c>
      <c r="AD14" s="89">
        <f>'FORRO'!E27</f>
        <v/>
      </c>
      <c r="AE14" s="89">
        <f>'FORRO'!E28</f>
        <v/>
      </c>
      <c r="AF14" s="89">
        <f>'FORRO'!E29</f>
        <v/>
      </c>
      <c r="AG14" s="89">
        <f>'FORRO'!E30</f>
        <v/>
      </c>
      <c r="AH14" s="89">
        <f>'FORRO'!E31</f>
        <v/>
      </c>
      <c r="AI14" s="89">
        <f>'FORRO'!E32</f>
        <v/>
      </c>
      <c r="AJ14" s="89">
        <f>'FORRO'!E33</f>
        <v/>
      </c>
      <c r="AK14" s="89">
        <f>'FORRO'!E34</f>
        <v/>
      </c>
      <c r="AL14" s="89">
        <f>'FORRO'!E35</f>
        <v/>
      </c>
      <c r="AM14" s="89">
        <f>'FORRO'!E36</f>
        <v/>
      </c>
      <c r="AN14" s="89">
        <f>'FORRO'!E37</f>
        <v/>
      </c>
      <c r="AO14" s="89">
        <f>'FORRO'!E38</f>
        <v/>
      </c>
      <c r="AP14" s="89">
        <f>'FORRO'!E39</f>
        <v/>
      </c>
      <c r="AQ14" s="89">
        <f>'FORRO'!E40</f>
        <v/>
      </c>
      <c r="AR14" s="89">
        <f>'FORRO'!E41</f>
        <v/>
      </c>
      <c r="AS14" s="89">
        <f>'FORRO'!E42</f>
        <v/>
      </c>
      <c r="AT14" s="89">
        <f>'FORRO'!E43</f>
        <v/>
      </c>
      <c r="AU14" s="89">
        <f>'FORRO'!E44</f>
        <v/>
      </c>
      <c r="AV14" s="89">
        <f>'FORRO'!E45</f>
        <v/>
      </c>
      <c r="AW14" s="89">
        <f>'FORRO'!E46</f>
        <v/>
      </c>
      <c r="AX14" s="89">
        <f>'FORRO'!E47</f>
        <v/>
      </c>
      <c r="AY14" s="89">
        <f>'FORRO'!E48</f>
        <v/>
      </c>
      <c r="AZ14" s="89">
        <f>'FORRO'!E49</f>
        <v/>
      </c>
      <c r="BA14" s="89">
        <f>'FORRO'!E50</f>
        <v/>
      </c>
      <c r="BB14" s="89">
        <f>'FORRO'!E51</f>
        <v/>
      </c>
      <c r="BC14" s="89">
        <f>'FORRO'!E52</f>
        <v/>
      </c>
      <c r="BD14" s="89">
        <f>'FORRO'!E53</f>
        <v/>
      </c>
      <c r="BE14" s="89">
        <f>'FORRO'!E54</f>
        <v/>
      </c>
      <c r="BF14" s="89">
        <f>'FORRO'!E55</f>
        <v/>
      </c>
      <c r="BG14" s="89">
        <f>'FORRO'!E56</f>
        <v/>
      </c>
      <c r="BH14" s="89">
        <f>'FORRO'!E57</f>
        <v/>
      </c>
      <c r="BI14" s="89">
        <f>'FORRO'!E58</f>
        <v/>
      </c>
      <c r="BJ14" s="89">
        <f>'FORRO'!E59</f>
        <v/>
      </c>
      <c r="BK14" s="89">
        <f>'FORRO'!E60</f>
        <v/>
      </c>
      <c r="BL14" s="89">
        <f>'FORRO'!E61</f>
        <v/>
      </c>
      <c r="BM14" s="89">
        <f>'FORRO'!E62</f>
        <v/>
      </c>
      <c r="BN14" s="89">
        <f>'FORRO'!E63</f>
        <v/>
      </c>
      <c r="BO14" s="89">
        <f>'FORRO'!E64</f>
        <v/>
      </c>
      <c r="BP14" s="89">
        <f>'FORRO'!E65</f>
        <v/>
      </c>
      <c r="BQ14" s="89">
        <f>'FORRO'!E66</f>
        <v/>
      </c>
      <c r="BR14" s="89">
        <f>'FORRO'!E67</f>
        <v/>
      </c>
      <c r="BS14" s="89">
        <f>'FORRO'!E68</f>
        <v/>
      </c>
      <c r="BT14" s="89">
        <f>'FORRO'!E69</f>
        <v/>
      </c>
      <c r="BU14" s="89">
        <f>'FORRO'!E70</f>
        <v/>
      </c>
      <c r="BV14" s="89">
        <f>'FORRO'!E71</f>
        <v/>
      </c>
      <c r="BW14" s="89">
        <f>'FORRO'!E72</f>
        <v/>
      </c>
      <c r="BX14" s="89">
        <f>'FORRO'!E73</f>
        <v/>
      </c>
      <c r="BY14" s="89">
        <f>'FORRO'!E74</f>
        <v/>
      </c>
      <c r="BZ14" s="89">
        <f>'FORRO'!E75</f>
        <v/>
      </c>
      <c r="CA14" s="89">
        <f>'FORRO'!E76</f>
        <v/>
      </c>
    </row>
    <row r="15">
      <c r="A15" s="59" t="inlineStr">
        <is>
          <t>G041.002</t>
        </is>
      </c>
      <c r="B15" s="59" t="inlineStr">
        <is>
          <t>1030-1070-200</t>
        </is>
      </c>
      <c r="C15" s="59" t="inlineStr">
        <is>
          <t>FUNDAÇÃO PROFUNDA</t>
        </is>
      </c>
      <c r="D15" s="62">
        <f>'FUND. PROF'!$K$5</f>
        <v/>
      </c>
      <c r="E15" s="49">
        <f>SUM(H15:CA15)</f>
        <v/>
      </c>
      <c r="F15" s="49">
        <f>IF(D15="","",D15-E15)</f>
        <v/>
      </c>
      <c r="H15" s="89">
        <f>'FUND. PROF'!E5</f>
        <v/>
      </c>
      <c r="I15" s="89">
        <f>'FUND. PROF'!E6</f>
        <v/>
      </c>
      <c r="J15" s="89">
        <f>'FUND. PROF'!E7</f>
        <v/>
      </c>
      <c r="K15" s="89">
        <f>'FUND. PROF'!E8</f>
        <v/>
      </c>
      <c r="L15" s="89">
        <f>'FUND. PROF'!E9</f>
        <v/>
      </c>
      <c r="M15" s="89">
        <f>'FUND. PROF'!E10</f>
        <v/>
      </c>
      <c r="N15" s="89">
        <f>'FUND. PROF'!E11</f>
        <v/>
      </c>
      <c r="O15" s="89">
        <f>'FUND. PROF'!E12</f>
        <v/>
      </c>
      <c r="P15" s="89">
        <f>'FUND. PROF'!E13</f>
        <v/>
      </c>
      <c r="Q15" s="89">
        <f>'FUND. PROF'!E14</f>
        <v/>
      </c>
      <c r="R15" s="89">
        <f>'FUND. PROF'!E15</f>
        <v/>
      </c>
      <c r="S15" s="89">
        <f>'FUND. PROF'!E16</f>
        <v/>
      </c>
      <c r="T15" s="89">
        <f>'FUND. PROF'!E17</f>
        <v/>
      </c>
      <c r="U15" s="89">
        <f>'FUND. PROF'!E18</f>
        <v/>
      </c>
      <c r="V15" s="89">
        <f>'FUND. PROF'!E19</f>
        <v/>
      </c>
      <c r="W15" s="89">
        <f>'FUND. PROF'!E20</f>
        <v/>
      </c>
      <c r="X15" s="89">
        <f>'FUND. PROF'!E21</f>
        <v/>
      </c>
      <c r="Y15" s="89">
        <f>'FUND. PROF'!E22</f>
        <v/>
      </c>
      <c r="Z15" s="89">
        <f>'FUND. PROF'!E23</f>
        <v/>
      </c>
      <c r="AA15" s="89">
        <f>'FUND. PROF'!E24</f>
        <v/>
      </c>
      <c r="AB15" s="89">
        <f>'FUND. PROF'!E25</f>
        <v/>
      </c>
      <c r="AC15" s="89">
        <f>'FUND. PROF'!E26</f>
        <v/>
      </c>
      <c r="AD15" s="89">
        <f>'FUND. PROF'!E27</f>
        <v/>
      </c>
      <c r="AE15" s="89">
        <f>'FUND. PROF'!E28</f>
        <v/>
      </c>
      <c r="AF15" s="89">
        <f>'FUND. PROF'!E29</f>
        <v/>
      </c>
      <c r="AG15" s="89">
        <f>'FUND. PROF'!E30</f>
        <v/>
      </c>
      <c r="AH15" s="89">
        <f>'FUND. PROF'!E31</f>
        <v/>
      </c>
      <c r="AI15" s="89">
        <f>'FUND. PROF'!E32</f>
        <v/>
      </c>
      <c r="AJ15" s="89">
        <f>'FUND. PROF'!E33</f>
        <v/>
      </c>
      <c r="AK15" s="89">
        <f>'FUND. PROF'!E34</f>
        <v/>
      </c>
      <c r="AL15" s="89">
        <f>'FUND. PROF'!E35</f>
        <v/>
      </c>
      <c r="AM15" s="89">
        <f>'FUND. PROF'!E36</f>
        <v/>
      </c>
      <c r="AN15" s="89">
        <f>'FUND. PROF'!E37</f>
        <v/>
      </c>
      <c r="AO15" s="89">
        <f>'FUND. PROF'!E38</f>
        <v/>
      </c>
      <c r="AP15" s="89">
        <f>'FUND. PROF'!E39</f>
        <v/>
      </c>
      <c r="AQ15" s="89">
        <f>'FUND. PROF'!E40</f>
        <v/>
      </c>
      <c r="AR15" s="89">
        <f>'FUND. PROF'!E41</f>
        <v/>
      </c>
      <c r="AS15" s="89">
        <f>'FUND. PROF'!E42</f>
        <v/>
      </c>
      <c r="AT15" s="89">
        <f>'FUND. PROF'!E43</f>
        <v/>
      </c>
      <c r="AU15" s="89">
        <f>'FUND. PROF'!E44</f>
        <v/>
      </c>
      <c r="AV15" s="89">
        <f>'FUND. PROF'!E45</f>
        <v/>
      </c>
      <c r="AW15" s="89">
        <f>'FUND. PROF'!E46</f>
        <v/>
      </c>
      <c r="AX15" s="89">
        <f>'FUND. PROF'!E47</f>
        <v/>
      </c>
      <c r="AY15" s="89">
        <f>'FUND. PROF'!E48</f>
        <v/>
      </c>
      <c r="AZ15" s="89">
        <f>'FUND. PROF'!E49</f>
        <v/>
      </c>
      <c r="BA15" s="89">
        <f>'FUND. PROF'!E50</f>
        <v/>
      </c>
      <c r="BB15" s="89">
        <f>'FUND. PROF'!E51</f>
        <v/>
      </c>
      <c r="BC15" s="89">
        <f>'FUND. PROF'!E52</f>
        <v/>
      </c>
      <c r="BD15" s="89">
        <f>'FUND. PROF'!E53</f>
        <v/>
      </c>
      <c r="BE15" s="89">
        <f>'FUND. PROF'!E54</f>
        <v/>
      </c>
      <c r="BF15" s="89">
        <f>'FUND. PROF'!E55</f>
        <v/>
      </c>
      <c r="BG15" s="89">
        <f>'FUND. PROF'!E56</f>
        <v/>
      </c>
      <c r="BH15" s="89">
        <f>'FUND. PROF'!E57</f>
        <v/>
      </c>
      <c r="BI15" s="89">
        <f>'FUND. PROF'!E58</f>
        <v/>
      </c>
      <c r="BJ15" s="89">
        <f>'FUND. PROF'!E59</f>
        <v/>
      </c>
      <c r="BK15" s="89">
        <f>'FUND. PROF'!E60</f>
        <v/>
      </c>
      <c r="BL15" s="89">
        <f>'FUND. PROF'!E61</f>
        <v/>
      </c>
      <c r="BM15" s="89">
        <f>'FUND. PROF'!E62</f>
        <v/>
      </c>
      <c r="BN15" s="89">
        <f>'FUND. PROF'!E63</f>
        <v/>
      </c>
      <c r="BO15" s="89">
        <f>'FUND. PROF'!E64</f>
        <v/>
      </c>
      <c r="BP15" s="89">
        <f>'FUND. PROF'!E65</f>
        <v/>
      </c>
      <c r="BQ15" s="89">
        <f>'FUND. PROF'!E66</f>
        <v/>
      </c>
      <c r="BR15" s="89">
        <f>'FUND. PROF'!E67</f>
        <v/>
      </c>
      <c r="BS15" s="89">
        <f>'FUND. PROF'!E68</f>
        <v/>
      </c>
      <c r="BT15" s="89">
        <f>'FUND. PROF'!E69</f>
        <v/>
      </c>
      <c r="BU15" s="89">
        <f>'FUND. PROF'!E70</f>
        <v/>
      </c>
      <c r="BV15" s="89">
        <f>'FUND. PROF'!E71</f>
        <v/>
      </c>
      <c r="BW15" s="89">
        <f>'FUND. PROF'!E72</f>
        <v/>
      </c>
      <c r="BX15" s="89">
        <f>'FUND. PROF'!E73</f>
        <v/>
      </c>
      <c r="BY15" s="89">
        <f>'FUND. PROF'!E74</f>
        <v/>
      </c>
      <c r="BZ15" s="89">
        <f>'FUND. PROF'!E75</f>
        <v/>
      </c>
      <c r="CA15" s="89">
        <f>'FUND. PROF'!E76</f>
        <v/>
      </c>
    </row>
    <row r="16">
      <c r="A16" s="59" t="inlineStr">
        <is>
          <t>G041.002</t>
        </is>
      </c>
      <c r="B16" s="59" t="inlineStr">
        <is>
          <t>1030-1070-210</t>
        </is>
      </c>
      <c r="C16" s="59" t="inlineStr">
        <is>
          <t>FUNDAÇÃO SUPERFICIAL</t>
        </is>
      </c>
      <c r="D16" s="62">
        <f>'FUND. SUP'!$K$5</f>
        <v/>
      </c>
      <c r="E16" s="49">
        <f>SUM(H16:CA16)</f>
        <v/>
      </c>
      <c r="F16" s="49">
        <f>IF(D16="","",D16-E16)</f>
        <v/>
      </c>
      <c r="H16" s="89">
        <f>'FUND. SUP'!E5</f>
        <v/>
      </c>
      <c r="I16" s="89">
        <f>'FUND. SUP'!E6</f>
        <v/>
      </c>
      <c r="J16" s="89">
        <f>'FUND. SUP'!E7</f>
        <v/>
      </c>
      <c r="K16" s="89">
        <f>'FUND. SUP'!E8</f>
        <v/>
      </c>
      <c r="L16" s="89">
        <f>'FUND. SUP'!E9</f>
        <v/>
      </c>
      <c r="M16" s="89">
        <f>'FUND. SUP'!E10</f>
        <v/>
      </c>
      <c r="N16" s="89">
        <f>'FUND. SUP'!E11</f>
        <v/>
      </c>
      <c r="O16" s="89">
        <f>'FUND. SUP'!E12</f>
        <v/>
      </c>
      <c r="P16" s="89">
        <f>'FUND. SUP'!E13</f>
        <v/>
      </c>
      <c r="Q16" s="89">
        <f>'FUND. SUP'!E14</f>
        <v/>
      </c>
      <c r="R16" s="89">
        <f>'FUND. SUP'!E15</f>
        <v/>
      </c>
      <c r="S16" s="89">
        <f>'FUND. SUP'!E16</f>
        <v/>
      </c>
      <c r="T16" s="89">
        <f>'FUND. SUP'!E17</f>
        <v/>
      </c>
      <c r="U16" s="89">
        <f>'FUND. SUP'!E18</f>
        <v/>
      </c>
      <c r="V16" s="89">
        <f>'FUND. SUP'!E19</f>
        <v/>
      </c>
      <c r="W16" s="89">
        <f>'FUND. SUP'!E20</f>
        <v/>
      </c>
      <c r="X16" s="89">
        <f>'FUND. SUP'!E21</f>
        <v/>
      </c>
      <c r="Y16" s="89">
        <f>'FUND. SUP'!E22</f>
        <v/>
      </c>
      <c r="Z16" s="89">
        <f>'FUND. SUP'!E23</f>
        <v/>
      </c>
      <c r="AA16" s="89">
        <f>'FUND. SUP'!E24</f>
        <v/>
      </c>
      <c r="AB16" s="89">
        <f>'FUND. SUP'!E25</f>
        <v/>
      </c>
      <c r="AC16" s="89">
        <f>'FUND. SUP'!E26</f>
        <v/>
      </c>
      <c r="AD16" s="89">
        <f>'FUND. SUP'!E27</f>
        <v/>
      </c>
      <c r="AE16" s="89">
        <f>'FUND. SUP'!E28</f>
        <v/>
      </c>
      <c r="AF16" s="89">
        <f>'FUND. SUP'!E29</f>
        <v/>
      </c>
      <c r="AG16" s="89">
        <f>'FUND. SUP'!E30</f>
        <v/>
      </c>
      <c r="AH16" s="89">
        <f>'FUND. SUP'!E31</f>
        <v/>
      </c>
      <c r="AI16" s="89">
        <f>'FUND. SUP'!E32</f>
        <v/>
      </c>
      <c r="AJ16" s="89">
        <f>'FUND. SUP'!E33</f>
        <v/>
      </c>
      <c r="AK16" s="89">
        <f>'FUND. SUP'!E34</f>
        <v/>
      </c>
      <c r="AL16" s="89">
        <f>'FUND. SUP'!E35</f>
        <v/>
      </c>
      <c r="AM16" s="89">
        <f>'FUND. SUP'!E36</f>
        <v/>
      </c>
      <c r="AN16" s="89">
        <f>'FUND. SUP'!E37</f>
        <v/>
      </c>
      <c r="AO16" s="89">
        <f>'FUND. SUP'!E38</f>
        <v/>
      </c>
      <c r="AP16" s="89">
        <f>'FUND. SUP'!E39</f>
        <v/>
      </c>
      <c r="AQ16" s="89">
        <f>'FUND. SUP'!E40</f>
        <v/>
      </c>
      <c r="AR16" s="89">
        <f>'FUND. SUP'!E41</f>
        <v/>
      </c>
      <c r="AS16" s="89">
        <f>'FUND. SUP'!E42</f>
        <v/>
      </c>
      <c r="AT16" s="89">
        <f>'FUND. SUP'!E43</f>
        <v/>
      </c>
      <c r="AU16" s="89">
        <f>'FUND. SUP'!E44</f>
        <v/>
      </c>
      <c r="AV16" s="89">
        <f>'FUND. SUP'!E45</f>
        <v/>
      </c>
      <c r="AW16" s="89">
        <f>'FUND. SUP'!E46</f>
        <v/>
      </c>
      <c r="AX16" s="89">
        <f>'FUND. SUP'!E47</f>
        <v/>
      </c>
      <c r="AY16" s="89">
        <f>'FUND. SUP'!E48</f>
        <v/>
      </c>
      <c r="AZ16" s="89">
        <f>'FUND. SUP'!E49</f>
        <v/>
      </c>
      <c r="BA16" s="89">
        <f>'FUND. SUP'!E50</f>
        <v/>
      </c>
      <c r="BB16" s="89">
        <f>'FUND. SUP'!E51</f>
        <v/>
      </c>
      <c r="BC16" s="89">
        <f>'FUND. SUP'!E52</f>
        <v/>
      </c>
      <c r="BD16" s="89">
        <f>'FUND. SUP'!E53</f>
        <v/>
      </c>
      <c r="BE16" s="89">
        <f>'FUND. SUP'!E54</f>
        <v/>
      </c>
      <c r="BF16" s="89">
        <f>'FUND. SUP'!E55</f>
        <v/>
      </c>
      <c r="BG16" s="89">
        <f>'FUND. SUP'!E56</f>
        <v/>
      </c>
      <c r="BH16" s="89">
        <f>'FUND. SUP'!E57</f>
        <v/>
      </c>
      <c r="BI16" s="89">
        <f>'FUND. SUP'!E58</f>
        <v/>
      </c>
      <c r="BJ16" s="89">
        <f>'FUND. SUP'!E59</f>
        <v/>
      </c>
      <c r="BK16" s="89">
        <f>'FUND. SUP'!E60</f>
        <v/>
      </c>
      <c r="BL16" s="89">
        <f>'FUND. SUP'!E61</f>
        <v/>
      </c>
      <c r="BM16" s="89">
        <f>'FUND. SUP'!E62</f>
        <v/>
      </c>
      <c r="BN16" s="89">
        <f>'FUND. SUP'!E63</f>
        <v/>
      </c>
      <c r="BO16" s="89">
        <f>'FUND. SUP'!E64</f>
        <v/>
      </c>
      <c r="BP16" s="89">
        <f>'FUND. SUP'!E65</f>
        <v/>
      </c>
      <c r="BQ16" s="89">
        <f>'FUND. SUP'!E66</f>
        <v/>
      </c>
      <c r="BR16" s="89">
        <f>'FUND. SUP'!E67</f>
        <v/>
      </c>
      <c r="BS16" s="89">
        <f>'FUND. SUP'!E68</f>
        <v/>
      </c>
      <c r="BT16" s="89">
        <f>'FUND. SUP'!E69</f>
        <v/>
      </c>
      <c r="BU16" s="89">
        <f>'FUND. SUP'!E70</f>
        <v/>
      </c>
      <c r="BV16" s="89">
        <f>'FUND. SUP'!E71</f>
        <v/>
      </c>
      <c r="BW16" s="89">
        <f>'FUND. SUP'!E72</f>
        <v/>
      </c>
      <c r="BX16" s="89">
        <f>'FUND. SUP'!E73</f>
        <v/>
      </c>
      <c r="BY16" s="89">
        <f>'FUND. SUP'!E74</f>
        <v/>
      </c>
      <c r="BZ16" s="89">
        <f>'FUND. SUP'!E75</f>
        <v/>
      </c>
      <c r="CA16" s="89">
        <f>'FUND. SUP'!E76</f>
        <v/>
      </c>
    </row>
    <row r="17">
      <c r="A17" s="59" t="inlineStr">
        <is>
          <t>G041.002</t>
        </is>
      </c>
      <c r="B17" s="59" t="inlineStr">
        <is>
          <t>1030-1070-290</t>
        </is>
      </c>
      <c r="C17" s="59" t="inlineStr">
        <is>
          <t>IMPERMEABILIZAÇÃO</t>
        </is>
      </c>
      <c r="D17" s="62">
        <f>'IMPERMEABILIZAÇÃO'!$K$5</f>
        <v/>
      </c>
      <c r="E17" s="49">
        <f>SUM(H17:CA17)</f>
        <v/>
      </c>
      <c r="F17" s="49">
        <f>IF(D17="","",D17-E17)</f>
        <v/>
      </c>
      <c r="H17" s="89">
        <f>'IMPERMEABILIZAÇÃO'!E5</f>
        <v/>
      </c>
      <c r="I17" s="89">
        <f>'IMPERMEABILIZAÇÃO'!E6</f>
        <v/>
      </c>
      <c r="J17" s="89">
        <f>'IMPERMEABILIZAÇÃO'!E7</f>
        <v/>
      </c>
      <c r="K17" s="89">
        <f>'IMPERMEABILIZAÇÃO'!E8</f>
        <v/>
      </c>
      <c r="L17" s="89">
        <f>'IMPERMEABILIZAÇÃO'!E9</f>
        <v/>
      </c>
      <c r="M17" s="89">
        <f>'IMPERMEABILIZAÇÃO'!E10</f>
        <v/>
      </c>
      <c r="N17" s="89">
        <f>'IMPERMEABILIZAÇÃO'!E11</f>
        <v/>
      </c>
      <c r="O17" s="89">
        <f>'IMPERMEABILIZAÇÃO'!E12</f>
        <v/>
      </c>
      <c r="P17" s="89">
        <f>'IMPERMEABILIZAÇÃO'!E13</f>
        <v/>
      </c>
      <c r="Q17" s="89">
        <f>'IMPERMEABILIZAÇÃO'!E14</f>
        <v/>
      </c>
      <c r="R17" s="89">
        <f>'IMPERMEABILIZAÇÃO'!E15</f>
        <v/>
      </c>
      <c r="S17" s="89">
        <f>'IMPERMEABILIZAÇÃO'!E16</f>
        <v/>
      </c>
      <c r="T17" s="89">
        <f>'IMPERMEABILIZAÇÃO'!E17</f>
        <v/>
      </c>
      <c r="U17" s="89">
        <f>'IMPERMEABILIZAÇÃO'!E18</f>
        <v/>
      </c>
      <c r="V17" s="89">
        <f>'IMPERMEABILIZAÇÃO'!E19</f>
        <v/>
      </c>
      <c r="W17" s="89">
        <f>'IMPERMEABILIZAÇÃO'!E20</f>
        <v/>
      </c>
      <c r="X17" s="89">
        <f>'IMPERMEABILIZAÇÃO'!E21</f>
        <v/>
      </c>
      <c r="Y17" s="89">
        <f>'IMPERMEABILIZAÇÃO'!E22</f>
        <v/>
      </c>
      <c r="Z17" s="89">
        <f>'IMPERMEABILIZAÇÃO'!E23</f>
        <v/>
      </c>
      <c r="AA17" s="89">
        <f>'IMPERMEABILIZAÇÃO'!E24</f>
        <v/>
      </c>
      <c r="AB17" s="89">
        <f>'IMPERMEABILIZAÇÃO'!E25</f>
        <v/>
      </c>
      <c r="AC17" s="89">
        <f>'IMPERMEABILIZAÇÃO'!E26</f>
        <v/>
      </c>
      <c r="AD17" s="89">
        <f>'IMPERMEABILIZAÇÃO'!E27</f>
        <v/>
      </c>
      <c r="AE17" s="89">
        <f>'IMPERMEABILIZAÇÃO'!E28</f>
        <v/>
      </c>
      <c r="AF17" s="89">
        <f>'IMPERMEABILIZAÇÃO'!E29</f>
        <v/>
      </c>
      <c r="AG17" s="89">
        <f>'IMPERMEABILIZAÇÃO'!E30</f>
        <v/>
      </c>
      <c r="AH17" s="89">
        <f>'IMPERMEABILIZAÇÃO'!E31</f>
        <v/>
      </c>
      <c r="AI17" s="89">
        <f>'IMPERMEABILIZAÇÃO'!E32</f>
        <v/>
      </c>
      <c r="AJ17" s="89">
        <f>'IMPERMEABILIZAÇÃO'!E33</f>
        <v/>
      </c>
      <c r="AK17" s="89">
        <f>'IMPERMEABILIZAÇÃO'!E34</f>
        <v/>
      </c>
      <c r="AL17" s="89">
        <f>'IMPERMEABILIZAÇÃO'!E35</f>
        <v/>
      </c>
      <c r="AM17" s="89">
        <f>'IMPERMEABILIZAÇÃO'!E36</f>
        <v/>
      </c>
      <c r="AN17" s="89">
        <f>'IMPERMEABILIZAÇÃO'!E37</f>
        <v/>
      </c>
      <c r="AO17" s="89">
        <f>'IMPERMEABILIZAÇÃO'!E38</f>
        <v/>
      </c>
      <c r="AP17" s="89">
        <f>'IMPERMEABILIZAÇÃO'!E39</f>
        <v/>
      </c>
      <c r="AQ17" s="89">
        <f>'IMPERMEABILIZAÇÃO'!E40</f>
        <v/>
      </c>
      <c r="AR17" s="89">
        <f>'IMPERMEABILIZAÇÃO'!E41</f>
        <v/>
      </c>
      <c r="AS17" s="89">
        <f>'IMPERMEABILIZAÇÃO'!E42</f>
        <v/>
      </c>
      <c r="AT17" s="89">
        <f>'IMPERMEABILIZAÇÃO'!E43</f>
        <v/>
      </c>
      <c r="AU17" s="89">
        <f>'IMPERMEABILIZAÇÃO'!E44</f>
        <v/>
      </c>
      <c r="AV17" s="89">
        <f>'IMPERMEABILIZAÇÃO'!E45</f>
        <v/>
      </c>
      <c r="AW17" s="89">
        <f>'IMPERMEABILIZAÇÃO'!E46</f>
        <v/>
      </c>
      <c r="AX17" s="89">
        <f>'IMPERMEABILIZAÇÃO'!E47</f>
        <v/>
      </c>
      <c r="AY17" s="89">
        <f>'IMPERMEABILIZAÇÃO'!E48</f>
        <v/>
      </c>
      <c r="AZ17" s="89">
        <f>'IMPERMEABILIZAÇÃO'!E49</f>
        <v/>
      </c>
      <c r="BA17" s="89">
        <f>'IMPERMEABILIZAÇÃO'!E50</f>
        <v/>
      </c>
      <c r="BB17" s="89">
        <f>'IMPERMEABILIZAÇÃO'!E51</f>
        <v/>
      </c>
      <c r="BC17" s="89">
        <f>'IMPERMEABILIZAÇÃO'!E52</f>
        <v/>
      </c>
      <c r="BD17" s="89">
        <f>'IMPERMEABILIZAÇÃO'!E53</f>
        <v/>
      </c>
      <c r="BE17" s="89">
        <f>'IMPERMEABILIZAÇÃO'!E54</f>
        <v/>
      </c>
      <c r="BF17" s="89">
        <f>'IMPERMEABILIZAÇÃO'!E55</f>
        <v/>
      </c>
      <c r="BG17" s="89">
        <f>'IMPERMEABILIZAÇÃO'!E56</f>
        <v/>
      </c>
      <c r="BH17" s="89">
        <f>'IMPERMEABILIZAÇÃO'!E57</f>
        <v/>
      </c>
      <c r="BI17" s="89">
        <f>'IMPERMEABILIZAÇÃO'!E58</f>
        <v/>
      </c>
      <c r="BJ17" s="89">
        <f>'IMPERMEABILIZAÇÃO'!E59</f>
        <v/>
      </c>
      <c r="BK17" s="89">
        <f>'IMPERMEABILIZAÇÃO'!E60</f>
        <v/>
      </c>
      <c r="BL17" s="89">
        <f>'IMPERMEABILIZAÇÃO'!E61</f>
        <v/>
      </c>
      <c r="BM17" s="89">
        <f>'IMPERMEABILIZAÇÃO'!E62</f>
        <v/>
      </c>
      <c r="BN17" s="89">
        <f>'IMPERMEABILIZAÇÃO'!E63</f>
        <v/>
      </c>
      <c r="BO17" s="89">
        <f>'IMPERMEABILIZAÇÃO'!E64</f>
        <v/>
      </c>
      <c r="BP17" s="89">
        <f>'IMPERMEABILIZAÇÃO'!E65</f>
        <v/>
      </c>
      <c r="BQ17" s="89">
        <f>'IMPERMEABILIZAÇÃO'!E66</f>
        <v/>
      </c>
      <c r="BR17" s="89">
        <f>'IMPERMEABILIZAÇÃO'!E67</f>
        <v/>
      </c>
      <c r="BS17" s="89">
        <f>'IMPERMEABILIZAÇÃO'!E68</f>
        <v/>
      </c>
      <c r="BT17" s="89">
        <f>'IMPERMEABILIZAÇÃO'!E69</f>
        <v/>
      </c>
      <c r="BU17" s="89">
        <f>'IMPERMEABILIZAÇÃO'!E70</f>
        <v/>
      </c>
      <c r="BV17" s="89">
        <f>'IMPERMEABILIZAÇÃO'!E71</f>
        <v/>
      </c>
      <c r="BW17" s="89">
        <f>'IMPERMEABILIZAÇÃO'!E72</f>
        <v/>
      </c>
      <c r="BX17" s="89">
        <f>'IMPERMEABILIZAÇÃO'!E73</f>
        <v/>
      </c>
      <c r="BY17" s="89">
        <f>'IMPERMEABILIZAÇÃO'!E74</f>
        <v/>
      </c>
      <c r="BZ17" s="89">
        <f>'IMPERMEABILIZAÇÃO'!E75</f>
        <v/>
      </c>
      <c r="CA17" s="89">
        <f>'IMPERMEABILIZAÇÃO'!E76</f>
        <v/>
      </c>
    </row>
    <row r="18">
      <c r="A18" s="59" t="inlineStr">
        <is>
          <t>G041.002</t>
        </is>
      </c>
      <c r="B18" s="59" t="inlineStr">
        <is>
          <t>1030-1070-260</t>
        </is>
      </c>
      <c r="C18" s="59" t="inlineStr">
        <is>
          <t>INSTALAÇÕES COMBATE INCÊNDIO</t>
        </is>
      </c>
      <c r="D18" s="62">
        <f>'INST. INC'!$K$5</f>
        <v/>
      </c>
      <c r="E18" s="49">
        <f>SUM(H18:CA18)</f>
        <v/>
      </c>
      <c r="F18" s="49">
        <f>IF(D18="","",D18-E18)</f>
        <v/>
      </c>
      <c r="H18" s="89">
        <f>'INST. INC'!E5</f>
        <v/>
      </c>
      <c r="I18" s="89">
        <f>'INST. INC'!E6</f>
        <v/>
      </c>
      <c r="J18" s="89">
        <f>'INST. INC'!E7</f>
        <v/>
      </c>
      <c r="K18" s="89">
        <f>'INST. INC'!E8</f>
        <v/>
      </c>
      <c r="L18" s="89">
        <f>'INST. INC'!E9</f>
        <v/>
      </c>
      <c r="M18" s="89">
        <f>'INST. INC'!E10</f>
        <v/>
      </c>
      <c r="N18" s="89">
        <f>'INST. INC'!E11</f>
        <v/>
      </c>
      <c r="O18" s="89">
        <f>'INST. INC'!E12</f>
        <v/>
      </c>
      <c r="P18" s="89">
        <f>'INST. INC'!E13</f>
        <v/>
      </c>
      <c r="Q18" s="89">
        <f>'INST. INC'!E14</f>
        <v/>
      </c>
      <c r="R18" s="89">
        <f>'INST. INC'!E15</f>
        <v/>
      </c>
      <c r="S18" s="89">
        <f>'INST. INC'!E16</f>
        <v/>
      </c>
      <c r="T18" s="89">
        <f>'INST. INC'!E17</f>
        <v/>
      </c>
      <c r="U18" s="89">
        <f>'INST. INC'!E18</f>
        <v/>
      </c>
      <c r="V18" s="89">
        <f>'INST. INC'!E19</f>
        <v/>
      </c>
      <c r="W18" s="89">
        <f>'INST. INC'!E20</f>
        <v/>
      </c>
      <c r="X18" s="89">
        <f>'INST. INC'!E21</f>
        <v/>
      </c>
      <c r="Y18" s="89">
        <f>'INST. INC'!E22</f>
        <v/>
      </c>
      <c r="Z18" s="89">
        <f>'INST. INC'!E23</f>
        <v/>
      </c>
      <c r="AA18" s="89">
        <f>'INST. INC'!E24</f>
        <v/>
      </c>
      <c r="AB18" s="89">
        <f>'INST. INC'!E25</f>
        <v/>
      </c>
      <c r="AC18" s="89">
        <f>'INST. INC'!E26</f>
        <v/>
      </c>
      <c r="AD18" s="89">
        <f>'INST. INC'!E27</f>
        <v/>
      </c>
      <c r="AE18" s="89">
        <f>'INST. INC'!E28</f>
        <v/>
      </c>
      <c r="AF18" s="89">
        <f>'INST. INC'!E29</f>
        <v/>
      </c>
      <c r="AG18" s="89">
        <f>'INST. INC'!E30</f>
        <v/>
      </c>
      <c r="AH18" s="89">
        <f>'INST. INC'!E31</f>
        <v/>
      </c>
      <c r="AI18" s="89">
        <f>'INST. INC'!E32</f>
        <v/>
      </c>
      <c r="AJ18" s="89">
        <f>'INST. INC'!E33</f>
        <v/>
      </c>
      <c r="AK18" s="89">
        <f>'INST. INC'!E34</f>
        <v/>
      </c>
      <c r="AL18" s="89">
        <f>'INST. INC'!E35</f>
        <v/>
      </c>
      <c r="AM18" s="89">
        <f>'INST. INC'!E36</f>
        <v/>
      </c>
      <c r="AN18" s="89">
        <f>'INST. INC'!E37</f>
        <v/>
      </c>
      <c r="AO18" s="89">
        <f>'INST. INC'!E38</f>
        <v/>
      </c>
      <c r="AP18" s="89">
        <f>'INST. INC'!E39</f>
        <v/>
      </c>
      <c r="AQ18" s="89">
        <f>'INST. INC'!E40</f>
        <v/>
      </c>
      <c r="AR18" s="89">
        <f>'INST. INC'!E41</f>
        <v/>
      </c>
      <c r="AS18" s="89">
        <f>'INST. INC'!E42</f>
        <v/>
      </c>
      <c r="AT18" s="89">
        <f>'INST. INC'!E43</f>
        <v/>
      </c>
      <c r="AU18" s="89">
        <f>'INST. INC'!E44</f>
        <v/>
      </c>
      <c r="AV18" s="89">
        <f>'INST. INC'!E45</f>
        <v/>
      </c>
      <c r="AW18" s="89">
        <f>'INST. INC'!E46</f>
        <v/>
      </c>
      <c r="AX18" s="89">
        <f>'INST. INC'!E47</f>
        <v/>
      </c>
      <c r="AY18" s="89">
        <f>'INST. INC'!E48</f>
        <v/>
      </c>
      <c r="AZ18" s="89">
        <f>'INST. INC'!E49</f>
        <v/>
      </c>
      <c r="BA18" s="89">
        <f>'INST. INC'!E50</f>
        <v/>
      </c>
      <c r="BB18" s="89">
        <f>'INST. INC'!E51</f>
        <v/>
      </c>
      <c r="BC18" s="89">
        <f>'INST. INC'!E52</f>
        <v/>
      </c>
      <c r="BD18" s="89">
        <f>'INST. INC'!E53</f>
        <v/>
      </c>
      <c r="BE18" s="89">
        <f>'INST. INC'!E54</f>
        <v/>
      </c>
      <c r="BF18" s="89">
        <f>'INST. INC'!E55</f>
        <v/>
      </c>
      <c r="BG18" s="89">
        <f>'INST. INC'!E56</f>
        <v/>
      </c>
      <c r="BH18" s="89">
        <f>'INST. INC'!E57</f>
        <v/>
      </c>
      <c r="BI18" s="89">
        <f>'INST. INC'!E58</f>
        <v/>
      </c>
      <c r="BJ18" s="89">
        <f>'INST. INC'!E59</f>
        <v/>
      </c>
      <c r="BK18" s="89">
        <f>'INST. INC'!E60</f>
        <v/>
      </c>
      <c r="BL18" s="89">
        <f>'INST. INC'!E61</f>
        <v/>
      </c>
      <c r="BM18" s="89">
        <f>'INST. INC'!E62</f>
        <v/>
      </c>
      <c r="BN18" s="89">
        <f>'INST. INC'!E63</f>
        <v/>
      </c>
      <c r="BO18" s="89">
        <f>'INST. INC'!E64</f>
        <v/>
      </c>
      <c r="BP18" s="89">
        <f>'INST. INC'!E65</f>
        <v/>
      </c>
      <c r="BQ18" s="89">
        <f>'INST. INC'!E66</f>
        <v/>
      </c>
      <c r="BR18" s="89">
        <f>'INST. INC'!E67</f>
        <v/>
      </c>
      <c r="BS18" s="89">
        <f>'INST. INC'!E68</f>
        <v/>
      </c>
      <c r="BT18" s="89">
        <f>'INST. INC'!E69</f>
        <v/>
      </c>
      <c r="BU18" s="89">
        <f>'INST. INC'!E70</f>
        <v/>
      </c>
      <c r="BV18" s="89">
        <f>'INST. INC'!E71</f>
        <v/>
      </c>
      <c r="BW18" s="89">
        <f>'INST. INC'!E72</f>
        <v/>
      </c>
      <c r="BX18" s="89">
        <f>'INST. INC'!E73</f>
        <v/>
      </c>
      <c r="BY18" s="89">
        <f>'INST. INC'!E74</f>
        <v/>
      </c>
      <c r="BZ18" s="89">
        <f>'INST. INC'!E75</f>
        <v/>
      </c>
      <c r="CA18" s="89">
        <f>'INST. INC'!E76</f>
        <v/>
      </c>
    </row>
    <row r="19">
      <c r="A19" s="59" t="inlineStr">
        <is>
          <t>G041.002</t>
        </is>
      </c>
      <c r="B19" s="59" t="inlineStr">
        <is>
          <t>1030-1070-240</t>
        </is>
      </c>
      <c r="C19" s="59" t="inlineStr">
        <is>
          <t>INSTALAÇÕES ELÉTRICAS</t>
        </is>
      </c>
      <c r="D19" s="62">
        <f>'INST. ELÉTRICA'!$K$5</f>
        <v/>
      </c>
      <c r="E19" s="49">
        <f>SUM(H19:CA19)</f>
        <v/>
      </c>
      <c r="F19" s="49">
        <f>IF(D19="","",D19-E19)</f>
        <v/>
      </c>
      <c r="H19" s="89">
        <f>'INST. ELÉTRICA'!E5</f>
        <v/>
      </c>
      <c r="I19" s="89">
        <f>'INST. ELÉTRICA'!E6</f>
        <v/>
      </c>
      <c r="J19" s="89">
        <f>'INST. ELÉTRICA'!E7</f>
        <v/>
      </c>
      <c r="K19" s="89">
        <f>'INST. ELÉTRICA'!E8</f>
        <v/>
      </c>
      <c r="L19" s="89">
        <f>'INST. ELÉTRICA'!E9</f>
        <v/>
      </c>
      <c r="M19" s="89">
        <f>'INST. ELÉTRICA'!E10</f>
        <v/>
      </c>
      <c r="N19" s="89">
        <f>'INST. ELÉTRICA'!E11</f>
        <v/>
      </c>
      <c r="O19" s="89">
        <f>'INST. ELÉTRICA'!E12</f>
        <v/>
      </c>
      <c r="P19" s="89">
        <f>'INST. ELÉTRICA'!E13</f>
        <v/>
      </c>
      <c r="Q19" s="89">
        <f>'INST. ELÉTRICA'!E14</f>
        <v/>
      </c>
      <c r="R19" s="89">
        <f>'INST. ELÉTRICA'!E15</f>
        <v/>
      </c>
      <c r="S19" s="89">
        <f>'INST. ELÉTRICA'!E16</f>
        <v/>
      </c>
      <c r="T19" s="89">
        <f>'INST. ELÉTRICA'!E17</f>
        <v/>
      </c>
      <c r="U19" s="89">
        <f>'INST. ELÉTRICA'!E18</f>
        <v/>
      </c>
      <c r="V19" s="89">
        <f>'INST. ELÉTRICA'!E19</f>
        <v/>
      </c>
      <c r="W19" s="89">
        <f>'INST. ELÉTRICA'!E20</f>
        <v/>
      </c>
      <c r="X19" s="89">
        <f>'INST. ELÉTRICA'!E21</f>
        <v/>
      </c>
      <c r="Y19" s="89">
        <f>'INST. ELÉTRICA'!E22</f>
        <v/>
      </c>
      <c r="Z19" s="89">
        <f>'INST. ELÉTRICA'!E23</f>
        <v/>
      </c>
      <c r="AA19" s="89">
        <f>'INST. ELÉTRICA'!E24</f>
        <v/>
      </c>
      <c r="AB19" s="89">
        <f>'INST. ELÉTRICA'!E25</f>
        <v/>
      </c>
      <c r="AC19" s="89">
        <f>'INST. ELÉTRICA'!E26</f>
        <v/>
      </c>
      <c r="AD19" s="89">
        <f>'INST. ELÉTRICA'!E27</f>
        <v/>
      </c>
      <c r="AE19" s="89">
        <f>'INST. ELÉTRICA'!E28</f>
        <v/>
      </c>
      <c r="AF19" s="89">
        <f>'INST. ELÉTRICA'!E29</f>
        <v/>
      </c>
      <c r="AG19" s="89">
        <f>'INST. ELÉTRICA'!E30</f>
        <v/>
      </c>
      <c r="AH19" s="89">
        <f>'INST. ELÉTRICA'!E31</f>
        <v/>
      </c>
      <c r="AI19" s="89">
        <f>'INST. ELÉTRICA'!E32</f>
        <v/>
      </c>
      <c r="AJ19" s="89">
        <f>'INST. ELÉTRICA'!E33</f>
        <v/>
      </c>
      <c r="AK19" s="89">
        <f>'INST. ELÉTRICA'!E34</f>
        <v/>
      </c>
      <c r="AL19" s="89">
        <f>'INST. ELÉTRICA'!E35</f>
        <v/>
      </c>
      <c r="AM19" s="89">
        <f>'INST. ELÉTRICA'!E36</f>
        <v/>
      </c>
      <c r="AN19" s="89">
        <f>'INST. ELÉTRICA'!E37</f>
        <v/>
      </c>
      <c r="AO19" s="89">
        <f>'INST. ELÉTRICA'!E38</f>
        <v/>
      </c>
      <c r="AP19" s="89">
        <f>'INST. ELÉTRICA'!E39</f>
        <v/>
      </c>
      <c r="AQ19" s="89">
        <f>'INST. ELÉTRICA'!E40</f>
        <v/>
      </c>
      <c r="AR19" s="89">
        <f>'INST. ELÉTRICA'!E41</f>
        <v/>
      </c>
      <c r="AS19" s="89">
        <f>'INST. ELÉTRICA'!E42</f>
        <v/>
      </c>
      <c r="AT19" s="89">
        <f>'INST. ELÉTRICA'!E43</f>
        <v/>
      </c>
      <c r="AU19" s="89">
        <f>'INST. ELÉTRICA'!E44</f>
        <v/>
      </c>
      <c r="AV19" s="89">
        <f>'INST. ELÉTRICA'!E45</f>
        <v/>
      </c>
      <c r="AW19" s="89">
        <f>'INST. ELÉTRICA'!E46</f>
        <v/>
      </c>
      <c r="AX19" s="89">
        <f>'INST. ELÉTRICA'!E47</f>
        <v/>
      </c>
      <c r="AY19" s="89">
        <f>'INST. ELÉTRICA'!E48</f>
        <v/>
      </c>
      <c r="AZ19" s="89">
        <f>'INST. ELÉTRICA'!E49</f>
        <v/>
      </c>
      <c r="BA19" s="89">
        <f>'INST. ELÉTRICA'!E50</f>
        <v/>
      </c>
      <c r="BB19" s="89">
        <f>'INST. ELÉTRICA'!E51</f>
        <v/>
      </c>
      <c r="BC19" s="89">
        <f>'INST. ELÉTRICA'!E52</f>
        <v/>
      </c>
      <c r="BD19" s="89">
        <f>'INST. ELÉTRICA'!E53</f>
        <v/>
      </c>
      <c r="BE19" s="89">
        <f>'INST. ELÉTRICA'!E54</f>
        <v/>
      </c>
      <c r="BF19" s="89">
        <f>'INST. ELÉTRICA'!E55</f>
        <v/>
      </c>
      <c r="BG19" s="89">
        <f>'INST. ELÉTRICA'!E56</f>
        <v/>
      </c>
      <c r="BH19" s="89">
        <f>'INST. ELÉTRICA'!E57</f>
        <v/>
      </c>
      <c r="BI19" s="89">
        <f>'INST. ELÉTRICA'!E58</f>
        <v/>
      </c>
      <c r="BJ19" s="89">
        <f>'INST. ELÉTRICA'!E59</f>
        <v/>
      </c>
      <c r="BK19" s="89">
        <f>'INST. ELÉTRICA'!E60</f>
        <v/>
      </c>
      <c r="BL19" s="89">
        <f>'INST. ELÉTRICA'!E61</f>
        <v/>
      </c>
      <c r="BM19" s="89">
        <f>'INST. ELÉTRICA'!E62</f>
        <v/>
      </c>
      <c r="BN19" s="89">
        <f>'INST. ELÉTRICA'!E63</f>
        <v/>
      </c>
      <c r="BO19" s="89">
        <f>'INST. ELÉTRICA'!E64</f>
        <v/>
      </c>
      <c r="BP19" s="89">
        <f>'INST. ELÉTRICA'!E65</f>
        <v/>
      </c>
      <c r="BQ19" s="89">
        <f>'INST. ELÉTRICA'!E66</f>
        <v/>
      </c>
      <c r="BR19" s="89">
        <f>'INST. ELÉTRICA'!E67</f>
        <v/>
      </c>
      <c r="BS19" s="89">
        <f>'INST. ELÉTRICA'!E68</f>
        <v/>
      </c>
      <c r="BT19" s="89">
        <f>'INST. ELÉTRICA'!E69</f>
        <v/>
      </c>
      <c r="BU19" s="89">
        <f>'INST. ELÉTRICA'!E70</f>
        <v/>
      </c>
      <c r="BV19" s="89">
        <f>'INST. ELÉTRICA'!E71</f>
        <v/>
      </c>
      <c r="BW19" s="89">
        <f>'INST. ELÉTRICA'!E72</f>
        <v/>
      </c>
      <c r="BX19" s="89">
        <f>'INST. ELÉTRICA'!E73</f>
        <v/>
      </c>
      <c r="BY19" s="89">
        <f>'INST. ELÉTRICA'!E74</f>
        <v/>
      </c>
      <c r="BZ19" s="89">
        <f>'INST. ELÉTRICA'!E75</f>
        <v/>
      </c>
      <c r="CA19" s="89">
        <f>'INST. ELÉTRICA'!E76</f>
        <v/>
      </c>
    </row>
    <row r="20">
      <c r="A20" s="59" t="inlineStr">
        <is>
          <t>G041.002</t>
        </is>
      </c>
      <c r="B20" s="59" t="inlineStr">
        <is>
          <t>1030-1070-270</t>
        </is>
      </c>
      <c r="C20" s="59" t="inlineStr">
        <is>
          <t>INSTALAÇÕES ESPECIAIS</t>
        </is>
      </c>
      <c r="D20" s="62">
        <f>'INST. ESP'!$K$5</f>
        <v/>
      </c>
      <c r="E20" s="49">
        <f>SUM(H20:CA20)</f>
        <v/>
      </c>
      <c r="F20" s="49">
        <f>IF(D20="","",D20-E20)</f>
        <v/>
      </c>
      <c r="H20" s="89">
        <f>'INST. ESP'!E5</f>
        <v/>
      </c>
      <c r="I20" s="89">
        <f>'INST. ESP'!E6</f>
        <v/>
      </c>
      <c r="J20" s="89">
        <f>'INST. ESP'!E7</f>
        <v/>
      </c>
      <c r="K20" s="89">
        <f>'INST. ESP'!E8</f>
        <v/>
      </c>
      <c r="L20" s="89">
        <f>'INST. ESP'!E9</f>
        <v/>
      </c>
      <c r="M20" s="89">
        <f>'INST. ESP'!E10</f>
        <v/>
      </c>
      <c r="N20" s="89">
        <f>'INST. ESP'!E11</f>
        <v/>
      </c>
      <c r="O20" s="89">
        <f>'INST. ESP'!E12</f>
        <v/>
      </c>
      <c r="P20" s="89">
        <f>'INST. ESP'!E13</f>
        <v/>
      </c>
      <c r="Q20" s="89">
        <f>'INST. ESP'!E14</f>
        <v/>
      </c>
      <c r="R20" s="89">
        <f>'INST. ESP'!E15</f>
        <v/>
      </c>
      <c r="S20" s="89">
        <f>'INST. ESP'!E16</f>
        <v/>
      </c>
      <c r="T20" s="89">
        <f>'INST. ESP'!E17</f>
        <v/>
      </c>
      <c r="U20" s="89">
        <f>'INST. ESP'!E18</f>
        <v/>
      </c>
      <c r="V20" s="89">
        <f>'INST. ESP'!E19</f>
        <v/>
      </c>
      <c r="W20" s="89">
        <f>'INST. ESP'!E20</f>
        <v/>
      </c>
      <c r="X20" s="89">
        <f>'INST. ESP'!E21</f>
        <v/>
      </c>
      <c r="Y20" s="89">
        <f>'INST. ESP'!E22</f>
        <v/>
      </c>
      <c r="Z20" s="89">
        <f>'INST. ESP'!E23</f>
        <v/>
      </c>
      <c r="AA20" s="89">
        <f>'INST. ESP'!E24</f>
        <v/>
      </c>
      <c r="AB20" s="89">
        <f>'INST. ESP'!E25</f>
        <v/>
      </c>
      <c r="AC20" s="89">
        <f>'INST. ESP'!E26</f>
        <v/>
      </c>
      <c r="AD20" s="89">
        <f>'INST. ESP'!E27</f>
        <v/>
      </c>
      <c r="AE20" s="89">
        <f>'INST. ESP'!E28</f>
        <v/>
      </c>
      <c r="AF20" s="89">
        <f>'INST. ESP'!E29</f>
        <v/>
      </c>
      <c r="AG20" s="89">
        <f>'INST. ESP'!E30</f>
        <v/>
      </c>
      <c r="AH20" s="89">
        <f>'INST. ESP'!E31</f>
        <v/>
      </c>
      <c r="AI20" s="89">
        <f>'INST. ESP'!E32</f>
        <v/>
      </c>
      <c r="AJ20" s="89">
        <f>'INST. ESP'!E33</f>
        <v/>
      </c>
      <c r="AK20" s="89">
        <f>'INST. ESP'!E34</f>
        <v/>
      </c>
      <c r="AL20" s="89">
        <f>'INST. ESP'!E35</f>
        <v/>
      </c>
      <c r="AM20" s="89">
        <f>'INST. ESP'!E36</f>
        <v/>
      </c>
      <c r="AN20" s="89">
        <f>'INST. ESP'!E37</f>
        <v/>
      </c>
      <c r="AO20" s="89">
        <f>'INST. ESP'!E38</f>
        <v/>
      </c>
      <c r="AP20" s="89">
        <f>'INST. ESP'!E39</f>
        <v/>
      </c>
      <c r="AQ20" s="89">
        <f>'INST. ESP'!E40</f>
        <v/>
      </c>
      <c r="AR20" s="89">
        <f>'INST. ESP'!E41</f>
        <v/>
      </c>
      <c r="AS20" s="89">
        <f>'INST. ESP'!E42</f>
        <v/>
      </c>
      <c r="AT20" s="89">
        <f>'INST. ESP'!E43</f>
        <v/>
      </c>
      <c r="AU20" s="89">
        <f>'INST. ESP'!E44</f>
        <v/>
      </c>
      <c r="AV20" s="89">
        <f>'INST. ESP'!E45</f>
        <v/>
      </c>
      <c r="AW20" s="89">
        <f>'INST. ESP'!E46</f>
        <v/>
      </c>
      <c r="AX20" s="89">
        <f>'INST. ESP'!E47</f>
        <v/>
      </c>
      <c r="AY20" s="89">
        <f>'INST. ESP'!E48</f>
        <v/>
      </c>
      <c r="AZ20" s="89">
        <f>'INST. ESP'!E49</f>
        <v/>
      </c>
      <c r="BA20" s="89">
        <f>'INST. ESP'!E50</f>
        <v/>
      </c>
      <c r="BB20" s="89">
        <f>'INST. ESP'!E51</f>
        <v/>
      </c>
      <c r="BC20" s="89">
        <f>'INST. ESP'!E52</f>
        <v/>
      </c>
      <c r="BD20" s="89">
        <f>'INST. ESP'!E53</f>
        <v/>
      </c>
      <c r="BE20" s="89">
        <f>'INST. ESP'!E54</f>
        <v/>
      </c>
      <c r="BF20" s="89">
        <f>'INST. ESP'!E55</f>
        <v/>
      </c>
      <c r="BG20" s="89">
        <f>'INST. ESP'!E56</f>
        <v/>
      </c>
      <c r="BH20" s="89">
        <f>'INST. ESP'!E57</f>
        <v/>
      </c>
      <c r="BI20" s="89">
        <f>'INST. ESP'!E58</f>
        <v/>
      </c>
      <c r="BJ20" s="89">
        <f>'INST. ESP'!E59</f>
        <v/>
      </c>
      <c r="BK20" s="89">
        <f>'INST. ESP'!E60</f>
        <v/>
      </c>
      <c r="BL20" s="89">
        <f>'INST. ESP'!E61</f>
        <v/>
      </c>
      <c r="BM20" s="89">
        <f>'INST. ESP'!E62</f>
        <v/>
      </c>
      <c r="BN20" s="89">
        <f>'INST. ESP'!E63</f>
        <v/>
      </c>
      <c r="BO20" s="89">
        <f>'INST. ESP'!E64</f>
        <v/>
      </c>
      <c r="BP20" s="89">
        <f>'INST. ESP'!E65</f>
        <v/>
      </c>
      <c r="BQ20" s="89">
        <f>'INST. ESP'!E66</f>
        <v/>
      </c>
      <c r="BR20" s="89">
        <f>'INST. ESP'!E67</f>
        <v/>
      </c>
      <c r="BS20" s="89">
        <f>'INST. ESP'!E68</f>
        <v/>
      </c>
      <c r="BT20" s="89">
        <f>'INST. ESP'!E69</f>
        <v/>
      </c>
      <c r="BU20" s="89">
        <f>'INST. ESP'!E70</f>
        <v/>
      </c>
      <c r="BV20" s="89">
        <f>'INST. ESP'!E71</f>
        <v/>
      </c>
      <c r="BW20" s="89">
        <f>'INST. ESP'!E72</f>
        <v/>
      </c>
      <c r="BX20" s="89">
        <f>'INST. ESP'!E73</f>
        <v/>
      </c>
      <c r="BY20" s="89">
        <f>'INST. ESP'!E74</f>
        <v/>
      </c>
      <c r="BZ20" s="89">
        <f>'INST. ESP'!E75</f>
        <v/>
      </c>
      <c r="CA20" s="89">
        <f>'INST. ESP'!E76</f>
        <v/>
      </c>
    </row>
    <row r="21">
      <c r="A21" s="59" t="inlineStr">
        <is>
          <t>G041.002</t>
        </is>
      </c>
      <c r="B21" s="59" t="inlineStr">
        <is>
          <t>1030-1070-250</t>
        </is>
      </c>
      <c r="C21" s="59" t="inlineStr">
        <is>
          <t>INSTALAÇÕES HIDROSANITÁRIAS</t>
        </is>
      </c>
      <c r="D21" s="62">
        <f>'INST. HIDRO'!$K$5</f>
        <v/>
      </c>
      <c r="E21" s="49">
        <f>SUM(H21:CA21)</f>
        <v/>
      </c>
      <c r="F21" s="49">
        <f>IF(D21="","",D21-E21)</f>
        <v/>
      </c>
      <c r="H21" s="89">
        <f>'INST. HIDRO'!E5</f>
        <v/>
      </c>
      <c r="I21" s="89">
        <f>'INST. HIDRO'!E6</f>
        <v/>
      </c>
      <c r="J21" s="89">
        <f>'INST. HIDRO'!E7</f>
        <v/>
      </c>
      <c r="K21" s="89">
        <f>'INST. HIDRO'!E8</f>
        <v/>
      </c>
      <c r="L21" s="89">
        <f>'INST. HIDRO'!E9</f>
        <v/>
      </c>
      <c r="M21" s="89">
        <f>'INST. HIDRO'!E10</f>
        <v/>
      </c>
      <c r="N21" s="89">
        <f>'INST. HIDRO'!E11</f>
        <v/>
      </c>
      <c r="O21" s="89">
        <f>'INST. HIDRO'!E12</f>
        <v/>
      </c>
      <c r="P21" s="89">
        <f>'INST. HIDRO'!E13</f>
        <v/>
      </c>
      <c r="Q21" s="89">
        <f>'INST. HIDRO'!E14</f>
        <v/>
      </c>
      <c r="R21" s="89">
        <f>'INST. HIDRO'!E15</f>
        <v/>
      </c>
      <c r="S21" s="89">
        <f>'INST. HIDRO'!E16</f>
        <v/>
      </c>
      <c r="T21" s="89">
        <f>'INST. HIDRO'!E17</f>
        <v/>
      </c>
      <c r="U21" s="89">
        <f>'INST. HIDRO'!E18</f>
        <v/>
      </c>
      <c r="V21" s="89">
        <f>'INST. HIDRO'!E19</f>
        <v/>
      </c>
      <c r="W21" s="89">
        <f>'INST. HIDRO'!E20</f>
        <v/>
      </c>
      <c r="X21" s="89">
        <f>'INST. HIDRO'!E21</f>
        <v/>
      </c>
      <c r="Y21" s="89">
        <f>'INST. HIDRO'!E22</f>
        <v/>
      </c>
      <c r="Z21" s="89">
        <f>'INST. HIDRO'!E23</f>
        <v/>
      </c>
      <c r="AA21" s="89">
        <f>'INST. HIDRO'!E24</f>
        <v/>
      </c>
      <c r="AB21" s="89">
        <f>'INST. HIDRO'!E25</f>
        <v/>
      </c>
      <c r="AC21" s="89">
        <f>'INST. HIDRO'!E26</f>
        <v/>
      </c>
      <c r="AD21" s="89">
        <f>'INST. HIDRO'!E27</f>
        <v/>
      </c>
      <c r="AE21" s="89">
        <f>'INST. HIDRO'!E28</f>
        <v/>
      </c>
      <c r="AF21" s="89">
        <f>'INST. HIDRO'!E29</f>
        <v/>
      </c>
      <c r="AG21" s="89">
        <f>'INST. HIDRO'!E30</f>
        <v/>
      </c>
      <c r="AH21" s="89">
        <f>'INST. HIDRO'!E31</f>
        <v/>
      </c>
      <c r="AI21" s="89">
        <f>'INST. HIDRO'!E32</f>
        <v/>
      </c>
      <c r="AJ21" s="89">
        <f>'INST. HIDRO'!E33</f>
        <v/>
      </c>
      <c r="AK21" s="89">
        <f>'INST. HIDRO'!E34</f>
        <v/>
      </c>
      <c r="AL21" s="89">
        <f>'INST. HIDRO'!E35</f>
        <v/>
      </c>
      <c r="AM21" s="89">
        <f>'INST. HIDRO'!E36</f>
        <v/>
      </c>
      <c r="AN21" s="89">
        <f>'INST. HIDRO'!E37</f>
        <v/>
      </c>
      <c r="AO21" s="89">
        <f>'INST. HIDRO'!E38</f>
        <v/>
      </c>
      <c r="AP21" s="89">
        <f>'INST. HIDRO'!E39</f>
        <v/>
      </c>
      <c r="AQ21" s="89">
        <f>'INST. HIDRO'!E40</f>
        <v/>
      </c>
      <c r="AR21" s="89">
        <f>'INST. HIDRO'!E41</f>
        <v/>
      </c>
      <c r="AS21" s="89">
        <f>'INST. HIDRO'!E42</f>
        <v/>
      </c>
      <c r="AT21" s="89">
        <f>'INST. HIDRO'!E43</f>
        <v/>
      </c>
      <c r="AU21" s="89">
        <f>'INST. HIDRO'!E44</f>
        <v/>
      </c>
      <c r="AV21" s="89">
        <f>'INST. HIDRO'!E45</f>
        <v/>
      </c>
      <c r="AW21" s="89">
        <f>'INST. HIDRO'!E46</f>
        <v/>
      </c>
      <c r="AX21" s="89">
        <f>'INST. HIDRO'!E47</f>
        <v/>
      </c>
      <c r="AY21" s="89">
        <f>'INST. HIDRO'!E48</f>
        <v/>
      </c>
      <c r="AZ21" s="89">
        <f>'INST. HIDRO'!E49</f>
        <v/>
      </c>
      <c r="BA21" s="89">
        <f>'INST. HIDRO'!E50</f>
        <v/>
      </c>
      <c r="BB21" s="89">
        <f>'INST. HIDRO'!E51</f>
        <v/>
      </c>
      <c r="BC21" s="89">
        <f>'INST. HIDRO'!E52</f>
        <v/>
      </c>
      <c r="BD21" s="89">
        <f>'INST. HIDRO'!E53</f>
        <v/>
      </c>
      <c r="BE21" s="89">
        <f>'INST. HIDRO'!E54</f>
        <v/>
      </c>
      <c r="BF21" s="89">
        <f>'INST. HIDRO'!E55</f>
        <v/>
      </c>
      <c r="BG21" s="89">
        <f>'INST. HIDRO'!E56</f>
        <v/>
      </c>
      <c r="BH21" s="89">
        <f>'INST. HIDRO'!E57</f>
        <v/>
      </c>
      <c r="BI21" s="89">
        <f>'INST. HIDRO'!E58</f>
        <v/>
      </c>
      <c r="BJ21" s="89">
        <f>'INST. HIDRO'!E59</f>
        <v/>
      </c>
      <c r="BK21" s="89">
        <f>'INST. HIDRO'!E60</f>
        <v/>
      </c>
      <c r="BL21" s="89">
        <f>'INST. HIDRO'!E61</f>
        <v/>
      </c>
      <c r="BM21" s="89">
        <f>'INST. HIDRO'!E62</f>
        <v/>
      </c>
      <c r="BN21" s="89">
        <f>'INST. HIDRO'!E63</f>
        <v/>
      </c>
      <c r="BO21" s="89">
        <f>'INST. HIDRO'!E64</f>
        <v/>
      </c>
      <c r="BP21" s="89">
        <f>'INST. HIDRO'!E65</f>
        <v/>
      </c>
      <c r="BQ21" s="89">
        <f>'INST. HIDRO'!E66</f>
        <v/>
      </c>
      <c r="BR21" s="89">
        <f>'INST. HIDRO'!E67</f>
        <v/>
      </c>
      <c r="BS21" s="89">
        <f>'INST. HIDRO'!E68</f>
        <v/>
      </c>
      <c r="BT21" s="89">
        <f>'INST. HIDRO'!E69</f>
        <v/>
      </c>
      <c r="BU21" s="89">
        <f>'INST. HIDRO'!E70</f>
        <v/>
      </c>
      <c r="BV21" s="89">
        <f>'INST. HIDRO'!E71</f>
        <v/>
      </c>
      <c r="BW21" s="89">
        <f>'INST. HIDRO'!E72</f>
        <v/>
      </c>
      <c r="BX21" s="89">
        <f>'INST. HIDRO'!E73</f>
        <v/>
      </c>
      <c r="BY21" s="89">
        <f>'INST. HIDRO'!E74</f>
        <v/>
      </c>
      <c r="BZ21" s="89">
        <f>'INST. HIDRO'!E75</f>
        <v/>
      </c>
      <c r="CA21" s="89">
        <f>'INST. HIDRO'!E76</f>
        <v/>
      </c>
    </row>
    <row r="22">
      <c r="A22" s="59" t="inlineStr">
        <is>
          <t>G041.002</t>
        </is>
      </c>
      <c r="B22" s="59" t="inlineStr">
        <is>
          <t>1030-1070-130</t>
        </is>
      </c>
      <c r="C22" s="59" t="inlineStr">
        <is>
          <t>LEVANTAMENTO TOPOGRÁFICO</t>
        </is>
      </c>
      <c r="E22" s="49">
        <f>SUM(H22:CA22)</f>
        <v/>
      </c>
      <c r="F22" s="49">
        <f>IF(D22="","",D22-E22)</f>
        <v/>
      </c>
    </row>
    <row r="23">
      <c r="A23" s="59" t="inlineStr">
        <is>
          <t>G041.002</t>
        </is>
      </c>
      <c r="B23" s="59" t="inlineStr">
        <is>
          <t>1030-1070-410</t>
        </is>
      </c>
      <c r="C23" s="59" t="inlineStr">
        <is>
          <t>LOUÇAS SANITÁRIAS</t>
        </is>
      </c>
      <c r="D23" s="62">
        <f>'LOUÇAS'!$K$5</f>
        <v/>
      </c>
      <c r="E23" s="49">
        <f>SUM(H23:CA23)</f>
        <v/>
      </c>
      <c r="F23" s="49">
        <f>IF(D23="","",D23-E23)</f>
        <v/>
      </c>
      <c r="H23" s="89">
        <f>'LOUÇAS'!E5</f>
        <v/>
      </c>
      <c r="I23" s="89">
        <f>'LOUÇAS'!E6</f>
        <v/>
      </c>
      <c r="J23" s="89">
        <f>'LOUÇAS'!E7</f>
        <v/>
      </c>
      <c r="K23" s="89">
        <f>'LOUÇAS'!E8</f>
        <v/>
      </c>
      <c r="L23" s="89">
        <f>'LOUÇAS'!E9</f>
        <v/>
      </c>
      <c r="M23" s="89">
        <f>'LOUÇAS'!E10</f>
        <v/>
      </c>
      <c r="N23" s="89">
        <f>'LOUÇAS'!E11</f>
        <v/>
      </c>
      <c r="O23" s="89">
        <f>'LOUÇAS'!E12</f>
        <v/>
      </c>
      <c r="P23" s="89">
        <f>'LOUÇAS'!E13</f>
        <v/>
      </c>
      <c r="Q23" s="89">
        <f>'LOUÇAS'!E14</f>
        <v/>
      </c>
      <c r="R23" s="89">
        <f>'LOUÇAS'!E15</f>
        <v/>
      </c>
      <c r="S23" s="89">
        <f>'LOUÇAS'!E16</f>
        <v/>
      </c>
      <c r="T23" s="89">
        <f>'LOUÇAS'!E17</f>
        <v/>
      </c>
      <c r="U23" s="89">
        <f>'LOUÇAS'!E18</f>
        <v/>
      </c>
      <c r="V23" s="89">
        <f>'LOUÇAS'!E19</f>
        <v/>
      </c>
      <c r="W23" s="89">
        <f>'LOUÇAS'!E20</f>
        <v/>
      </c>
      <c r="X23" s="89">
        <f>'LOUÇAS'!E21</f>
        <v/>
      </c>
      <c r="Y23" s="89">
        <f>'LOUÇAS'!E22</f>
        <v/>
      </c>
      <c r="Z23" s="89">
        <f>'LOUÇAS'!E23</f>
        <v/>
      </c>
      <c r="AA23" s="89">
        <f>'LOUÇAS'!E24</f>
        <v/>
      </c>
      <c r="AB23" s="89">
        <f>'LOUÇAS'!E25</f>
        <v/>
      </c>
      <c r="AC23" s="89">
        <f>'LOUÇAS'!E26</f>
        <v/>
      </c>
      <c r="AD23" s="89">
        <f>'LOUÇAS'!E27</f>
        <v/>
      </c>
      <c r="AE23" s="89">
        <f>'LOUÇAS'!E28</f>
        <v/>
      </c>
      <c r="AF23" s="89">
        <f>'LOUÇAS'!E29</f>
        <v/>
      </c>
      <c r="AG23" s="89">
        <f>'LOUÇAS'!E30</f>
        <v/>
      </c>
      <c r="AH23" s="89">
        <f>'LOUÇAS'!E31</f>
        <v/>
      </c>
      <c r="AI23" s="89">
        <f>'LOUÇAS'!E32</f>
        <v/>
      </c>
      <c r="AJ23" s="89">
        <f>'LOUÇAS'!E33</f>
        <v/>
      </c>
      <c r="AK23" s="89">
        <f>'LOUÇAS'!E34</f>
        <v/>
      </c>
      <c r="AL23" s="89">
        <f>'LOUÇAS'!E35</f>
        <v/>
      </c>
      <c r="AM23" s="89">
        <f>'LOUÇAS'!E36</f>
        <v/>
      </c>
      <c r="AN23" s="89">
        <f>'LOUÇAS'!E37</f>
        <v/>
      </c>
      <c r="AO23" s="89">
        <f>'LOUÇAS'!E38</f>
        <v/>
      </c>
      <c r="AP23" s="89">
        <f>'LOUÇAS'!E39</f>
        <v/>
      </c>
      <c r="AQ23" s="89">
        <f>'LOUÇAS'!E40</f>
        <v/>
      </c>
      <c r="AR23" s="89">
        <f>'LOUÇAS'!E41</f>
        <v/>
      </c>
      <c r="AS23" s="89">
        <f>'LOUÇAS'!E42</f>
        <v/>
      </c>
      <c r="AT23" s="89">
        <f>'LOUÇAS'!E43</f>
        <v/>
      </c>
      <c r="AU23" s="89">
        <f>'LOUÇAS'!E44</f>
        <v/>
      </c>
      <c r="AV23" s="89">
        <f>'LOUÇAS'!E45</f>
        <v/>
      </c>
      <c r="AW23" s="89">
        <f>'LOUÇAS'!E46</f>
        <v/>
      </c>
      <c r="AX23" s="89">
        <f>'LOUÇAS'!E47</f>
        <v/>
      </c>
      <c r="AY23" s="89">
        <f>'LOUÇAS'!E48</f>
        <v/>
      </c>
      <c r="AZ23" s="89">
        <f>'LOUÇAS'!E49</f>
        <v/>
      </c>
      <c r="BA23" s="89">
        <f>'LOUÇAS'!E50</f>
        <v/>
      </c>
      <c r="BB23" s="89">
        <f>'LOUÇAS'!E51</f>
        <v/>
      </c>
      <c r="BC23" s="89">
        <f>'LOUÇAS'!E52</f>
        <v/>
      </c>
      <c r="BD23" s="89">
        <f>'LOUÇAS'!E53</f>
        <v/>
      </c>
      <c r="BE23" s="89">
        <f>'LOUÇAS'!E54</f>
        <v/>
      </c>
      <c r="BF23" s="89">
        <f>'LOUÇAS'!E55</f>
        <v/>
      </c>
      <c r="BG23" s="89">
        <f>'LOUÇAS'!E56</f>
        <v/>
      </c>
      <c r="BH23" s="89">
        <f>'LOUÇAS'!E57</f>
        <v/>
      </c>
      <c r="BI23" s="89">
        <f>'LOUÇAS'!E58</f>
        <v/>
      </c>
      <c r="BJ23" s="89">
        <f>'LOUÇAS'!E59</f>
        <v/>
      </c>
      <c r="BK23" s="89">
        <f>'LOUÇAS'!E60</f>
        <v/>
      </c>
      <c r="BL23" s="89">
        <f>'LOUÇAS'!E61</f>
        <v/>
      </c>
      <c r="BM23" s="89">
        <f>'LOUÇAS'!E62</f>
        <v/>
      </c>
      <c r="BN23" s="89">
        <f>'LOUÇAS'!E63</f>
        <v/>
      </c>
      <c r="BO23" s="89">
        <f>'LOUÇAS'!E64</f>
        <v/>
      </c>
      <c r="BP23" s="89">
        <f>'LOUÇAS'!E65</f>
        <v/>
      </c>
      <c r="BQ23" s="89">
        <f>'LOUÇAS'!E66</f>
        <v/>
      </c>
      <c r="BR23" s="89">
        <f>'LOUÇAS'!E67</f>
        <v/>
      </c>
      <c r="BS23" s="89">
        <f>'LOUÇAS'!E68</f>
        <v/>
      </c>
      <c r="BT23" s="89">
        <f>'LOUÇAS'!E69</f>
        <v/>
      </c>
      <c r="BU23" s="89">
        <f>'LOUÇAS'!E70</f>
        <v/>
      </c>
      <c r="BV23" s="89">
        <f>'LOUÇAS'!E71</f>
        <v/>
      </c>
      <c r="BW23" s="89">
        <f>'LOUÇAS'!E72</f>
        <v/>
      </c>
      <c r="BX23" s="89">
        <f>'LOUÇAS'!E73</f>
        <v/>
      </c>
      <c r="BY23" s="89">
        <f>'LOUÇAS'!E74</f>
        <v/>
      </c>
      <c r="BZ23" s="89">
        <f>'LOUÇAS'!E75</f>
        <v/>
      </c>
      <c r="CA23" s="89">
        <f>'LOUÇAS'!E76</f>
        <v/>
      </c>
    </row>
    <row r="24">
      <c r="A24" s="59" t="inlineStr">
        <is>
          <t>G041.002</t>
        </is>
      </c>
      <c r="B24" s="59" t="inlineStr">
        <is>
          <t>1030-1070-440</t>
        </is>
      </c>
      <c r="C24" s="59" t="inlineStr">
        <is>
          <t>LIMPEZA FINAL DE OBRA</t>
        </is>
      </c>
      <c r="D24" s="62">
        <f>'LIMPEZA'!$K$5</f>
        <v/>
      </c>
      <c r="E24" s="49">
        <f>SUM(H24:CA24)</f>
        <v/>
      </c>
      <c r="F24" s="49">
        <f>IF(D24="","",D24-E24)</f>
        <v/>
      </c>
      <c r="H24" s="89">
        <f>'LIMPEZA'!E5</f>
        <v/>
      </c>
      <c r="I24" s="89">
        <f>'LIMPEZA'!E6</f>
        <v/>
      </c>
      <c r="J24" s="89">
        <f>'LIMPEZA'!E7</f>
        <v/>
      </c>
      <c r="K24" s="89">
        <f>'LIMPEZA'!E8</f>
        <v/>
      </c>
      <c r="L24" s="89">
        <f>'LIMPEZA'!E9</f>
        <v/>
      </c>
      <c r="M24" s="89">
        <f>'LIMPEZA'!E10</f>
        <v/>
      </c>
      <c r="N24" s="89">
        <f>'LIMPEZA'!E11</f>
        <v/>
      </c>
      <c r="O24" s="89">
        <f>'LIMPEZA'!E12</f>
        <v/>
      </c>
      <c r="P24" s="89">
        <f>'LIMPEZA'!E13</f>
        <v/>
      </c>
      <c r="Q24" s="89">
        <f>'LIMPEZA'!E14</f>
        <v/>
      </c>
      <c r="R24" s="89">
        <f>'LIMPEZA'!E15</f>
        <v/>
      </c>
      <c r="S24" s="89">
        <f>'LIMPEZA'!E16</f>
        <v/>
      </c>
      <c r="T24" s="89">
        <f>'LIMPEZA'!E17</f>
        <v/>
      </c>
      <c r="U24" s="89">
        <f>'LIMPEZA'!E18</f>
        <v/>
      </c>
      <c r="V24" s="89">
        <f>'LIMPEZA'!E19</f>
        <v/>
      </c>
      <c r="W24" s="89">
        <f>'LIMPEZA'!E20</f>
        <v/>
      </c>
      <c r="X24" s="89">
        <f>'LIMPEZA'!E21</f>
        <v/>
      </c>
      <c r="Y24" s="89">
        <f>'LIMPEZA'!E22</f>
        <v/>
      </c>
      <c r="Z24" s="89">
        <f>'LIMPEZA'!E23</f>
        <v/>
      </c>
      <c r="AA24" s="89">
        <f>'LIMPEZA'!E24</f>
        <v/>
      </c>
      <c r="AB24" s="89">
        <f>'LIMPEZA'!E25</f>
        <v/>
      </c>
      <c r="AC24" s="89">
        <f>'LIMPEZA'!E26</f>
        <v/>
      </c>
      <c r="AD24" s="89">
        <f>'LIMPEZA'!E27</f>
        <v/>
      </c>
      <c r="AE24" s="89">
        <f>'LIMPEZA'!E28</f>
        <v/>
      </c>
      <c r="AF24" s="89">
        <f>'LIMPEZA'!E29</f>
        <v/>
      </c>
      <c r="AG24" s="89">
        <f>'LIMPEZA'!E30</f>
        <v/>
      </c>
      <c r="AH24" s="89">
        <f>'LIMPEZA'!E31</f>
        <v/>
      </c>
      <c r="AI24" s="89">
        <f>'LIMPEZA'!E32</f>
        <v/>
      </c>
      <c r="AJ24" s="89">
        <f>'LIMPEZA'!E33</f>
        <v/>
      </c>
      <c r="AK24" s="89">
        <f>'LIMPEZA'!E34</f>
        <v/>
      </c>
      <c r="AL24" s="89">
        <f>'LIMPEZA'!E35</f>
        <v/>
      </c>
      <c r="AM24" s="89">
        <f>'LIMPEZA'!E36</f>
        <v/>
      </c>
      <c r="AN24" s="89">
        <f>'LIMPEZA'!E37</f>
        <v/>
      </c>
      <c r="AO24" s="89">
        <f>'LIMPEZA'!E38</f>
        <v/>
      </c>
      <c r="AP24" s="89">
        <f>'LIMPEZA'!E39</f>
        <v/>
      </c>
      <c r="AQ24" s="89">
        <f>'LIMPEZA'!E40</f>
        <v/>
      </c>
      <c r="AR24" s="89">
        <f>'LIMPEZA'!E41</f>
        <v/>
      </c>
      <c r="AS24" s="89">
        <f>'LIMPEZA'!E42</f>
        <v/>
      </c>
      <c r="AT24" s="89">
        <f>'LIMPEZA'!E43</f>
        <v/>
      </c>
      <c r="AU24" s="89">
        <f>'LIMPEZA'!E44</f>
        <v/>
      </c>
      <c r="AV24" s="89">
        <f>'LIMPEZA'!E45</f>
        <v/>
      </c>
      <c r="AW24" s="89">
        <f>'LIMPEZA'!E46</f>
        <v/>
      </c>
      <c r="AX24" s="89">
        <f>'LIMPEZA'!E47</f>
        <v/>
      </c>
      <c r="AY24" s="89">
        <f>'LIMPEZA'!E48</f>
        <v/>
      </c>
      <c r="AZ24" s="89">
        <f>'LIMPEZA'!E49</f>
        <v/>
      </c>
      <c r="BA24" s="89">
        <f>'LIMPEZA'!E50</f>
        <v/>
      </c>
      <c r="BB24" s="89">
        <f>'LIMPEZA'!E51</f>
        <v/>
      </c>
      <c r="BC24" s="89">
        <f>'LIMPEZA'!E52</f>
        <v/>
      </c>
      <c r="BD24" s="89">
        <f>'LIMPEZA'!E53</f>
        <v/>
      </c>
      <c r="BE24" s="89">
        <f>'LIMPEZA'!E54</f>
        <v/>
      </c>
      <c r="BF24" s="89">
        <f>'LIMPEZA'!E55</f>
        <v/>
      </c>
      <c r="BG24" s="89">
        <f>'LIMPEZA'!E56</f>
        <v/>
      </c>
      <c r="BH24" s="89">
        <f>'LIMPEZA'!E57</f>
        <v/>
      </c>
      <c r="BI24" s="89">
        <f>'LIMPEZA'!E58</f>
        <v/>
      </c>
      <c r="BJ24" s="89">
        <f>'LIMPEZA'!E59</f>
        <v/>
      </c>
      <c r="BK24" s="89">
        <f>'LIMPEZA'!E60</f>
        <v/>
      </c>
      <c r="BL24" s="89">
        <f>'LIMPEZA'!E61</f>
        <v/>
      </c>
      <c r="BM24" s="89">
        <f>'LIMPEZA'!E62</f>
        <v/>
      </c>
      <c r="BN24" s="89">
        <f>'LIMPEZA'!E63</f>
        <v/>
      </c>
      <c r="BO24" s="89">
        <f>'LIMPEZA'!E64</f>
        <v/>
      </c>
      <c r="BP24" s="89">
        <f>'LIMPEZA'!E65</f>
        <v/>
      </c>
      <c r="BQ24" s="89">
        <f>'LIMPEZA'!E66</f>
        <v/>
      </c>
      <c r="BR24" s="89">
        <f>'LIMPEZA'!E67</f>
        <v/>
      </c>
      <c r="BS24" s="89">
        <f>'LIMPEZA'!E68</f>
        <v/>
      </c>
      <c r="BT24" s="89">
        <f>'LIMPEZA'!E69</f>
        <v/>
      </c>
      <c r="BU24" s="89">
        <f>'LIMPEZA'!E70</f>
        <v/>
      </c>
      <c r="BV24" s="89">
        <f>'LIMPEZA'!E71</f>
        <v/>
      </c>
      <c r="BW24" s="89">
        <f>'LIMPEZA'!E72</f>
        <v/>
      </c>
      <c r="BX24" s="89">
        <f>'LIMPEZA'!E73</f>
        <v/>
      </c>
      <c r="BY24" s="89">
        <f>'LIMPEZA'!E74</f>
        <v/>
      </c>
      <c r="BZ24" s="89">
        <f>'LIMPEZA'!E75</f>
        <v/>
      </c>
      <c r="CA24" s="89">
        <f>'LIMPEZA'!E76</f>
        <v/>
      </c>
    </row>
    <row r="25">
      <c r="A25" s="59" t="inlineStr">
        <is>
          <t>G041.002</t>
        </is>
      </c>
      <c r="B25" s="59" t="inlineStr">
        <is>
          <t>1030-1070-540</t>
        </is>
      </c>
      <c r="C25" s="59" t="inlineStr">
        <is>
          <t>MARCENARIA</t>
        </is>
      </c>
      <c r="D25" s="62">
        <f>'MARCENARIA'!$K$5</f>
        <v/>
      </c>
      <c r="E25" s="49">
        <f>SUM(H25:CA25)</f>
        <v/>
      </c>
      <c r="F25" s="49">
        <f>IF(D25="","",D25-E25)</f>
        <v/>
      </c>
      <c r="H25" s="89">
        <f>'MARCENARIA'!E5</f>
        <v/>
      </c>
      <c r="I25" s="89">
        <f>'MARCENARIA'!E6</f>
        <v/>
      </c>
      <c r="J25" s="89">
        <f>'MARCENARIA'!E7</f>
        <v/>
      </c>
      <c r="K25" s="89">
        <f>'MARCENARIA'!E8</f>
        <v/>
      </c>
      <c r="L25" s="89">
        <f>'MARCENARIA'!E9</f>
        <v/>
      </c>
      <c r="M25" s="89">
        <f>'MARCENARIA'!E10</f>
        <v/>
      </c>
      <c r="N25" s="89">
        <f>'MARCENARIA'!E11</f>
        <v/>
      </c>
      <c r="O25" s="89">
        <f>'MARCENARIA'!E12</f>
        <v/>
      </c>
      <c r="P25" s="89">
        <f>'MARCENARIA'!E13</f>
        <v/>
      </c>
      <c r="Q25" s="89">
        <f>'MARCENARIA'!E14</f>
        <v/>
      </c>
      <c r="R25" s="89">
        <f>'MARCENARIA'!E15</f>
        <v/>
      </c>
      <c r="S25" s="89">
        <f>'MARCENARIA'!E16</f>
        <v/>
      </c>
      <c r="T25" s="89">
        <f>'MARCENARIA'!E17</f>
        <v/>
      </c>
      <c r="U25" s="89">
        <f>'MARCENARIA'!E18</f>
        <v/>
      </c>
      <c r="V25" s="89">
        <f>'MARCENARIA'!E19</f>
        <v/>
      </c>
      <c r="W25" s="89">
        <f>'MARCENARIA'!E20</f>
        <v/>
      </c>
      <c r="X25" s="89">
        <f>'MARCENARIA'!E21</f>
        <v/>
      </c>
      <c r="Y25" s="89">
        <f>'MARCENARIA'!E22</f>
        <v/>
      </c>
      <c r="Z25" s="89">
        <f>'MARCENARIA'!E23</f>
        <v/>
      </c>
      <c r="AA25" s="89">
        <f>'MARCENARIA'!E24</f>
        <v/>
      </c>
      <c r="AB25" s="89">
        <f>'MARCENARIA'!E25</f>
        <v/>
      </c>
      <c r="AC25" s="89">
        <f>'MARCENARIA'!E26</f>
        <v/>
      </c>
      <c r="AD25" s="89">
        <f>'MARCENARIA'!E27</f>
        <v/>
      </c>
      <c r="AE25" s="89">
        <f>'MARCENARIA'!E28</f>
        <v/>
      </c>
      <c r="AF25" s="89">
        <f>'MARCENARIA'!E29</f>
        <v/>
      </c>
      <c r="AG25" s="89">
        <f>'MARCENARIA'!E30</f>
        <v/>
      </c>
      <c r="AH25" s="89">
        <f>'MARCENARIA'!E31</f>
        <v/>
      </c>
      <c r="AI25" s="89">
        <f>'MARCENARIA'!E32</f>
        <v/>
      </c>
      <c r="AJ25" s="89">
        <f>'MARCENARIA'!E33</f>
        <v/>
      </c>
      <c r="AK25" s="89">
        <f>'MARCENARIA'!E34</f>
        <v/>
      </c>
      <c r="AL25" s="89">
        <f>'MARCENARIA'!E35</f>
        <v/>
      </c>
      <c r="AM25" s="89">
        <f>'MARCENARIA'!E36</f>
        <v/>
      </c>
      <c r="AN25" s="89">
        <f>'MARCENARIA'!E37</f>
        <v/>
      </c>
      <c r="AO25" s="89">
        <f>'MARCENARIA'!E38</f>
        <v/>
      </c>
      <c r="AP25" s="89">
        <f>'MARCENARIA'!E39</f>
        <v/>
      </c>
      <c r="AQ25" s="89">
        <f>'MARCENARIA'!E40</f>
        <v/>
      </c>
      <c r="AR25" s="89">
        <f>'MARCENARIA'!E41</f>
        <v/>
      </c>
      <c r="AS25" s="89">
        <f>'MARCENARIA'!E42</f>
        <v/>
      </c>
      <c r="AT25" s="89">
        <f>'MARCENARIA'!E43</f>
        <v/>
      </c>
      <c r="AU25" s="89">
        <f>'MARCENARIA'!E44</f>
        <v/>
      </c>
      <c r="AV25" s="89">
        <f>'MARCENARIA'!E45</f>
        <v/>
      </c>
      <c r="AW25" s="89">
        <f>'MARCENARIA'!E46</f>
        <v/>
      </c>
      <c r="AX25" s="89">
        <f>'MARCENARIA'!E47</f>
        <v/>
      </c>
      <c r="AY25" s="89">
        <f>'MARCENARIA'!E48</f>
        <v/>
      </c>
      <c r="AZ25" s="89">
        <f>'MARCENARIA'!E49</f>
        <v/>
      </c>
      <c r="BA25" s="89">
        <f>'MARCENARIA'!E50</f>
        <v/>
      </c>
      <c r="BB25" s="89">
        <f>'MARCENARIA'!E51</f>
        <v/>
      </c>
      <c r="BC25" s="89">
        <f>'MARCENARIA'!E52</f>
        <v/>
      </c>
      <c r="BD25" s="89">
        <f>'MARCENARIA'!E53</f>
        <v/>
      </c>
      <c r="BE25" s="89">
        <f>'MARCENARIA'!E54</f>
        <v/>
      </c>
      <c r="BF25" s="89">
        <f>'MARCENARIA'!E55</f>
        <v/>
      </c>
      <c r="BG25" s="89">
        <f>'MARCENARIA'!E56</f>
        <v/>
      </c>
      <c r="BH25" s="89">
        <f>'MARCENARIA'!E57</f>
        <v/>
      </c>
      <c r="BI25" s="89">
        <f>'MARCENARIA'!E58</f>
        <v/>
      </c>
      <c r="BJ25" s="89">
        <f>'MARCENARIA'!E59</f>
        <v/>
      </c>
      <c r="BK25" s="89">
        <f>'MARCENARIA'!E60</f>
        <v/>
      </c>
      <c r="BL25" s="89">
        <f>'MARCENARIA'!E61</f>
        <v/>
      </c>
      <c r="BM25" s="89">
        <f>'MARCENARIA'!E62</f>
        <v/>
      </c>
      <c r="BN25" s="89">
        <f>'MARCENARIA'!E63</f>
        <v/>
      </c>
      <c r="BO25" s="89">
        <f>'MARCENARIA'!E64</f>
        <v/>
      </c>
      <c r="BP25" s="89">
        <f>'MARCENARIA'!E65</f>
        <v/>
      </c>
      <c r="BQ25" s="89">
        <f>'MARCENARIA'!E66</f>
        <v/>
      </c>
      <c r="BR25" s="89">
        <f>'MARCENARIA'!E67</f>
        <v/>
      </c>
      <c r="BS25" s="89">
        <f>'MARCENARIA'!E68</f>
        <v/>
      </c>
      <c r="BT25" s="89">
        <f>'MARCENARIA'!E69</f>
        <v/>
      </c>
      <c r="BU25" s="89">
        <f>'MARCENARIA'!E70</f>
        <v/>
      </c>
      <c r="BV25" s="89">
        <f>'MARCENARIA'!E71</f>
        <v/>
      </c>
      <c r="BW25" s="89">
        <f>'MARCENARIA'!E72</f>
        <v/>
      </c>
      <c r="BX25" s="89">
        <f>'MARCENARIA'!E73</f>
        <v/>
      </c>
      <c r="BY25" s="89">
        <f>'MARCENARIA'!E74</f>
        <v/>
      </c>
      <c r="BZ25" s="89">
        <f>'MARCENARIA'!E75</f>
        <v/>
      </c>
      <c r="CA25" s="89">
        <f>'MARCENARIA'!E76</f>
        <v/>
      </c>
    </row>
    <row r="26">
      <c r="A26" s="59" t="inlineStr">
        <is>
          <t>G041.002</t>
        </is>
      </c>
      <c r="B26" s="59" t="inlineStr">
        <is>
          <t>1030-1070-430</t>
        </is>
      </c>
      <c r="C26" s="59" t="inlineStr">
        <is>
          <t>PAISAGISMO</t>
        </is>
      </c>
      <c r="D26" s="62">
        <f>'PAISAGISMO'!$K$5</f>
        <v/>
      </c>
      <c r="E26" s="49">
        <f>SUM(H26:CA26)</f>
        <v/>
      </c>
      <c r="F26" s="49">
        <f>IF(D26="","",D26-E26)</f>
        <v/>
      </c>
      <c r="H26" s="89">
        <f>'PAISAGISMO'!E5</f>
        <v/>
      </c>
      <c r="I26" s="89">
        <f>'PAISAGISMO'!E6</f>
        <v/>
      </c>
      <c r="J26" s="89">
        <f>'PAISAGISMO'!E7</f>
        <v/>
      </c>
      <c r="K26" s="89">
        <f>'PAISAGISMO'!E8</f>
        <v/>
      </c>
      <c r="L26" s="89">
        <f>'PAISAGISMO'!E9</f>
        <v/>
      </c>
      <c r="M26" s="89">
        <f>'PAISAGISMO'!E10</f>
        <v/>
      </c>
      <c r="N26" s="89">
        <f>'PAISAGISMO'!E11</f>
        <v/>
      </c>
      <c r="O26" s="89">
        <f>'PAISAGISMO'!E12</f>
        <v/>
      </c>
      <c r="P26" s="89">
        <f>'PAISAGISMO'!E13</f>
        <v/>
      </c>
      <c r="Q26" s="89">
        <f>'PAISAGISMO'!E14</f>
        <v/>
      </c>
      <c r="R26" s="89">
        <f>'PAISAGISMO'!E15</f>
        <v/>
      </c>
      <c r="S26" s="89">
        <f>'PAISAGISMO'!E16</f>
        <v/>
      </c>
      <c r="T26" s="89">
        <f>'PAISAGISMO'!E17</f>
        <v/>
      </c>
      <c r="U26" s="89">
        <f>'PAISAGISMO'!E18</f>
        <v/>
      </c>
      <c r="V26" s="89">
        <f>'PAISAGISMO'!E19</f>
        <v/>
      </c>
      <c r="W26" s="89">
        <f>'PAISAGISMO'!E20</f>
        <v/>
      </c>
      <c r="X26" s="89">
        <f>'PAISAGISMO'!E21</f>
        <v/>
      </c>
      <c r="Y26" s="89">
        <f>'PAISAGISMO'!E22</f>
        <v/>
      </c>
      <c r="Z26" s="89">
        <f>'PAISAGISMO'!E23</f>
        <v/>
      </c>
      <c r="AA26" s="89">
        <f>'PAISAGISMO'!E24</f>
        <v/>
      </c>
      <c r="AB26" s="89">
        <f>'PAISAGISMO'!E25</f>
        <v/>
      </c>
      <c r="AC26" s="89">
        <f>'PAISAGISMO'!E26</f>
        <v/>
      </c>
      <c r="AD26" s="89">
        <f>'PAISAGISMO'!E27</f>
        <v/>
      </c>
      <c r="AE26" s="89">
        <f>'PAISAGISMO'!E28</f>
        <v/>
      </c>
      <c r="AF26" s="89">
        <f>'PAISAGISMO'!E29</f>
        <v/>
      </c>
      <c r="AG26" s="89">
        <f>'PAISAGISMO'!E30</f>
        <v/>
      </c>
      <c r="AH26" s="89">
        <f>'PAISAGISMO'!E31</f>
        <v/>
      </c>
      <c r="AI26" s="89">
        <f>'PAISAGISMO'!E32</f>
        <v/>
      </c>
      <c r="AJ26" s="89">
        <f>'PAISAGISMO'!E33</f>
        <v/>
      </c>
      <c r="AK26" s="89">
        <f>'PAISAGISMO'!E34</f>
        <v/>
      </c>
      <c r="AL26" s="89">
        <f>'PAISAGISMO'!E35</f>
        <v/>
      </c>
      <c r="AM26" s="89">
        <f>'PAISAGISMO'!E36</f>
        <v/>
      </c>
      <c r="AN26" s="89">
        <f>'PAISAGISMO'!E37</f>
        <v/>
      </c>
      <c r="AO26" s="89">
        <f>'PAISAGISMO'!E38</f>
        <v/>
      </c>
      <c r="AP26" s="89">
        <f>'PAISAGISMO'!E39</f>
        <v/>
      </c>
      <c r="AQ26" s="89">
        <f>'PAISAGISMO'!E40</f>
        <v/>
      </c>
      <c r="AR26" s="89">
        <f>'PAISAGISMO'!E41</f>
        <v/>
      </c>
      <c r="AS26" s="89">
        <f>'PAISAGISMO'!E42</f>
        <v/>
      </c>
      <c r="AT26" s="89">
        <f>'PAISAGISMO'!E43</f>
        <v/>
      </c>
      <c r="AU26" s="89">
        <f>'PAISAGISMO'!E44</f>
        <v/>
      </c>
      <c r="AV26" s="89">
        <f>'PAISAGISMO'!E45</f>
        <v/>
      </c>
      <c r="AW26" s="89">
        <f>'PAISAGISMO'!E46</f>
        <v/>
      </c>
      <c r="AX26" s="89">
        <f>'PAISAGISMO'!E47</f>
        <v/>
      </c>
      <c r="AY26" s="89">
        <f>'PAISAGISMO'!E48</f>
        <v/>
      </c>
      <c r="AZ26" s="89">
        <f>'PAISAGISMO'!E49</f>
        <v/>
      </c>
      <c r="BA26" s="89">
        <f>'PAISAGISMO'!E50</f>
        <v/>
      </c>
      <c r="BB26" s="89">
        <f>'PAISAGISMO'!E51</f>
        <v/>
      </c>
      <c r="BC26" s="89">
        <f>'PAISAGISMO'!E52</f>
        <v/>
      </c>
      <c r="BD26" s="89">
        <f>'PAISAGISMO'!E53</f>
        <v/>
      </c>
      <c r="BE26" s="89">
        <f>'PAISAGISMO'!E54</f>
        <v/>
      </c>
      <c r="BF26" s="89">
        <f>'PAISAGISMO'!E55</f>
        <v/>
      </c>
      <c r="BG26" s="89">
        <f>'PAISAGISMO'!E56</f>
        <v/>
      </c>
      <c r="BH26" s="89">
        <f>'PAISAGISMO'!E57</f>
        <v/>
      </c>
      <c r="BI26" s="89">
        <f>'PAISAGISMO'!E58</f>
        <v/>
      </c>
      <c r="BJ26" s="89">
        <f>'PAISAGISMO'!E59</f>
        <v/>
      </c>
      <c r="BK26" s="89">
        <f>'PAISAGISMO'!E60</f>
        <v/>
      </c>
      <c r="BL26" s="89">
        <f>'PAISAGISMO'!E61</f>
        <v/>
      </c>
      <c r="BM26" s="89">
        <f>'PAISAGISMO'!E62</f>
        <v/>
      </c>
      <c r="BN26" s="89">
        <f>'PAISAGISMO'!E63</f>
        <v/>
      </c>
      <c r="BO26" s="89">
        <f>'PAISAGISMO'!E64</f>
        <v/>
      </c>
      <c r="BP26" s="89">
        <f>'PAISAGISMO'!E65</f>
        <v/>
      </c>
      <c r="BQ26" s="89">
        <f>'PAISAGISMO'!E66</f>
        <v/>
      </c>
      <c r="BR26" s="89">
        <f>'PAISAGISMO'!E67</f>
        <v/>
      </c>
      <c r="BS26" s="89">
        <f>'PAISAGISMO'!E68</f>
        <v/>
      </c>
      <c r="BT26" s="89">
        <f>'PAISAGISMO'!E69</f>
        <v/>
      </c>
      <c r="BU26" s="89">
        <f>'PAISAGISMO'!E70</f>
        <v/>
      </c>
      <c r="BV26" s="89">
        <f>'PAISAGISMO'!E71</f>
        <v/>
      </c>
      <c r="BW26" s="89">
        <f>'PAISAGISMO'!E72</f>
        <v/>
      </c>
      <c r="BX26" s="89">
        <f>'PAISAGISMO'!E73</f>
        <v/>
      </c>
      <c r="BY26" s="89">
        <f>'PAISAGISMO'!E74</f>
        <v/>
      </c>
      <c r="BZ26" s="89">
        <f>'PAISAGISMO'!E75</f>
        <v/>
      </c>
      <c r="CA26" s="89">
        <f>'PAISAGISMO'!E76</f>
        <v/>
      </c>
    </row>
    <row r="27">
      <c r="A27" s="59" t="inlineStr">
        <is>
          <t>G041.002</t>
        </is>
      </c>
      <c r="B27" s="59" t="inlineStr">
        <is>
          <t>1030-1070-420</t>
        </is>
      </c>
      <c r="C27" s="59" t="inlineStr">
        <is>
          <t>PAVIMENTAÇÃO</t>
        </is>
      </c>
      <c r="D27" s="62">
        <f>'PAVIMENTAÇÃO'!$K$5</f>
        <v/>
      </c>
      <c r="E27" s="49">
        <f>SUM(H27:CA27)</f>
        <v/>
      </c>
      <c r="F27" s="49">
        <f>IF(D27="","",D27-E27)</f>
        <v/>
      </c>
      <c r="H27" s="89">
        <f>'PAVIMENTAÇÃO'!E5</f>
        <v/>
      </c>
      <c r="I27" s="89">
        <f>'PAVIMENTAÇÃO'!E6</f>
        <v/>
      </c>
      <c r="J27" s="89">
        <f>'PAVIMENTAÇÃO'!E7</f>
        <v/>
      </c>
      <c r="K27" s="89">
        <f>'PAVIMENTAÇÃO'!E8</f>
        <v/>
      </c>
      <c r="L27" s="89">
        <f>'PAVIMENTAÇÃO'!E9</f>
        <v/>
      </c>
      <c r="M27" s="89">
        <f>'PAVIMENTAÇÃO'!E10</f>
        <v/>
      </c>
      <c r="N27" s="89">
        <f>'PAVIMENTAÇÃO'!E11</f>
        <v/>
      </c>
      <c r="O27" s="89">
        <f>'PAVIMENTAÇÃO'!E12</f>
        <v/>
      </c>
      <c r="P27" s="89">
        <f>'PAVIMENTAÇÃO'!E13</f>
        <v/>
      </c>
      <c r="Q27" s="89">
        <f>'PAVIMENTAÇÃO'!E14</f>
        <v/>
      </c>
      <c r="R27" s="89">
        <f>'PAVIMENTAÇÃO'!E15</f>
        <v/>
      </c>
      <c r="S27" s="89">
        <f>'PAVIMENTAÇÃO'!E16</f>
        <v/>
      </c>
      <c r="T27" s="89">
        <f>'PAVIMENTAÇÃO'!E17</f>
        <v/>
      </c>
      <c r="U27" s="89">
        <f>'PAVIMENTAÇÃO'!E18</f>
        <v/>
      </c>
      <c r="V27" s="89">
        <f>'PAVIMENTAÇÃO'!E19</f>
        <v/>
      </c>
      <c r="W27" s="89">
        <f>'PAVIMENTAÇÃO'!E20</f>
        <v/>
      </c>
      <c r="X27" s="89">
        <f>'PAVIMENTAÇÃO'!E21</f>
        <v/>
      </c>
      <c r="Y27" s="89">
        <f>'PAVIMENTAÇÃO'!E22</f>
        <v/>
      </c>
      <c r="Z27" s="89">
        <f>'PAVIMENTAÇÃO'!E23</f>
        <v/>
      </c>
      <c r="AA27" s="89">
        <f>'PAVIMENTAÇÃO'!E24</f>
        <v/>
      </c>
      <c r="AB27" s="89">
        <f>'PAVIMENTAÇÃO'!E25</f>
        <v/>
      </c>
      <c r="AC27" s="89">
        <f>'PAVIMENTAÇÃO'!E26</f>
        <v/>
      </c>
      <c r="AD27" s="89">
        <f>'PAVIMENTAÇÃO'!E27</f>
        <v/>
      </c>
      <c r="AE27" s="89">
        <f>'PAVIMENTAÇÃO'!E28</f>
        <v/>
      </c>
      <c r="AF27" s="89">
        <f>'PAVIMENTAÇÃO'!E29</f>
        <v/>
      </c>
      <c r="AG27" s="89">
        <f>'PAVIMENTAÇÃO'!E30</f>
        <v/>
      </c>
      <c r="AH27" s="89">
        <f>'PAVIMENTAÇÃO'!E31</f>
        <v/>
      </c>
      <c r="AI27" s="89">
        <f>'PAVIMENTAÇÃO'!E32</f>
        <v/>
      </c>
      <c r="AJ27" s="89">
        <f>'PAVIMENTAÇÃO'!E33</f>
        <v/>
      </c>
      <c r="AK27" s="89">
        <f>'PAVIMENTAÇÃO'!E34</f>
        <v/>
      </c>
      <c r="AL27" s="89">
        <f>'PAVIMENTAÇÃO'!E35</f>
        <v/>
      </c>
      <c r="AM27" s="89">
        <f>'PAVIMENTAÇÃO'!E36</f>
        <v/>
      </c>
      <c r="AN27" s="89">
        <f>'PAVIMENTAÇÃO'!E37</f>
        <v/>
      </c>
      <c r="AO27" s="89">
        <f>'PAVIMENTAÇÃO'!E38</f>
        <v/>
      </c>
      <c r="AP27" s="89">
        <f>'PAVIMENTAÇÃO'!E39</f>
        <v/>
      </c>
      <c r="AQ27" s="89">
        <f>'PAVIMENTAÇÃO'!E40</f>
        <v/>
      </c>
      <c r="AR27" s="89">
        <f>'PAVIMENTAÇÃO'!E41</f>
        <v/>
      </c>
      <c r="AS27" s="89">
        <f>'PAVIMENTAÇÃO'!E42</f>
        <v/>
      </c>
      <c r="AT27" s="89">
        <f>'PAVIMENTAÇÃO'!E43</f>
        <v/>
      </c>
      <c r="AU27" s="89">
        <f>'PAVIMENTAÇÃO'!E44</f>
        <v/>
      </c>
      <c r="AV27" s="89">
        <f>'PAVIMENTAÇÃO'!E45</f>
        <v/>
      </c>
      <c r="AW27" s="89">
        <f>'PAVIMENTAÇÃO'!E46</f>
        <v/>
      </c>
      <c r="AX27" s="89">
        <f>'PAVIMENTAÇÃO'!E47</f>
        <v/>
      </c>
      <c r="AY27" s="89">
        <f>'PAVIMENTAÇÃO'!E48</f>
        <v/>
      </c>
      <c r="AZ27" s="89">
        <f>'PAVIMENTAÇÃO'!E49</f>
        <v/>
      </c>
      <c r="BA27" s="89">
        <f>'PAVIMENTAÇÃO'!E50</f>
        <v/>
      </c>
      <c r="BB27" s="89">
        <f>'PAVIMENTAÇÃO'!E51</f>
        <v/>
      </c>
      <c r="BC27" s="89">
        <f>'PAVIMENTAÇÃO'!E52</f>
        <v/>
      </c>
      <c r="BD27" s="89">
        <f>'PAVIMENTAÇÃO'!E53</f>
        <v/>
      </c>
      <c r="BE27" s="89">
        <f>'PAVIMENTAÇÃO'!E54</f>
        <v/>
      </c>
      <c r="BF27" s="89">
        <f>'PAVIMENTAÇÃO'!E55</f>
        <v/>
      </c>
      <c r="BG27" s="89">
        <f>'PAVIMENTAÇÃO'!E56</f>
        <v/>
      </c>
      <c r="BH27" s="89">
        <f>'PAVIMENTAÇÃO'!E57</f>
        <v/>
      </c>
      <c r="BI27" s="89">
        <f>'PAVIMENTAÇÃO'!E58</f>
        <v/>
      </c>
      <c r="BJ27" s="89">
        <f>'PAVIMENTAÇÃO'!E59</f>
        <v/>
      </c>
      <c r="BK27" s="89">
        <f>'PAVIMENTAÇÃO'!E60</f>
        <v/>
      </c>
      <c r="BL27" s="89">
        <f>'PAVIMENTAÇÃO'!E61</f>
        <v/>
      </c>
      <c r="BM27" s="89">
        <f>'PAVIMENTAÇÃO'!E62</f>
        <v/>
      </c>
      <c r="BN27" s="89">
        <f>'PAVIMENTAÇÃO'!E63</f>
        <v/>
      </c>
      <c r="BO27" s="89">
        <f>'PAVIMENTAÇÃO'!E64</f>
        <v/>
      </c>
      <c r="BP27" s="89">
        <f>'PAVIMENTAÇÃO'!E65</f>
        <v/>
      </c>
      <c r="BQ27" s="89">
        <f>'PAVIMENTAÇÃO'!E66</f>
        <v/>
      </c>
      <c r="BR27" s="89">
        <f>'PAVIMENTAÇÃO'!E67</f>
        <v/>
      </c>
      <c r="BS27" s="89">
        <f>'PAVIMENTAÇÃO'!E68</f>
        <v/>
      </c>
      <c r="BT27" s="89">
        <f>'PAVIMENTAÇÃO'!E69</f>
        <v/>
      </c>
      <c r="BU27" s="89">
        <f>'PAVIMENTAÇÃO'!E70</f>
        <v/>
      </c>
      <c r="BV27" s="89">
        <f>'PAVIMENTAÇÃO'!E71</f>
        <v/>
      </c>
      <c r="BW27" s="89">
        <f>'PAVIMENTAÇÃO'!E72</f>
        <v/>
      </c>
      <c r="BX27" s="89">
        <f>'PAVIMENTAÇÃO'!E73</f>
        <v/>
      </c>
      <c r="BY27" s="89">
        <f>'PAVIMENTAÇÃO'!E74</f>
        <v/>
      </c>
      <c r="BZ27" s="89">
        <f>'PAVIMENTAÇÃO'!E75</f>
        <v/>
      </c>
      <c r="CA27" s="89">
        <f>'PAVIMENTAÇÃO'!E76</f>
        <v/>
      </c>
    </row>
    <row r="28">
      <c r="A28" s="59" t="inlineStr">
        <is>
          <t>G041.002</t>
        </is>
      </c>
      <c r="B28" s="59" t="inlineStr">
        <is>
          <t>1030-1070-390</t>
        </is>
      </c>
      <c r="C28" s="59" t="inlineStr">
        <is>
          <t>PINTURA</t>
        </is>
      </c>
      <c r="D28" s="62">
        <f>'PINTURA'!$K$5</f>
        <v/>
      </c>
      <c r="E28" s="49">
        <f>SUM(H28:CA28)</f>
        <v/>
      </c>
      <c r="F28" s="49">
        <f>IF(D28="","",D28-E28)</f>
        <v/>
      </c>
      <c r="H28" s="89">
        <f>'PINTURA'!E5</f>
        <v/>
      </c>
      <c r="I28" s="89">
        <f>'PINTURA'!E6</f>
        <v/>
      </c>
      <c r="J28" s="89">
        <f>'PINTURA'!E7</f>
        <v/>
      </c>
      <c r="K28" s="89">
        <f>'PINTURA'!E8</f>
        <v/>
      </c>
      <c r="L28" s="89">
        <f>'PINTURA'!E9</f>
        <v/>
      </c>
      <c r="M28" s="89">
        <f>'PINTURA'!E10</f>
        <v/>
      </c>
      <c r="N28" s="89">
        <f>'PINTURA'!E11</f>
        <v/>
      </c>
      <c r="O28" s="89">
        <f>'PINTURA'!E12</f>
        <v/>
      </c>
      <c r="P28" s="89">
        <f>'PINTURA'!E13</f>
        <v/>
      </c>
      <c r="Q28" s="89">
        <f>'PINTURA'!E14</f>
        <v/>
      </c>
      <c r="R28" s="89">
        <f>'PINTURA'!E15</f>
        <v/>
      </c>
      <c r="S28" s="89">
        <f>'PINTURA'!E16</f>
        <v/>
      </c>
      <c r="T28" s="89">
        <f>'PINTURA'!E17</f>
        <v/>
      </c>
      <c r="U28" s="89">
        <f>'PINTURA'!E18</f>
        <v/>
      </c>
      <c r="V28" s="89">
        <f>'PINTURA'!E19</f>
        <v/>
      </c>
      <c r="W28" s="89">
        <f>'PINTURA'!E20</f>
        <v/>
      </c>
      <c r="X28" s="89">
        <f>'PINTURA'!E21</f>
        <v/>
      </c>
      <c r="Y28" s="89">
        <f>'PINTURA'!E22</f>
        <v/>
      </c>
      <c r="Z28" s="89">
        <f>'PINTURA'!E23</f>
        <v/>
      </c>
      <c r="AA28" s="89">
        <f>'PINTURA'!E24</f>
        <v/>
      </c>
      <c r="AB28" s="89">
        <f>'PINTURA'!E25</f>
        <v/>
      </c>
      <c r="AC28" s="89">
        <f>'PINTURA'!E26</f>
        <v/>
      </c>
      <c r="AD28" s="89">
        <f>'PINTURA'!E27</f>
        <v/>
      </c>
      <c r="AE28" s="89">
        <f>'PINTURA'!E28</f>
        <v/>
      </c>
      <c r="AF28" s="89">
        <f>'PINTURA'!E29</f>
        <v/>
      </c>
      <c r="AG28" s="89">
        <f>'PINTURA'!E30</f>
        <v/>
      </c>
      <c r="AH28" s="89">
        <f>'PINTURA'!E31</f>
        <v/>
      </c>
      <c r="AI28" s="89">
        <f>'PINTURA'!E32</f>
        <v/>
      </c>
      <c r="AJ28" s="89">
        <f>'PINTURA'!E33</f>
        <v/>
      </c>
      <c r="AK28" s="89">
        <f>'PINTURA'!E34</f>
        <v/>
      </c>
      <c r="AL28" s="89">
        <f>'PINTURA'!E35</f>
        <v/>
      </c>
      <c r="AM28" s="89">
        <f>'PINTURA'!E36</f>
        <v/>
      </c>
      <c r="AN28" s="89">
        <f>'PINTURA'!E37</f>
        <v/>
      </c>
      <c r="AO28" s="89">
        <f>'PINTURA'!E38</f>
        <v/>
      </c>
      <c r="AP28" s="89">
        <f>'PINTURA'!E39</f>
        <v/>
      </c>
      <c r="AQ28" s="89">
        <f>'PINTURA'!E40</f>
        <v/>
      </c>
      <c r="AR28" s="89">
        <f>'PINTURA'!E41</f>
        <v/>
      </c>
      <c r="AS28" s="89">
        <f>'PINTURA'!E42</f>
        <v/>
      </c>
      <c r="AT28" s="89">
        <f>'PINTURA'!E43</f>
        <v/>
      </c>
      <c r="AU28" s="89">
        <f>'PINTURA'!E44</f>
        <v/>
      </c>
      <c r="AV28" s="89">
        <f>'PINTURA'!E45</f>
        <v/>
      </c>
      <c r="AW28" s="89">
        <f>'PINTURA'!E46</f>
        <v/>
      </c>
      <c r="AX28" s="89">
        <f>'PINTURA'!E47</f>
        <v/>
      </c>
      <c r="AY28" s="89">
        <f>'PINTURA'!E48</f>
        <v/>
      </c>
      <c r="AZ28" s="89">
        <f>'PINTURA'!E49</f>
        <v/>
      </c>
      <c r="BA28" s="89">
        <f>'PINTURA'!E50</f>
        <v/>
      </c>
      <c r="BB28" s="89">
        <f>'PINTURA'!E51</f>
        <v/>
      </c>
      <c r="BC28" s="89">
        <f>'PINTURA'!E52</f>
        <v/>
      </c>
      <c r="BD28" s="89">
        <f>'PINTURA'!E53</f>
        <v/>
      </c>
      <c r="BE28" s="89">
        <f>'PINTURA'!E54</f>
        <v/>
      </c>
      <c r="BF28" s="89">
        <f>'PINTURA'!E55</f>
        <v/>
      </c>
      <c r="BG28" s="89">
        <f>'PINTURA'!E56</f>
        <v/>
      </c>
      <c r="BH28" s="89">
        <f>'PINTURA'!E57</f>
        <v/>
      </c>
      <c r="BI28" s="89">
        <f>'PINTURA'!E58</f>
        <v/>
      </c>
      <c r="BJ28" s="89">
        <f>'PINTURA'!E59</f>
        <v/>
      </c>
      <c r="BK28" s="89">
        <f>'PINTURA'!E60</f>
        <v/>
      </c>
      <c r="BL28" s="89">
        <f>'PINTURA'!E61</f>
        <v/>
      </c>
      <c r="BM28" s="89">
        <f>'PINTURA'!E62</f>
        <v/>
      </c>
      <c r="BN28" s="89">
        <f>'PINTURA'!E63</f>
        <v/>
      </c>
      <c r="BO28" s="89">
        <f>'PINTURA'!E64</f>
        <v/>
      </c>
      <c r="BP28" s="89">
        <f>'PINTURA'!E65</f>
        <v/>
      </c>
      <c r="BQ28" s="89">
        <f>'PINTURA'!E66</f>
        <v/>
      </c>
      <c r="BR28" s="89">
        <f>'PINTURA'!E67</f>
        <v/>
      </c>
      <c r="BS28" s="89">
        <f>'PINTURA'!E68</f>
        <v/>
      </c>
      <c r="BT28" s="89">
        <f>'PINTURA'!E69</f>
        <v/>
      </c>
      <c r="BU28" s="89">
        <f>'PINTURA'!E70</f>
        <v/>
      </c>
      <c r="BV28" s="89">
        <f>'PINTURA'!E71</f>
        <v/>
      </c>
      <c r="BW28" s="89">
        <f>'PINTURA'!E72</f>
        <v/>
      </c>
      <c r="BX28" s="89">
        <f>'PINTURA'!E73</f>
        <v/>
      </c>
      <c r="BY28" s="89">
        <f>'PINTURA'!E74</f>
        <v/>
      </c>
      <c r="BZ28" s="89">
        <f>'PINTURA'!E75</f>
        <v/>
      </c>
      <c r="CA28" s="89">
        <f>'PINTURA'!E76</f>
        <v/>
      </c>
    </row>
    <row r="29">
      <c r="A29" s="59" t="inlineStr">
        <is>
          <t>G041.002</t>
        </is>
      </c>
      <c r="B29" s="59" t="inlineStr">
        <is>
          <t>1030-1070-100</t>
        </is>
      </c>
      <c r="C29" s="59" t="inlineStr">
        <is>
          <t>PROJETOS</t>
        </is>
      </c>
      <c r="D29" s="62">
        <f>'PROJETO'!$K$5</f>
        <v/>
      </c>
      <c r="E29" s="49">
        <f>SUM(H29:CA29)</f>
        <v/>
      </c>
      <c r="F29" s="49">
        <f>IF(D29="","",D29-E29)</f>
        <v/>
      </c>
      <c r="H29" s="89">
        <f>'PROJETO'!E5</f>
        <v/>
      </c>
      <c r="I29" s="89">
        <f>'PROJETO'!E6</f>
        <v/>
      </c>
      <c r="J29" s="89">
        <f>'PROJETO'!E7</f>
        <v/>
      </c>
      <c r="K29" s="89">
        <f>'PROJETO'!E8</f>
        <v/>
      </c>
      <c r="L29" s="89">
        <f>'PROJETO'!E9</f>
        <v/>
      </c>
      <c r="M29" s="89">
        <f>'PROJETO'!E10</f>
        <v/>
      </c>
      <c r="N29" s="89">
        <f>'PROJETO'!E11</f>
        <v/>
      </c>
      <c r="O29" s="89">
        <f>'PROJETO'!E12</f>
        <v/>
      </c>
      <c r="P29" s="89">
        <f>'PROJETO'!E13</f>
        <v/>
      </c>
      <c r="Q29" s="89">
        <f>'PROJETO'!E14</f>
        <v/>
      </c>
      <c r="R29" s="89">
        <f>'PROJETO'!E15</f>
        <v/>
      </c>
      <c r="S29" s="89">
        <f>'PROJETO'!E16</f>
        <v/>
      </c>
      <c r="T29" s="89">
        <f>'PROJETO'!E17</f>
        <v/>
      </c>
      <c r="U29" s="89">
        <f>'PROJETO'!E18</f>
        <v/>
      </c>
      <c r="V29" s="89">
        <f>'PROJETO'!E19</f>
        <v/>
      </c>
      <c r="W29" s="89">
        <f>'PROJETO'!E20</f>
        <v/>
      </c>
      <c r="X29" s="89">
        <f>'PROJETO'!E21</f>
        <v/>
      </c>
      <c r="Y29" s="89">
        <f>'PROJETO'!E22</f>
        <v/>
      </c>
      <c r="Z29" s="89">
        <f>'PROJETO'!E23</f>
        <v/>
      </c>
      <c r="AA29" s="89">
        <f>'PROJETO'!E24</f>
        <v/>
      </c>
      <c r="AB29" s="89">
        <f>'PROJETO'!E25</f>
        <v/>
      </c>
      <c r="AC29" s="89">
        <f>'PROJETO'!E26</f>
        <v/>
      </c>
      <c r="AD29" s="89">
        <f>'PROJETO'!E27</f>
        <v/>
      </c>
      <c r="AE29" s="89">
        <f>'PROJETO'!E28</f>
        <v/>
      </c>
      <c r="AF29" s="89">
        <f>'PROJETO'!E29</f>
        <v/>
      </c>
      <c r="AG29" s="89">
        <f>'PROJETO'!E30</f>
        <v/>
      </c>
      <c r="AH29" s="89">
        <f>'PROJETO'!E31</f>
        <v/>
      </c>
      <c r="AI29" s="89">
        <f>'PROJETO'!E32</f>
        <v/>
      </c>
      <c r="AJ29" s="89">
        <f>'PROJETO'!E33</f>
        <v/>
      </c>
      <c r="AK29" s="89">
        <f>'PROJETO'!E34</f>
        <v/>
      </c>
      <c r="AL29" s="89">
        <f>'PROJETO'!E35</f>
        <v/>
      </c>
      <c r="AM29" s="89">
        <f>'PROJETO'!E36</f>
        <v/>
      </c>
      <c r="AN29" s="89">
        <f>'PROJETO'!E37</f>
        <v/>
      </c>
      <c r="AO29" s="89">
        <f>'PROJETO'!E38</f>
        <v/>
      </c>
      <c r="AP29" s="89">
        <f>'PROJETO'!E39</f>
        <v/>
      </c>
      <c r="AQ29" s="89">
        <f>'PROJETO'!E40</f>
        <v/>
      </c>
      <c r="AR29" s="89">
        <f>'PROJETO'!E41</f>
        <v/>
      </c>
      <c r="AS29" s="89">
        <f>'PROJETO'!E42</f>
        <v/>
      </c>
      <c r="AT29" s="89">
        <f>'PROJETO'!E43</f>
        <v/>
      </c>
      <c r="AU29" s="89">
        <f>'PROJETO'!E44</f>
        <v/>
      </c>
      <c r="AV29" s="89">
        <f>'PROJETO'!E45</f>
        <v/>
      </c>
      <c r="AW29" s="89">
        <f>'PROJETO'!E46</f>
        <v/>
      </c>
      <c r="AX29" s="89">
        <f>'PROJETO'!E47</f>
        <v/>
      </c>
      <c r="AY29" s="89">
        <f>'PROJETO'!E48</f>
        <v/>
      </c>
      <c r="AZ29" s="89">
        <f>'PROJETO'!E49</f>
        <v/>
      </c>
      <c r="BA29" s="89">
        <f>'PROJETO'!E50</f>
        <v/>
      </c>
      <c r="BB29" s="89">
        <f>'PROJETO'!E51</f>
        <v/>
      </c>
      <c r="BC29" s="89">
        <f>'PROJETO'!E52</f>
        <v/>
      </c>
      <c r="BD29" s="89">
        <f>'PROJETO'!E53</f>
        <v/>
      </c>
      <c r="BE29" s="89">
        <f>'PROJETO'!E54</f>
        <v/>
      </c>
      <c r="BF29" s="89">
        <f>'PROJETO'!E55</f>
        <v/>
      </c>
      <c r="BG29" s="89">
        <f>'PROJETO'!E56</f>
        <v/>
      </c>
      <c r="BH29" s="89">
        <f>'PROJETO'!E57</f>
        <v/>
      </c>
      <c r="BI29" s="89">
        <f>'PROJETO'!E58</f>
        <v/>
      </c>
      <c r="BJ29" s="89">
        <f>'PROJETO'!E59</f>
        <v/>
      </c>
      <c r="BK29" s="89">
        <f>'PROJETO'!E60</f>
        <v/>
      </c>
      <c r="BL29" s="89">
        <f>'PROJETO'!E61</f>
        <v/>
      </c>
      <c r="BM29" s="89">
        <f>'PROJETO'!E62</f>
        <v/>
      </c>
      <c r="BN29" s="89">
        <f>'PROJETO'!E63</f>
        <v/>
      </c>
      <c r="BO29" s="89">
        <f>'PROJETO'!E64</f>
        <v/>
      </c>
      <c r="BP29" s="89">
        <f>'PROJETO'!E65</f>
        <v/>
      </c>
      <c r="BQ29" s="89">
        <f>'PROJETO'!E66</f>
        <v/>
      </c>
      <c r="BR29" s="89">
        <f>'PROJETO'!E67</f>
        <v/>
      </c>
      <c r="BS29" s="89">
        <f>'PROJETO'!E68</f>
        <v/>
      </c>
      <c r="BT29" s="89">
        <f>'PROJETO'!E69</f>
        <v/>
      </c>
      <c r="BU29" s="89">
        <f>'PROJETO'!E70</f>
        <v/>
      </c>
      <c r="BV29" s="89">
        <f>'PROJETO'!E71</f>
        <v/>
      </c>
      <c r="BW29" s="89">
        <f>'PROJETO'!E72</f>
        <v/>
      </c>
      <c r="BX29" s="89">
        <f>'PROJETO'!E73</f>
        <v/>
      </c>
      <c r="BY29" s="89">
        <f>'PROJETO'!E74</f>
        <v/>
      </c>
      <c r="BZ29" s="89">
        <f>'PROJETO'!E75</f>
        <v/>
      </c>
      <c r="CA29" s="89">
        <f>'PROJETO'!E76</f>
        <v/>
      </c>
    </row>
    <row r="30">
      <c r="A30" s="59" t="inlineStr">
        <is>
          <t>G041.002</t>
        </is>
      </c>
      <c r="B30" s="59" t="inlineStr">
        <is>
          <t>1030-1070-570</t>
        </is>
      </c>
      <c r="C30" s="59" t="inlineStr">
        <is>
          <t>REEMBOLSO MATERIAIS E SERVIÇOS</t>
        </is>
      </c>
      <c r="E30" s="49">
        <f>SUM(H30:CA30)</f>
        <v/>
      </c>
      <c r="F30" s="49">
        <f>IF(D30="","",D30-E30)</f>
        <v/>
      </c>
    </row>
    <row r="31">
      <c r="A31" s="59" t="inlineStr">
        <is>
          <t>G041.002</t>
        </is>
      </c>
      <c r="B31" s="59" t="inlineStr">
        <is>
          <t>1030-1070-360</t>
        </is>
      </c>
      <c r="C31" s="59" t="inlineStr">
        <is>
          <t>REVESTIMENTO DIVERSOS - FACHADA</t>
        </is>
      </c>
      <c r="D31" s="62">
        <f>'REV. FACHADA'!$K$5</f>
        <v/>
      </c>
      <c r="E31" s="49">
        <f>SUM(H31:CA31)</f>
        <v/>
      </c>
      <c r="F31" s="49">
        <f>IF(D31="","",D31-E31)</f>
        <v/>
      </c>
      <c r="H31" s="89">
        <f>'REV. FACHADA'!E5</f>
        <v/>
      </c>
      <c r="I31" s="89">
        <f>'REV. FACHADA'!E6</f>
        <v/>
      </c>
      <c r="J31" s="89">
        <f>'REV. FACHADA'!E7</f>
        <v/>
      </c>
      <c r="K31" s="89">
        <f>'REV. FACHADA'!E8</f>
        <v/>
      </c>
      <c r="L31" s="89">
        <f>'REV. FACHADA'!E9</f>
        <v/>
      </c>
      <c r="M31" s="89">
        <f>'REV. FACHADA'!E10</f>
        <v/>
      </c>
      <c r="N31" s="89">
        <f>'REV. FACHADA'!E11</f>
        <v/>
      </c>
      <c r="O31" s="89">
        <f>'REV. FACHADA'!E12</f>
        <v/>
      </c>
      <c r="P31" s="89">
        <f>'REV. FACHADA'!E13</f>
        <v/>
      </c>
      <c r="Q31" s="89">
        <f>'REV. FACHADA'!E14</f>
        <v/>
      </c>
      <c r="R31" s="89">
        <f>'REV. FACHADA'!E15</f>
        <v/>
      </c>
      <c r="S31" s="89">
        <f>'REV. FACHADA'!E16</f>
        <v/>
      </c>
      <c r="T31" s="89">
        <f>'REV. FACHADA'!E17</f>
        <v/>
      </c>
      <c r="U31" s="89">
        <f>'REV. FACHADA'!E18</f>
        <v/>
      </c>
      <c r="V31" s="89">
        <f>'REV. FACHADA'!E19</f>
        <v/>
      </c>
      <c r="W31" s="89">
        <f>'REV. FACHADA'!E20</f>
        <v/>
      </c>
      <c r="X31" s="89">
        <f>'REV. FACHADA'!E21</f>
        <v/>
      </c>
      <c r="Y31" s="89">
        <f>'REV. FACHADA'!E22</f>
        <v/>
      </c>
      <c r="Z31" s="89">
        <f>'REV. FACHADA'!E23</f>
        <v/>
      </c>
      <c r="AA31" s="89">
        <f>'REV. FACHADA'!E24</f>
        <v/>
      </c>
      <c r="AB31" s="89">
        <f>'REV. FACHADA'!E25</f>
        <v/>
      </c>
      <c r="AC31" s="89">
        <f>'REV. FACHADA'!E26</f>
        <v/>
      </c>
      <c r="AD31" s="89">
        <f>'REV. FACHADA'!E27</f>
        <v/>
      </c>
      <c r="AE31" s="89">
        <f>'REV. FACHADA'!E28</f>
        <v/>
      </c>
      <c r="AF31" s="89">
        <f>'REV. FACHADA'!E29</f>
        <v/>
      </c>
      <c r="AG31" s="89">
        <f>'REV. FACHADA'!E30</f>
        <v/>
      </c>
      <c r="AH31" s="89">
        <f>'REV. FACHADA'!E31</f>
        <v/>
      </c>
      <c r="AI31" s="89">
        <f>'REV. FACHADA'!E32</f>
        <v/>
      </c>
      <c r="AJ31" s="89">
        <f>'REV. FACHADA'!E33</f>
        <v/>
      </c>
      <c r="AK31" s="89">
        <f>'REV. FACHADA'!E34</f>
        <v/>
      </c>
      <c r="AL31" s="89">
        <f>'REV. FACHADA'!E35</f>
        <v/>
      </c>
      <c r="AM31" s="89">
        <f>'REV. FACHADA'!E36</f>
        <v/>
      </c>
      <c r="AN31" s="89">
        <f>'REV. FACHADA'!E37</f>
        <v/>
      </c>
      <c r="AO31" s="89">
        <f>'REV. FACHADA'!E38</f>
        <v/>
      </c>
      <c r="AP31" s="89">
        <f>'REV. FACHADA'!E39</f>
        <v/>
      </c>
      <c r="AQ31" s="89">
        <f>'REV. FACHADA'!E40</f>
        <v/>
      </c>
      <c r="AR31" s="89">
        <f>'REV. FACHADA'!E41</f>
        <v/>
      </c>
      <c r="AS31" s="89">
        <f>'REV. FACHADA'!E42</f>
        <v/>
      </c>
      <c r="AT31" s="89">
        <f>'REV. FACHADA'!E43</f>
        <v/>
      </c>
      <c r="AU31" s="89">
        <f>'REV. FACHADA'!E44</f>
        <v/>
      </c>
      <c r="AV31" s="89">
        <f>'REV. FACHADA'!E45</f>
        <v/>
      </c>
      <c r="AW31" s="89">
        <f>'REV. FACHADA'!E46</f>
        <v/>
      </c>
      <c r="AX31" s="89">
        <f>'REV. FACHADA'!E47</f>
        <v/>
      </c>
      <c r="AY31" s="89">
        <f>'REV. FACHADA'!E48</f>
        <v/>
      </c>
      <c r="AZ31" s="89">
        <f>'REV. FACHADA'!E49</f>
        <v/>
      </c>
      <c r="BA31" s="89">
        <f>'REV. FACHADA'!E50</f>
        <v/>
      </c>
      <c r="BB31" s="89">
        <f>'REV. FACHADA'!E51</f>
        <v/>
      </c>
      <c r="BC31" s="89">
        <f>'REV. FACHADA'!E52</f>
        <v/>
      </c>
      <c r="BD31" s="89">
        <f>'REV. FACHADA'!E53</f>
        <v/>
      </c>
      <c r="BE31" s="89">
        <f>'REV. FACHADA'!E54</f>
        <v/>
      </c>
      <c r="BF31" s="89">
        <f>'REV. FACHADA'!E55</f>
        <v/>
      </c>
      <c r="BG31" s="89">
        <f>'REV. FACHADA'!E56</f>
        <v/>
      </c>
      <c r="BH31" s="89">
        <f>'REV. FACHADA'!E57</f>
        <v/>
      </c>
      <c r="BI31" s="89">
        <f>'REV. FACHADA'!E58</f>
        <v/>
      </c>
      <c r="BJ31" s="89">
        <f>'REV. FACHADA'!E59</f>
        <v/>
      </c>
      <c r="BK31" s="89">
        <f>'REV. FACHADA'!E60</f>
        <v/>
      </c>
      <c r="BL31" s="89">
        <f>'REV. FACHADA'!E61</f>
        <v/>
      </c>
      <c r="BM31" s="89">
        <f>'REV. FACHADA'!E62</f>
        <v/>
      </c>
      <c r="BN31" s="89">
        <f>'REV. FACHADA'!E63</f>
        <v/>
      </c>
      <c r="BO31" s="89">
        <f>'REV. FACHADA'!E64</f>
        <v/>
      </c>
      <c r="BP31" s="89">
        <f>'REV. FACHADA'!E65</f>
        <v/>
      </c>
      <c r="BQ31" s="89">
        <f>'REV. FACHADA'!E66</f>
        <v/>
      </c>
      <c r="BR31" s="89">
        <f>'REV. FACHADA'!E67</f>
        <v/>
      </c>
      <c r="BS31" s="89">
        <f>'REV. FACHADA'!E68</f>
        <v/>
      </c>
      <c r="BT31" s="89">
        <f>'REV. FACHADA'!E69</f>
        <v/>
      </c>
      <c r="BU31" s="89">
        <f>'REV. FACHADA'!E70</f>
        <v/>
      </c>
      <c r="BV31" s="89">
        <f>'REV. FACHADA'!E71</f>
        <v/>
      </c>
      <c r="BW31" s="89">
        <f>'REV. FACHADA'!E72</f>
        <v/>
      </c>
      <c r="BX31" s="89">
        <f>'REV. FACHADA'!E73</f>
        <v/>
      </c>
      <c r="BY31" s="89">
        <f>'REV. FACHADA'!E74</f>
        <v/>
      </c>
      <c r="BZ31" s="89">
        <f>'REV. FACHADA'!E75</f>
        <v/>
      </c>
      <c r="CA31" s="89">
        <f>'REV. FACHADA'!E76</f>
        <v/>
      </c>
    </row>
    <row r="32">
      <c r="A32" s="59" t="inlineStr">
        <is>
          <t>G041.002</t>
        </is>
      </c>
      <c r="B32" s="59" t="inlineStr">
        <is>
          <t>1030-1070-490</t>
        </is>
      </c>
      <c r="C32" s="59" t="inlineStr">
        <is>
          <t>REVESTIMENTOS DE ACABAMENTO</t>
        </is>
      </c>
      <c r="D32" s="62">
        <f>'REV. ACAB'!$K$5</f>
        <v/>
      </c>
      <c r="E32" s="49">
        <f>SUM(H32:CA32)</f>
        <v/>
      </c>
      <c r="F32" s="49">
        <f>IF(D32="","",D32-E32)</f>
        <v/>
      </c>
      <c r="H32" s="89">
        <f>'REV. ACAB'!E5</f>
        <v/>
      </c>
      <c r="I32" s="89">
        <f>'REV. ACAB'!E6</f>
        <v/>
      </c>
      <c r="J32" s="89">
        <f>'REV. ACAB'!E7</f>
        <v/>
      </c>
      <c r="K32" s="89">
        <f>'REV. ACAB'!E8</f>
        <v/>
      </c>
      <c r="L32" s="89">
        <f>'REV. ACAB'!E9</f>
        <v/>
      </c>
      <c r="M32" s="89">
        <f>'REV. ACAB'!E10</f>
        <v/>
      </c>
      <c r="N32" s="89">
        <f>'REV. ACAB'!E11</f>
        <v/>
      </c>
      <c r="O32" s="89">
        <f>'REV. ACAB'!E12</f>
        <v/>
      </c>
      <c r="P32" s="89">
        <f>'REV. ACAB'!E13</f>
        <v/>
      </c>
      <c r="Q32" s="89">
        <f>'REV. ACAB'!E14</f>
        <v/>
      </c>
      <c r="R32" s="89">
        <f>'REV. ACAB'!E15</f>
        <v/>
      </c>
      <c r="S32" s="89">
        <f>'REV. ACAB'!E16</f>
        <v/>
      </c>
      <c r="T32" s="89">
        <f>'REV. ACAB'!E17</f>
        <v/>
      </c>
      <c r="U32" s="89">
        <f>'REV. ACAB'!E18</f>
        <v/>
      </c>
      <c r="V32" s="89">
        <f>'REV. ACAB'!E19</f>
        <v/>
      </c>
      <c r="W32" s="89">
        <f>'REV. ACAB'!E20</f>
        <v/>
      </c>
      <c r="X32" s="89">
        <f>'REV. ACAB'!E21</f>
        <v/>
      </c>
      <c r="Y32" s="89">
        <f>'REV. ACAB'!E22</f>
        <v/>
      </c>
      <c r="Z32" s="89">
        <f>'REV. ACAB'!E23</f>
        <v/>
      </c>
      <c r="AA32" s="89">
        <f>'REV. ACAB'!E24</f>
        <v/>
      </c>
      <c r="AB32" s="89">
        <f>'REV. ACAB'!E25</f>
        <v/>
      </c>
      <c r="AC32" s="89">
        <f>'REV. ACAB'!E26</f>
        <v/>
      </c>
      <c r="AD32" s="89">
        <f>'REV. ACAB'!E27</f>
        <v/>
      </c>
      <c r="AE32" s="89">
        <f>'REV. ACAB'!E28</f>
        <v/>
      </c>
      <c r="AF32" s="89">
        <f>'REV. ACAB'!E29</f>
        <v/>
      </c>
      <c r="AG32" s="89">
        <f>'REV. ACAB'!E30</f>
        <v/>
      </c>
      <c r="AH32" s="89">
        <f>'REV. ACAB'!E31</f>
        <v/>
      </c>
      <c r="AI32" s="89">
        <f>'REV. ACAB'!E32</f>
        <v/>
      </c>
      <c r="AJ32" s="89">
        <f>'REV. ACAB'!E33</f>
        <v/>
      </c>
      <c r="AK32" s="89">
        <f>'REV. ACAB'!E34</f>
        <v/>
      </c>
      <c r="AL32" s="89">
        <f>'REV. ACAB'!E35</f>
        <v/>
      </c>
      <c r="AM32" s="89">
        <f>'REV. ACAB'!E36</f>
        <v/>
      </c>
      <c r="AN32" s="89">
        <f>'REV. ACAB'!E37</f>
        <v/>
      </c>
      <c r="AO32" s="89">
        <f>'REV. ACAB'!E38</f>
        <v/>
      </c>
      <c r="AP32" s="89">
        <f>'REV. ACAB'!E39</f>
        <v/>
      </c>
      <c r="AQ32" s="89">
        <f>'REV. ACAB'!E40</f>
        <v/>
      </c>
      <c r="AR32" s="89">
        <f>'REV. ACAB'!E41</f>
        <v/>
      </c>
      <c r="AS32" s="89">
        <f>'REV. ACAB'!E42</f>
        <v/>
      </c>
      <c r="AT32" s="89">
        <f>'REV. ACAB'!E43</f>
        <v/>
      </c>
      <c r="AU32" s="89">
        <f>'REV. ACAB'!E44</f>
        <v/>
      </c>
      <c r="AV32" s="89">
        <f>'REV. ACAB'!E45</f>
        <v/>
      </c>
      <c r="AW32" s="89">
        <f>'REV. ACAB'!E46</f>
        <v/>
      </c>
      <c r="AX32" s="89">
        <f>'REV. ACAB'!E47</f>
        <v/>
      </c>
      <c r="AY32" s="89">
        <f>'REV. ACAB'!E48</f>
        <v/>
      </c>
      <c r="AZ32" s="89">
        <f>'REV. ACAB'!E49</f>
        <v/>
      </c>
      <c r="BA32" s="89">
        <f>'REV. ACAB'!E50</f>
        <v/>
      </c>
      <c r="BB32" s="89">
        <f>'REV. ACAB'!E51</f>
        <v/>
      </c>
      <c r="BC32" s="89">
        <f>'REV. ACAB'!E52</f>
        <v/>
      </c>
      <c r="BD32" s="89">
        <f>'REV. ACAB'!E53</f>
        <v/>
      </c>
      <c r="BE32" s="89">
        <f>'REV. ACAB'!E54</f>
        <v/>
      </c>
      <c r="BF32" s="89">
        <f>'REV. ACAB'!E55</f>
        <v/>
      </c>
      <c r="BG32" s="89">
        <f>'REV. ACAB'!E56</f>
        <v/>
      </c>
      <c r="BH32" s="89">
        <f>'REV. ACAB'!E57</f>
        <v/>
      </c>
      <c r="BI32" s="89">
        <f>'REV. ACAB'!E58</f>
        <v/>
      </c>
      <c r="BJ32" s="89">
        <f>'REV. ACAB'!E59</f>
        <v/>
      </c>
      <c r="BK32" s="89">
        <f>'REV. ACAB'!E60</f>
        <v/>
      </c>
      <c r="BL32" s="89">
        <f>'REV. ACAB'!E61</f>
        <v/>
      </c>
      <c r="BM32" s="89">
        <f>'REV. ACAB'!E62</f>
        <v/>
      </c>
      <c r="BN32" s="89">
        <f>'REV. ACAB'!E63</f>
        <v/>
      </c>
      <c r="BO32" s="89">
        <f>'REV. ACAB'!E64</f>
        <v/>
      </c>
      <c r="BP32" s="89">
        <f>'REV. ACAB'!E65</f>
        <v/>
      </c>
      <c r="BQ32" s="89">
        <f>'REV. ACAB'!E66</f>
        <v/>
      </c>
      <c r="BR32" s="89">
        <f>'REV. ACAB'!E67</f>
        <v/>
      </c>
      <c r="BS32" s="89">
        <f>'REV. ACAB'!E68</f>
        <v/>
      </c>
      <c r="BT32" s="89">
        <f>'REV. ACAB'!E69</f>
        <v/>
      </c>
      <c r="BU32" s="89">
        <f>'REV. ACAB'!E70</f>
        <v/>
      </c>
      <c r="BV32" s="89">
        <f>'REV. ACAB'!E71</f>
        <v/>
      </c>
      <c r="BW32" s="89">
        <f>'REV. ACAB'!E72</f>
        <v/>
      </c>
      <c r="BX32" s="89">
        <f>'REV. ACAB'!E73</f>
        <v/>
      </c>
      <c r="BY32" s="89">
        <f>'REV. ACAB'!E74</f>
        <v/>
      </c>
      <c r="BZ32" s="89">
        <f>'REV. ACAB'!E75</f>
        <v/>
      </c>
      <c r="CA32" s="89">
        <f>'REV. ACAB'!E76</f>
        <v/>
      </c>
    </row>
    <row r="33">
      <c r="A33" s="59" t="inlineStr">
        <is>
          <t>G041.002</t>
        </is>
      </c>
      <c r="B33" s="59" t="inlineStr">
        <is>
          <t>1030-1070-320</t>
        </is>
      </c>
      <c r="C33" s="59" t="inlineStr">
        <is>
          <t>REVESTIMENTOS DE MASSA EM PISOS</t>
        </is>
      </c>
      <c r="D33" s="62">
        <f>'REV. PISOS'!$K$5</f>
        <v/>
      </c>
      <c r="E33" s="49">
        <f>SUM(H33:CA33)</f>
        <v/>
      </c>
      <c r="F33" s="49">
        <f>IF(D33="","",D33-E33)</f>
        <v/>
      </c>
      <c r="H33" s="89">
        <f>'REV. PISOS'!E5</f>
        <v/>
      </c>
      <c r="I33" s="89">
        <f>'REV. PISOS'!E6</f>
        <v/>
      </c>
      <c r="J33" s="89">
        <f>'REV. PISOS'!E7</f>
        <v/>
      </c>
      <c r="K33" s="89">
        <f>'REV. PISOS'!E8</f>
        <v/>
      </c>
      <c r="L33" s="89">
        <f>'REV. PISOS'!E9</f>
        <v/>
      </c>
      <c r="M33" s="89">
        <f>'REV. PISOS'!E10</f>
        <v/>
      </c>
      <c r="N33" s="89">
        <f>'REV. PISOS'!E11</f>
        <v/>
      </c>
      <c r="O33" s="89">
        <f>'REV. PISOS'!E12</f>
        <v/>
      </c>
      <c r="P33" s="89">
        <f>'REV. PISOS'!E13</f>
        <v/>
      </c>
      <c r="Q33" s="89">
        <f>'REV. PISOS'!E14</f>
        <v/>
      </c>
      <c r="R33" s="89">
        <f>'REV. PISOS'!E15</f>
        <v/>
      </c>
      <c r="S33" s="89">
        <f>'REV. PISOS'!E16</f>
        <v/>
      </c>
      <c r="T33" s="89">
        <f>'REV. PISOS'!E17</f>
        <v/>
      </c>
      <c r="U33" s="89">
        <f>'REV. PISOS'!E18</f>
        <v/>
      </c>
      <c r="V33" s="89">
        <f>'REV. PISOS'!E19</f>
        <v/>
      </c>
      <c r="W33" s="89">
        <f>'REV. PISOS'!E20</f>
        <v/>
      </c>
      <c r="X33" s="89">
        <f>'REV. PISOS'!E21</f>
        <v/>
      </c>
      <c r="Y33" s="89">
        <f>'REV. PISOS'!E22</f>
        <v/>
      </c>
      <c r="Z33" s="89">
        <f>'REV. PISOS'!E23</f>
        <v/>
      </c>
      <c r="AA33" s="89">
        <f>'REV. PISOS'!E24</f>
        <v/>
      </c>
      <c r="AB33" s="89">
        <f>'REV. PISOS'!E25</f>
        <v/>
      </c>
      <c r="AC33" s="89">
        <f>'REV. PISOS'!E26</f>
        <v/>
      </c>
      <c r="AD33" s="89">
        <f>'REV. PISOS'!E27</f>
        <v/>
      </c>
      <c r="AE33" s="89">
        <f>'REV. PISOS'!E28</f>
        <v/>
      </c>
      <c r="AF33" s="89">
        <f>'REV. PISOS'!E29</f>
        <v/>
      </c>
      <c r="AG33" s="89">
        <f>'REV. PISOS'!E30</f>
        <v/>
      </c>
      <c r="AH33" s="89">
        <f>'REV. PISOS'!E31</f>
        <v/>
      </c>
      <c r="AI33" s="89">
        <f>'REV. PISOS'!E32</f>
        <v/>
      </c>
      <c r="AJ33" s="89">
        <f>'REV. PISOS'!E33</f>
        <v/>
      </c>
      <c r="AK33" s="89">
        <f>'REV. PISOS'!E34</f>
        <v/>
      </c>
      <c r="AL33" s="89">
        <f>'REV. PISOS'!E35</f>
        <v/>
      </c>
      <c r="AM33" s="89">
        <f>'REV. PISOS'!E36</f>
        <v/>
      </c>
      <c r="AN33" s="89">
        <f>'REV. PISOS'!E37</f>
        <v/>
      </c>
      <c r="AO33" s="89">
        <f>'REV. PISOS'!E38</f>
        <v/>
      </c>
      <c r="AP33" s="89">
        <f>'REV. PISOS'!E39</f>
        <v/>
      </c>
      <c r="AQ33" s="89">
        <f>'REV. PISOS'!E40</f>
        <v/>
      </c>
      <c r="AR33" s="89">
        <f>'REV. PISOS'!E41</f>
        <v/>
      </c>
      <c r="AS33" s="89">
        <f>'REV. PISOS'!E42</f>
        <v/>
      </c>
      <c r="AT33" s="89">
        <f>'REV. PISOS'!E43</f>
        <v/>
      </c>
      <c r="AU33" s="89">
        <f>'REV. PISOS'!E44</f>
        <v/>
      </c>
      <c r="AV33" s="89">
        <f>'REV. PISOS'!E45</f>
        <v/>
      </c>
      <c r="AW33" s="89">
        <f>'REV. PISOS'!E46</f>
        <v/>
      </c>
      <c r="AX33" s="89">
        <f>'REV. PISOS'!E47</f>
        <v/>
      </c>
      <c r="AY33" s="89">
        <f>'REV. PISOS'!E48</f>
        <v/>
      </c>
      <c r="AZ33" s="89">
        <f>'REV. PISOS'!E49</f>
        <v/>
      </c>
      <c r="BA33" s="89">
        <f>'REV. PISOS'!E50</f>
        <v/>
      </c>
      <c r="BB33" s="89">
        <f>'REV. PISOS'!E51</f>
        <v/>
      </c>
      <c r="BC33" s="89">
        <f>'REV. PISOS'!E52</f>
        <v/>
      </c>
      <c r="BD33" s="89">
        <f>'REV. PISOS'!E53</f>
        <v/>
      </c>
      <c r="BE33" s="89">
        <f>'REV. PISOS'!E54</f>
        <v/>
      </c>
      <c r="BF33" s="89">
        <f>'REV. PISOS'!E55</f>
        <v/>
      </c>
      <c r="BG33" s="89">
        <f>'REV. PISOS'!E56</f>
        <v/>
      </c>
      <c r="BH33" s="89">
        <f>'REV. PISOS'!E57</f>
        <v/>
      </c>
      <c r="BI33" s="89">
        <f>'REV. PISOS'!E58</f>
        <v/>
      </c>
      <c r="BJ33" s="89">
        <f>'REV. PISOS'!E59</f>
        <v/>
      </c>
      <c r="BK33" s="89">
        <f>'REV. PISOS'!E60</f>
        <v/>
      </c>
      <c r="BL33" s="89">
        <f>'REV. PISOS'!E61</f>
        <v/>
      </c>
      <c r="BM33" s="89">
        <f>'REV. PISOS'!E62</f>
        <v/>
      </c>
      <c r="BN33" s="89">
        <f>'REV. PISOS'!E63</f>
        <v/>
      </c>
      <c r="BO33" s="89">
        <f>'REV. PISOS'!E64</f>
        <v/>
      </c>
      <c r="BP33" s="89">
        <f>'REV. PISOS'!E65</f>
        <v/>
      </c>
      <c r="BQ33" s="89">
        <f>'REV. PISOS'!E66</f>
        <v/>
      </c>
      <c r="BR33" s="89">
        <f>'REV. PISOS'!E67</f>
        <v/>
      </c>
      <c r="BS33" s="89">
        <f>'REV. PISOS'!E68</f>
        <v/>
      </c>
      <c r="BT33" s="89">
        <f>'REV. PISOS'!E69</f>
        <v/>
      </c>
      <c r="BU33" s="89">
        <f>'REV. PISOS'!E70</f>
        <v/>
      </c>
      <c r="BV33" s="89">
        <f>'REV. PISOS'!E71</f>
        <v/>
      </c>
      <c r="BW33" s="89">
        <f>'REV. PISOS'!E72</f>
        <v/>
      </c>
      <c r="BX33" s="89">
        <f>'REV. PISOS'!E73</f>
        <v/>
      </c>
      <c r="BY33" s="89">
        <f>'REV. PISOS'!E74</f>
        <v/>
      </c>
      <c r="BZ33" s="89">
        <f>'REV. PISOS'!E75</f>
        <v/>
      </c>
      <c r="CA33" s="89">
        <f>'REV. PISOS'!E76</f>
        <v/>
      </c>
    </row>
    <row r="34">
      <c r="A34" s="59" t="inlineStr">
        <is>
          <t>G041.002</t>
        </is>
      </c>
      <c r="B34" s="59" t="inlineStr">
        <is>
          <t>1030-1070-300</t>
        </is>
      </c>
      <c r="C34" s="59" t="inlineStr">
        <is>
          <t>REVESTIMENTOS DE MASSA EM PAREDES</t>
        </is>
      </c>
      <c r="D34" s="62">
        <f>'REV. PAREDE'!$K$5</f>
        <v/>
      </c>
      <c r="E34" s="49">
        <f>SUM(H34:CA34)</f>
        <v/>
      </c>
      <c r="F34" s="49">
        <f>IF(D34="","",D34-E34)</f>
        <v/>
      </c>
      <c r="H34" s="89">
        <f>'REV. PAREDE'!E5</f>
        <v/>
      </c>
      <c r="I34" s="89">
        <f>'REV. PAREDE'!E6</f>
        <v/>
      </c>
      <c r="J34" s="89">
        <f>'REV. PAREDE'!E7</f>
        <v/>
      </c>
      <c r="K34" s="89">
        <f>'REV. PAREDE'!E8</f>
        <v/>
      </c>
      <c r="L34" s="89">
        <f>'REV. PAREDE'!E9</f>
        <v/>
      </c>
      <c r="M34" s="89">
        <f>'REV. PAREDE'!E10</f>
        <v/>
      </c>
      <c r="N34" s="89">
        <f>'REV. PAREDE'!E11</f>
        <v/>
      </c>
      <c r="O34" s="89">
        <f>'REV. PAREDE'!E12</f>
        <v/>
      </c>
      <c r="P34" s="89">
        <f>'REV. PAREDE'!E13</f>
        <v/>
      </c>
      <c r="Q34" s="89">
        <f>'REV. PAREDE'!E14</f>
        <v/>
      </c>
      <c r="R34" s="89">
        <f>'REV. PAREDE'!E15</f>
        <v/>
      </c>
      <c r="S34" s="89">
        <f>'REV. PAREDE'!E16</f>
        <v/>
      </c>
      <c r="T34" s="89">
        <f>'REV. PAREDE'!E17</f>
        <v/>
      </c>
      <c r="U34" s="89">
        <f>'REV. PAREDE'!E18</f>
        <v/>
      </c>
      <c r="V34" s="89">
        <f>'REV. PAREDE'!E19</f>
        <v/>
      </c>
      <c r="W34" s="89">
        <f>'REV. PAREDE'!E20</f>
        <v/>
      </c>
      <c r="X34" s="89">
        <f>'REV. PAREDE'!E21</f>
        <v/>
      </c>
      <c r="Y34" s="89">
        <f>'REV. PAREDE'!E22</f>
        <v/>
      </c>
      <c r="Z34" s="89">
        <f>'REV. PAREDE'!E23</f>
        <v/>
      </c>
      <c r="AA34" s="89">
        <f>'REV. PAREDE'!E24</f>
        <v/>
      </c>
      <c r="AB34" s="89">
        <f>'REV. PAREDE'!E25</f>
        <v/>
      </c>
      <c r="AC34" s="89">
        <f>'REV. PAREDE'!E26</f>
        <v/>
      </c>
      <c r="AD34" s="89">
        <f>'REV. PAREDE'!E27</f>
        <v/>
      </c>
      <c r="AE34" s="89">
        <f>'REV. PAREDE'!E28</f>
        <v/>
      </c>
      <c r="AF34" s="89">
        <f>'REV. PAREDE'!E29</f>
        <v/>
      </c>
      <c r="AG34" s="89">
        <f>'REV. PAREDE'!E30</f>
        <v/>
      </c>
      <c r="AH34" s="89">
        <f>'REV. PAREDE'!E31</f>
        <v/>
      </c>
      <c r="AI34" s="89">
        <f>'REV. PAREDE'!E32</f>
        <v/>
      </c>
      <c r="AJ34" s="89">
        <f>'REV. PAREDE'!E33</f>
        <v/>
      </c>
      <c r="AK34" s="89">
        <f>'REV. PAREDE'!E34</f>
        <v/>
      </c>
      <c r="AL34" s="89">
        <f>'REV. PAREDE'!E35</f>
        <v/>
      </c>
      <c r="AM34" s="89">
        <f>'REV. PAREDE'!E36</f>
        <v/>
      </c>
      <c r="AN34" s="89">
        <f>'REV. PAREDE'!E37</f>
        <v/>
      </c>
      <c r="AO34" s="89">
        <f>'REV. PAREDE'!E38</f>
        <v/>
      </c>
      <c r="AP34" s="89">
        <f>'REV. PAREDE'!E39</f>
        <v/>
      </c>
      <c r="AQ34" s="89">
        <f>'REV. PAREDE'!E40</f>
        <v/>
      </c>
      <c r="AR34" s="89">
        <f>'REV. PAREDE'!E41</f>
        <v/>
      </c>
      <c r="AS34" s="89">
        <f>'REV. PAREDE'!E42</f>
        <v/>
      </c>
      <c r="AT34" s="89">
        <f>'REV. PAREDE'!E43</f>
        <v/>
      </c>
      <c r="AU34" s="89">
        <f>'REV. PAREDE'!E44</f>
        <v/>
      </c>
      <c r="AV34" s="89">
        <f>'REV. PAREDE'!E45</f>
        <v/>
      </c>
      <c r="AW34" s="89">
        <f>'REV. PAREDE'!E46</f>
        <v/>
      </c>
      <c r="AX34" s="89">
        <f>'REV. PAREDE'!E47</f>
        <v/>
      </c>
      <c r="AY34" s="89">
        <f>'REV. PAREDE'!E48</f>
        <v/>
      </c>
      <c r="AZ34" s="89">
        <f>'REV. PAREDE'!E49</f>
        <v/>
      </c>
      <c r="BA34" s="89">
        <f>'REV. PAREDE'!E50</f>
        <v/>
      </c>
      <c r="BB34" s="89">
        <f>'REV. PAREDE'!E51</f>
        <v/>
      </c>
      <c r="BC34" s="89">
        <f>'REV. PAREDE'!E52</f>
        <v/>
      </c>
      <c r="BD34" s="89">
        <f>'REV. PAREDE'!E53</f>
        <v/>
      </c>
      <c r="BE34" s="89">
        <f>'REV. PAREDE'!E54</f>
        <v/>
      </c>
      <c r="BF34" s="89">
        <f>'REV. PAREDE'!E55</f>
        <v/>
      </c>
      <c r="BG34" s="89">
        <f>'REV. PAREDE'!E56</f>
        <v/>
      </c>
      <c r="BH34" s="89">
        <f>'REV. PAREDE'!E57</f>
        <v/>
      </c>
      <c r="BI34" s="89">
        <f>'REV. PAREDE'!E58</f>
        <v/>
      </c>
      <c r="BJ34" s="89">
        <f>'REV. PAREDE'!E59</f>
        <v/>
      </c>
      <c r="BK34" s="89">
        <f>'REV. PAREDE'!E60</f>
        <v/>
      </c>
      <c r="BL34" s="89">
        <f>'REV. PAREDE'!E61</f>
        <v/>
      </c>
      <c r="BM34" s="89">
        <f>'REV. PAREDE'!E62</f>
        <v/>
      </c>
      <c r="BN34" s="89">
        <f>'REV. PAREDE'!E63</f>
        <v/>
      </c>
      <c r="BO34" s="89">
        <f>'REV. PAREDE'!E64</f>
        <v/>
      </c>
      <c r="BP34" s="89">
        <f>'REV. PAREDE'!E65</f>
        <v/>
      </c>
      <c r="BQ34" s="89">
        <f>'REV. PAREDE'!E66</f>
        <v/>
      </c>
      <c r="BR34" s="89">
        <f>'REV. PAREDE'!E67</f>
        <v/>
      </c>
      <c r="BS34" s="89">
        <f>'REV. PAREDE'!E68</f>
        <v/>
      </c>
      <c r="BT34" s="89">
        <f>'REV. PAREDE'!E69</f>
        <v/>
      </c>
      <c r="BU34" s="89">
        <f>'REV. PAREDE'!E70</f>
        <v/>
      </c>
      <c r="BV34" s="89">
        <f>'REV. PAREDE'!E71</f>
        <v/>
      </c>
      <c r="BW34" s="89">
        <f>'REV. PAREDE'!E72</f>
        <v/>
      </c>
      <c r="BX34" s="89">
        <f>'REV. PAREDE'!E73</f>
        <v/>
      </c>
      <c r="BY34" s="89">
        <f>'REV. PAREDE'!E74</f>
        <v/>
      </c>
      <c r="BZ34" s="89">
        <f>'REV. PAREDE'!E75</f>
        <v/>
      </c>
      <c r="CA34" s="89">
        <f>'REV. PAREDE'!E76</f>
        <v/>
      </c>
    </row>
    <row r="35">
      <c r="A35" s="59" t="inlineStr">
        <is>
          <t>G041.002</t>
        </is>
      </c>
      <c r="B35" s="59" t="inlineStr">
        <is>
          <t>1030-1070-580</t>
        </is>
      </c>
      <c r="C35" s="59" t="inlineStr">
        <is>
          <t>REVESTIMENTOS DIVERSOS-FACHADA</t>
        </is>
      </c>
      <c r="E35" s="49">
        <f>SUM(H35:CA35)</f>
        <v/>
      </c>
      <c r="F35" s="49">
        <f>IF(D35="","",D35-E35)</f>
        <v/>
      </c>
    </row>
    <row r="36">
      <c r="A36" s="59" t="inlineStr">
        <is>
          <t>G041.002</t>
        </is>
      </c>
      <c r="B36" s="59" t="inlineStr">
        <is>
          <t>1030-1070-310</t>
        </is>
      </c>
      <c r="C36" s="59" t="inlineStr">
        <is>
          <t>REVESTIMENTOS DIVERSOS-PAREDE</t>
        </is>
      </c>
      <c r="E36" s="49">
        <f>SUM(H36:CA36)</f>
        <v/>
      </c>
      <c r="F36" s="49">
        <f>IF(D36="","",D36-E36)</f>
        <v/>
      </c>
    </row>
    <row r="37">
      <c r="A37" s="59" t="inlineStr">
        <is>
          <t>G041.002</t>
        </is>
      </c>
      <c r="B37" s="59" t="inlineStr">
        <is>
          <t>1030-1070-330</t>
        </is>
      </c>
      <c r="C37" s="59" t="inlineStr">
        <is>
          <t>REVESTIMENTOS DIVERSOS-PISOS</t>
        </is>
      </c>
      <c r="E37" s="49">
        <f>SUM(H37:CA37)</f>
        <v/>
      </c>
      <c r="F37" s="49">
        <f>IF(D37="","",D37-E37)</f>
        <v/>
      </c>
    </row>
    <row r="38">
      <c r="A38" s="59" t="inlineStr">
        <is>
          <t>G041.002</t>
        </is>
      </c>
      <c r="B38" s="59" t="inlineStr">
        <is>
          <t>1030-1070-340</t>
        </is>
      </c>
      <c r="C38" s="59" t="inlineStr">
        <is>
          <t>RODAPÉS/SOLEIRAS/PEITORIL/ADUELAS</t>
        </is>
      </c>
      <c r="E38" s="49">
        <f>SUM(H38:CA38)</f>
        <v/>
      </c>
      <c r="F38" s="49">
        <f>IF(D38="","",D38-E38)</f>
        <v/>
      </c>
    </row>
    <row r="39">
      <c r="A39" s="59" t="inlineStr">
        <is>
          <t>G041.002</t>
        </is>
      </c>
      <c r="B39" s="59" t="inlineStr">
        <is>
          <t>1030-1070-220</t>
        </is>
      </c>
      <c r="C39" s="59" t="inlineStr">
        <is>
          <t>EQUIPAMENTOS DE PROTEÇÃO COLETIVA</t>
        </is>
      </c>
      <c r="E39" s="49">
        <f>SUM(H39:CA39)</f>
        <v/>
      </c>
      <c r="F39" s="49">
        <f>IF(D39="","",D39-E39)</f>
        <v/>
      </c>
    </row>
    <row r="40">
      <c r="A40" s="59" t="inlineStr">
        <is>
          <t>G041.002</t>
        </is>
      </c>
      <c r="B40" s="59" t="inlineStr">
        <is>
          <t>1030-1070-110</t>
        </is>
      </c>
      <c r="C40" s="59" t="inlineStr">
        <is>
          <t>SEGUROS</t>
        </is>
      </c>
      <c r="D40" s="62">
        <f>'SEGUROS'!$K$5</f>
        <v/>
      </c>
      <c r="E40" s="49">
        <f>SUM(H40:CA40)</f>
        <v/>
      </c>
      <c r="F40" s="49">
        <f>IF(D40="","",D40-E40)</f>
        <v/>
      </c>
      <c r="H40" s="89">
        <f>'SEGUROS'!E5</f>
        <v/>
      </c>
      <c r="I40" s="89">
        <f>'SEGUROS'!E6</f>
        <v/>
      </c>
      <c r="J40" s="89">
        <f>'SEGUROS'!E7</f>
        <v/>
      </c>
      <c r="K40" s="89">
        <f>'SEGUROS'!E8</f>
        <v/>
      </c>
      <c r="L40" s="89">
        <f>'SEGUROS'!E9</f>
        <v/>
      </c>
      <c r="M40" s="89">
        <f>'SEGUROS'!E10</f>
        <v/>
      </c>
      <c r="N40" s="89">
        <f>'SEGUROS'!E11</f>
        <v/>
      </c>
      <c r="O40" s="89">
        <f>'SEGUROS'!E12</f>
        <v/>
      </c>
      <c r="P40" s="89">
        <f>'SEGUROS'!E13</f>
        <v/>
      </c>
      <c r="Q40" s="89">
        <f>'SEGUROS'!E14</f>
        <v/>
      </c>
      <c r="R40" s="89">
        <f>'SEGUROS'!E15</f>
        <v/>
      </c>
      <c r="S40" s="89">
        <f>'SEGUROS'!E16</f>
        <v/>
      </c>
      <c r="T40" s="89">
        <f>'SEGUROS'!E17</f>
        <v/>
      </c>
      <c r="U40" s="89">
        <f>'SEGUROS'!E18</f>
        <v/>
      </c>
      <c r="V40" s="89">
        <f>'SEGUROS'!E19</f>
        <v/>
      </c>
      <c r="W40" s="89">
        <f>'SEGUROS'!E20</f>
        <v/>
      </c>
      <c r="X40" s="89">
        <f>'SEGUROS'!E21</f>
        <v/>
      </c>
      <c r="Y40" s="89">
        <f>'SEGUROS'!E22</f>
        <v/>
      </c>
      <c r="Z40" s="89">
        <f>'SEGUROS'!E23</f>
        <v/>
      </c>
      <c r="AA40" s="89">
        <f>'SEGUROS'!E24</f>
        <v/>
      </c>
      <c r="AB40" s="89">
        <f>'SEGUROS'!E25</f>
        <v/>
      </c>
      <c r="AC40" s="89">
        <f>'SEGUROS'!E26</f>
        <v/>
      </c>
      <c r="AD40" s="89">
        <f>'SEGUROS'!E27</f>
        <v/>
      </c>
      <c r="AE40" s="89">
        <f>'SEGUROS'!E28</f>
        <v/>
      </c>
      <c r="AF40" s="89">
        <f>'SEGUROS'!E29</f>
        <v/>
      </c>
      <c r="AG40" s="89">
        <f>'SEGUROS'!E30</f>
        <v/>
      </c>
      <c r="AH40" s="89">
        <f>'SEGUROS'!E31</f>
        <v/>
      </c>
      <c r="AI40" s="89">
        <f>'SEGUROS'!E32</f>
        <v/>
      </c>
      <c r="AJ40" s="89">
        <f>'SEGUROS'!E33</f>
        <v/>
      </c>
      <c r="AK40" s="89">
        <f>'SEGUROS'!E34</f>
        <v/>
      </c>
      <c r="AL40" s="89">
        <f>'SEGUROS'!E35</f>
        <v/>
      </c>
      <c r="AM40" s="89">
        <f>'SEGUROS'!E36</f>
        <v/>
      </c>
      <c r="AN40" s="89">
        <f>'SEGUROS'!E37</f>
        <v/>
      </c>
      <c r="AO40" s="89">
        <f>'SEGUROS'!E38</f>
        <v/>
      </c>
      <c r="AP40" s="89">
        <f>'SEGUROS'!E39</f>
        <v/>
      </c>
      <c r="AQ40" s="89">
        <f>'SEGUROS'!E40</f>
        <v/>
      </c>
      <c r="AR40" s="89">
        <f>'SEGUROS'!E41</f>
        <v/>
      </c>
      <c r="AS40" s="89">
        <f>'SEGUROS'!E42</f>
        <v/>
      </c>
      <c r="AT40" s="89">
        <f>'SEGUROS'!E43</f>
        <v/>
      </c>
      <c r="AU40" s="89">
        <f>'SEGUROS'!E44</f>
        <v/>
      </c>
      <c r="AV40" s="89">
        <f>'SEGUROS'!E45</f>
        <v/>
      </c>
      <c r="AW40" s="89">
        <f>'SEGUROS'!E46</f>
        <v/>
      </c>
      <c r="AX40" s="89">
        <f>'SEGUROS'!E47</f>
        <v/>
      </c>
      <c r="AY40" s="89">
        <f>'SEGUROS'!E48</f>
        <v/>
      </c>
      <c r="AZ40" s="89">
        <f>'SEGUROS'!E49</f>
        <v/>
      </c>
      <c r="BA40" s="89">
        <f>'SEGUROS'!E50</f>
        <v/>
      </c>
      <c r="BB40" s="89">
        <f>'SEGUROS'!E51</f>
        <v/>
      </c>
      <c r="BC40" s="89">
        <f>'SEGUROS'!E52</f>
        <v/>
      </c>
      <c r="BD40" s="89">
        <f>'SEGUROS'!E53</f>
        <v/>
      </c>
      <c r="BE40" s="89">
        <f>'SEGUROS'!E54</f>
        <v/>
      </c>
      <c r="BF40" s="89">
        <f>'SEGUROS'!E55</f>
        <v/>
      </c>
      <c r="BG40" s="89">
        <f>'SEGUROS'!E56</f>
        <v/>
      </c>
      <c r="BH40" s="89">
        <f>'SEGUROS'!E57</f>
        <v/>
      </c>
      <c r="BI40" s="89">
        <f>'SEGUROS'!E58</f>
        <v/>
      </c>
      <c r="BJ40" s="89">
        <f>'SEGUROS'!E59</f>
        <v/>
      </c>
      <c r="BK40" s="89">
        <f>'SEGUROS'!E60</f>
        <v/>
      </c>
      <c r="BL40" s="89">
        <f>'SEGUROS'!E61</f>
        <v/>
      </c>
      <c r="BM40" s="89">
        <f>'SEGUROS'!E62</f>
        <v/>
      </c>
      <c r="BN40" s="89">
        <f>'SEGUROS'!E63</f>
        <v/>
      </c>
      <c r="BO40" s="89">
        <f>'SEGUROS'!E64</f>
        <v/>
      </c>
      <c r="BP40" s="89">
        <f>'SEGUROS'!E65</f>
        <v/>
      </c>
      <c r="BQ40" s="89">
        <f>'SEGUROS'!E66</f>
        <v/>
      </c>
      <c r="BR40" s="89">
        <f>'SEGUROS'!E67</f>
        <v/>
      </c>
      <c r="BS40" s="89">
        <f>'SEGUROS'!E68</f>
        <v/>
      </c>
      <c r="BT40" s="89">
        <f>'SEGUROS'!E69</f>
        <v/>
      </c>
      <c r="BU40" s="89">
        <f>'SEGUROS'!E70</f>
        <v/>
      </c>
      <c r="BV40" s="89">
        <f>'SEGUROS'!E71</f>
        <v/>
      </c>
      <c r="BW40" s="89">
        <f>'SEGUROS'!E72</f>
        <v/>
      </c>
      <c r="BX40" s="89">
        <f>'SEGUROS'!E73</f>
        <v/>
      </c>
      <c r="BY40" s="89">
        <f>'SEGUROS'!E74</f>
        <v/>
      </c>
      <c r="BZ40" s="89">
        <f>'SEGUROS'!E75</f>
        <v/>
      </c>
      <c r="CA40" s="89">
        <f>'SEGUROS'!E76</f>
        <v/>
      </c>
    </row>
    <row r="41">
      <c r="A41" s="59" t="inlineStr">
        <is>
          <t>G041.002</t>
        </is>
      </c>
      <c r="B41" s="59" t="inlineStr">
        <is>
          <t>1030-1070-380</t>
        </is>
      </c>
      <c r="C41" s="59" t="inlineStr">
        <is>
          <t>SERRALHERIA</t>
        </is>
      </c>
      <c r="D41" s="62">
        <f>'SERRALHERIA'!$K$5</f>
        <v/>
      </c>
      <c r="E41" s="49">
        <f>SUM(H41:CA41)</f>
        <v/>
      </c>
      <c r="F41" s="49">
        <f>IF(D41="","",D41-E41)</f>
        <v/>
      </c>
      <c r="H41" s="89">
        <f>'SERRALHERIA'!E5</f>
        <v/>
      </c>
      <c r="I41" s="89">
        <f>'SERRALHERIA'!E6</f>
        <v/>
      </c>
      <c r="J41" s="89">
        <f>'SERRALHERIA'!E7</f>
        <v/>
      </c>
      <c r="K41" s="89">
        <f>'SERRALHERIA'!E8</f>
        <v/>
      </c>
      <c r="L41" s="89">
        <f>'SERRALHERIA'!E9</f>
        <v/>
      </c>
      <c r="M41" s="89">
        <f>'SERRALHERIA'!E10</f>
        <v/>
      </c>
      <c r="N41" s="89">
        <f>'SERRALHERIA'!E11</f>
        <v/>
      </c>
      <c r="O41" s="89">
        <f>'SERRALHERIA'!E12</f>
        <v/>
      </c>
      <c r="P41" s="89">
        <f>'SERRALHERIA'!E13</f>
        <v/>
      </c>
      <c r="Q41" s="89">
        <f>'SERRALHERIA'!E14</f>
        <v/>
      </c>
      <c r="R41" s="89">
        <f>'SERRALHERIA'!E15</f>
        <v/>
      </c>
      <c r="S41" s="89">
        <f>'SERRALHERIA'!E16</f>
        <v/>
      </c>
      <c r="T41" s="89">
        <f>'SERRALHERIA'!E17</f>
        <v/>
      </c>
      <c r="U41" s="89">
        <f>'SERRALHERIA'!E18</f>
        <v/>
      </c>
      <c r="V41" s="89">
        <f>'SERRALHERIA'!E19</f>
        <v/>
      </c>
      <c r="W41" s="89">
        <f>'SERRALHERIA'!E20</f>
        <v/>
      </c>
      <c r="X41" s="89">
        <f>'SERRALHERIA'!E21</f>
        <v/>
      </c>
      <c r="Y41" s="89">
        <f>'SERRALHERIA'!E22</f>
        <v/>
      </c>
      <c r="Z41" s="89">
        <f>'SERRALHERIA'!E23</f>
        <v/>
      </c>
      <c r="AA41" s="89">
        <f>'SERRALHERIA'!E24</f>
        <v/>
      </c>
      <c r="AB41" s="89">
        <f>'SERRALHERIA'!E25</f>
        <v/>
      </c>
      <c r="AC41" s="89">
        <f>'SERRALHERIA'!E26</f>
        <v/>
      </c>
      <c r="AD41" s="89">
        <f>'SERRALHERIA'!E27</f>
        <v/>
      </c>
      <c r="AE41" s="89">
        <f>'SERRALHERIA'!E28</f>
        <v/>
      </c>
      <c r="AF41" s="89">
        <f>'SERRALHERIA'!E29</f>
        <v/>
      </c>
      <c r="AG41" s="89">
        <f>'SERRALHERIA'!E30</f>
        <v/>
      </c>
      <c r="AH41" s="89">
        <f>'SERRALHERIA'!E31</f>
        <v/>
      </c>
      <c r="AI41" s="89">
        <f>'SERRALHERIA'!E32</f>
        <v/>
      </c>
      <c r="AJ41" s="89">
        <f>'SERRALHERIA'!E33</f>
        <v/>
      </c>
      <c r="AK41" s="89">
        <f>'SERRALHERIA'!E34</f>
        <v/>
      </c>
      <c r="AL41" s="89">
        <f>'SERRALHERIA'!E35</f>
        <v/>
      </c>
      <c r="AM41" s="89">
        <f>'SERRALHERIA'!E36</f>
        <v/>
      </c>
      <c r="AN41" s="89">
        <f>'SERRALHERIA'!E37</f>
        <v/>
      </c>
      <c r="AO41" s="89">
        <f>'SERRALHERIA'!E38</f>
        <v/>
      </c>
      <c r="AP41" s="89">
        <f>'SERRALHERIA'!E39</f>
        <v/>
      </c>
      <c r="AQ41" s="89">
        <f>'SERRALHERIA'!E40</f>
        <v/>
      </c>
      <c r="AR41" s="89">
        <f>'SERRALHERIA'!E41</f>
        <v/>
      </c>
      <c r="AS41" s="89">
        <f>'SERRALHERIA'!E42</f>
        <v/>
      </c>
      <c r="AT41" s="89">
        <f>'SERRALHERIA'!E43</f>
        <v/>
      </c>
      <c r="AU41" s="89">
        <f>'SERRALHERIA'!E44</f>
        <v/>
      </c>
      <c r="AV41" s="89">
        <f>'SERRALHERIA'!E45</f>
        <v/>
      </c>
      <c r="AW41" s="89">
        <f>'SERRALHERIA'!E46</f>
        <v/>
      </c>
      <c r="AX41" s="89">
        <f>'SERRALHERIA'!E47</f>
        <v/>
      </c>
      <c r="AY41" s="89">
        <f>'SERRALHERIA'!E48</f>
        <v/>
      </c>
      <c r="AZ41" s="89">
        <f>'SERRALHERIA'!E49</f>
        <v/>
      </c>
      <c r="BA41" s="89">
        <f>'SERRALHERIA'!E50</f>
        <v/>
      </c>
      <c r="BB41" s="89">
        <f>'SERRALHERIA'!E51</f>
        <v/>
      </c>
      <c r="BC41" s="89">
        <f>'SERRALHERIA'!E52</f>
        <v/>
      </c>
      <c r="BD41" s="89">
        <f>'SERRALHERIA'!E53</f>
        <v/>
      </c>
      <c r="BE41" s="89">
        <f>'SERRALHERIA'!E54</f>
        <v/>
      </c>
      <c r="BF41" s="89">
        <f>'SERRALHERIA'!E55</f>
        <v/>
      </c>
      <c r="BG41" s="89">
        <f>'SERRALHERIA'!E56</f>
        <v/>
      </c>
      <c r="BH41" s="89">
        <f>'SERRALHERIA'!E57</f>
        <v/>
      </c>
      <c r="BI41" s="89">
        <f>'SERRALHERIA'!E58</f>
        <v/>
      </c>
      <c r="BJ41" s="89">
        <f>'SERRALHERIA'!E59</f>
        <v/>
      </c>
      <c r="BK41" s="89">
        <f>'SERRALHERIA'!E60</f>
        <v/>
      </c>
      <c r="BL41" s="89">
        <f>'SERRALHERIA'!E61</f>
        <v/>
      </c>
      <c r="BM41" s="89">
        <f>'SERRALHERIA'!E62</f>
        <v/>
      </c>
      <c r="BN41" s="89">
        <f>'SERRALHERIA'!E63</f>
        <v/>
      </c>
      <c r="BO41" s="89">
        <f>'SERRALHERIA'!E64</f>
        <v/>
      </c>
      <c r="BP41" s="89">
        <f>'SERRALHERIA'!E65</f>
        <v/>
      </c>
      <c r="BQ41" s="89">
        <f>'SERRALHERIA'!E66</f>
        <v/>
      </c>
      <c r="BR41" s="89">
        <f>'SERRALHERIA'!E67</f>
        <v/>
      </c>
      <c r="BS41" s="89">
        <f>'SERRALHERIA'!E68</f>
        <v/>
      </c>
      <c r="BT41" s="89">
        <f>'SERRALHERIA'!E69</f>
        <v/>
      </c>
      <c r="BU41" s="89">
        <f>'SERRALHERIA'!E70</f>
        <v/>
      </c>
      <c r="BV41" s="89">
        <f>'SERRALHERIA'!E71</f>
        <v/>
      </c>
      <c r="BW41" s="89">
        <f>'SERRALHERIA'!E72</f>
        <v/>
      </c>
      <c r="BX41" s="89">
        <f>'SERRALHERIA'!E73</f>
        <v/>
      </c>
      <c r="BY41" s="89">
        <f>'SERRALHERIA'!E74</f>
        <v/>
      </c>
      <c r="BZ41" s="89">
        <f>'SERRALHERIA'!E75</f>
        <v/>
      </c>
      <c r="CA41" s="89">
        <f>'SERRALHERIA'!E76</f>
        <v/>
      </c>
    </row>
    <row r="42">
      <c r="A42" s="59" t="inlineStr">
        <is>
          <t>G041.002</t>
        </is>
      </c>
      <c r="B42" s="59" t="inlineStr">
        <is>
          <t>1030-1070-150</t>
        </is>
      </c>
      <c r="C42" s="59" t="inlineStr">
        <is>
          <t>LIGAÇÕES PROVISÓRIAS AGUA, ENERGIA,TELEFONIA, ESGOTO</t>
        </is>
      </c>
      <c r="D42" s="62">
        <f>'LIG. PROVISÓRIAS'!$K$5</f>
        <v/>
      </c>
      <c r="E42" s="49">
        <f>SUM(H42:CA42)</f>
        <v/>
      </c>
      <c r="F42" s="49">
        <f>IF(D42="","",D42-E42)</f>
        <v/>
      </c>
      <c r="H42" s="89">
        <f>'LIG. PROVISÓRIAS'!E5</f>
        <v/>
      </c>
      <c r="I42" s="89">
        <f>'LIG. PROVISÓRIAS'!E6</f>
        <v/>
      </c>
      <c r="J42" s="89">
        <f>'LIG. PROVISÓRIAS'!E7</f>
        <v/>
      </c>
      <c r="K42" s="89">
        <f>'LIG. PROVISÓRIAS'!E8</f>
        <v/>
      </c>
      <c r="L42" s="89">
        <f>'LIG. PROVISÓRIAS'!E9</f>
        <v/>
      </c>
      <c r="M42" s="89">
        <f>'LIG. PROVISÓRIAS'!E10</f>
        <v/>
      </c>
      <c r="N42" s="89">
        <f>'LIG. PROVISÓRIAS'!E11</f>
        <v/>
      </c>
      <c r="O42" s="89">
        <f>'LIG. PROVISÓRIAS'!E12</f>
        <v/>
      </c>
      <c r="P42" s="89">
        <f>'LIG. PROVISÓRIAS'!E13</f>
        <v/>
      </c>
      <c r="Q42" s="89">
        <f>'LIG. PROVISÓRIAS'!E14</f>
        <v/>
      </c>
      <c r="R42" s="89">
        <f>'LIG. PROVISÓRIAS'!E15</f>
        <v/>
      </c>
      <c r="S42" s="89">
        <f>'LIG. PROVISÓRIAS'!E16</f>
        <v/>
      </c>
      <c r="T42" s="89">
        <f>'LIG. PROVISÓRIAS'!E17</f>
        <v/>
      </c>
      <c r="U42" s="89">
        <f>'LIG. PROVISÓRIAS'!E18</f>
        <v/>
      </c>
      <c r="V42" s="89">
        <f>'LIG. PROVISÓRIAS'!E19</f>
        <v/>
      </c>
      <c r="W42" s="89">
        <f>'LIG. PROVISÓRIAS'!E20</f>
        <v/>
      </c>
      <c r="X42" s="89">
        <f>'LIG. PROVISÓRIAS'!E21</f>
        <v/>
      </c>
      <c r="Y42" s="89">
        <f>'LIG. PROVISÓRIAS'!E22</f>
        <v/>
      </c>
      <c r="Z42" s="89">
        <f>'LIG. PROVISÓRIAS'!E23</f>
        <v/>
      </c>
      <c r="AA42" s="89">
        <f>'LIG. PROVISÓRIAS'!E24</f>
        <v/>
      </c>
      <c r="AB42" s="89">
        <f>'LIG. PROVISÓRIAS'!E25</f>
        <v/>
      </c>
      <c r="AC42" s="89">
        <f>'LIG. PROVISÓRIAS'!E26</f>
        <v/>
      </c>
      <c r="AD42" s="89">
        <f>'LIG. PROVISÓRIAS'!E27</f>
        <v/>
      </c>
      <c r="AE42" s="89">
        <f>'LIG. PROVISÓRIAS'!E28</f>
        <v/>
      </c>
      <c r="AF42" s="89">
        <f>'LIG. PROVISÓRIAS'!E29</f>
        <v/>
      </c>
      <c r="AG42" s="89">
        <f>'LIG. PROVISÓRIAS'!E30</f>
        <v/>
      </c>
      <c r="AH42" s="89">
        <f>'LIG. PROVISÓRIAS'!E31</f>
        <v/>
      </c>
      <c r="AI42" s="89">
        <f>'LIG. PROVISÓRIAS'!E32</f>
        <v/>
      </c>
      <c r="AJ42" s="89">
        <f>'LIG. PROVISÓRIAS'!E33</f>
        <v/>
      </c>
      <c r="AK42" s="89">
        <f>'LIG. PROVISÓRIAS'!E34</f>
        <v/>
      </c>
      <c r="AL42" s="89">
        <f>'LIG. PROVISÓRIAS'!E35</f>
        <v/>
      </c>
      <c r="AM42" s="89">
        <f>'LIG. PROVISÓRIAS'!E36</f>
        <v/>
      </c>
      <c r="AN42" s="89">
        <f>'LIG. PROVISÓRIAS'!E37</f>
        <v/>
      </c>
      <c r="AO42" s="89">
        <f>'LIG. PROVISÓRIAS'!E38</f>
        <v/>
      </c>
      <c r="AP42" s="89">
        <f>'LIG. PROVISÓRIAS'!E39</f>
        <v/>
      </c>
      <c r="AQ42" s="89">
        <f>'LIG. PROVISÓRIAS'!E40</f>
        <v/>
      </c>
      <c r="AR42" s="89">
        <f>'LIG. PROVISÓRIAS'!E41</f>
        <v/>
      </c>
      <c r="AS42" s="89">
        <f>'LIG. PROVISÓRIAS'!E42</f>
        <v/>
      </c>
      <c r="AT42" s="89">
        <f>'LIG. PROVISÓRIAS'!E43</f>
        <v/>
      </c>
      <c r="AU42" s="89">
        <f>'LIG. PROVISÓRIAS'!E44</f>
        <v/>
      </c>
      <c r="AV42" s="89">
        <f>'LIG. PROVISÓRIAS'!E45</f>
        <v/>
      </c>
      <c r="AW42" s="89">
        <f>'LIG. PROVISÓRIAS'!E46</f>
        <v/>
      </c>
      <c r="AX42" s="89">
        <f>'LIG. PROVISÓRIAS'!E47</f>
        <v/>
      </c>
      <c r="AY42" s="89">
        <f>'LIG. PROVISÓRIAS'!E48</f>
        <v/>
      </c>
      <c r="AZ42" s="89">
        <f>'LIG. PROVISÓRIAS'!E49</f>
        <v/>
      </c>
      <c r="BA42" s="89">
        <f>'LIG. PROVISÓRIAS'!E50</f>
        <v/>
      </c>
      <c r="BB42" s="89">
        <f>'LIG. PROVISÓRIAS'!E51</f>
        <v/>
      </c>
      <c r="BC42" s="89">
        <f>'LIG. PROVISÓRIAS'!E52</f>
        <v/>
      </c>
      <c r="BD42" s="89">
        <f>'LIG. PROVISÓRIAS'!E53</f>
        <v/>
      </c>
      <c r="BE42" s="89">
        <f>'LIG. PROVISÓRIAS'!E54</f>
        <v/>
      </c>
      <c r="BF42" s="89">
        <f>'LIG. PROVISÓRIAS'!E55</f>
        <v/>
      </c>
      <c r="BG42" s="89">
        <f>'LIG. PROVISÓRIAS'!E56</f>
        <v/>
      </c>
      <c r="BH42" s="89">
        <f>'LIG. PROVISÓRIAS'!E57</f>
        <v/>
      </c>
      <c r="BI42" s="89">
        <f>'LIG. PROVISÓRIAS'!E58</f>
        <v/>
      </c>
      <c r="BJ42" s="89">
        <f>'LIG. PROVISÓRIAS'!E59</f>
        <v/>
      </c>
      <c r="BK42" s="89">
        <f>'LIG. PROVISÓRIAS'!E60</f>
        <v/>
      </c>
      <c r="BL42" s="89">
        <f>'LIG. PROVISÓRIAS'!E61</f>
        <v/>
      </c>
      <c r="BM42" s="89">
        <f>'LIG. PROVISÓRIAS'!E62</f>
        <v/>
      </c>
      <c r="BN42" s="89">
        <f>'LIG. PROVISÓRIAS'!E63</f>
        <v/>
      </c>
      <c r="BO42" s="89">
        <f>'LIG. PROVISÓRIAS'!E64</f>
        <v/>
      </c>
      <c r="BP42" s="89">
        <f>'LIG. PROVISÓRIAS'!E65</f>
        <v/>
      </c>
      <c r="BQ42" s="89">
        <f>'LIG. PROVISÓRIAS'!E66</f>
        <v/>
      </c>
      <c r="BR42" s="89">
        <f>'LIG. PROVISÓRIAS'!E67</f>
        <v/>
      </c>
      <c r="BS42" s="89">
        <f>'LIG. PROVISÓRIAS'!E68</f>
        <v/>
      </c>
      <c r="BT42" s="89">
        <f>'LIG. PROVISÓRIAS'!E69</f>
        <v/>
      </c>
      <c r="BU42" s="89">
        <f>'LIG. PROVISÓRIAS'!E70</f>
        <v/>
      </c>
      <c r="BV42" s="89">
        <f>'LIG. PROVISÓRIAS'!E71</f>
        <v/>
      </c>
      <c r="BW42" s="89">
        <f>'LIG. PROVISÓRIAS'!E72</f>
        <v/>
      </c>
      <c r="BX42" s="89">
        <f>'LIG. PROVISÓRIAS'!E73</f>
        <v/>
      </c>
      <c r="BY42" s="89">
        <f>'LIG. PROVISÓRIAS'!E74</f>
        <v/>
      </c>
      <c r="BZ42" s="89">
        <f>'LIG. PROVISÓRIAS'!E75</f>
        <v/>
      </c>
      <c r="CA42" s="89">
        <f>'LIG. PROVISÓRIAS'!E76</f>
        <v/>
      </c>
    </row>
    <row r="43">
      <c r="A43" s="59" t="inlineStr">
        <is>
          <t>G041.002</t>
        </is>
      </c>
      <c r="B43" s="59" t="inlineStr">
        <is>
          <t>1030-1070-470</t>
        </is>
      </c>
      <c r="C43" s="59" t="inlineStr">
        <is>
          <t>TAXA DE ADMINISTRAÇÃO</t>
        </is>
      </c>
      <c r="D43" s="62">
        <f>'TAX. ADM'!$K$5</f>
        <v/>
      </c>
      <c r="E43" s="49">
        <f>SUM(H43:CA43)</f>
        <v/>
      </c>
      <c r="F43" s="49">
        <f>IF(D43="","",D43-E43)</f>
        <v/>
      </c>
      <c r="H43" s="89">
        <f>'TAX. ADM'!E5</f>
        <v/>
      </c>
      <c r="I43" s="89">
        <f>'TAX. ADM'!E6</f>
        <v/>
      </c>
      <c r="J43" s="89">
        <f>'TAX. ADM'!E7</f>
        <v/>
      </c>
      <c r="K43" s="89">
        <f>'TAX. ADM'!E8</f>
        <v/>
      </c>
      <c r="L43" s="89">
        <f>'TAX. ADM'!E9</f>
        <v/>
      </c>
      <c r="M43" s="89">
        <f>'TAX. ADM'!E10</f>
        <v/>
      </c>
      <c r="N43" s="89">
        <f>'TAX. ADM'!E11</f>
        <v/>
      </c>
      <c r="O43" s="89">
        <f>'TAX. ADM'!E12</f>
        <v/>
      </c>
      <c r="P43" s="89">
        <f>'TAX. ADM'!E13</f>
        <v/>
      </c>
      <c r="Q43" s="89">
        <f>'TAX. ADM'!E14</f>
        <v/>
      </c>
      <c r="R43" s="89">
        <f>'TAX. ADM'!E15</f>
        <v/>
      </c>
      <c r="S43" s="89">
        <f>'TAX. ADM'!E16</f>
        <v/>
      </c>
      <c r="T43" s="89">
        <f>'TAX. ADM'!E17</f>
        <v/>
      </c>
      <c r="U43" s="89">
        <f>'TAX. ADM'!E18</f>
        <v/>
      </c>
      <c r="V43" s="89">
        <f>'TAX. ADM'!E19</f>
        <v/>
      </c>
      <c r="W43" s="89">
        <f>'TAX. ADM'!E20</f>
        <v/>
      </c>
      <c r="X43" s="89">
        <f>'TAX. ADM'!E21</f>
        <v/>
      </c>
      <c r="Y43" s="89">
        <f>'TAX. ADM'!E22</f>
        <v/>
      </c>
      <c r="Z43" s="89">
        <f>'TAX. ADM'!E23</f>
        <v/>
      </c>
      <c r="AA43" s="89">
        <f>'TAX. ADM'!E24</f>
        <v/>
      </c>
      <c r="AB43" s="89">
        <f>'TAX. ADM'!E25</f>
        <v/>
      </c>
      <c r="AC43" s="89">
        <f>'TAX. ADM'!E26</f>
        <v/>
      </c>
      <c r="AD43" s="89">
        <f>'TAX. ADM'!E27</f>
        <v/>
      </c>
      <c r="AE43" s="89">
        <f>'TAX. ADM'!E28</f>
        <v/>
      </c>
      <c r="AF43" s="89">
        <f>'TAX. ADM'!E29</f>
        <v/>
      </c>
      <c r="AG43" s="89">
        <f>'TAX. ADM'!E30</f>
        <v/>
      </c>
      <c r="AH43" s="89">
        <f>'TAX. ADM'!E31</f>
        <v/>
      </c>
      <c r="AI43" s="89">
        <f>'TAX. ADM'!E32</f>
        <v/>
      </c>
      <c r="AJ43" s="89">
        <f>'TAX. ADM'!E33</f>
        <v/>
      </c>
      <c r="AK43" s="89">
        <f>'TAX. ADM'!E34</f>
        <v/>
      </c>
      <c r="AL43" s="89">
        <f>'TAX. ADM'!E35</f>
        <v/>
      </c>
      <c r="AM43" s="89">
        <f>'TAX. ADM'!E36</f>
        <v/>
      </c>
      <c r="AN43" s="89">
        <f>'TAX. ADM'!E37</f>
        <v/>
      </c>
      <c r="AO43" s="89">
        <f>'TAX. ADM'!E38</f>
        <v/>
      </c>
      <c r="AP43" s="89">
        <f>'TAX. ADM'!E39</f>
        <v/>
      </c>
      <c r="AQ43" s="89">
        <f>'TAX. ADM'!E40</f>
        <v/>
      </c>
      <c r="AR43" s="89">
        <f>'TAX. ADM'!E41</f>
        <v/>
      </c>
      <c r="AS43" s="89">
        <f>'TAX. ADM'!E42</f>
        <v/>
      </c>
      <c r="AT43" s="89">
        <f>'TAX. ADM'!E43</f>
        <v/>
      </c>
      <c r="AU43" s="89">
        <f>'TAX. ADM'!E44</f>
        <v/>
      </c>
      <c r="AV43" s="89">
        <f>'TAX. ADM'!E45</f>
        <v/>
      </c>
      <c r="AW43" s="89">
        <f>'TAX. ADM'!E46</f>
        <v/>
      </c>
      <c r="AX43" s="89">
        <f>'TAX. ADM'!E47</f>
        <v/>
      </c>
      <c r="AY43" s="89">
        <f>'TAX. ADM'!E48</f>
        <v/>
      </c>
      <c r="AZ43" s="89">
        <f>'TAX. ADM'!E49</f>
        <v/>
      </c>
      <c r="BA43" s="89">
        <f>'TAX. ADM'!E50</f>
        <v/>
      </c>
      <c r="BB43" s="89">
        <f>'TAX. ADM'!E51</f>
        <v/>
      </c>
      <c r="BC43" s="89">
        <f>'TAX. ADM'!E52</f>
        <v/>
      </c>
      <c r="BD43" s="89">
        <f>'TAX. ADM'!E53</f>
        <v/>
      </c>
      <c r="BE43" s="89">
        <f>'TAX. ADM'!E54</f>
        <v/>
      </c>
      <c r="BF43" s="89">
        <f>'TAX. ADM'!E55</f>
        <v/>
      </c>
      <c r="BG43" s="89">
        <f>'TAX. ADM'!E56</f>
        <v/>
      </c>
      <c r="BH43" s="89">
        <f>'TAX. ADM'!E57</f>
        <v/>
      </c>
      <c r="BI43" s="89">
        <f>'TAX. ADM'!E58</f>
        <v/>
      </c>
      <c r="BJ43" s="89">
        <f>'TAX. ADM'!E59</f>
        <v/>
      </c>
      <c r="BK43" s="89">
        <f>'TAX. ADM'!E60</f>
        <v/>
      </c>
      <c r="BL43" s="89">
        <f>'TAX. ADM'!E61</f>
        <v/>
      </c>
      <c r="BM43" s="89">
        <f>'TAX. ADM'!E62</f>
        <v/>
      </c>
      <c r="BN43" s="89">
        <f>'TAX. ADM'!E63</f>
        <v/>
      </c>
      <c r="BO43" s="89">
        <f>'TAX. ADM'!E64</f>
        <v/>
      </c>
      <c r="BP43" s="89">
        <f>'TAX. ADM'!E65</f>
        <v/>
      </c>
      <c r="BQ43" s="89">
        <f>'TAX. ADM'!E66</f>
        <v/>
      </c>
      <c r="BR43" s="89">
        <f>'TAX. ADM'!E67</f>
        <v/>
      </c>
      <c r="BS43" s="89">
        <f>'TAX. ADM'!E68</f>
        <v/>
      </c>
      <c r="BT43" s="89">
        <f>'TAX. ADM'!E69</f>
        <v/>
      </c>
      <c r="BU43" s="89">
        <f>'TAX. ADM'!E70</f>
        <v/>
      </c>
      <c r="BV43" s="89">
        <f>'TAX. ADM'!E71</f>
        <v/>
      </c>
      <c r="BW43" s="89">
        <f>'TAX. ADM'!E72</f>
        <v/>
      </c>
      <c r="BX43" s="89">
        <f>'TAX. ADM'!E73</f>
        <v/>
      </c>
      <c r="BY43" s="89">
        <f>'TAX. ADM'!E74</f>
        <v/>
      </c>
      <c r="BZ43" s="89">
        <f>'TAX. ADM'!E75</f>
        <v/>
      </c>
      <c r="CA43" s="89">
        <f>'TAX. ADM'!E76</f>
        <v/>
      </c>
    </row>
    <row r="44">
      <c r="A44" s="59" t="inlineStr">
        <is>
          <t>G041.002</t>
        </is>
      </c>
      <c r="B44" s="59" t="inlineStr">
        <is>
          <t>1030-1070-180</t>
        </is>
      </c>
      <c r="C44" s="59" t="inlineStr">
        <is>
          <t>TERRAPLENAGEM</t>
        </is>
      </c>
      <c r="D44" s="62">
        <f>'TERRAPLENAGEM'!$K$5</f>
        <v/>
      </c>
      <c r="E44" s="49">
        <f>SUM(H44:CA44)</f>
        <v/>
      </c>
      <c r="F44" s="49">
        <f>IF(D44="","",D44-E44)</f>
        <v/>
      </c>
      <c r="H44" s="89">
        <f>'TERRAPLENAGEM'!E5</f>
        <v/>
      </c>
      <c r="I44" s="89">
        <f>'TERRAPLENAGEM'!E6</f>
        <v/>
      </c>
      <c r="J44" s="89">
        <f>'TERRAPLENAGEM'!E7</f>
        <v/>
      </c>
      <c r="K44" s="89">
        <f>'TERRAPLENAGEM'!E8</f>
        <v/>
      </c>
      <c r="L44" s="89">
        <f>'TERRAPLENAGEM'!E9</f>
        <v/>
      </c>
      <c r="M44" s="89">
        <f>'TERRAPLENAGEM'!E10</f>
        <v/>
      </c>
      <c r="N44" s="89">
        <f>'TERRAPLENAGEM'!E11</f>
        <v/>
      </c>
      <c r="O44" s="89">
        <f>'TERRAPLENAGEM'!E12</f>
        <v/>
      </c>
      <c r="P44" s="89">
        <f>'TERRAPLENAGEM'!E13</f>
        <v/>
      </c>
      <c r="Q44" s="89">
        <f>'TERRAPLENAGEM'!E14</f>
        <v/>
      </c>
      <c r="R44" s="89">
        <f>'TERRAPLENAGEM'!E15</f>
        <v/>
      </c>
      <c r="S44" s="89">
        <f>'TERRAPLENAGEM'!E16</f>
        <v/>
      </c>
      <c r="T44" s="89">
        <f>'TERRAPLENAGEM'!E17</f>
        <v/>
      </c>
      <c r="U44" s="89">
        <f>'TERRAPLENAGEM'!E18</f>
        <v/>
      </c>
      <c r="V44" s="89">
        <f>'TERRAPLENAGEM'!E19</f>
        <v/>
      </c>
      <c r="W44" s="89">
        <f>'TERRAPLENAGEM'!E20</f>
        <v/>
      </c>
      <c r="X44" s="89">
        <f>'TERRAPLENAGEM'!E21</f>
        <v/>
      </c>
      <c r="Y44" s="89">
        <f>'TERRAPLENAGEM'!E22</f>
        <v/>
      </c>
      <c r="Z44" s="89">
        <f>'TERRAPLENAGEM'!E23</f>
        <v/>
      </c>
      <c r="AA44" s="89">
        <f>'TERRAPLENAGEM'!E24</f>
        <v/>
      </c>
      <c r="AB44" s="89">
        <f>'TERRAPLENAGEM'!E25</f>
        <v/>
      </c>
      <c r="AC44" s="89">
        <f>'TERRAPLENAGEM'!E26</f>
        <v/>
      </c>
      <c r="AD44" s="89">
        <f>'TERRAPLENAGEM'!E27</f>
        <v/>
      </c>
      <c r="AE44" s="89">
        <f>'TERRAPLENAGEM'!E28</f>
        <v/>
      </c>
      <c r="AF44" s="89">
        <f>'TERRAPLENAGEM'!E29</f>
        <v/>
      </c>
      <c r="AG44" s="89">
        <f>'TERRAPLENAGEM'!E30</f>
        <v/>
      </c>
      <c r="AH44" s="89">
        <f>'TERRAPLENAGEM'!E31</f>
        <v/>
      </c>
      <c r="AI44" s="89">
        <f>'TERRAPLENAGEM'!E32</f>
        <v/>
      </c>
      <c r="AJ44" s="89">
        <f>'TERRAPLENAGEM'!E33</f>
        <v/>
      </c>
      <c r="AK44" s="89">
        <f>'TERRAPLENAGEM'!E34</f>
        <v/>
      </c>
      <c r="AL44" s="89">
        <f>'TERRAPLENAGEM'!E35</f>
        <v/>
      </c>
      <c r="AM44" s="89">
        <f>'TERRAPLENAGEM'!E36</f>
        <v/>
      </c>
      <c r="AN44" s="89">
        <f>'TERRAPLENAGEM'!E37</f>
        <v/>
      </c>
      <c r="AO44" s="89">
        <f>'TERRAPLENAGEM'!E38</f>
        <v/>
      </c>
      <c r="AP44" s="89">
        <f>'TERRAPLENAGEM'!E39</f>
        <v/>
      </c>
      <c r="AQ44" s="89">
        <f>'TERRAPLENAGEM'!E40</f>
        <v/>
      </c>
      <c r="AR44" s="89">
        <f>'TERRAPLENAGEM'!E41</f>
        <v/>
      </c>
      <c r="AS44" s="89">
        <f>'TERRAPLENAGEM'!E42</f>
        <v/>
      </c>
      <c r="AT44" s="89">
        <f>'TERRAPLENAGEM'!E43</f>
        <v/>
      </c>
      <c r="AU44" s="89">
        <f>'TERRAPLENAGEM'!E44</f>
        <v/>
      </c>
      <c r="AV44" s="89">
        <f>'TERRAPLENAGEM'!E45</f>
        <v/>
      </c>
      <c r="AW44" s="89">
        <f>'TERRAPLENAGEM'!E46</f>
        <v/>
      </c>
      <c r="AX44" s="89">
        <f>'TERRAPLENAGEM'!E47</f>
        <v/>
      </c>
      <c r="AY44" s="89">
        <f>'TERRAPLENAGEM'!E48</f>
        <v/>
      </c>
      <c r="AZ44" s="89">
        <f>'TERRAPLENAGEM'!E49</f>
        <v/>
      </c>
      <c r="BA44" s="89">
        <f>'TERRAPLENAGEM'!E50</f>
        <v/>
      </c>
      <c r="BB44" s="89">
        <f>'TERRAPLENAGEM'!E51</f>
        <v/>
      </c>
      <c r="BC44" s="89">
        <f>'TERRAPLENAGEM'!E52</f>
        <v/>
      </c>
      <c r="BD44" s="89">
        <f>'TERRAPLENAGEM'!E53</f>
        <v/>
      </c>
      <c r="BE44" s="89">
        <f>'TERRAPLENAGEM'!E54</f>
        <v/>
      </c>
      <c r="BF44" s="89">
        <f>'TERRAPLENAGEM'!E55</f>
        <v/>
      </c>
      <c r="BG44" s="89">
        <f>'TERRAPLENAGEM'!E56</f>
        <v/>
      </c>
      <c r="BH44" s="89">
        <f>'TERRAPLENAGEM'!E57</f>
        <v/>
      </c>
      <c r="BI44" s="89">
        <f>'TERRAPLENAGEM'!E58</f>
        <v/>
      </c>
      <c r="BJ44" s="89">
        <f>'TERRAPLENAGEM'!E59</f>
        <v/>
      </c>
      <c r="BK44" s="89">
        <f>'TERRAPLENAGEM'!E60</f>
        <v/>
      </c>
      <c r="BL44" s="89">
        <f>'TERRAPLENAGEM'!E61</f>
        <v/>
      </c>
      <c r="BM44" s="89">
        <f>'TERRAPLENAGEM'!E62</f>
        <v/>
      </c>
      <c r="BN44" s="89">
        <f>'TERRAPLENAGEM'!E63</f>
        <v/>
      </c>
      <c r="BO44" s="89">
        <f>'TERRAPLENAGEM'!E64</f>
        <v/>
      </c>
      <c r="BP44" s="89">
        <f>'TERRAPLENAGEM'!E65</f>
        <v/>
      </c>
      <c r="BQ44" s="89">
        <f>'TERRAPLENAGEM'!E66</f>
        <v/>
      </c>
      <c r="BR44" s="89">
        <f>'TERRAPLENAGEM'!E67</f>
        <v/>
      </c>
      <c r="BS44" s="89">
        <f>'TERRAPLENAGEM'!E68</f>
        <v/>
      </c>
      <c r="BT44" s="89">
        <f>'TERRAPLENAGEM'!E69</f>
        <v/>
      </c>
      <c r="BU44" s="89">
        <f>'TERRAPLENAGEM'!E70</f>
        <v/>
      </c>
      <c r="BV44" s="89">
        <f>'TERRAPLENAGEM'!E71</f>
        <v/>
      </c>
      <c r="BW44" s="89">
        <f>'TERRAPLENAGEM'!E72</f>
        <v/>
      </c>
      <c r="BX44" s="89">
        <f>'TERRAPLENAGEM'!E73</f>
        <v/>
      </c>
      <c r="BY44" s="89">
        <f>'TERRAPLENAGEM'!E74</f>
        <v/>
      </c>
      <c r="BZ44" s="89">
        <f>'TERRAPLENAGEM'!E75</f>
        <v/>
      </c>
      <c r="CA44" s="89">
        <f>'TERRAPLENAGEM'!E76</f>
        <v/>
      </c>
    </row>
    <row r="45">
      <c r="A45" s="59" t="inlineStr">
        <is>
          <t>G041.002</t>
        </is>
      </c>
      <c r="B45" s="59" t="inlineStr">
        <is>
          <t>1030-1070-600</t>
        </is>
      </c>
      <c r="C45" s="59" t="inlineStr">
        <is>
          <t>TOPOGRAFIA</t>
        </is>
      </c>
      <c r="E45" s="49">
        <f>SUM(H45:CA45)</f>
        <v/>
      </c>
      <c r="F45" s="49">
        <f>IF(D45="","",D45-E45)</f>
        <v/>
      </c>
    </row>
    <row r="46">
      <c r="A46" s="59" t="inlineStr">
        <is>
          <t>G041.002</t>
        </is>
      </c>
      <c r="B46" s="59" t="inlineStr">
        <is>
          <t>1030-1070-460</t>
        </is>
      </c>
      <c r="C46" s="59" t="inlineStr">
        <is>
          <t>TRANSPORTES</t>
        </is>
      </c>
      <c r="D46" s="62">
        <f>'TRANSPORTES'!$K$5</f>
        <v/>
      </c>
      <c r="E46" s="49">
        <f>SUM(H46:CA46)</f>
        <v/>
      </c>
      <c r="F46" s="49">
        <f>IF(D46="","",D46-E46)</f>
        <v/>
      </c>
      <c r="H46" s="89">
        <f>'TRANSPORTES'!E5</f>
        <v/>
      </c>
      <c r="I46" s="89">
        <f>'TRANSPORTES'!E6</f>
        <v/>
      </c>
      <c r="J46" s="89">
        <f>'TRANSPORTES'!E7</f>
        <v/>
      </c>
      <c r="K46" s="89">
        <f>'TRANSPORTES'!E8</f>
        <v/>
      </c>
      <c r="L46" s="89">
        <f>'TRANSPORTES'!E9</f>
        <v/>
      </c>
      <c r="M46" s="89">
        <f>'TRANSPORTES'!E10</f>
        <v/>
      </c>
      <c r="N46" s="89">
        <f>'TRANSPORTES'!E11</f>
        <v/>
      </c>
      <c r="O46" s="89">
        <f>'TRANSPORTES'!E12</f>
        <v/>
      </c>
      <c r="P46" s="89">
        <f>'TRANSPORTES'!E13</f>
        <v/>
      </c>
      <c r="Q46" s="89">
        <f>'TRANSPORTES'!E14</f>
        <v/>
      </c>
      <c r="R46" s="89">
        <f>'TRANSPORTES'!E15</f>
        <v/>
      </c>
      <c r="S46" s="89">
        <f>'TRANSPORTES'!E16</f>
        <v/>
      </c>
      <c r="T46" s="89">
        <f>'TRANSPORTES'!E17</f>
        <v/>
      </c>
      <c r="U46" s="89">
        <f>'TRANSPORTES'!E18</f>
        <v/>
      </c>
      <c r="V46" s="89">
        <f>'TRANSPORTES'!E19</f>
        <v/>
      </c>
      <c r="W46" s="89">
        <f>'TRANSPORTES'!E20</f>
        <v/>
      </c>
      <c r="X46" s="89">
        <f>'TRANSPORTES'!E21</f>
        <v/>
      </c>
      <c r="Y46" s="89">
        <f>'TRANSPORTES'!E22</f>
        <v/>
      </c>
      <c r="Z46" s="89">
        <f>'TRANSPORTES'!E23</f>
        <v/>
      </c>
      <c r="AA46" s="89">
        <f>'TRANSPORTES'!E24</f>
        <v/>
      </c>
      <c r="AB46" s="89">
        <f>'TRANSPORTES'!E25</f>
        <v/>
      </c>
      <c r="AC46" s="89">
        <f>'TRANSPORTES'!E26</f>
        <v/>
      </c>
      <c r="AD46" s="89">
        <f>'TRANSPORTES'!E27</f>
        <v/>
      </c>
      <c r="AE46" s="89">
        <f>'TRANSPORTES'!E28</f>
        <v/>
      </c>
      <c r="AF46" s="89">
        <f>'TRANSPORTES'!E29</f>
        <v/>
      </c>
      <c r="AG46" s="89">
        <f>'TRANSPORTES'!E30</f>
        <v/>
      </c>
      <c r="AH46" s="89">
        <f>'TRANSPORTES'!E31</f>
        <v/>
      </c>
      <c r="AI46" s="89">
        <f>'TRANSPORTES'!E32</f>
        <v/>
      </c>
      <c r="AJ46" s="89">
        <f>'TRANSPORTES'!E33</f>
        <v/>
      </c>
      <c r="AK46" s="89">
        <f>'TRANSPORTES'!E34</f>
        <v/>
      </c>
      <c r="AL46" s="89">
        <f>'TRANSPORTES'!E35</f>
        <v/>
      </c>
      <c r="AM46" s="89">
        <f>'TRANSPORTES'!E36</f>
        <v/>
      </c>
      <c r="AN46" s="89">
        <f>'TRANSPORTES'!E37</f>
        <v/>
      </c>
      <c r="AO46" s="89">
        <f>'TRANSPORTES'!E38</f>
        <v/>
      </c>
      <c r="AP46" s="89">
        <f>'TRANSPORTES'!E39</f>
        <v/>
      </c>
      <c r="AQ46" s="89">
        <f>'TRANSPORTES'!E40</f>
        <v/>
      </c>
      <c r="AR46" s="89">
        <f>'TRANSPORTES'!E41</f>
        <v/>
      </c>
      <c r="AS46" s="89">
        <f>'TRANSPORTES'!E42</f>
        <v/>
      </c>
      <c r="AT46" s="89">
        <f>'TRANSPORTES'!E43</f>
        <v/>
      </c>
      <c r="AU46" s="89">
        <f>'TRANSPORTES'!E44</f>
        <v/>
      </c>
      <c r="AV46" s="89">
        <f>'TRANSPORTES'!E45</f>
        <v/>
      </c>
      <c r="AW46" s="89">
        <f>'TRANSPORTES'!E46</f>
        <v/>
      </c>
      <c r="AX46" s="89">
        <f>'TRANSPORTES'!E47</f>
        <v/>
      </c>
      <c r="AY46" s="89">
        <f>'TRANSPORTES'!E48</f>
        <v/>
      </c>
      <c r="AZ46" s="89">
        <f>'TRANSPORTES'!E49</f>
        <v/>
      </c>
      <c r="BA46" s="89">
        <f>'TRANSPORTES'!E50</f>
        <v/>
      </c>
      <c r="BB46" s="89">
        <f>'TRANSPORTES'!E51</f>
        <v/>
      </c>
      <c r="BC46" s="89">
        <f>'TRANSPORTES'!E52</f>
        <v/>
      </c>
      <c r="BD46" s="89">
        <f>'TRANSPORTES'!E53</f>
        <v/>
      </c>
      <c r="BE46" s="89">
        <f>'TRANSPORTES'!E54</f>
        <v/>
      </c>
      <c r="BF46" s="89">
        <f>'TRANSPORTES'!E55</f>
        <v/>
      </c>
      <c r="BG46" s="89">
        <f>'TRANSPORTES'!E56</f>
        <v/>
      </c>
      <c r="BH46" s="89">
        <f>'TRANSPORTES'!E57</f>
        <v/>
      </c>
      <c r="BI46" s="89">
        <f>'TRANSPORTES'!E58</f>
        <v/>
      </c>
      <c r="BJ46" s="89">
        <f>'TRANSPORTES'!E59</f>
        <v/>
      </c>
      <c r="BK46" s="89">
        <f>'TRANSPORTES'!E60</f>
        <v/>
      </c>
      <c r="BL46" s="89">
        <f>'TRANSPORTES'!E61</f>
        <v/>
      </c>
      <c r="BM46" s="89">
        <f>'TRANSPORTES'!E62</f>
        <v/>
      </c>
      <c r="BN46" s="89">
        <f>'TRANSPORTES'!E63</f>
        <v/>
      </c>
      <c r="BO46" s="89">
        <f>'TRANSPORTES'!E64</f>
        <v/>
      </c>
      <c r="BP46" s="89">
        <f>'TRANSPORTES'!E65</f>
        <v/>
      </c>
      <c r="BQ46" s="89">
        <f>'TRANSPORTES'!E66</f>
        <v/>
      </c>
      <c r="BR46" s="89">
        <f>'TRANSPORTES'!E67</f>
        <v/>
      </c>
      <c r="BS46" s="89">
        <f>'TRANSPORTES'!E68</f>
        <v/>
      </c>
      <c r="BT46" s="89">
        <f>'TRANSPORTES'!E69</f>
        <v/>
      </c>
      <c r="BU46" s="89">
        <f>'TRANSPORTES'!E70</f>
        <v/>
      </c>
      <c r="BV46" s="89">
        <f>'TRANSPORTES'!E71</f>
        <v/>
      </c>
      <c r="BW46" s="89">
        <f>'TRANSPORTES'!E72</f>
        <v/>
      </c>
      <c r="BX46" s="89">
        <f>'TRANSPORTES'!E73</f>
        <v/>
      </c>
      <c r="BY46" s="89">
        <f>'TRANSPORTES'!E74</f>
        <v/>
      </c>
      <c r="BZ46" s="89">
        <f>'TRANSPORTES'!E75</f>
        <v/>
      </c>
      <c r="CA46" s="89">
        <f>'TRANSPORTES'!E76</f>
        <v/>
      </c>
    </row>
    <row r="47">
      <c r="A47" s="59" t="inlineStr">
        <is>
          <t>G041.002</t>
        </is>
      </c>
      <c r="B47" s="59" t="inlineStr">
        <is>
          <t>1030-1070-480</t>
        </is>
      </c>
      <c r="C47" s="59" t="inlineStr">
        <is>
          <t>ESTRUTURA EM COBERTURA METÁLICA</t>
        </is>
      </c>
      <c r="E47" s="49">
        <f>SUM(H47:CA47)</f>
        <v/>
      </c>
      <c r="F47" s="49">
        <f>IF(D47="","",D47-E47)</f>
        <v/>
      </c>
    </row>
    <row r="48">
      <c r="A48" s="59" t="inlineStr">
        <is>
          <t>G041.002</t>
        </is>
      </c>
      <c r="B48" s="59" t="inlineStr">
        <is>
          <t>1030-1070-500</t>
        </is>
      </c>
      <c r="C48" s="59" t="inlineStr">
        <is>
          <t>REFORÇO ESTRUTURAL</t>
        </is>
      </c>
      <c r="E48" s="49">
        <f>SUM(H48:CA48)</f>
        <v/>
      </c>
      <c r="F48" s="49">
        <f>IF(D48="","",D48-E48)</f>
        <v/>
      </c>
    </row>
    <row r="49">
      <c r="A49" s="59" t="inlineStr">
        <is>
          <t>G041.002</t>
        </is>
      </c>
      <c r="B49" s="59" t="inlineStr">
        <is>
          <t>1030-1070-530</t>
        </is>
      </c>
      <c r="C49" s="59" t="inlineStr">
        <is>
          <t>MÃO DE OBRA PRÓPRIA</t>
        </is>
      </c>
      <c r="D49" s="62">
        <f>'MDO'!$K$5</f>
        <v/>
      </c>
      <c r="E49" s="49">
        <f>SUM(H49:CA49)</f>
        <v/>
      </c>
      <c r="F49" s="49">
        <f>IF(D49="","",D49-E49)</f>
        <v/>
      </c>
      <c r="H49" s="89">
        <f>'MDO'!E5</f>
        <v/>
      </c>
      <c r="I49" s="89">
        <f>'MDO'!E6</f>
        <v/>
      </c>
      <c r="J49" s="89">
        <f>'MDO'!E7</f>
        <v/>
      </c>
      <c r="K49" s="89">
        <f>'MDO'!E8</f>
        <v/>
      </c>
      <c r="L49" s="89">
        <f>'MDO'!E9</f>
        <v/>
      </c>
      <c r="M49" s="89">
        <f>'MDO'!E10</f>
        <v/>
      </c>
      <c r="N49" s="89">
        <f>'MDO'!E11</f>
        <v/>
      </c>
      <c r="O49" s="89">
        <f>'MDO'!E12</f>
        <v/>
      </c>
      <c r="P49" s="89">
        <f>'MDO'!E13</f>
        <v/>
      </c>
      <c r="Q49" s="89">
        <f>'MDO'!E14</f>
        <v/>
      </c>
      <c r="R49" s="89">
        <f>'MDO'!E15</f>
        <v/>
      </c>
      <c r="S49" s="89">
        <f>'MDO'!E16</f>
        <v/>
      </c>
      <c r="T49" s="89">
        <f>'MDO'!E17</f>
        <v/>
      </c>
      <c r="U49" s="89">
        <f>'MDO'!E18</f>
        <v/>
      </c>
      <c r="V49" s="89">
        <f>'MDO'!E19</f>
        <v/>
      </c>
      <c r="W49" s="89">
        <f>'MDO'!E20</f>
        <v/>
      </c>
      <c r="X49" s="89">
        <f>'MDO'!E21</f>
        <v/>
      </c>
      <c r="Y49" s="89">
        <f>'MDO'!E22</f>
        <v/>
      </c>
      <c r="Z49" s="89">
        <f>'MDO'!E23</f>
        <v/>
      </c>
      <c r="AA49" s="89">
        <f>'MDO'!E24</f>
        <v/>
      </c>
      <c r="AB49" s="89">
        <f>'MDO'!E25</f>
        <v/>
      </c>
      <c r="AC49" s="89">
        <f>'MDO'!E26</f>
        <v/>
      </c>
      <c r="AD49" s="89">
        <f>'MDO'!E27</f>
        <v/>
      </c>
      <c r="AE49" s="89">
        <f>'MDO'!E28</f>
        <v/>
      </c>
      <c r="AF49" s="89">
        <f>'MDO'!E29</f>
        <v/>
      </c>
      <c r="AG49" s="89">
        <f>'MDO'!E30</f>
        <v/>
      </c>
      <c r="AH49" s="89">
        <f>'MDO'!E31</f>
        <v/>
      </c>
      <c r="AI49" s="89">
        <f>'MDO'!E32</f>
        <v/>
      </c>
      <c r="AJ49" s="89">
        <f>'MDO'!E33</f>
        <v/>
      </c>
      <c r="AK49" s="89">
        <f>'MDO'!E34</f>
        <v/>
      </c>
      <c r="AL49" s="89">
        <f>'MDO'!E35</f>
        <v/>
      </c>
      <c r="AM49" s="89">
        <f>'MDO'!E36</f>
        <v/>
      </c>
      <c r="AN49" s="89">
        <f>'MDO'!E37</f>
        <v/>
      </c>
      <c r="AO49" s="89">
        <f>'MDO'!E38</f>
        <v/>
      </c>
      <c r="AP49" s="89">
        <f>'MDO'!E39</f>
        <v/>
      </c>
      <c r="AQ49" s="89">
        <f>'MDO'!E40</f>
        <v/>
      </c>
      <c r="AR49" s="89">
        <f>'MDO'!E41</f>
        <v/>
      </c>
      <c r="AS49" s="89">
        <f>'MDO'!E42</f>
        <v/>
      </c>
      <c r="AT49" s="89">
        <f>'MDO'!E43</f>
        <v/>
      </c>
      <c r="AU49" s="89">
        <f>'MDO'!E44</f>
        <v/>
      </c>
      <c r="AV49" s="89">
        <f>'MDO'!E45</f>
        <v/>
      </c>
      <c r="AW49" s="89">
        <f>'MDO'!E46</f>
        <v/>
      </c>
      <c r="AX49" s="89">
        <f>'MDO'!E47</f>
        <v/>
      </c>
      <c r="AY49" s="89">
        <f>'MDO'!E48</f>
        <v/>
      </c>
      <c r="AZ49" s="89">
        <f>'MDO'!E49</f>
        <v/>
      </c>
      <c r="BA49" s="89">
        <f>'MDO'!E50</f>
        <v/>
      </c>
      <c r="BB49" s="89">
        <f>'MDO'!E51</f>
        <v/>
      </c>
      <c r="BC49" s="89">
        <f>'MDO'!E52</f>
        <v/>
      </c>
      <c r="BD49" s="89">
        <f>'MDO'!E53</f>
        <v/>
      </c>
      <c r="BE49" s="89">
        <f>'MDO'!E54</f>
        <v/>
      </c>
      <c r="BF49" s="89">
        <f>'MDO'!E55</f>
        <v/>
      </c>
      <c r="BG49" s="89">
        <f>'MDO'!E56</f>
        <v/>
      </c>
      <c r="BH49" s="89">
        <f>'MDO'!E57</f>
        <v/>
      </c>
      <c r="BI49" s="89">
        <f>'MDO'!E58</f>
        <v/>
      </c>
      <c r="BJ49" s="89">
        <f>'MDO'!E59</f>
        <v/>
      </c>
      <c r="BK49" s="89">
        <f>'MDO'!E60</f>
        <v/>
      </c>
      <c r="BL49" s="89">
        <f>'MDO'!E61</f>
        <v/>
      </c>
      <c r="BM49" s="89">
        <f>'MDO'!E62</f>
        <v/>
      </c>
      <c r="BN49" s="89">
        <f>'MDO'!E63</f>
        <v/>
      </c>
      <c r="BO49" s="89">
        <f>'MDO'!E64</f>
        <v/>
      </c>
      <c r="BP49" s="89">
        <f>'MDO'!E65</f>
        <v/>
      </c>
      <c r="BQ49" s="89">
        <f>'MDO'!E66</f>
        <v/>
      </c>
      <c r="BR49" s="89">
        <f>'MDO'!E67</f>
        <v/>
      </c>
      <c r="BS49" s="89">
        <f>'MDO'!E68</f>
        <v/>
      </c>
      <c r="BT49" s="89">
        <f>'MDO'!E69</f>
        <v/>
      </c>
      <c r="BU49" s="89">
        <f>'MDO'!E70</f>
        <v/>
      </c>
      <c r="BV49" s="89">
        <f>'MDO'!E71</f>
        <v/>
      </c>
      <c r="BW49" s="89">
        <f>'MDO'!E72</f>
        <v/>
      </c>
      <c r="BX49" s="89">
        <f>'MDO'!E73</f>
        <v/>
      </c>
      <c r="BY49" s="89">
        <f>'MDO'!E74</f>
        <v/>
      </c>
      <c r="BZ49" s="89">
        <f>'MDO'!E75</f>
        <v/>
      </c>
      <c r="CA49" s="89">
        <f>'MDO'!E76</f>
        <v/>
      </c>
    </row>
    <row r="50">
      <c r="A50" s="59" t="inlineStr">
        <is>
          <t>G041.002</t>
        </is>
      </c>
      <c r="B50" s="59" t="inlineStr">
        <is>
          <t>1030-1070-120</t>
        </is>
      </c>
      <c r="C50" s="59" t="inlineStr">
        <is>
          <t>TAXAS DIVERSAS</t>
        </is>
      </c>
      <c r="D50" s="62">
        <f>'TAX. DIVERSAS'!$K$5</f>
        <v/>
      </c>
      <c r="E50" s="49">
        <f>SUM(H50:CA50)</f>
        <v/>
      </c>
      <c r="F50" s="49">
        <f>IF(D50="","",D50-E50)</f>
        <v/>
      </c>
      <c r="H50" s="89">
        <f>'TAX. DIVERSAS'!E5</f>
        <v/>
      </c>
      <c r="I50" s="89">
        <f>'TAX. DIVERSAS'!E6</f>
        <v/>
      </c>
      <c r="J50" s="89">
        <f>'TAX. DIVERSAS'!E7</f>
        <v/>
      </c>
      <c r="K50" s="89">
        <f>'TAX. DIVERSAS'!E8</f>
        <v/>
      </c>
      <c r="L50" s="89">
        <f>'TAX. DIVERSAS'!E9</f>
        <v/>
      </c>
      <c r="M50" s="89">
        <f>'TAX. DIVERSAS'!E10</f>
        <v/>
      </c>
      <c r="N50" s="89">
        <f>'TAX. DIVERSAS'!E11</f>
        <v/>
      </c>
      <c r="O50" s="89">
        <f>'TAX. DIVERSAS'!E12</f>
        <v/>
      </c>
      <c r="P50" s="89">
        <f>'TAX. DIVERSAS'!E13</f>
        <v/>
      </c>
      <c r="Q50" s="89">
        <f>'TAX. DIVERSAS'!E14</f>
        <v/>
      </c>
      <c r="R50" s="89">
        <f>'TAX. DIVERSAS'!E15</f>
        <v/>
      </c>
      <c r="S50" s="89">
        <f>'TAX. DIVERSAS'!E16</f>
        <v/>
      </c>
      <c r="T50" s="89">
        <f>'TAX. DIVERSAS'!E17</f>
        <v/>
      </c>
      <c r="U50" s="89">
        <f>'TAX. DIVERSAS'!E18</f>
        <v/>
      </c>
      <c r="V50" s="89">
        <f>'TAX. DIVERSAS'!E19</f>
        <v/>
      </c>
      <c r="W50" s="89">
        <f>'TAX. DIVERSAS'!E20</f>
        <v/>
      </c>
      <c r="X50" s="89">
        <f>'TAX. DIVERSAS'!E21</f>
        <v/>
      </c>
      <c r="Y50" s="89">
        <f>'TAX. DIVERSAS'!E22</f>
        <v/>
      </c>
      <c r="Z50" s="89">
        <f>'TAX. DIVERSAS'!E23</f>
        <v/>
      </c>
      <c r="AA50" s="89">
        <f>'TAX. DIVERSAS'!E24</f>
        <v/>
      </c>
      <c r="AB50" s="89">
        <f>'TAX. DIVERSAS'!E25</f>
        <v/>
      </c>
      <c r="AC50" s="89">
        <f>'TAX. DIVERSAS'!E26</f>
        <v/>
      </c>
      <c r="AD50" s="89">
        <f>'TAX. DIVERSAS'!E27</f>
        <v/>
      </c>
      <c r="AE50" s="89">
        <f>'TAX. DIVERSAS'!E28</f>
        <v/>
      </c>
      <c r="AF50" s="89">
        <f>'TAX. DIVERSAS'!E29</f>
        <v/>
      </c>
      <c r="AG50" s="89">
        <f>'TAX. DIVERSAS'!E30</f>
        <v/>
      </c>
      <c r="AH50" s="89">
        <f>'TAX. DIVERSAS'!E31</f>
        <v/>
      </c>
      <c r="AI50" s="89">
        <f>'TAX. DIVERSAS'!E32</f>
        <v/>
      </c>
      <c r="AJ50" s="89">
        <f>'TAX. DIVERSAS'!E33</f>
        <v/>
      </c>
      <c r="AK50" s="89">
        <f>'TAX. DIVERSAS'!E34</f>
        <v/>
      </c>
      <c r="AL50" s="89">
        <f>'TAX. DIVERSAS'!E35</f>
        <v/>
      </c>
      <c r="AM50" s="89">
        <f>'TAX. DIVERSAS'!E36</f>
        <v/>
      </c>
      <c r="AN50" s="89">
        <f>'TAX. DIVERSAS'!E37</f>
        <v/>
      </c>
      <c r="AO50" s="89">
        <f>'TAX. DIVERSAS'!E38</f>
        <v/>
      </c>
      <c r="AP50" s="89">
        <f>'TAX. DIVERSAS'!E39</f>
        <v/>
      </c>
      <c r="AQ50" s="89">
        <f>'TAX. DIVERSAS'!E40</f>
        <v/>
      </c>
      <c r="AR50" s="89">
        <f>'TAX. DIVERSAS'!E41</f>
        <v/>
      </c>
      <c r="AS50" s="89">
        <f>'TAX. DIVERSAS'!E42</f>
        <v/>
      </c>
      <c r="AT50" s="89">
        <f>'TAX. DIVERSAS'!E43</f>
        <v/>
      </c>
      <c r="AU50" s="89">
        <f>'TAX. DIVERSAS'!E44</f>
        <v/>
      </c>
      <c r="AV50" s="89">
        <f>'TAX. DIVERSAS'!E45</f>
        <v/>
      </c>
      <c r="AW50" s="89">
        <f>'TAX. DIVERSAS'!E46</f>
        <v/>
      </c>
      <c r="AX50" s="89">
        <f>'TAX. DIVERSAS'!E47</f>
        <v/>
      </c>
      <c r="AY50" s="89">
        <f>'TAX. DIVERSAS'!E48</f>
        <v/>
      </c>
      <c r="AZ50" s="89">
        <f>'TAX. DIVERSAS'!E49</f>
        <v/>
      </c>
      <c r="BA50" s="89">
        <f>'TAX. DIVERSAS'!E50</f>
        <v/>
      </c>
      <c r="BB50" s="89">
        <f>'TAX. DIVERSAS'!E51</f>
        <v/>
      </c>
      <c r="BC50" s="89">
        <f>'TAX. DIVERSAS'!E52</f>
        <v/>
      </c>
      <c r="BD50" s="89">
        <f>'TAX. DIVERSAS'!E53</f>
        <v/>
      </c>
      <c r="BE50" s="89">
        <f>'TAX. DIVERSAS'!E54</f>
        <v/>
      </c>
      <c r="BF50" s="89">
        <f>'TAX. DIVERSAS'!E55</f>
        <v/>
      </c>
      <c r="BG50" s="89">
        <f>'TAX. DIVERSAS'!E56</f>
        <v/>
      </c>
      <c r="BH50" s="89">
        <f>'TAX. DIVERSAS'!E57</f>
        <v/>
      </c>
      <c r="BI50" s="89">
        <f>'TAX. DIVERSAS'!E58</f>
        <v/>
      </c>
      <c r="BJ50" s="89">
        <f>'TAX. DIVERSAS'!E59</f>
        <v/>
      </c>
      <c r="BK50" s="89">
        <f>'TAX. DIVERSAS'!E60</f>
        <v/>
      </c>
      <c r="BL50" s="89">
        <f>'TAX. DIVERSAS'!E61</f>
        <v/>
      </c>
      <c r="BM50" s="89">
        <f>'TAX. DIVERSAS'!E62</f>
        <v/>
      </c>
      <c r="BN50" s="89">
        <f>'TAX. DIVERSAS'!E63</f>
        <v/>
      </c>
      <c r="BO50" s="89">
        <f>'TAX. DIVERSAS'!E64</f>
        <v/>
      </c>
      <c r="BP50" s="89">
        <f>'TAX. DIVERSAS'!E65</f>
        <v/>
      </c>
      <c r="BQ50" s="89">
        <f>'TAX. DIVERSAS'!E66</f>
        <v/>
      </c>
      <c r="BR50" s="89">
        <f>'TAX. DIVERSAS'!E67</f>
        <v/>
      </c>
      <c r="BS50" s="89">
        <f>'TAX. DIVERSAS'!E68</f>
        <v/>
      </c>
      <c r="BT50" s="89">
        <f>'TAX. DIVERSAS'!E69</f>
        <v/>
      </c>
      <c r="BU50" s="89">
        <f>'TAX. DIVERSAS'!E70</f>
        <v/>
      </c>
      <c r="BV50" s="89">
        <f>'TAX. DIVERSAS'!E71</f>
        <v/>
      </c>
      <c r="BW50" s="89">
        <f>'TAX. DIVERSAS'!E72</f>
        <v/>
      </c>
      <c r="BX50" s="89">
        <f>'TAX. DIVERSAS'!E73</f>
        <v/>
      </c>
      <c r="BY50" s="89">
        <f>'TAX. DIVERSAS'!E74</f>
        <v/>
      </c>
      <c r="BZ50" s="89">
        <f>'TAX. DIVERSAS'!E75</f>
        <v/>
      </c>
      <c r="CA50" s="89">
        <f>'TAX. DIVERSAS'!E76</f>
        <v/>
      </c>
    </row>
    <row r="51">
      <c r="A51" s="59" t="inlineStr">
        <is>
          <t>G041.002</t>
        </is>
      </c>
      <c r="B51" s="59" t="inlineStr">
        <is>
          <t>1030-1070-590</t>
        </is>
      </c>
      <c r="C51" s="59" t="inlineStr">
        <is>
          <t>SEGURANÇA DO TRABALHO</t>
        </is>
      </c>
      <c r="E51" s="49">
        <f>SUM(H51:CA51)</f>
        <v/>
      </c>
      <c r="F51" s="49">
        <f>IF(D51="","",D51-E51)</f>
        <v/>
      </c>
    </row>
    <row r="52">
      <c r="A52" s="59" t="inlineStr">
        <is>
          <t>G041.002</t>
        </is>
      </c>
      <c r="B52" s="59" t="inlineStr">
        <is>
          <t>1030-1070-520</t>
        </is>
      </c>
      <c r="C52" s="59" t="inlineStr">
        <is>
          <t>SERVIÇOS INICIAIS</t>
        </is>
      </c>
      <c r="D52" s="62">
        <f>'SERV. INICIAIS'!$K$5</f>
        <v/>
      </c>
      <c r="E52" s="49">
        <f>SUM(H52:CA52)</f>
        <v/>
      </c>
      <c r="F52" s="49">
        <f>IF(D52="","",D52-E52)</f>
        <v/>
      </c>
      <c r="H52" s="89">
        <f>'SERV. INICIAIS'!E5</f>
        <v/>
      </c>
      <c r="I52" s="89">
        <f>'SERV. INICIAIS'!E6</f>
        <v/>
      </c>
      <c r="J52" s="89">
        <f>'SERV. INICIAIS'!E7</f>
        <v/>
      </c>
      <c r="K52" s="89">
        <f>'SERV. INICIAIS'!E8</f>
        <v/>
      </c>
      <c r="L52" s="89">
        <f>'SERV. INICIAIS'!E9</f>
        <v/>
      </c>
      <c r="M52" s="89">
        <f>'SERV. INICIAIS'!E10</f>
        <v/>
      </c>
      <c r="N52" s="89">
        <f>'SERV. INICIAIS'!E11</f>
        <v/>
      </c>
      <c r="O52" s="89">
        <f>'SERV. INICIAIS'!E12</f>
        <v/>
      </c>
      <c r="P52" s="89">
        <f>'SERV. INICIAIS'!E13</f>
        <v/>
      </c>
      <c r="Q52" s="89">
        <f>'SERV. INICIAIS'!E14</f>
        <v/>
      </c>
      <c r="R52" s="89">
        <f>'SERV. INICIAIS'!E15</f>
        <v/>
      </c>
      <c r="S52" s="89">
        <f>'SERV. INICIAIS'!E16</f>
        <v/>
      </c>
      <c r="T52" s="89">
        <f>'SERV. INICIAIS'!E17</f>
        <v/>
      </c>
      <c r="U52" s="89">
        <f>'SERV. INICIAIS'!E18</f>
        <v/>
      </c>
      <c r="V52" s="89">
        <f>'SERV. INICIAIS'!E19</f>
        <v/>
      </c>
      <c r="W52" s="89">
        <f>'SERV. INICIAIS'!E20</f>
        <v/>
      </c>
      <c r="X52" s="89">
        <f>'SERV. INICIAIS'!E21</f>
        <v/>
      </c>
      <c r="Y52" s="89">
        <f>'SERV. INICIAIS'!E22</f>
        <v/>
      </c>
      <c r="Z52" s="89">
        <f>'SERV. INICIAIS'!E23</f>
        <v/>
      </c>
      <c r="AA52" s="89">
        <f>'SERV. INICIAIS'!E24</f>
        <v/>
      </c>
      <c r="AB52" s="89">
        <f>'SERV. INICIAIS'!E25</f>
        <v/>
      </c>
      <c r="AC52" s="89">
        <f>'SERV. INICIAIS'!E26</f>
        <v/>
      </c>
      <c r="AD52" s="89">
        <f>'SERV. INICIAIS'!E27</f>
        <v/>
      </c>
      <c r="AE52" s="89">
        <f>'SERV. INICIAIS'!E28</f>
        <v/>
      </c>
      <c r="AF52" s="89">
        <f>'SERV. INICIAIS'!E29</f>
        <v/>
      </c>
      <c r="AG52" s="89">
        <f>'SERV. INICIAIS'!E30</f>
        <v/>
      </c>
      <c r="AH52" s="89">
        <f>'SERV. INICIAIS'!E31</f>
        <v/>
      </c>
      <c r="AI52" s="89">
        <f>'SERV. INICIAIS'!E32</f>
        <v/>
      </c>
      <c r="AJ52" s="89">
        <f>'SERV. INICIAIS'!E33</f>
        <v/>
      </c>
      <c r="AK52" s="89">
        <f>'SERV. INICIAIS'!E34</f>
        <v/>
      </c>
      <c r="AL52" s="89">
        <f>'SERV. INICIAIS'!E35</f>
        <v/>
      </c>
      <c r="AM52" s="89">
        <f>'SERV. INICIAIS'!E36</f>
        <v/>
      </c>
      <c r="AN52" s="89">
        <f>'SERV. INICIAIS'!E37</f>
        <v/>
      </c>
      <c r="AO52" s="89">
        <f>'SERV. INICIAIS'!E38</f>
        <v/>
      </c>
      <c r="AP52" s="89">
        <f>'SERV. INICIAIS'!E39</f>
        <v/>
      </c>
      <c r="AQ52" s="89">
        <f>'SERV. INICIAIS'!E40</f>
        <v/>
      </c>
      <c r="AR52" s="89">
        <f>'SERV. INICIAIS'!E41</f>
        <v/>
      </c>
      <c r="AS52" s="89">
        <f>'SERV. INICIAIS'!E42</f>
        <v/>
      </c>
      <c r="AT52" s="89">
        <f>'SERV. INICIAIS'!E43</f>
        <v/>
      </c>
      <c r="AU52" s="89">
        <f>'SERV. INICIAIS'!E44</f>
        <v/>
      </c>
      <c r="AV52" s="89">
        <f>'SERV. INICIAIS'!E45</f>
        <v/>
      </c>
      <c r="AW52" s="89">
        <f>'SERV. INICIAIS'!E46</f>
        <v/>
      </c>
      <c r="AX52" s="89">
        <f>'SERV. INICIAIS'!E47</f>
        <v/>
      </c>
      <c r="AY52" s="89">
        <f>'SERV. INICIAIS'!E48</f>
        <v/>
      </c>
      <c r="AZ52" s="89">
        <f>'SERV. INICIAIS'!E49</f>
        <v/>
      </c>
      <c r="BA52" s="89">
        <f>'SERV. INICIAIS'!E50</f>
        <v/>
      </c>
      <c r="BB52" s="89">
        <f>'SERV. INICIAIS'!E51</f>
        <v/>
      </c>
      <c r="BC52" s="89">
        <f>'SERV. INICIAIS'!E52</f>
        <v/>
      </c>
      <c r="BD52" s="89">
        <f>'SERV. INICIAIS'!E53</f>
        <v/>
      </c>
      <c r="BE52" s="89">
        <f>'SERV. INICIAIS'!E54</f>
        <v/>
      </c>
      <c r="BF52" s="89">
        <f>'SERV. INICIAIS'!E55</f>
        <v/>
      </c>
      <c r="BG52" s="89">
        <f>'SERV. INICIAIS'!E56</f>
        <v/>
      </c>
      <c r="BH52" s="89">
        <f>'SERV. INICIAIS'!E57</f>
        <v/>
      </c>
      <c r="BI52" s="89">
        <f>'SERV. INICIAIS'!E58</f>
        <v/>
      </c>
      <c r="BJ52" s="89">
        <f>'SERV. INICIAIS'!E59</f>
        <v/>
      </c>
      <c r="BK52" s="89">
        <f>'SERV. INICIAIS'!E60</f>
        <v/>
      </c>
      <c r="BL52" s="89">
        <f>'SERV. INICIAIS'!E61</f>
        <v/>
      </c>
      <c r="BM52" s="89">
        <f>'SERV. INICIAIS'!E62</f>
        <v/>
      </c>
      <c r="BN52" s="89">
        <f>'SERV. INICIAIS'!E63</f>
        <v/>
      </c>
      <c r="BO52" s="89">
        <f>'SERV. INICIAIS'!E64</f>
        <v/>
      </c>
      <c r="BP52" s="89">
        <f>'SERV. INICIAIS'!E65</f>
        <v/>
      </c>
      <c r="BQ52" s="89">
        <f>'SERV. INICIAIS'!E66</f>
        <v/>
      </c>
      <c r="BR52" s="89">
        <f>'SERV. INICIAIS'!E67</f>
        <v/>
      </c>
      <c r="BS52" s="89">
        <f>'SERV. INICIAIS'!E68</f>
        <v/>
      </c>
      <c r="BT52" s="89">
        <f>'SERV. INICIAIS'!E69</f>
        <v/>
      </c>
      <c r="BU52" s="89">
        <f>'SERV. INICIAIS'!E70</f>
        <v/>
      </c>
      <c r="BV52" s="89">
        <f>'SERV. INICIAIS'!E71</f>
        <v/>
      </c>
      <c r="BW52" s="89">
        <f>'SERV. INICIAIS'!E72</f>
        <v/>
      </c>
      <c r="BX52" s="89">
        <f>'SERV. INICIAIS'!E73</f>
        <v/>
      </c>
      <c r="BY52" s="89">
        <f>'SERV. INICIAIS'!E74</f>
        <v/>
      </c>
      <c r="BZ52" s="89">
        <f>'SERV. INICIAIS'!E75</f>
        <v/>
      </c>
      <c r="CA52" s="89">
        <f>'SERV. INICIAIS'!E76</f>
        <v/>
      </c>
    </row>
    <row r="53">
      <c r="A53" s="59" t="inlineStr">
        <is>
          <t>G041.002</t>
        </is>
      </c>
      <c r="B53" s="59" t="inlineStr">
        <is>
          <t>1040-1110-115</t>
        </is>
      </c>
      <c r="C53" s="59" t="inlineStr">
        <is>
          <t>COMERCIAIS</t>
        </is>
      </c>
      <c r="E53" s="49">
        <f>SUM(H53:CA53)</f>
        <v/>
      </c>
      <c r="F53" s="49">
        <f>IF(D53="","",D53-E53)</f>
        <v/>
      </c>
    </row>
    <row r="54">
      <c r="A54" s="59" t="inlineStr">
        <is>
          <t>G041.002</t>
        </is>
      </c>
      <c r="B54" s="59" t="inlineStr">
        <is>
          <t>1040-1130-110</t>
        </is>
      </c>
      <c r="C54" s="59" t="inlineStr">
        <is>
          <t>INCORPORAÇÃO / LEGALIZAÇÃO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1040-1130-110</t>
        </is>
      </c>
      <c r="C55" s="59" t="inlineStr">
        <is>
          <t>INCORPORAÇÃO / LEGALIZAÇÃO</t>
        </is>
      </c>
      <c r="E55" s="49">
        <f>SUM(H55:CA55)</f>
        <v/>
      </c>
      <c r="F55" s="49">
        <f>IF(D55="","",D55-E55)</f>
        <v/>
      </c>
    </row>
    <row r="56">
      <c r="A56" s="59" t="inlineStr">
        <is>
          <t>G041.002</t>
        </is>
      </c>
      <c r="B56" s="59" t="inlineStr">
        <is>
          <t>1030-1090-100</t>
        </is>
      </c>
      <c r="C56" s="59" t="inlineStr">
        <is>
          <t>MEDIDAS COMPENSATÓRIAS</t>
        </is>
      </c>
      <c r="E56" s="49">
        <f>SUM(H56:CA56)</f>
        <v/>
      </c>
      <c r="F56" s="49">
        <f>IF(D56="","",D56-E56)</f>
        <v/>
      </c>
    </row>
    <row r="57">
      <c r="A57" s="59" t="inlineStr">
        <is>
          <t>G041.002</t>
        </is>
      </c>
      <c r="B57" s="59" t="inlineStr">
        <is>
          <t>1040-1110-130</t>
        </is>
      </c>
      <c r="C57" s="59" t="n"/>
      <c r="E57" s="49">
        <f>SUM(H57:CA57)</f>
        <v/>
      </c>
      <c r="F57" s="49">
        <f>IF(D57="","",D57-E57)</f>
        <v/>
      </c>
    </row>
    <row r="59">
      <c r="C59" s="46" t="inlineStr">
        <is>
          <t>SOMA SEM TAXA DE ADM. (INCC)</t>
        </is>
      </c>
      <c r="D59" s="64">
        <f>SUM(D2:D57)-D43</f>
        <v/>
      </c>
      <c r="E59" s="64">
        <f>SUM(E2:E57)-E43</f>
        <v/>
      </c>
      <c r="H59" s="64">
        <f>SUM(H2:H57)-H43</f>
        <v/>
      </c>
      <c r="I59" s="64">
        <f>SUM(I2:I57)-I43</f>
        <v/>
      </c>
      <c r="J59" s="64">
        <f>SUM(J2:J57)-J43</f>
        <v/>
      </c>
      <c r="K59" s="64">
        <f>SUM(K2:K57)-K43</f>
        <v/>
      </c>
      <c r="L59" s="64">
        <f>SUM(L2:L57)-L43</f>
        <v/>
      </c>
      <c r="M59" s="64">
        <f>SUM(M2:M57)-M43</f>
        <v/>
      </c>
      <c r="N59" s="64">
        <f>SUM(N2:N57)-N43</f>
        <v/>
      </c>
      <c r="O59" s="64">
        <f>SUM(O2:O57)-O43</f>
        <v/>
      </c>
      <c r="P59" s="64">
        <f>SUM(P2:P57)-P43</f>
        <v/>
      </c>
      <c r="Q59" s="64">
        <f>SUM(Q2:Q57)-Q43</f>
        <v/>
      </c>
      <c r="R59" s="64">
        <f>SUM(R2:R57)-R43</f>
        <v/>
      </c>
      <c r="S59" s="64">
        <f>SUM(S2:S57)-S43</f>
        <v/>
      </c>
      <c r="T59" s="64">
        <f>SUM(T2:T57)-T43</f>
        <v/>
      </c>
      <c r="U59" s="64">
        <f>SUM(U2:U57)-U43</f>
        <v/>
      </c>
      <c r="V59" s="64">
        <f>SUM(V2:V57)-V43</f>
        <v/>
      </c>
      <c r="W59" s="64">
        <f>SUM(W2:W57)-W43</f>
        <v/>
      </c>
      <c r="X59" s="64">
        <f>SUM(X2:X57)-X43</f>
        <v/>
      </c>
      <c r="Y59" s="64">
        <f>SUM(Y2:Y57)-Y43</f>
        <v/>
      </c>
      <c r="Z59" s="64">
        <f>SUM(Z2:Z57)-Z43</f>
        <v/>
      </c>
      <c r="AA59" s="64">
        <f>SUM(AA2:AA57)-AA43</f>
        <v/>
      </c>
      <c r="AB59" s="64">
        <f>SUM(AB2:AB57)-AB43</f>
        <v/>
      </c>
      <c r="AC59" s="64">
        <f>SUM(AC2:AC57)-AC43</f>
        <v/>
      </c>
      <c r="AD59" s="64">
        <f>SUM(AD2:AD57)-AD43</f>
        <v/>
      </c>
      <c r="AE59" s="64">
        <f>SUM(AE2:AE57)-AE43</f>
        <v/>
      </c>
      <c r="AF59" s="64">
        <f>SUM(AF2:AF57)-AF43</f>
        <v/>
      </c>
      <c r="AG59" s="64">
        <f>SUM(AG2:AG57)-AG43</f>
        <v/>
      </c>
      <c r="AH59" s="64">
        <f>SUM(AH2:AH57)-AH43</f>
        <v/>
      </c>
      <c r="AI59" s="64">
        <f>SUM(AI2:AI57)-AI43</f>
        <v/>
      </c>
      <c r="AJ59" s="64">
        <f>SUM(AJ2:AJ57)-AJ43</f>
        <v/>
      </c>
      <c r="AK59" s="64">
        <f>SUM(AK2:AK57)-AK43</f>
        <v/>
      </c>
      <c r="AL59" s="64">
        <f>SUM(AL2:AL57)-AL43</f>
        <v/>
      </c>
      <c r="AM59" s="64">
        <f>SUM(AM2:AM57)-AM43</f>
        <v/>
      </c>
      <c r="AN59" s="64">
        <f>SUM(AN2:AN57)-AN43</f>
        <v/>
      </c>
      <c r="AO59" s="64">
        <f>SUM(AO2:AO57)-AO43</f>
        <v/>
      </c>
      <c r="AP59" s="64">
        <f>SUM(AP2:AP57)-AP43</f>
        <v/>
      </c>
      <c r="AQ59" s="64">
        <f>SUM(AQ2:AQ57)-AQ43</f>
        <v/>
      </c>
      <c r="AR59" s="64">
        <f>SUM(AR2:AR57)-AR43</f>
        <v/>
      </c>
      <c r="AS59" s="64">
        <f>SUM(AS2:AS57)-AS43</f>
        <v/>
      </c>
      <c r="AT59" s="64">
        <f>SUM(AT2:AT57)-AT43</f>
        <v/>
      </c>
      <c r="AU59" s="64">
        <f>SUM(AU2:AU57)-AU43</f>
        <v/>
      </c>
      <c r="AV59" s="64">
        <f>SUM(AV2:AV57)-AV43</f>
        <v/>
      </c>
      <c r="AW59" s="64">
        <f>SUM(AW2:AW57)-AW43</f>
        <v/>
      </c>
      <c r="AX59" s="64">
        <f>SUM(AX2:AX57)-AX43</f>
        <v/>
      </c>
      <c r="AY59" s="64">
        <f>SUM(AY2:AY57)-AY43</f>
        <v/>
      </c>
      <c r="AZ59" s="64">
        <f>SUM(AZ2:AZ57)-AZ43</f>
        <v/>
      </c>
      <c r="BA59" s="64">
        <f>SUM(BA2:BA57)-BA43</f>
        <v/>
      </c>
      <c r="BB59" s="64">
        <f>SUM(BB2:BB57)-BB43</f>
        <v/>
      </c>
      <c r="BC59" s="64">
        <f>SUM(BC2:BC57)-BC43</f>
        <v/>
      </c>
      <c r="BD59" s="64">
        <f>SUM(BD2:BD57)-BD43</f>
        <v/>
      </c>
      <c r="BE59" s="64">
        <f>SUM(BE2:BE57)-BE43</f>
        <v/>
      </c>
      <c r="BF59" s="64">
        <f>SUM(BF2:BF57)-BF43</f>
        <v/>
      </c>
      <c r="BG59" s="64">
        <f>SUM(BG2:BG57)-BG43</f>
        <v/>
      </c>
      <c r="BH59" s="64">
        <f>SUM(BH2:BH57)-BH43</f>
        <v/>
      </c>
      <c r="BI59" s="64">
        <f>SUM(BI2:BI57)-BI43</f>
        <v/>
      </c>
      <c r="BJ59" s="64">
        <f>SUM(BJ2:BJ57)-BJ43</f>
        <v/>
      </c>
      <c r="BK59" s="64">
        <f>SUM(BK2:BK57)-BK43</f>
        <v/>
      </c>
      <c r="BL59" s="64">
        <f>SUM(BL2:BL57)-BL43</f>
        <v/>
      </c>
      <c r="BM59" s="64">
        <f>SUM(BM2:BM57)-BM43</f>
        <v/>
      </c>
      <c r="BN59" s="64">
        <f>SUM(BN2:BN57)-BN43</f>
        <v/>
      </c>
      <c r="BO59" s="64">
        <f>SUM(BO2:BO57)-BO43</f>
        <v/>
      </c>
      <c r="BP59" s="64">
        <f>SUM(BP2:BP57)-BP43</f>
        <v/>
      </c>
      <c r="BQ59" s="64">
        <f>SUM(BQ2:BQ57)-BQ43</f>
        <v/>
      </c>
      <c r="BR59" s="64">
        <f>SUM(BR2:BR57)-BR43</f>
        <v/>
      </c>
      <c r="BS59" s="64">
        <f>SUM(BS2:BS57)-BS43</f>
        <v/>
      </c>
      <c r="BT59" s="64">
        <f>SUM(BT2:BT57)-BT43</f>
        <v/>
      </c>
      <c r="BU59" s="64">
        <f>SUM(BU2:BU57)-BU43</f>
        <v/>
      </c>
      <c r="BV59" s="64">
        <f>SUM(BV2:BV57)-BV43</f>
        <v/>
      </c>
      <c r="BW59" s="64">
        <f>SUM(BW2:BW57)-BW43</f>
        <v/>
      </c>
      <c r="BX59" s="64">
        <f>SUM(BX2:BX57)-BX43</f>
        <v/>
      </c>
      <c r="BY59" s="64">
        <f>SUM(BY2:BY57)-BY43</f>
        <v/>
      </c>
      <c r="BZ59" s="64">
        <f>SUM(BZ2:BZ57)-BZ43</f>
        <v/>
      </c>
      <c r="CA59" s="64">
        <f>SUM(CA2:CA57)-CA43</f>
        <v/>
      </c>
    </row>
    <row r="60">
      <c r="C60" s="46" t="inlineStr">
        <is>
          <t>TAXA DE ADMINISTRAÇÃO (INCC)</t>
        </is>
      </c>
      <c r="D60" s="64">
        <f>D43</f>
        <v/>
      </c>
      <c r="E60" s="64">
        <f>E43</f>
        <v/>
      </c>
      <c r="H60" s="64">
        <f>H43</f>
        <v/>
      </c>
      <c r="I60" s="64">
        <f>I43</f>
        <v/>
      </c>
      <c r="J60" s="64">
        <f>J43</f>
        <v/>
      </c>
      <c r="K60" s="64">
        <f>K43</f>
        <v/>
      </c>
      <c r="L60" s="64">
        <f>L43</f>
        <v/>
      </c>
      <c r="M60" s="64">
        <f>M43</f>
        <v/>
      </c>
      <c r="N60" s="64">
        <f>N43</f>
        <v/>
      </c>
      <c r="O60" s="64">
        <f>O43</f>
        <v/>
      </c>
      <c r="P60" s="64">
        <f>P43</f>
        <v/>
      </c>
      <c r="Q60" s="64">
        <f>Q43</f>
        <v/>
      </c>
      <c r="R60" s="64">
        <f>R43</f>
        <v/>
      </c>
      <c r="S60" s="64">
        <f>S43</f>
        <v/>
      </c>
      <c r="T60" s="64">
        <f>T43</f>
        <v/>
      </c>
      <c r="U60" s="64">
        <f>U43</f>
        <v/>
      </c>
      <c r="V60" s="64">
        <f>V43</f>
        <v/>
      </c>
      <c r="W60" s="64">
        <f>W43</f>
        <v/>
      </c>
      <c r="X60" s="64">
        <f>X43</f>
        <v/>
      </c>
      <c r="Y60" s="64">
        <f>Y43</f>
        <v/>
      </c>
      <c r="Z60" s="64">
        <f>Z43</f>
        <v/>
      </c>
      <c r="AA60" s="64">
        <f>AA43</f>
        <v/>
      </c>
      <c r="AB60" s="64">
        <f>AB43</f>
        <v/>
      </c>
      <c r="AC60" s="64">
        <f>AC43</f>
        <v/>
      </c>
      <c r="AD60" s="64">
        <f>AD43</f>
        <v/>
      </c>
      <c r="AE60" s="64">
        <f>AE43</f>
        <v/>
      </c>
      <c r="AF60" s="64">
        <f>AF43</f>
        <v/>
      </c>
      <c r="AG60" s="64">
        <f>AG43</f>
        <v/>
      </c>
      <c r="AH60" s="64">
        <f>AH43</f>
        <v/>
      </c>
      <c r="AI60" s="64">
        <f>AI43</f>
        <v/>
      </c>
      <c r="AJ60" s="64">
        <f>AJ43</f>
        <v/>
      </c>
      <c r="AK60" s="64">
        <f>AK43</f>
        <v/>
      </c>
      <c r="AL60" s="64">
        <f>AL43</f>
        <v/>
      </c>
      <c r="AM60" s="64">
        <f>AM43</f>
        <v/>
      </c>
      <c r="AN60" s="64">
        <f>AN43</f>
        <v/>
      </c>
      <c r="AO60" s="64">
        <f>AO43</f>
        <v/>
      </c>
      <c r="AP60" s="64">
        <f>AP43</f>
        <v/>
      </c>
      <c r="AQ60" s="64">
        <f>AQ43</f>
        <v/>
      </c>
      <c r="AR60" s="64">
        <f>AR43</f>
        <v/>
      </c>
      <c r="AS60" s="64">
        <f>AS43</f>
        <v/>
      </c>
      <c r="AT60" s="64">
        <f>AT43</f>
        <v/>
      </c>
      <c r="AU60" s="64">
        <f>AU43</f>
        <v/>
      </c>
      <c r="AV60" s="64">
        <f>AV43</f>
        <v/>
      </c>
      <c r="AW60" s="64">
        <f>AW43</f>
        <v/>
      </c>
      <c r="AX60" s="64">
        <f>AX43</f>
        <v/>
      </c>
      <c r="AY60" s="64">
        <f>AY43</f>
        <v/>
      </c>
      <c r="AZ60" s="64">
        <f>AZ43</f>
        <v/>
      </c>
      <c r="BA60" s="64">
        <f>BA43</f>
        <v/>
      </c>
      <c r="BB60" s="64">
        <f>BB43</f>
        <v/>
      </c>
      <c r="BC60" s="64">
        <f>BC43</f>
        <v/>
      </c>
      <c r="BD60" s="64">
        <f>BD43</f>
        <v/>
      </c>
      <c r="BE60" s="64">
        <f>BE43</f>
        <v/>
      </c>
      <c r="BF60" s="64">
        <f>BF43</f>
        <v/>
      </c>
      <c r="BG60" s="64">
        <f>BG43</f>
        <v/>
      </c>
      <c r="BH60" s="64">
        <f>BH43</f>
        <v/>
      </c>
      <c r="BI60" s="64">
        <f>BI43</f>
        <v/>
      </c>
      <c r="BJ60" s="64">
        <f>BJ43</f>
        <v/>
      </c>
      <c r="BK60" s="64">
        <f>BK43</f>
        <v/>
      </c>
      <c r="BL60" s="64">
        <f>BL43</f>
        <v/>
      </c>
      <c r="BM60" s="64">
        <f>BM43</f>
        <v/>
      </c>
      <c r="BN60" s="64">
        <f>BN43</f>
        <v/>
      </c>
      <c r="BO60" s="64">
        <f>BO43</f>
        <v/>
      </c>
      <c r="BP60" s="64">
        <f>BP43</f>
        <v/>
      </c>
      <c r="BQ60" s="64">
        <f>BQ43</f>
        <v/>
      </c>
      <c r="BR60" s="64">
        <f>BR43</f>
        <v/>
      </c>
      <c r="BS60" s="64">
        <f>BS43</f>
        <v/>
      </c>
      <c r="BT60" s="64">
        <f>BT43</f>
        <v/>
      </c>
      <c r="BU60" s="64">
        <f>BU43</f>
        <v/>
      </c>
      <c r="BV60" s="64">
        <f>BV43</f>
        <v/>
      </c>
      <c r="BW60" s="64">
        <f>BW43</f>
        <v/>
      </c>
      <c r="BX60" s="64">
        <f>BX43</f>
        <v/>
      </c>
      <c r="BY60" s="64">
        <f>BY43</f>
        <v/>
      </c>
      <c r="BZ60" s="64">
        <f>BZ43</f>
        <v/>
      </c>
      <c r="CA60" s="64">
        <f>CA43</f>
        <v/>
      </c>
    </row>
    <row r="61">
      <c r="C61" s="46" t="inlineStr">
        <is>
          <t>TOTAL (INCC)</t>
        </is>
      </c>
      <c r="D61" s="64">
        <f>D59+D60</f>
        <v/>
      </c>
      <c r="E61" s="64">
        <f>E59+E60</f>
        <v/>
      </c>
      <c r="H61" s="64">
        <f>H59+H60</f>
        <v/>
      </c>
      <c r="I61" s="64">
        <f>I59+I60</f>
        <v/>
      </c>
      <c r="J61" s="64">
        <f>J59+J60</f>
        <v/>
      </c>
      <c r="K61" s="64">
        <f>K59+K60</f>
        <v/>
      </c>
      <c r="L61" s="64">
        <f>L59+L60</f>
        <v/>
      </c>
      <c r="M61" s="64">
        <f>M59+M60</f>
        <v/>
      </c>
      <c r="N61" s="64">
        <f>N59+N60</f>
        <v/>
      </c>
      <c r="O61" s="64">
        <f>O59+O60</f>
        <v/>
      </c>
      <c r="P61" s="64">
        <f>P59+P60</f>
        <v/>
      </c>
      <c r="Q61" s="64">
        <f>Q59+Q60</f>
        <v/>
      </c>
      <c r="R61" s="64">
        <f>R59+R60</f>
        <v/>
      </c>
      <c r="S61" s="64">
        <f>S59+S60</f>
        <v/>
      </c>
      <c r="T61" s="64">
        <f>T59+T60</f>
        <v/>
      </c>
      <c r="U61" s="64">
        <f>U59+U60</f>
        <v/>
      </c>
      <c r="V61" s="64">
        <f>V59+V60</f>
        <v/>
      </c>
      <c r="W61" s="64">
        <f>W59+W60</f>
        <v/>
      </c>
      <c r="X61" s="64">
        <f>X59+X60</f>
        <v/>
      </c>
      <c r="Y61" s="64">
        <f>Y59+Y60</f>
        <v/>
      </c>
      <c r="Z61" s="64">
        <f>Z59+Z60</f>
        <v/>
      </c>
      <c r="AA61" s="64">
        <f>AA59+AA60</f>
        <v/>
      </c>
      <c r="AB61" s="64">
        <f>AB59+AB60</f>
        <v/>
      </c>
      <c r="AC61" s="64">
        <f>AC59+AC60</f>
        <v/>
      </c>
      <c r="AD61" s="64">
        <f>AD59+AD60</f>
        <v/>
      </c>
      <c r="AE61" s="64">
        <f>AE59+AE60</f>
        <v/>
      </c>
      <c r="AF61" s="64">
        <f>AF59+AF60</f>
        <v/>
      </c>
      <c r="AG61" s="64">
        <f>AG59+AG60</f>
        <v/>
      </c>
      <c r="AH61" s="64">
        <f>AH59+AH60</f>
        <v/>
      </c>
      <c r="AI61" s="64">
        <f>AI59+AI60</f>
        <v/>
      </c>
      <c r="AJ61" s="64">
        <f>AJ59+AJ60</f>
        <v/>
      </c>
      <c r="AK61" s="64">
        <f>AK59+AK60</f>
        <v/>
      </c>
      <c r="AL61" s="64">
        <f>AL59+AL60</f>
        <v/>
      </c>
      <c r="AM61" s="64">
        <f>AM59+AM60</f>
        <v/>
      </c>
      <c r="AN61" s="64">
        <f>AN59+AN60</f>
        <v/>
      </c>
      <c r="AO61" s="64">
        <f>AO59+AO60</f>
        <v/>
      </c>
      <c r="AP61" s="64">
        <f>AP59+AP60</f>
        <v/>
      </c>
      <c r="AQ61" s="64">
        <f>AQ59+AQ60</f>
        <v/>
      </c>
      <c r="AR61" s="64">
        <f>AR59+AR60</f>
        <v/>
      </c>
      <c r="AS61" s="64">
        <f>AS59+AS60</f>
        <v/>
      </c>
      <c r="AT61" s="64">
        <f>AT59+AT60</f>
        <v/>
      </c>
      <c r="AU61" s="64">
        <f>AU59+AU60</f>
        <v/>
      </c>
      <c r="AV61" s="64">
        <f>AV59+AV60</f>
        <v/>
      </c>
      <c r="AW61" s="64">
        <f>AW59+AW60</f>
        <v/>
      </c>
      <c r="AX61" s="64">
        <f>AX59+AX60</f>
        <v/>
      </c>
      <c r="AY61" s="64">
        <f>AY59+AY60</f>
        <v/>
      </c>
      <c r="AZ61" s="64">
        <f>AZ59+AZ60</f>
        <v/>
      </c>
      <c r="BA61" s="64">
        <f>BA59+BA60</f>
        <v/>
      </c>
      <c r="BB61" s="64">
        <f>BB59+BB60</f>
        <v/>
      </c>
      <c r="BC61" s="64">
        <f>BC59+BC60</f>
        <v/>
      </c>
      <c r="BD61" s="64">
        <f>BD59+BD60</f>
        <v/>
      </c>
      <c r="BE61" s="64">
        <f>BE59+BE60</f>
        <v/>
      </c>
      <c r="BF61" s="64">
        <f>BF59+BF60</f>
        <v/>
      </c>
      <c r="BG61" s="64">
        <f>BG59+BG60</f>
        <v/>
      </c>
      <c r="BH61" s="64">
        <f>BH59+BH60</f>
        <v/>
      </c>
      <c r="BI61" s="64">
        <f>BI59+BI60</f>
        <v/>
      </c>
      <c r="BJ61" s="64">
        <f>BJ59+BJ60</f>
        <v/>
      </c>
      <c r="BK61" s="64">
        <f>BK59+BK60</f>
        <v/>
      </c>
      <c r="BL61" s="64">
        <f>BL59+BL60</f>
        <v/>
      </c>
      <c r="BM61" s="64">
        <f>BM59+BM60</f>
        <v/>
      </c>
      <c r="BN61" s="64">
        <f>BN59+BN60</f>
        <v/>
      </c>
      <c r="BO61" s="64">
        <f>BO59+BO60</f>
        <v/>
      </c>
      <c r="BP61" s="64">
        <f>BP59+BP60</f>
        <v/>
      </c>
      <c r="BQ61" s="64">
        <f>BQ59+BQ60</f>
        <v/>
      </c>
      <c r="BR61" s="64">
        <f>BR59+BR60</f>
        <v/>
      </c>
      <c r="BS61" s="64">
        <f>BS59+BS60</f>
        <v/>
      </c>
      <c r="BT61" s="64">
        <f>BT59+BT60</f>
        <v/>
      </c>
      <c r="BU61" s="64">
        <f>BU59+BU60</f>
        <v/>
      </c>
      <c r="BV61" s="64">
        <f>BV59+BV60</f>
        <v/>
      </c>
      <c r="BW61" s="64">
        <f>BW59+BW60</f>
        <v/>
      </c>
      <c r="BX61" s="64">
        <f>BX59+BX60</f>
        <v/>
      </c>
      <c r="BY61" s="64">
        <f>BY59+BY60</f>
        <v/>
      </c>
      <c r="BZ61" s="64">
        <f>BZ59+BZ60</f>
        <v/>
      </c>
      <c r="CA61" s="64">
        <f>CA59+CA60</f>
        <v/>
      </c>
    </row>
    <row r="62">
      <c r="C62" s="60">
        <f>"INCORRIDO ATÉ -&gt; "&amp;TEXT('VALOR POR PL'!$P$5,"mm/aaaa")</f>
        <v/>
      </c>
    </row>
    <row r="63">
      <c r="C63" s="46" t="inlineStr">
        <is>
          <t>CURVA MENSAL (R$ nominal)</t>
        </is>
      </c>
      <c r="E63" s="108">
        <f>SUM(H63:CA63)</f>
        <v/>
      </c>
      <c r="H63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ACAB'!D5+'PAVIMENTAÇÃO'!C5+'PAVIMENTAÇÃO'!D5+'REV. FACHADA'!C5+'REV. FACHADA'!D5+'FORRO'!C5+'FORRO'!D5+'LOUÇAS'!C5+'LOUÇAS'!D5+'PINTURA'!C5+'PINTURA'!D5+'PAISAGISMO'!C5+'PAISAGISMO'!D5+'LIMPEZA'!C5+'LIMPEZA'!D5+'TAX. ADM'!C5+'TAX. ADM'!D5</f>
        <v/>
      </c>
      <c r="I63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ACAB'!D6+'PAVIMENTAÇÃO'!C6+'PAVIMENTAÇÃO'!D6+'REV. FACHADA'!C6+'REV. FACHADA'!D6+'FORRO'!C6+'FORRO'!D6+'LOUÇAS'!C6+'LOUÇAS'!D6+'PINTURA'!C6+'PINTURA'!D6+'PAISAGISMO'!C6+'PAISAGISMO'!D6+'LIMPEZA'!C6+'LIMPEZA'!D6+'TAX. ADM'!C6+'TAX. ADM'!D6</f>
        <v/>
      </c>
      <c r="J63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ACAB'!D7+'PAVIMENTAÇÃO'!C7+'PAVIMENTAÇÃO'!D7+'REV. FACHADA'!C7+'REV. FACHADA'!D7+'FORRO'!C7+'FORRO'!D7+'LOUÇAS'!C7+'LOUÇAS'!D7+'PINTURA'!C7+'PINTURA'!D7+'PAISAGISMO'!C7+'PAISAGISMO'!D7+'LIMPEZA'!C7+'LIMPEZA'!D7+'TAX. ADM'!C7+'TAX. ADM'!D7</f>
        <v/>
      </c>
      <c r="K63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ACAB'!D8+'PAVIMENTAÇÃO'!C8+'PAVIMENTAÇÃO'!D8+'REV. FACHADA'!C8+'REV. FACHADA'!D8+'FORRO'!C8+'FORRO'!D8+'LOUÇAS'!C8+'LOUÇAS'!D8+'PINTURA'!C8+'PINTURA'!D8+'PAISAGISMO'!C8+'PAISAGISMO'!D8+'LIMPEZA'!C8+'LIMPEZA'!D8+'TAX. ADM'!C8+'TAX. ADM'!D8</f>
        <v/>
      </c>
      <c r="L63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ACAB'!D9+'PAVIMENTAÇÃO'!C9+'PAVIMENTAÇÃO'!D9+'REV. FACHADA'!C9+'REV. FACHADA'!D9+'FORRO'!C9+'FORRO'!D9+'LOUÇAS'!C9+'LOUÇAS'!D9+'PINTURA'!C9+'PINTURA'!D9+'PAISAGISMO'!C9+'PAISAGISMO'!D9+'LIMPEZA'!C9+'LIMPEZA'!D9+'TAX. ADM'!C9+'TAX. ADM'!D9</f>
        <v/>
      </c>
      <c r="M63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ACAB'!D10+'PAVIMENTAÇÃO'!C10+'PAVIMENTAÇÃO'!D10+'REV. FACHADA'!C10+'REV. FACHADA'!D10+'FORRO'!C10+'FORRO'!D10+'LOUÇAS'!C10+'LOUÇAS'!D10+'PINTURA'!C10+'PINTURA'!D10+'PAISAGISMO'!C10+'PAISAGISMO'!D10+'LIMPEZA'!C10+'LIMPEZA'!D10+'TAX. ADM'!C10+'TAX. ADM'!D10</f>
        <v/>
      </c>
      <c r="N63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ACAB'!D11+'PAVIMENTAÇÃO'!C11+'PAVIMENTAÇÃO'!D11+'REV. FACHADA'!C11+'REV. FACHADA'!D11+'FORRO'!C11+'FORRO'!D11+'LOUÇAS'!C11+'LOUÇAS'!D11+'PINTURA'!C11+'PINTURA'!D11+'PAISAGISMO'!C11+'PAISAGISMO'!D11+'LIMPEZA'!C11+'LIMPEZA'!D11+'TAX. ADM'!C11+'TAX. ADM'!D11</f>
        <v/>
      </c>
      <c r="O63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ACAB'!D12+'PAVIMENTAÇÃO'!C12+'PAVIMENTAÇÃO'!D12+'REV. FACHADA'!C12+'REV. FACHADA'!D12+'FORRO'!C12+'FORRO'!D12+'LOUÇAS'!C12+'LOUÇAS'!D12+'PINTURA'!C12+'PINTURA'!D12+'PAISAGISMO'!C12+'PAISAGISMO'!D12+'LIMPEZA'!C12+'LIMPEZA'!D12+'TAX. ADM'!C12+'TAX. ADM'!D12</f>
        <v/>
      </c>
      <c r="P63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ACAB'!D13+'PAVIMENTAÇÃO'!C13+'PAVIMENTAÇÃO'!D13+'REV. FACHADA'!C13+'REV. FACHADA'!D13+'FORRO'!C13+'FORRO'!D13+'LOUÇAS'!C13+'LOUÇAS'!D13+'PINTURA'!C13+'PINTURA'!D13+'PAISAGISMO'!C13+'PAISAGISMO'!D13+'LIMPEZA'!C13+'LIMPEZA'!D13+'TAX. ADM'!C13+'TAX. ADM'!D13</f>
        <v/>
      </c>
      <c r="Q63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ACAB'!D14+'PAVIMENTAÇÃO'!C14+'PAVIMENTAÇÃO'!D14+'REV. FACHADA'!C14+'REV. FACHADA'!D14+'FORRO'!C14+'FORRO'!D14+'LOUÇAS'!C14+'LOUÇAS'!D14+'PINTURA'!C14+'PINTURA'!D14+'PAISAGISMO'!C14+'PAISAGISMO'!D14+'LIMPEZA'!C14+'LIMPEZA'!D14+'TAX. ADM'!C14+'TAX. ADM'!D14</f>
        <v/>
      </c>
      <c r="R63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ACAB'!D15+'PAVIMENTAÇÃO'!C15+'PAVIMENTAÇÃO'!D15+'REV. FACHADA'!C15+'REV. FACHADA'!D15+'FORRO'!C15+'FORRO'!D15+'LOUÇAS'!C15+'LOUÇAS'!D15+'PINTURA'!C15+'PINTURA'!D15+'PAISAGISMO'!C15+'PAISAGISMO'!D15+'LIMPEZA'!C15+'LIMPEZA'!D15+'TAX. ADM'!C15+'TAX. ADM'!D15</f>
        <v/>
      </c>
      <c r="S63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ACAB'!D16+'PAVIMENTAÇÃO'!C16+'PAVIMENTAÇÃO'!D16+'REV. FACHADA'!C16+'REV. FACHADA'!D16+'FORRO'!C16+'FORRO'!D16+'LOUÇAS'!C16+'LOUÇAS'!D16+'PINTURA'!C16+'PINTURA'!D16+'PAISAGISMO'!C16+'PAISAGISMO'!D16+'LIMPEZA'!C16+'LIMPEZA'!D16+'TAX. ADM'!C16+'TAX. ADM'!D16</f>
        <v/>
      </c>
      <c r="T63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ACAB'!D17+'PAVIMENTAÇÃO'!C17+'PAVIMENTAÇÃO'!D17+'REV. FACHADA'!C17+'REV. FACHADA'!D17+'FORRO'!C17+'FORRO'!D17+'LOUÇAS'!C17+'LOUÇAS'!D17+'PINTURA'!C17+'PINTURA'!D17+'PAISAGISMO'!C17+'PAISAGISMO'!D17+'LIMPEZA'!C17+'LIMPEZA'!D17+'TAX. ADM'!C17+'TAX. ADM'!D17</f>
        <v/>
      </c>
      <c r="U63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ACAB'!D18+'PAVIMENTAÇÃO'!C18+'PAVIMENTAÇÃO'!D18+'REV. FACHADA'!C18+'REV. FACHADA'!D18+'FORRO'!C18+'FORRO'!D18+'LOUÇAS'!C18+'LOUÇAS'!D18+'PINTURA'!C18+'PINTURA'!D18+'PAISAGISMO'!C18+'PAISAGISMO'!D18+'LIMPEZA'!C18+'LIMPEZA'!D18+'TAX. ADM'!C18+'TAX. ADM'!D18</f>
        <v/>
      </c>
      <c r="V63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ACAB'!D19+'PAVIMENTAÇÃO'!C19+'PAVIMENTAÇÃO'!D19+'REV. FACHADA'!C19+'REV. FACHADA'!D19+'FORRO'!C19+'FORRO'!D19+'LOUÇAS'!C19+'LOUÇAS'!D19+'PINTURA'!C19+'PINTURA'!D19+'PAISAGISMO'!C19+'PAISAGISMO'!D19+'LIMPEZA'!C19+'LIMPEZA'!D19+'TAX. ADM'!C19+'TAX. ADM'!D19</f>
        <v/>
      </c>
      <c r="W63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ACAB'!D20+'PAVIMENTAÇÃO'!C20+'PAVIMENTAÇÃO'!D20+'REV. FACHADA'!C20+'REV. FACHADA'!D20+'FORRO'!C20+'FORRO'!D20+'LOUÇAS'!C20+'LOUÇAS'!D20+'PINTURA'!C20+'PINTURA'!D20+'PAISAGISMO'!C20+'PAISAGISMO'!D20+'LIMPEZA'!C20+'LIMPEZA'!D20+'TAX. ADM'!C20+'TAX. ADM'!D20</f>
        <v/>
      </c>
      <c r="X63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ACAB'!D21+'PAVIMENTAÇÃO'!C21+'PAVIMENTAÇÃO'!D21+'REV. FACHADA'!C21+'REV. FACHADA'!D21+'FORRO'!C21+'FORRO'!D21+'LOUÇAS'!C21+'LOUÇAS'!D21+'PINTURA'!C21+'PINTURA'!D21+'PAISAGISMO'!C21+'PAISAGISMO'!D21+'LIMPEZA'!C21+'LIMPEZA'!D21+'TAX. ADM'!C21+'TAX. ADM'!D21</f>
        <v/>
      </c>
      <c r="Y63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ACAB'!D22+'PAVIMENTAÇÃO'!C22+'PAVIMENTAÇÃO'!D22+'REV. FACHADA'!C22+'REV. FACHADA'!D22+'FORRO'!C22+'FORRO'!D22+'LOUÇAS'!C22+'LOUÇAS'!D22+'PINTURA'!C22+'PINTURA'!D22+'PAISAGISMO'!C22+'PAISAGISMO'!D22+'LIMPEZA'!C22+'LIMPEZA'!D22+'TAX. ADM'!C22+'TAX. ADM'!D22</f>
        <v/>
      </c>
      <c r="Z63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ACAB'!D23+'PAVIMENTAÇÃO'!C23+'PAVIMENTAÇÃO'!D23+'REV. FACHADA'!C23+'REV. FACHADA'!D23+'FORRO'!C23+'FORRO'!D23+'LOUÇAS'!C23+'LOUÇAS'!D23+'PINTURA'!C23+'PINTURA'!D23+'PAISAGISMO'!C23+'PAISAGISMO'!D23+'LIMPEZA'!C23+'LIMPEZA'!D23+'TAX. ADM'!C23+'TAX. ADM'!D23</f>
        <v/>
      </c>
      <c r="AA63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ACAB'!D24+'PAVIMENTAÇÃO'!C24+'PAVIMENTAÇÃO'!D24+'REV. FACHADA'!C24+'REV. FACHADA'!D24+'FORRO'!C24+'FORRO'!D24+'LOUÇAS'!C24+'LOUÇAS'!D24+'PINTURA'!C24+'PINTURA'!D24+'PAISAGISMO'!C24+'PAISAGISMO'!D24+'LIMPEZA'!C24+'LIMPEZA'!D24+'TAX. ADM'!C24+'TAX. ADM'!D24</f>
        <v/>
      </c>
      <c r="AB63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ACAB'!D25+'PAVIMENTAÇÃO'!C25+'PAVIMENTAÇÃO'!D25+'REV. FACHADA'!C25+'REV. FACHADA'!D25+'FORRO'!C25+'FORRO'!D25+'LOUÇAS'!C25+'LOUÇAS'!D25+'PINTURA'!C25+'PINTURA'!D25+'PAISAGISMO'!C25+'PAISAGISMO'!D25+'LIMPEZA'!C25+'LIMPEZA'!D25+'TAX. ADM'!C25+'TAX. ADM'!D25</f>
        <v/>
      </c>
      <c r="AC63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ACAB'!D26+'PAVIMENTAÇÃO'!C26+'PAVIMENTAÇÃO'!D26+'REV. FACHADA'!C26+'REV. FACHADA'!D26+'FORRO'!C26+'FORRO'!D26+'LOUÇAS'!C26+'LOUÇAS'!D26+'PINTURA'!C26+'PINTURA'!D26+'PAISAGISMO'!C26+'PAISAGISMO'!D26+'LIMPEZA'!C26+'LIMPEZA'!D26+'TAX. ADM'!C26+'TAX. ADM'!D26</f>
        <v/>
      </c>
      <c r="AD63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ACAB'!D27+'PAVIMENTAÇÃO'!C27+'PAVIMENTAÇÃO'!D27+'REV. FACHADA'!C27+'REV. FACHADA'!D27+'FORRO'!C27+'FORRO'!D27+'LOUÇAS'!C27+'LOUÇAS'!D27+'PINTURA'!C27+'PINTURA'!D27+'PAISAGISMO'!C27+'PAISAGISMO'!D27+'LIMPEZA'!C27+'LIMPEZA'!D27+'TAX. ADM'!C27+'TAX. ADM'!D27</f>
        <v/>
      </c>
      <c r="AE63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ACAB'!D28+'PAVIMENTAÇÃO'!C28+'PAVIMENTAÇÃO'!D28+'REV. FACHADA'!C28+'REV. FACHADA'!D28+'FORRO'!C28+'FORRO'!D28+'LOUÇAS'!C28+'LOUÇAS'!D28+'PINTURA'!C28+'PINTURA'!D28+'PAISAGISMO'!C28+'PAISAGISMO'!D28+'LIMPEZA'!C28+'LIMPEZA'!D28+'TAX. ADM'!C28+'TAX. ADM'!D28</f>
        <v/>
      </c>
      <c r="AF63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ACAB'!D29+'PAVIMENTAÇÃO'!C29+'PAVIMENTAÇÃO'!D29+'REV. FACHADA'!C29+'REV. FACHADA'!D29+'FORRO'!C29+'FORRO'!D29+'LOUÇAS'!C29+'LOUÇAS'!D29+'PINTURA'!C29+'PINTURA'!D29+'PAISAGISMO'!C29+'PAISAGISMO'!D29+'LIMPEZA'!C29+'LIMPEZA'!D29+'TAX. ADM'!C29+'TAX. ADM'!D29</f>
        <v/>
      </c>
      <c r="AG63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ACAB'!D30+'PAVIMENTAÇÃO'!C30+'PAVIMENTAÇÃO'!D30+'REV. FACHADA'!C30+'REV. FACHADA'!D30+'FORRO'!C30+'FORRO'!D30+'LOUÇAS'!C30+'LOUÇAS'!D30+'PINTURA'!C30+'PINTURA'!D30+'PAISAGISMO'!C30+'PAISAGISMO'!D30+'LIMPEZA'!C30+'LIMPEZA'!D30+'TAX. ADM'!C30+'TAX. ADM'!D30</f>
        <v/>
      </c>
      <c r="AH63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ACAB'!D31+'PAVIMENTAÇÃO'!C31+'PAVIMENTAÇÃO'!D31+'REV. FACHADA'!C31+'REV. FACHADA'!D31+'FORRO'!C31+'FORRO'!D31+'LOUÇAS'!C31+'LOUÇAS'!D31+'PINTURA'!C31+'PINTURA'!D31+'PAISAGISMO'!C31+'PAISAGISMO'!D31+'LIMPEZA'!C31+'LIMPEZA'!D31+'TAX. ADM'!C31+'TAX. ADM'!D31</f>
        <v/>
      </c>
      <c r="AI63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ACAB'!D32+'PAVIMENTAÇÃO'!C32+'PAVIMENTAÇÃO'!D32+'REV. FACHADA'!C32+'REV. FACHADA'!D32+'FORRO'!C32+'FORRO'!D32+'LOUÇAS'!C32+'LOUÇAS'!D32+'PINTURA'!C32+'PINTURA'!D32+'PAISAGISMO'!C32+'PAISAGISMO'!D32+'LIMPEZA'!C32+'LIMPEZA'!D32+'TAX. ADM'!C32+'TAX. ADM'!D32</f>
        <v/>
      </c>
      <c r="AJ63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ACAB'!D33+'PAVIMENTAÇÃO'!C33+'PAVIMENTAÇÃO'!D33+'REV. FACHADA'!C33+'REV. FACHADA'!D33+'FORRO'!C33+'FORRO'!D33+'LOUÇAS'!C33+'LOUÇAS'!D33+'PINTURA'!C33+'PINTURA'!D33+'PAISAGISMO'!C33+'PAISAGISMO'!D33+'LIMPEZA'!C33+'LIMPEZA'!D33+'TAX. ADM'!C33+'TAX. ADM'!D33</f>
        <v/>
      </c>
      <c r="AK63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ACAB'!D34+'PAVIMENTAÇÃO'!C34+'PAVIMENTAÇÃO'!D34+'REV. FACHADA'!C34+'REV. FACHADA'!D34+'FORRO'!C34+'FORRO'!D34+'LOUÇAS'!C34+'LOUÇAS'!D34+'PINTURA'!C34+'PINTURA'!D34+'PAISAGISMO'!C34+'PAISAGISMO'!D34+'LIMPEZA'!C34+'LIMPEZA'!D34+'TAX. ADM'!C34+'TAX. ADM'!D34</f>
        <v/>
      </c>
      <c r="AL63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ACAB'!D35+'PAVIMENTAÇÃO'!C35+'PAVIMENTAÇÃO'!D35+'REV. FACHADA'!C35+'REV. FACHADA'!D35+'FORRO'!C35+'FORRO'!D35+'LOUÇAS'!C35+'LOUÇAS'!D35+'PINTURA'!C35+'PINTURA'!D35+'PAISAGISMO'!C35+'PAISAGISMO'!D35+'LIMPEZA'!C35+'LIMPEZA'!D35+'TAX. ADM'!C35+'TAX. ADM'!D35</f>
        <v/>
      </c>
      <c r="AM63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ACAB'!D36+'PAVIMENTAÇÃO'!C36+'PAVIMENTAÇÃO'!D36+'REV. FACHADA'!C36+'REV. FACHADA'!D36+'FORRO'!C36+'FORRO'!D36+'LOUÇAS'!C36+'LOUÇAS'!D36+'PINTURA'!C36+'PINTURA'!D36+'PAISAGISMO'!C36+'PAISAGISMO'!D36+'LIMPEZA'!C36+'LIMPEZA'!D36+'TAX. ADM'!C36+'TAX. ADM'!D36</f>
        <v/>
      </c>
      <c r="AN63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ACAB'!D37+'PAVIMENTAÇÃO'!C37+'PAVIMENTAÇÃO'!D37+'REV. FACHADA'!C37+'REV. FACHADA'!D37+'FORRO'!C37+'FORRO'!D37+'LOUÇAS'!C37+'LOUÇAS'!D37+'PINTURA'!C37+'PINTURA'!D37+'PAISAGISMO'!C37+'PAISAGISMO'!D37+'LIMPEZA'!C37+'LIMPEZA'!D37+'TAX. ADM'!C37+'TAX. ADM'!D37</f>
        <v/>
      </c>
      <c r="AO63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ACAB'!D38+'PAVIMENTAÇÃO'!C38+'PAVIMENTAÇÃO'!D38+'REV. FACHADA'!C38+'REV. FACHADA'!D38+'FORRO'!C38+'FORRO'!D38+'LOUÇAS'!C38+'LOUÇAS'!D38+'PINTURA'!C38+'PINTURA'!D38+'PAISAGISMO'!C38+'PAISAGISMO'!D38+'LIMPEZA'!C38+'LIMPEZA'!D38+'TAX. ADM'!C38+'TAX. ADM'!D38</f>
        <v/>
      </c>
      <c r="AP63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ACAB'!D39+'PAVIMENTAÇÃO'!C39+'PAVIMENTAÇÃO'!D39+'REV. FACHADA'!C39+'REV. FACHADA'!D39+'FORRO'!C39+'FORRO'!D39+'LOUÇAS'!C39+'LOUÇAS'!D39+'PINTURA'!C39+'PINTURA'!D39+'PAISAGISMO'!C39+'PAISAGISMO'!D39+'LIMPEZA'!C39+'LIMPEZA'!D39+'TAX. ADM'!C39+'TAX. ADM'!D39</f>
        <v/>
      </c>
      <c r="AQ63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ACAB'!D40+'PAVIMENTAÇÃO'!C40+'PAVIMENTAÇÃO'!D40+'REV. FACHADA'!C40+'REV. FACHADA'!D40+'FORRO'!C40+'FORRO'!D40+'LOUÇAS'!C40+'LOUÇAS'!D40+'PINTURA'!C40+'PINTURA'!D40+'PAISAGISMO'!C40+'PAISAGISMO'!D40+'LIMPEZA'!C40+'LIMPEZA'!D40+'TAX. ADM'!C40+'TAX. ADM'!D40</f>
        <v/>
      </c>
      <c r="AR63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ACAB'!D41+'PAVIMENTAÇÃO'!C41+'PAVIMENTAÇÃO'!D41+'REV. FACHADA'!C41+'REV. FACHADA'!D41+'FORRO'!C41+'FORRO'!D41+'LOUÇAS'!C41+'LOUÇAS'!D41+'PINTURA'!C41+'PINTURA'!D41+'PAISAGISMO'!C41+'PAISAGISMO'!D41+'LIMPEZA'!C41+'LIMPEZA'!D41+'TAX. ADM'!C41+'TAX. ADM'!D41</f>
        <v/>
      </c>
      <c r="AS63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ACAB'!D42+'PAVIMENTAÇÃO'!C42+'PAVIMENTAÇÃO'!D42+'REV. FACHADA'!C42+'REV. FACHADA'!D42+'FORRO'!C42+'FORRO'!D42+'LOUÇAS'!C42+'LOUÇAS'!D42+'PINTURA'!C42+'PINTURA'!D42+'PAISAGISMO'!C42+'PAISAGISMO'!D42+'LIMPEZA'!C42+'LIMPEZA'!D42+'TAX. ADM'!C42+'TAX. ADM'!D42</f>
        <v/>
      </c>
      <c r="AT63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ACAB'!D43+'PAVIMENTAÇÃO'!C43+'PAVIMENTAÇÃO'!D43+'REV. FACHADA'!C43+'REV. FACHADA'!D43+'FORRO'!C43+'FORRO'!D43+'LOUÇAS'!C43+'LOUÇAS'!D43+'PINTURA'!C43+'PINTURA'!D43+'PAISAGISMO'!C43+'PAISAGISMO'!D43+'LIMPEZA'!C43+'LIMPEZA'!D43+'TAX. ADM'!C43+'TAX. ADM'!D43</f>
        <v/>
      </c>
      <c r="AU63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ACAB'!D44+'PAVIMENTAÇÃO'!C44+'PAVIMENTAÇÃO'!D44+'REV. FACHADA'!C44+'REV. FACHADA'!D44+'FORRO'!C44+'FORRO'!D44+'LOUÇAS'!C44+'LOUÇAS'!D44+'PINTURA'!C44+'PINTURA'!D44+'PAISAGISMO'!C44+'PAISAGISMO'!D44+'LIMPEZA'!C44+'LIMPEZA'!D44+'TAX. ADM'!C44+'TAX. ADM'!D44</f>
        <v/>
      </c>
      <c r="AV63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ACAB'!D45+'PAVIMENTAÇÃO'!C45+'PAVIMENTAÇÃO'!D45+'REV. FACHADA'!C45+'REV. FACHADA'!D45+'FORRO'!C45+'FORRO'!D45+'LOUÇAS'!C45+'LOUÇAS'!D45+'PINTURA'!C45+'PINTURA'!D45+'PAISAGISMO'!C45+'PAISAGISMO'!D45+'LIMPEZA'!C45+'LIMPEZA'!D45+'TAX. ADM'!C45+'TAX. ADM'!D45</f>
        <v/>
      </c>
      <c r="AW63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ACAB'!D46+'PAVIMENTAÇÃO'!C46+'PAVIMENTAÇÃO'!D46+'REV. FACHADA'!C46+'REV. FACHADA'!D46+'FORRO'!C46+'FORRO'!D46+'LOUÇAS'!C46+'LOUÇAS'!D46+'PINTURA'!C46+'PINTURA'!D46+'PAISAGISMO'!C46+'PAISAGISMO'!D46+'LIMPEZA'!C46+'LIMPEZA'!D46+'TAX. ADM'!C46+'TAX. ADM'!D46</f>
        <v/>
      </c>
      <c r="AX63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ACAB'!D47+'PAVIMENTAÇÃO'!C47+'PAVIMENTAÇÃO'!D47+'REV. FACHADA'!C47+'REV. FACHADA'!D47+'FORRO'!C47+'FORRO'!D47+'LOUÇAS'!C47+'LOUÇAS'!D47+'PINTURA'!C47+'PINTURA'!D47+'PAISAGISMO'!C47+'PAISAGISMO'!D47+'LIMPEZA'!C47+'LIMPEZA'!D47+'TAX. ADM'!C47+'TAX. ADM'!D47</f>
        <v/>
      </c>
      <c r="AY63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ACAB'!D48+'PAVIMENTAÇÃO'!C48+'PAVIMENTAÇÃO'!D48+'REV. FACHADA'!C48+'REV. FACHADA'!D48+'FORRO'!C48+'FORRO'!D48+'LOUÇAS'!C48+'LOUÇAS'!D48+'PINTURA'!C48+'PINTURA'!D48+'PAISAGISMO'!C48+'PAISAGISMO'!D48+'LIMPEZA'!C48+'LIMPEZA'!D48+'TAX. ADM'!C48+'TAX. ADM'!D48</f>
        <v/>
      </c>
      <c r="AZ63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ACAB'!D49+'PAVIMENTAÇÃO'!C49+'PAVIMENTAÇÃO'!D49+'REV. FACHADA'!C49+'REV. FACHADA'!D49+'FORRO'!C49+'FORRO'!D49+'LOUÇAS'!C49+'LOUÇAS'!D49+'PINTURA'!C49+'PINTURA'!D49+'PAISAGISMO'!C49+'PAISAGISMO'!D49+'LIMPEZA'!C49+'LIMPEZA'!D49+'TAX. ADM'!C49+'TAX. ADM'!D49</f>
        <v/>
      </c>
      <c r="BA63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ACAB'!D50+'PAVIMENTAÇÃO'!C50+'PAVIMENTAÇÃO'!D50+'REV. FACHADA'!C50+'REV. FACHADA'!D50+'FORRO'!C50+'FORRO'!D50+'LOUÇAS'!C50+'LOUÇAS'!D50+'PINTURA'!C50+'PINTURA'!D50+'PAISAGISMO'!C50+'PAISAGISMO'!D50+'LIMPEZA'!C50+'LIMPEZA'!D50+'TAX. ADM'!C50+'TAX. ADM'!D50</f>
        <v/>
      </c>
      <c r="BB63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ACAB'!D51+'PAVIMENTAÇÃO'!C51+'PAVIMENTAÇÃO'!D51+'REV. FACHADA'!C51+'REV. FACHADA'!D51+'FORRO'!C51+'FORRO'!D51+'LOUÇAS'!C51+'LOUÇAS'!D51+'PINTURA'!C51+'PINTURA'!D51+'PAISAGISMO'!C51+'PAISAGISMO'!D51+'LIMPEZA'!C51+'LIMPEZA'!D51+'TAX. ADM'!C51+'TAX. ADM'!D51</f>
        <v/>
      </c>
      <c r="BC63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ACAB'!D52+'PAVIMENTAÇÃO'!C52+'PAVIMENTAÇÃO'!D52+'REV. FACHADA'!C52+'REV. FACHADA'!D52+'FORRO'!C52+'FORRO'!D52+'LOUÇAS'!C52+'LOUÇAS'!D52+'PINTURA'!C52+'PINTURA'!D52+'PAISAGISMO'!C52+'PAISAGISMO'!D52+'LIMPEZA'!C52+'LIMPEZA'!D52+'TAX. ADM'!C52+'TAX. ADM'!D52</f>
        <v/>
      </c>
      <c r="BD63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ACAB'!D53+'PAVIMENTAÇÃO'!C53+'PAVIMENTAÇÃO'!D53+'REV. FACHADA'!C53+'REV. FACHADA'!D53+'FORRO'!C53+'FORRO'!D53+'LOUÇAS'!C53+'LOUÇAS'!D53+'PINTURA'!C53+'PINTURA'!D53+'PAISAGISMO'!C53+'PAISAGISMO'!D53+'LIMPEZA'!C53+'LIMPEZA'!D53+'TAX. ADM'!C53+'TAX. ADM'!D53</f>
        <v/>
      </c>
      <c r="BE63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ACAB'!D54+'PAVIMENTAÇÃO'!C54+'PAVIMENTAÇÃO'!D54+'REV. FACHADA'!C54+'REV. FACHADA'!D54+'FORRO'!C54+'FORRO'!D54+'LOUÇAS'!C54+'LOUÇAS'!D54+'PINTURA'!C54+'PINTURA'!D54+'PAISAGISMO'!C54+'PAISAGISMO'!D54+'LIMPEZA'!C54+'LIMPEZA'!D54+'TAX. ADM'!C54+'TAX. ADM'!D54</f>
        <v/>
      </c>
      <c r="BF63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ACAB'!D55+'PAVIMENTAÇÃO'!C55+'PAVIMENTAÇÃO'!D55+'REV. FACHADA'!C55+'REV. FACHADA'!D55+'FORRO'!C55+'FORRO'!D55+'LOUÇAS'!C55+'LOUÇAS'!D55+'PINTURA'!C55+'PINTURA'!D55+'PAISAGISMO'!C55+'PAISAGISMO'!D55+'LIMPEZA'!C55+'LIMPEZA'!D55+'TAX. ADM'!C55+'TAX. ADM'!D55</f>
        <v/>
      </c>
      <c r="BG63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ACAB'!D56+'PAVIMENTAÇÃO'!C56+'PAVIMENTAÇÃO'!D56+'REV. FACHADA'!C56+'REV. FACHADA'!D56+'FORRO'!C56+'FORRO'!D56+'LOUÇAS'!C56+'LOUÇAS'!D56+'PINTURA'!C56+'PINTURA'!D56+'PAISAGISMO'!C56+'PAISAGISMO'!D56+'LIMPEZA'!C56+'LIMPEZA'!D56+'TAX. ADM'!C56+'TAX. ADM'!D56</f>
        <v/>
      </c>
      <c r="BH63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ACAB'!D57+'PAVIMENTAÇÃO'!C57+'PAVIMENTAÇÃO'!D57+'REV. FACHADA'!C57+'REV. FACHADA'!D57+'FORRO'!C57+'FORRO'!D57+'LOUÇAS'!C57+'LOUÇAS'!D57+'PINTURA'!C57+'PINTURA'!D57+'PAISAGISMO'!C57+'PAISAGISMO'!D57+'LIMPEZA'!C57+'LIMPEZA'!D57+'TAX. ADM'!C57+'TAX. ADM'!D57</f>
        <v/>
      </c>
      <c r="BI63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ACAB'!D58+'PAVIMENTAÇÃO'!C58+'PAVIMENTAÇÃO'!D58+'REV. FACHADA'!C58+'REV. FACHADA'!D58+'FORRO'!C58+'FORRO'!D58+'LOUÇAS'!C58+'LOUÇAS'!D58+'PINTURA'!C58+'PINTURA'!D58+'PAISAGISMO'!C58+'PAISAGISMO'!D58+'LIMPEZA'!C58+'LIMPEZA'!D58+'TAX. ADM'!C58+'TAX. ADM'!D58</f>
        <v/>
      </c>
      <c r="BJ63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ACAB'!D59+'PAVIMENTAÇÃO'!C59+'PAVIMENTAÇÃO'!D59+'REV. FACHADA'!C59+'REV. FACHADA'!D59+'FORRO'!C59+'FORRO'!D59+'LOUÇAS'!C59+'LOUÇAS'!D59+'PINTURA'!C59+'PINTURA'!D59+'PAISAGISMO'!C59+'PAISAGISMO'!D59+'LIMPEZA'!C59+'LIMPEZA'!D59+'TAX. ADM'!C59+'TAX. ADM'!D59</f>
        <v/>
      </c>
      <c r="BK63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ACAB'!D60+'PAVIMENTAÇÃO'!C60+'PAVIMENTAÇÃO'!D60+'REV. FACHADA'!C60+'REV. FACHADA'!D60+'FORRO'!C60+'FORRO'!D60+'LOUÇAS'!C60+'LOUÇAS'!D60+'PINTURA'!C60+'PINTURA'!D60+'PAISAGISMO'!C60+'PAISAGISMO'!D60+'LIMPEZA'!C60+'LIMPEZA'!D60+'TAX. ADM'!C60+'TAX. ADM'!D60</f>
        <v/>
      </c>
      <c r="BL63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ACAB'!D61+'PAVIMENTAÇÃO'!C61+'PAVIMENTAÇÃO'!D61+'REV. FACHADA'!C61+'REV. FACHADA'!D61+'FORRO'!C61+'FORRO'!D61+'LOUÇAS'!C61+'LOUÇAS'!D61+'PINTURA'!C61+'PINTURA'!D61+'PAISAGISMO'!C61+'PAISAGISMO'!D61+'LIMPEZA'!C61+'LIMPEZA'!D61+'TAX. ADM'!C61+'TAX. ADM'!D61</f>
        <v/>
      </c>
      <c r="BM63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ACAB'!D62+'PAVIMENTAÇÃO'!C62+'PAVIMENTAÇÃO'!D62+'REV. FACHADA'!C62+'REV. FACHADA'!D62+'FORRO'!C62+'FORRO'!D62+'LOUÇAS'!C62+'LOUÇAS'!D62+'PINTURA'!C62+'PINTURA'!D62+'PAISAGISMO'!C62+'PAISAGISMO'!D62+'LIMPEZA'!C62+'LIMPEZA'!D62+'TAX. ADM'!C62+'TAX. ADM'!D62</f>
        <v/>
      </c>
      <c r="BN63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ACAB'!D63+'PAVIMENTAÇÃO'!C63+'PAVIMENTAÇÃO'!D63+'REV. FACHADA'!C63+'REV. FACHADA'!D63+'FORRO'!C63+'FORRO'!D63+'LOUÇAS'!C63+'LOUÇAS'!D63+'PINTURA'!C63+'PINTURA'!D63+'PAISAGISMO'!C63+'PAISAGISMO'!D63+'LIMPEZA'!C63+'LIMPEZA'!D63+'TAX. ADM'!C63+'TAX. ADM'!D63</f>
        <v/>
      </c>
      <c r="BO63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ACAB'!D64+'PAVIMENTAÇÃO'!C64+'PAVIMENTAÇÃO'!D64+'REV. FACHADA'!C64+'REV. FACHADA'!D64+'FORRO'!C64+'FORRO'!D64+'LOUÇAS'!C64+'LOUÇAS'!D64+'PINTURA'!C64+'PINTURA'!D64+'PAISAGISMO'!C64+'PAISAGISMO'!D64+'LIMPEZA'!C64+'LIMPEZA'!D64+'TAX. ADM'!C64+'TAX. ADM'!D64</f>
        <v/>
      </c>
      <c r="BP63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ACAB'!D65+'PAVIMENTAÇÃO'!C65+'PAVIMENTAÇÃO'!D65+'REV. FACHADA'!C65+'REV. FACHADA'!D65+'FORRO'!C65+'FORRO'!D65+'LOUÇAS'!C65+'LOUÇAS'!D65+'PINTURA'!C65+'PINTURA'!D65+'PAISAGISMO'!C65+'PAISAGISMO'!D65+'LIMPEZA'!C65+'LIMPEZA'!D65+'TAX. ADM'!C65+'TAX. ADM'!D65</f>
        <v/>
      </c>
      <c r="BQ63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ACAB'!D66+'PAVIMENTAÇÃO'!C66+'PAVIMENTAÇÃO'!D66+'REV. FACHADA'!C66+'REV. FACHADA'!D66+'FORRO'!C66+'FORRO'!D66+'LOUÇAS'!C66+'LOUÇAS'!D66+'PINTURA'!C66+'PINTURA'!D66+'PAISAGISMO'!C66+'PAISAGISMO'!D66+'LIMPEZA'!C66+'LIMPEZA'!D66+'TAX. ADM'!C66+'TAX. ADM'!D66</f>
        <v/>
      </c>
      <c r="BR63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ACAB'!D67+'PAVIMENTAÇÃO'!C67+'PAVIMENTAÇÃO'!D67+'REV. FACHADA'!C67+'REV. FACHADA'!D67+'FORRO'!C67+'FORRO'!D67+'LOUÇAS'!C67+'LOUÇAS'!D67+'PINTURA'!C67+'PINTURA'!D67+'PAISAGISMO'!C67+'PAISAGISMO'!D67+'LIMPEZA'!C67+'LIMPEZA'!D67+'TAX. ADM'!C67+'TAX. ADM'!D67</f>
        <v/>
      </c>
      <c r="BS63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ACAB'!D68+'PAVIMENTAÇÃO'!C68+'PAVIMENTAÇÃO'!D68+'REV. FACHADA'!C68+'REV. FACHADA'!D68+'FORRO'!C68+'FORRO'!D68+'LOUÇAS'!C68+'LOUÇAS'!D68+'PINTURA'!C68+'PINTURA'!D68+'PAISAGISMO'!C68+'PAISAGISMO'!D68+'LIMPEZA'!C68+'LIMPEZA'!D68+'TAX. ADM'!C68+'TAX. ADM'!D68</f>
        <v/>
      </c>
      <c r="BT63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ACAB'!D69+'PAVIMENTAÇÃO'!C69+'PAVIMENTAÇÃO'!D69+'REV. FACHADA'!C69+'REV. FACHADA'!D69+'FORRO'!C69+'FORRO'!D69+'LOUÇAS'!C69+'LOUÇAS'!D69+'PINTURA'!C69+'PINTURA'!D69+'PAISAGISMO'!C69+'PAISAGISMO'!D69+'LIMPEZA'!C69+'LIMPEZA'!D69+'TAX. ADM'!C69+'TAX. ADM'!D69</f>
        <v/>
      </c>
      <c r="BU63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ACAB'!D70+'PAVIMENTAÇÃO'!C70+'PAVIMENTAÇÃO'!D70+'REV. FACHADA'!C70+'REV. FACHADA'!D70+'FORRO'!C70+'FORRO'!D70+'LOUÇAS'!C70+'LOUÇAS'!D70+'PINTURA'!C70+'PINTURA'!D70+'PAISAGISMO'!C70+'PAISAGISMO'!D70+'LIMPEZA'!C70+'LIMPEZA'!D70+'TAX. ADM'!C70+'TAX. ADM'!D70</f>
        <v/>
      </c>
      <c r="BV63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ACAB'!D71+'PAVIMENTAÇÃO'!C71+'PAVIMENTAÇÃO'!D71+'REV. FACHADA'!C71+'REV. FACHADA'!D71+'FORRO'!C71+'FORRO'!D71+'LOUÇAS'!C71+'LOUÇAS'!D71+'PINTURA'!C71+'PINTURA'!D71+'PAISAGISMO'!C71+'PAISAGISMO'!D71+'LIMPEZA'!C71+'LIMPEZA'!D71+'TAX. ADM'!C71+'TAX. ADM'!D71</f>
        <v/>
      </c>
      <c r="BW63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ACAB'!D72+'PAVIMENTAÇÃO'!C72+'PAVIMENTAÇÃO'!D72+'REV. FACHADA'!C72+'REV. FACHADA'!D72+'FORRO'!C72+'FORRO'!D72+'LOUÇAS'!C72+'LOUÇAS'!D72+'PINTURA'!C72+'PINTURA'!D72+'PAISAGISMO'!C72+'PAISAGISMO'!D72+'LIMPEZA'!C72+'LIMPEZA'!D72+'TAX. ADM'!C72+'TAX. ADM'!D72</f>
        <v/>
      </c>
      <c r="BX63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ACAB'!D73+'PAVIMENTAÇÃO'!C73+'PAVIMENTAÇÃO'!D73+'REV. FACHADA'!C73+'REV. FACHADA'!D73+'FORRO'!C73+'FORRO'!D73+'LOUÇAS'!C73+'LOUÇAS'!D73+'PINTURA'!C73+'PINTURA'!D73+'PAISAGISMO'!C73+'PAISAGISMO'!D73+'LIMPEZA'!C73+'LIMPEZA'!D73+'TAX. ADM'!C73+'TAX. ADM'!D73</f>
        <v/>
      </c>
      <c r="BY63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ACAB'!D74+'PAVIMENTAÇÃO'!C74+'PAVIMENTAÇÃO'!D74+'REV. FACHADA'!C74+'REV. FACHADA'!D74+'FORRO'!C74+'FORRO'!D74+'LOUÇAS'!C74+'LOUÇAS'!D74+'PINTURA'!C74+'PINTURA'!D74+'PAISAGISMO'!C74+'PAISAGISMO'!D74+'LIMPEZA'!C74+'LIMPEZA'!D74+'TAX. ADM'!C74+'TAX. ADM'!D74</f>
        <v/>
      </c>
      <c r="BZ63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ACAB'!D75+'PAVIMENTAÇÃO'!C75+'PAVIMENTAÇÃO'!D75+'REV. FACHADA'!C75+'REV. FACHADA'!D75+'FORRO'!C75+'FORRO'!D75+'LOUÇAS'!C75+'LOUÇAS'!D75+'PINTURA'!C75+'PINTURA'!D75+'PAISAGISMO'!C75+'PAISAGISMO'!D75+'LIMPEZA'!C75+'LIMPEZA'!D75+'TAX. ADM'!C75+'TAX. ADM'!D75</f>
        <v/>
      </c>
      <c r="CA63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ACAB'!D76+'PAVIMENTAÇÃO'!C76+'PAVIMENTAÇÃO'!D76+'REV.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46" t="inlineStr">
        <is>
          <t>CURVA ACUMULADA (R$ nominal)</t>
        </is>
      </c>
      <c r="E64" s="108">
        <f>CA64</f>
        <v/>
      </c>
      <c r="H64" s="54">
        <f>H63</f>
        <v/>
      </c>
      <c r="I64" s="54">
        <f>H64+I63</f>
        <v/>
      </c>
      <c r="J64" s="54">
        <f>I64+J63</f>
        <v/>
      </c>
      <c r="K64" s="54">
        <f>J64+K63</f>
        <v/>
      </c>
      <c r="L64" s="54">
        <f>K64+L63</f>
        <v/>
      </c>
      <c r="M64" s="54">
        <f>L64+M63</f>
        <v/>
      </c>
      <c r="N64" s="54">
        <f>M64+N63</f>
        <v/>
      </c>
      <c r="O64" s="54">
        <f>N64+O63</f>
        <v/>
      </c>
      <c r="P64" s="54">
        <f>O64+P63</f>
        <v/>
      </c>
      <c r="Q64" s="54">
        <f>P64+Q63</f>
        <v/>
      </c>
      <c r="R64" s="54">
        <f>Q64+R63</f>
        <v/>
      </c>
      <c r="S64" s="54">
        <f>R64+S63</f>
        <v/>
      </c>
      <c r="T64" s="54">
        <f>S64+T63</f>
        <v/>
      </c>
      <c r="U64" s="54">
        <f>T64+U63</f>
        <v/>
      </c>
      <c r="V64" s="54">
        <f>U64+V63</f>
        <v/>
      </c>
      <c r="W64" s="54">
        <f>V64+W63</f>
        <v/>
      </c>
      <c r="X64" s="54">
        <f>W64+X63</f>
        <v/>
      </c>
      <c r="Y64" s="54">
        <f>X64+Y63</f>
        <v/>
      </c>
      <c r="Z64" s="54">
        <f>Y64+Z63</f>
        <v/>
      </c>
      <c r="AA64" s="54">
        <f>Z64+AA63</f>
        <v/>
      </c>
      <c r="AB64" s="54">
        <f>AA64+AB63</f>
        <v/>
      </c>
      <c r="AC64" s="54">
        <f>AB64+AC63</f>
        <v/>
      </c>
      <c r="AD64" s="54">
        <f>AC64+AD63</f>
        <v/>
      </c>
      <c r="AE64" s="54">
        <f>AD64+AE63</f>
        <v/>
      </c>
      <c r="AF64" s="54">
        <f>AE64+AF63</f>
        <v/>
      </c>
      <c r="AG64" s="54">
        <f>AF64+AG63</f>
        <v/>
      </c>
      <c r="AH64" s="54">
        <f>AG64+AH63</f>
        <v/>
      </c>
      <c r="AI64" s="54">
        <f>AH64+AI63</f>
        <v/>
      </c>
      <c r="AJ64" s="54">
        <f>AI64+AJ63</f>
        <v/>
      </c>
      <c r="AK64" s="54">
        <f>AJ64+AK63</f>
        <v/>
      </c>
      <c r="AL64" s="54">
        <f>AK64+AL63</f>
        <v/>
      </c>
      <c r="AM64" s="54">
        <f>AL64+AM63</f>
        <v/>
      </c>
      <c r="AN64" s="54">
        <f>AM64+AN63</f>
        <v/>
      </c>
      <c r="AO64" s="54">
        <f>AN64+AO63</f>
        <v/>
      </c>
      <c r="AP64" s="54">
        <f>AO64+AP63</f>
        <v/>
      </c>
      <c r="AQ64" s="54">
        <f>AP64+AQ63</f>
        <v/>
      </c>
      <c r="AR64" s="54">
        <f>AQ64+AR63</f>
        <v/>
      </c>
      <c r="AS64" s="54">
        <f>AR64+AS63</f>
        <v/>
      </c>
      <c r="AT64" s="54">
        <f>AS64+AT63</f>
        <v/>
      </c>
      <c r="AU64" s="54">
        <f>AT64+AU63</f>
        <v/>
      </c>
      <c r="AV64" s="54">
        <f>AU64+AV63</f>
        <v/>
      </c>
      <c r="AW64" s="54">
        <f>AV64+AW63</f>
        <v/>
      </c>
      <c r="AX64" s="54">
        <f>AW64+AX63</f>
        <v/>
      </c>
      <c r="AY64" s="54">
        <f>AX64+AY63</f>
        <v/>
      </c>
      <c r="AZ64" s="54">
        <f>AY64+AZ63</f>
        <v/>
      </c>
      <c r="BA64" s="54">
        <f>AZ64+BA63</f>
        <v/>
      </c>
      <c r="BB64" s="54">
        <f>BA64+BB63</f>
        <v/>
      </c>
      <c r="BC64" s="54">
        <f>BB64+BC63</f>
        <v/>
      </c>
      <c r="BD64" s="54">
        <f>BC64+BD63</f>
        <v/>
      </c>
      <c r="BE64" s="54">
        <f>BD64+BE63</f>
        <v/>
      </c>
      <c r="BF64" s="54">
        <f>BE64+BF63</f>
        <v/>
      </c>
      <c r="BG64" s="54">
        <f>BF64+BG63</f>
        <v/>
      </c>
      <c r="BH64" s="54">
        <f>BG64+BH63</f>
        <v/>
      </c>
      <c r="BI64" s="54">
        <f>BH64+BI63</f>
        <v/>
      </c>
      <c r="BJ64" s="54">
        <f>BI64+BJ63</f>
        <v/>
      </c>
      <c r="BK64" s="54">
        <f>BJ64+BK63</f>
        <v/>
      </c>
      <c r="BL64" s="54">
        <f>BK64+BL63</f>
        <v/>
      </c>
      <c r="BM64" s="54">
        <f>BL64+BM63</f>
        <v/>
      </c>
      <c r="BN64" s="54">
        <f>BM64+BN63</f>
        <v/>
      </c>
      <c r="BO64" s="54">
        <f>BN64+BO63</f>
        <v/>
      </c>
      <c r="BP64" s="54">
        <f>BO64+BP63</f>
        <v/>
      </c>
      <c r="BQ64" s="54">
        <f>BP64+BQ63</f>
        <v/>
      </c>
      <c r="BR64" s="54">
        <f>BQ64+BR63</f>
        <v/>
      </c>
      <c r="BS64" s="54">
        <f>BR64+BS63</f>
        <v/>
      </c>
      <c r="BT64" s="54">
        <f>BS64+BT63</f>
        <v/>
      </c>
      <c r="BU64" s="54">
        <f>BT64+BU63</f>
        <v/>
      </c>
      <c r="BV64" s="54">
        <f>BU64+BV63</f>
        <v/>
      </c>
      <c r="BW64" s="54">
        <f>BV64+BW63</f>
        <v/>
      </c>
      <c r="BX64" s="54">
        <f>BW64+BX63</f>
        <v/>
      </c>
      <c r="BY64" s="54">
        <f>BX64+BY63</f>
        <v/>
      </c>
      <c r="BZ64" s="54">
        <f>BY64+BZ63</f>
        <v/>
      </c>
      <c r="CA64" s="54">
        <f>BZ64+CA63</f>
        <v/>
      </c>
    </row>
    <row r="65">
      <c r="C65" s="46" t="inlineStr">
        <is>
          <t>% ACUMULADO DA PROJEÇÃO</t>
        </is>
      </c>
      <c r="H65" s="109">
        <f>IF('VALOR POR PL'!$L$50=0,0,H64/'VALOR POR PL'!$L$50)</f>
        <v/>
      </c>
      <c r="I65" s="109">
        <f>IF('VALOR POR PL'!$L$50=0,0,I64/'VALOR POR PL'!$L$50)</f>
        <v/>
      </c>
      <c r="J65" s="109">
        <f>IF('VALOR POR PL'!$L$50=0,0,J64/'VALOR POR PL'!$L$50)</f>
        <v/>
      </c>
      <c r="K65" s="109">
        <f>IF('VALOR POR PL'!$L$50=0,0,K64/'VALOR POR PL'!$L$50)</f>
        <v/>
      </c>
      <c r="L65" s="109">
        <f>IF('VALOR POR PL'!$L$50=0,0,L64/'VALOR POR PL'!$L$50)</f>
        <v/>
      </c>
      <c r="M65" s="109">
        <f>IF('VALOR POR PL'!$L$50=0,0,M64/'VALOR POR PL'!$L$50)</f>
        <v/>
      </c>
      <c r="N65" s="109">
        <f>IF('VALOR POR PL'!$L$50=0,0,N64/'VALOR POR PL'!$L$50)</f>
        <v/>
      </c>
      <c r="O65" s="109">
        <f>IF('VALOR POR PL'!$L$50=0,0,O64/'VALOR POR PL'!$L$50)</f>
        <v/>
      </c>
      <c r="P65" s="109">
        <f>IF('VALOR POR PL'!$L$50=0,0,P64/'VALOR POR PL'!$L$50)</f>
        <v/>
      </c>
      <c r="Q65" s="109">
        <f>IF('VALOR POR PL'!$L$50=0,0,Q64/'VALOR POR PL'!$L$50)</f>
        <v/>
      </c>
      <c r="R65" s="109">
        <f>IF('VALOR POR PL'!$L$50=0,0,R64/'VALOR POR PL'!$L$50)</f>
        <v/>
      </c>
      <c r="S65" s="109">
        <f>IF('VALOR POR PL'!$L$50=0,0,S64/'VALOR POR PL'!$L$50)</f>
        <v/>
      </c>
      <c r="T65" s="109">
        <f>IF('VALOR POR PL'!$L$50=0,0,T64/'VALOR POR PL'!$L$50)</f>
        <v/>
      </c>
      <c r="U65" s="109">
        <f>IF('VALOR POR PL'!$L$50=0,0,U64/'VALOR POR PL'!$L$50)</f>
        <v/>
      </c>
      <c r="V65" s="109">
        <f>IF('VALOR POR PL'!$L$50=0,0,V64/'VALOR POR PL'!$L$50)</f>
        <v/>
      </c>
      <c r="W65" s="109">
        <f>IF('VALOR POR PL'!$L$50=0,0,W64/'VALOR POR PL'!$L$50)</f>
        <v/>
      </c>
      <c r="X65" s="109">
        <f>IF('VALOR POR PL'!$L$50=0,0,X64/'VALOR POR PL'!$L$50)</f>
        <v/>
      </c>
      <c r="Y65" s="109">
        <f>IF('VALOR POR PL'!$L$50=0,0,Y64/'VALOR POR PL'!$L$50)</f>
        <v/>
      </c>
      <c r="Z65" s="109">
        <f>IF('VALOR POR PL'!$L$50=0,0,Z64/'VALOR POR PL'!$L$50)</f>
        <v/>
      </c>
      <c r="AA65" s="109">
        <f>IF('VALOR POR PL'!$L$50=0,0,AA64/'VALOR POR PL'!$L$50)</f>
        <v/>
      </c>
      <c r="AB65" s="109">
        <f>IF('VALOR POR PL'!$L$50=0,0,AB64/'VALOR POR PL'!$L$50)</f>
        <v/>
      </c>
      <c r="AC65" s="109">
        <f>IF('VALOR POR PL'!$L$50=0,0,AC64/'VALOR POR PL'!$L$50)</f>
        <v/>
      </c>
      <c r="AD65" s="109">
        <f>IF('VALOR POR PL'!$L$50=0,0,AD64/'VALOR POR PL'!$L$50)</f>
        <v/>
      </c>
      <c r="AE65" s="109">
        <f>IF('VALOR POR PL'!$L$50=0,0,AE64/'VALOR POR PL'!$L$50)</f>
        <v/>
      </c>
      <c r="AF65" s="109">
        <f>IF('VALOR POR PL'!$L$50=0,0,AF64/'VALOR POR PL'!$L$50)</f>
        <v/>
      </c>
      <c r="AG65" s="109">
        <f>IF('VALOR POR PL'!$L$50=0,0,AG64/'VALOR POR PL'!$L$50)</f>
        <v/>
      </c>
      <c r="AH65" s="109">
        <f>IF('VALOR POR PL'!$L$50=0,0,AH64/'VALOR POR PL'!$L$50)</f>
        <v/>
      </c>
      <c r="AI65" s="109">
        <f>IF('VALOR POR PL'!$L$50=0,0,AI64/'VALOR POR PL'!$L$50)</f>
        <v/>
      </c>
      <c r="AJ65" s="109">
        <f>IF('VALOR POR PL'!$L$50=0,0,AJ64/'VALOR POR PL'!$L$50)</f>
        <v/>
      </c>
      <c r="AK65" s="109">
        <f>IF('VALOR POR PL'!$L$50=0,0,AK64/'VALOR POR PL'!$L$50)</f>
        <v/>
      </c>
      <c r="AL65" s="109">
        <f>IF('VALOR POR PL'!$L$50=0,0,AL64/'VALOR POR PL'!$L$50)</f>
        <v/>
      </c>
      <c r="AM65" s="109">
        <f>IF('VALOR POR PL'!$L$50=0,0,AM64/'VALOR POR PL'!$L$50)</f>
        <v/>
      </c>
      <c r="AN65" s="109">
        <f>IF('VALOR POR PL'!$L$50=0,0,AN64/'VALOR POR PL'!$L$50)</f>
        <v/>
      </c>
      <c r="AO65" s="109">
        <f>IF('VALOR POR PL'!$L$50=0,0,AO64/'VALOR POR PL'!$L$50)</f>
        <v/>
      </c>
      <c r="AP65" s="109">
        <f>IF('VALOR POR PL'!$L$50=0,0,AP64/'VALOR POR PL'!$L$50)</f>
        <v/>
      </c>
      <c r="AQ65" s="109">
        <f>IF('VALOR POR PL'!$L$50=0,0,AQ64/'VALOR POR PL'!$L$50)</f>
        <v/>
      </c>
      <c r="AR65" s="109">
        <f>IF('VALOR POR PL'!$L$50=0,0,AR64/'VALOR POR PL'!$L$50)</f>
        <v/>
      </c>
      <c r="AS65" s="109">
        <f>IF('VALOR POR PL'!$L$50=0,0,AS64/'VALOR POR PL'!$L$50)</f>
        <v/>
      </c>
      <c r="AT65" s="109">
        <f>IF('VALOR POR PL'!$L$50=0,0,AT64/'VALOR POR PL'!$L$50)</f>
        <v/>
      </c>
      <c r="AU65" s="109">
        <f>IF('VALOR POR PL'!$L$50=0,0,AU64/'VALOR POR PL'!$L$50)</f>
        <v/>
      </c>
      <c r="AV65" s="109">
        <f>IF('VALOR POR PL'!$L$50=0,0,AV64/'VALOR POR PL'!$L$50)</f>
        <v/>
      </c>
      <c r="AW65" s="109">
        <f>IF('VALOR POR PL'!$L$50=0,0,AW64/'VALOR POR PL'!$L$50)</f>
        <v/>
      </c>
      <c r="AX65" s="109">
        <f>IF('VALOR POR PL'!$L$50=0,0,AX64/'VALOR POR PL'!$L$50)</f>
        <v/>
      </c>
      <c r="AY65" s="109">
        <f>IF('VALOR POR PL'!$L$50=0,0,AY64/'VALOR POR PL'!$L$50)</f>
        <v/>
      </c>
      <c r="AZ65" s="109">
        <f>IF('VALOR POR PL'!$L$50=0,0,AZ64/'VALOR POR PL'!$L$50)</f>
        <v/>
      </c>
      <c r="BA65" s="109">
        <f>IF('VALOR POR PL'!$L$50=0,0,BA64/'VALOR POR PL'!$L$50)</f>
        <v/>
      </c>
      <c r="BB65" s="109">
        <f>IF('VALOR POR PL'!$L$50=0,0,BB64/'VALOR POR PL'!$L$50)</f>
        <v/>
      </c>
      <c r="BC65" s="109">
        <f>IF('VALOR POR PL'!$L$50=0,0,BC64/'VALOR POR PL'!$L$50)</f>
        <v/>
      </c>
      <c r="BD65" s="109">
        <f>IF('VALOR POR PL'!$L$50=0,0,BD64/'VALOR POR PL'!$L$50)</f>
        <v/>
      </c>
      <c r="BE65" s="109">
        <f>IF('VALOR POR PL'!$L$50=0,0,BE64/'VALOR POR PL'!$L$50)</f>
        <v/>
      </c>
      <c r="BF65" s="109">
        <f>IF('VALOR POR PL'!$L$50=0,0,BF64/'VALOR POR PL'!$L$50)</f>
        <v/>
      </c>
      <c r="BG65" s="109">
        <f>IF('VALOR POR PL'!$L$50=0,0,BG64/'VALOR POR PL'!$L$50)</f>
        <v/>
      </c>
      <c r="BH65" s="109">
        <f>IF('VALOR POR PL'!$L$50=0,0,BH64/'VALOR POR PL'!$L$50)</f>
        <v/>
      </c>
      <c r="BI65" s="109">
        <f>IF('VALOR POR PL'!$L$50=0,0,BI64/'VALOR POR PL'!$L$50)</f>
        <v/>
      </c>
      <c r="BJ65" s="109">
        <f>IF('VALOR POR PL'!$L$50=0,0,BJ64/'VALOR POR PL'!$L$50)</f>
        <v/>
      </c>
      <c r="BK65" s="109">
        <f>IF('VALOR POR PL'!$L$50=0,0,BK64/'VALOR POR PL'!$L$50)</f>
        <v/>
      </c>
      <c r="BL65" s="109">
        <f>IF('VALOR POR PL'!$L$50=0,0,BL64/'VALOR POR PL'!$L$50)</f>
        <v/>
      </c>
      <c r="BM65" s="109">
        <f>IF('VALOR POR PL'!$L$50=0,0,BM64/'VALOR POR PL'!$L$50)</f>
        <v/>
      </c>
      <c r="BN65" s="109">
        <f>IF('VALOR POR PL'!$L$50=0,0,BN64/'VALOR POR PL'!$L$50)</f>
        <v/>
      </c>
      <c r="BO65" s="109">
        <f>IF('VALOR POR PL'!$L$50=0,0,BO64/'VALOR POR PL'!$L$50)</f>
        <v/>
      </c>
      <c r="BP65" s="109">
        <f>IF('VALOR POR PL'!$L$50=0,0,BP64/'VALOR POR PL'!$L$50)</f>
        <v/>
      </c>
      <c r="BQ65" s="109">
        <f>IF('VALOR POR PL'!$L$50=0,0,BQ64/'VALOR POR PL'!$L$50)</f>
        <v/>
      </c>
      <c r="BR65" s="109">
        <f>IF('VALOR POR PL'!$L$50=0,0,BR64/'VALOR POR PL'!$L$50)</f>
        <v/>
      </c>
      <c r="BS65" s="109">
        <f>IF('VALOR POR PL'!$L$50=0,0,BS64/'VALOR POR PL'!$L$50)</f>
        <v/>
      </c>
      <c r="BT65" s="109">
        <f>IF('VALOR POR PL'!$L$50=0,0,BT64/'VALOR POR PL'!$L$50)</f>
        <v/>
      </c>
      <c r="BU65" s="109">
        <f>IF('VALOR POR PL'!$L$50=0,0,BU64/'VALOR POR PL'!$L$50)</f>
        <v/>
      </c>
      <c r="BV65" s="109">
        <f>IF('VALOR POR PL'!$L$50=0,0,BV64/'VALOR POR PL'!$L$50)</f>
        <v/>
      </c>
      <c r="BW65" s="109">
        <f>IF('VALOR POR PL'!$L$50=0,0,BW64/'VALOR POR PL'!$L$50)</f>
        <v/>
      </c>
      <c r="BX65" s="109">
        <f>IF('VALOR POR PL'!$L$50=0,0,BX64/'VALOR POR PL'!$L$50)</f>
        <v/>
      </c>
      <c r="BY65" s="109">
        <f>IF('VALOR POR PL'!$L$50=0,0,BY64/'VALOR POR PL'!$L$50)</f>
        <v/>
      </c>
      <c r="BZ65" s="109">
        <f>IF('VALOR POR PL'!$L$50=0,0,BZ64/'VALOR POR PL'!$L$50)</f>
        <v/>
      </c>
      <c r="CA65" s="109">
        <f>IF('VALOR POR PL'!$L$50=0,0,CA64/'VALOR POR PL'!$L$50)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0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5" t="inlineStr">
        <is>
          <t>Anotações (do arquivo original)</t>
        </is>
      </c>
    </row>
    <row r="4">
      <c r="A4" s="111">
        <f>'MODELO PARA BI'!H1</f>
        <v/>
      </c>
      <c r="B4" s="112" t="n"/>
      <c r="C4" s="109">
        <f>B4</f>
        <v/>
      </c>
      <c r="D4" s="62">
        <f>IF(A4&lt;='VALOR POR PL'!$P$5,'MODELO PARA BI'!H61,0)</f>
        <v/>
      </c>
      <c r="E4" s="62">
        <f>IF(A4&gt;'VALOR POR PL'!$P$5,'MODELO PARA BI'!H61,0)</f>
        <v/>
      </c>
      <c r="F4" s="109">
        <f>IF('MODELO PARA BI'!$E$61=0,0,(D4+E4)/'MODELO PARA BI'!$E$61)</f>
        <v/>
      </c>
      <c r="G4" s="109">
        <f>F4</f>
        <v/>
      </c>
      <c r="I4" s="49">
        <f>B4*'VALOR POR PL'!$G$50</f>
        <v/>
      </c>
      <c r="J4" s="54">
        <f>I4*IF(A4&lt;='VALOR POR PL'!$P$5,IFERROR(INDEX('"INCC-FGV"'!$B$2:$B$400,MATCH(A4,'"INCC-FGV"'!$A$2:$A$400,0)),'VALOR POR PL'!$P$7),'VALOR POR PL'!$P$7)</f>
        <v/>
      </c>
      <c r="K4" s="70">
        <f>'MODELO PARA BI'!H63</f>
        <v/>
      </c>
      <c r="L4" s="70">
        <f>'MODELO PARA BI'!H64</f>
        <v/>
      </c>
      <c r="M4" s="54">
        <f>J4</f>
        <v/>
      </c>
      <c r="O4" s="4" t="inlineStr">
        <is>
          <t>Email 18/08/26 -&gt; O fluxo fechou o ano em R$ 22.800 Mi</t>
        </is>
      </c>
    </row>
    <row r="5">
      <c r="A5" s="111">
        <f>'MODELO PARA BI'!I1</f>
        <v/>
      </c>
      <c r="B5" s="112" t="n"/>
      <c r="C5" s="109">
        <f>C4+B5</f>
        <v/>
      </c>
      <c r="D5" s="62">
        <f>IF(A5&lt;='VALOR POR PL'!$P$5,'MODELO PARA BI'!I61,0)</f>
        <v/>
      </c>
      <c r="E5" s="62">
        <f>IF(A5&gt;'VALOR POR PL'!$P$5,'MODELO PARA BI'!I61,0)</f>
        <v/>
      </c>
      <c r="F5" s="109">
        <f>IF('MODELO PARA BI'!$E$61=0,0,(D5+E5)/'MODELO PARA BI'!$E$61)</f>
        <v/>
      </c>
      <c r="G5" s="109">
        <f>G4+F5</f>
        <v/>
      </c>
      <c r="I5" s="49">
        <f>B5*'VALOR POR PL'!$G$50</f>
        <v/>
      </c>
      <c r="J5" s="54">
        <f>I5*IF(A5&lt;='VALOR POR PL'!$P$5,IFERROR(INDEX('"INCC-FGV"'!$B$2:$B$400,MATCH(A5,'"INCC-FGV"'!$A$2:$A$400,0)),'VALOR POR PL'!$P$7),'VALOR POR PL'!$P$7)</f>
        <v/>
      </c>
      <c r="K5" s="70">
        <f>'MODELO PARA BI'!I63</f>
        <v/>
      </c>
      <c r="L5" s="70">
        <f>'MODELO PARA BI'!I64</f>
        <v/>
      </c>
      <c r="M5" s="54">
        <f>M4+J5</f>
        <v/>
      </c>
      <c r="O5" s="4" t="inlineStr">
        <is>
          <t>Meta do ano (no BI está somando com a permuta de dez/25)</t>
        </is>
      </c>
    </row>
    <row r="6">
      <c r="A6" s="111">
        <f>'MODELO PARA BI'!J1</f>
        <v/>
      </c>
      <c r="B6" s="112" t="n"/>
      <c r="C6" s="109">
        <f>C5+B6</f>
        <v/>
      </c>
      <c r="D6" s="62">
        <f>IF(A6&lt;='VALOR POR PL'!$P$5,'MODELO PARA BI'!J61,0)</f>
        <v/>
      </c>
      <c r="E6" s="62">
        <f>IF(A6&gt;'VALOR POR PL'!$P$5,'MODELO PARA BI'!J61,0)</f>
        <v/>
      </c>
      <c r="F6" s="109">
        <f>IF('MODELO PARA BI'!$E$61=0,0,(D6+E6)/'MODELO PARA BI'!$E$61)</f>
        <v/>
      </c>
      <c r="G6" s="109">
        <f>G5+F6</f>
        <v/>
      </c>
      <c r="I6" s="49">
        <f>B6*'VALOR POR PL'!$G$50</f>
        <v/>
      </c>
      <c r="J6" s="54">
        <f>I6*IF(A6&lt;='VALOR POR PL'!$P$5,IFERROR(INDEX('"INCC-FGV"'!$B$2:$B$400,MATCH(A6,'"INCC-FGV"'!$A$2:$A$400,0)),'VALOR POR PL'!$P$7),'VALOR POR PL'!$P$7)</f>
        <v/>
      </c>
      <c r="K6" s="70">
        <f>'MODELO PARA BI'!J63</f>
        <v/>
      </c>
      <c r="L6" s="70">
        <f>'MODELO PARA BI'!J64</f>
        <v/>
      </c>
      <c r="M6" s="54">
        <f>M5+J6</f>
        <v/>
      </c>
      <c r="O6" s="4" t="inlineStr">
        <is>
          <t>Meta do ano = 27.300 Mi + 0.300 permuta</t>
        </is>
      </c>
    </row>
    <row r="7">
      <c r="A7" s="111">
        <f>'MODELO PARA BI'!K1</f>
        <v/>
      </c>
      <c r="B7" s="112" t="n"/>
      <c r="C7" s="109">
        <f>C6+B7</f>
        <v/>
      </c>
      <c r="D7" s="62">
        <f>IF(A7&lt;='VALOR POR PL'!$P$5,'MODELO PARA BI'!K61,0)</f>
        <v/>
      </c>
      <c r="E7" s="62">
        <f>IF(A7&gt;'VALOR POR PL'!$P$5,'MODELO PARA BI'!K61,0)</f>
        <v/>
      </c>
      <c r="F7" s="109">
        <f>IF('MODELO PARA BI'!$E$61=0,0,(D7+E7)/'MODELO PARA BI'!$E$61)</f>
        <v/>
      </c>
      <c r="G7" s="109">
        <f>G6+F7</f>
        <v/>
      </c>
      <c r="I7" s="49">
        <f>B7*'VALOR POR PL'!$G$50</f>
        <v/>
      </c>
      <c r="J7" s="54">
        <f>I7*IF(A7&lt;='VALOR POR PL'!$P$5,IFERROR(INDEX('"INCC-FGV"'!$B$2:$B$400,MATCH(A7,'"INCC-FGV"'!$A$2:$A$400,0)),'VALOR POR PL'!$P$7),'VALOR POR PL'!$P$7)</f>
        <v/>
      </c>
      <c r="K7" s="70">
        <f>'MODELO PARA BI'!K63</f>
        <v/>
      </c>
      <c r="L7" s="70">
        <f>'MODELO PARA BI'!K64</f>
        <v/>
      </c>
      <c r="M7" s="54">
        <f>M6+J7</f>
        <v/>
      </c>
      <c r="O7" s="4" t="inlineStr">
        <is>
          <t>Meta corrigida em Mar/2026 --&gt; R$ 23.700 Mi</t>
        </is>
      </c>
    </row>
    <row r="8">
      <c r="A8" s="111">
        <f>'MODELO PARA BI'!L1</f>
        <v/>
      </c>
      <c r="B8" s="112" t="n"/>
      <c r="C8" s="109">
        <f>C7+B8</f>
        <v/>
      </c>
      <c r="D8" s="62">
        <f>IF(A8&lt;='VALOR POR PL'!$P$5,'MODELO PARA BI'!L61,0)</f>
        <v/>
      </c>
      <c r="E8" s="62">
        <f>IF(A8&gt;'VALOR POR PL'!$P$5,'MODELO PARA BI'!L61,0)</f>
        <v/>
      </c>
      <c r="F8" s="109">
        <f>IF('MODELO PARA BI'!$E$61=0,0,(D8+E8)/'MODELO PARA BI'!$E$61)</f>
        <v/>
      </c>
      <c r="G8" s="109">
        <f>G7+F8</f>
        <v/>
      </c>
      <c r="I8" s="49">
        <f>B8*'VALOR POR PL'!$G$50</f>
        <v/>
      </c>
      <c r="J8" s="54">
        <f>I8*IF(A8&lt;='VALOR POR PL'!$P$5,IFERROR(INDEX('"INCC-FGV"'!$B$2:$B$400,MATCH(A8,'"INCC-FGV"'!$A$2:$A$400,0)),'VALOR POR PL'!$P$7),'VALOR POR PL'!$P$7)</f>
        <v/>
      </c>
      <c r="K8" s="70">
        <f>'MODELO PARA BI'!L63</f>
        <v/>
      </c>
      <c r="L8" s="70">
        <f>'MODELO PARA BI'!L64</f>
        <v/>
      </c>
      <c r="M8" s="54">
        <f>M7+J8</f>
        <v/>
      </c>
    </row>
    <row r="9">
      <c r="A9" s="111">
        <f>'MODELO PARA BI'!M1</f>
        <v/>
      </c>
      <c r="B9" s="112" t="n"/>
      <c r="C9" s="109">
        <f>C8+B9</f>
        <v/>
      </c>
      <c r="D9" s="62">
        <f>IF(A9&lt;='VALOR POR PL'!$P$5,'MODELO PARA BI'!M61,0)</f>
        <v/>
      </c>
      <c r="E9" s="62">
        <f>IF(A9&gt;'VALOR POR PL'!$P$5,'MODELO PARA BI'!M61,0)</f>
        <v/>
      </c>
      <c r="F9" s="109">
        <f>IF('MODELO PARA BI'!$E$61=0,0,(D9+E9)/'MODELO PARA BI'!$E$61)</f>
        <v/>
      </c>
      <c r="G9" s="109">
        <f>G8+F9</f>
        <v/>
      </c>
      <c r="I9" s="49">
        <f>B9*'VALOR POR PL'!$G$50</f>
        <v/>
      </c>
      <c r="J9" s="54">
        <f>I9*IF(A9&lt;='VALOR POR PL'!$P$5,IFERROR(INDEX('"INCC-FGV"'!$B$2:$B$400,MATCH(A9,'"INCC-FGV"'!$A$2:$A$400,0)),'VALOR POR PL'!$P$7),'VALOR POR PL'!$P$7)</f>
        <v/>
      </c>
      <c r="K9" s="70">
        <f>'MODELO PARA BI'!M63</f>
        <v/>
      </c>
      <c r="L9" s="70">
        <f>'MODELO PARA BI'!M64</f>
        <v/>
      </c>
      <c r="M9" s="54">
        <f>M8+J9</f>
        <v/>
      </c>
    </row>
    <row r="10">
      <c r="A10" s="111">
        <f>'MODELO PARA BI'!N1</f>
        <v/>
      </c>
      <c r="B10" s="112" t="n"/>
      <c r="C10" s="109">
        <f>C9+B10</f>
        <v/>
      </c>
      <c r="D10" s="62">
        <f>IF(A10&lt;='VALOR POR PL'!$P$5,'MODELO PARA BI'!N61,0)</f>
        <v/>
      </c>
      <c r="E10" s="62">
        <f>IF(A10&gt;'VALOR POR PL'!$P$5,'MODELO PARA BI'!N61,0)</f>
        <v/>
      </c>
      <c r="F10" s="109">
        <f>IF('MODELO PARA BI'!$E$61=0,0,(D10+E10)/'MODELO PARA BI'!$E$61)</f>
        <v/>
      </c>
      <c r="G10" s="109">
        <f>G9+F10</f>
        <v/>
      </c>
      <c r="I10" s="49">
        <f>B10*'VALOR POR PL'!$G$50</f>
        <v/>
      </c>
      <c r="J10" s="54">
        <f>I10*IF(A10&lt;='VALOR POR PL'!$P$5,IFERROR(INDEX('"INCC-FGV"'!$B$2:$B$400,MATCH(A10,'"INCC-FGV"'!$A$2:$A$400,0)),'VALOR POR PL'!$P$7),'VALOR POR PL'!$P$7)</f>
        <v/>
      </c>
      <c r="K10" s="70">
        <f>'MODELO PARA BI'!N63</f>
        <v/>
      </c>
      <c r="L10" s="70">
        <f>'MODELO PARA BI'!N64</f>
        <v/>
      </c>
      <c r="M10" s="54">
        <f>M9+J10</f>
        <v/>
      </c>
    </row>
    <row r="11">
      <c r="A11" s="111">
        <f>'MODELO PARA BI'!O1</f>
        <v/>
      </c>
      <c r="B11" s="112" t="n"/>
      <c r="C11" s="109">
        <f>C10+B11</f>
        <v/>
      </c>
      <c r="D11" s="62">
        <f>IF(A11&lt;='VALOR POR PL'!$P$5,'MODELO PARA BI'!O61,0)</f>
        <v/>
      </c>
      <c r="E11" s="62">
        <f>IF(A11&gt;'VALOR POR PL'!$P$5,'MODELO PARA BI'!O61,0)</f>
        <v/>
      </c>
      <c r="F11" s="109">
        <f>IF('MODELO PARA BI'!$E$61=0,0,(D11+E11)/'MODELO PARA BI'!$E$61)</f>
        <v/>
      </c>
      <c r="G11" s="109">
        <f>G10+F11</f>
        <v/>
      </c>
      <c r="I11" s="49">
        <f>B11*'VALOR POR PL'!$G$50</f>
        <v/>
      </c>
      <c r="J11" s="54">
        <f>I11*IF(A11&lt;='VALOR POR PL'!$P$5,IFERROR(INDEX('"INCC-FGV"'!$B$2:$B$400,MATCH(A11,'"INCC-FGV"'!$A$2:$A$400,0)),'VALOR POR PL'!$P$7),'VALOR POR PL'!$P$7)</f>
        <v/>
      </c>
      <c r="K11" s="70">
        <f>'MODELO PARA BI'!O63</f>
        <v/>
      </c>
      <c r="L11" s="70">
        <f>'MODELO PARA BI'!O64</f>
        <v/>
      </c>
      <c r="M11" s="54">
        <f>M10+J11</f>
        <v/>
      </c>
    </row>
    <row r="12">
      <c r="A12" s="111">
        <f>'MODELO PARA BI'!P1</f>
        <v/>
      </c>
      <c r="B12" s="112" t="n"/>
      <c r="C12" s="109">
        <f>C11+B12</f>
        <v/>
      </c>
      <c r="D12" s="62">
        <f>IF(A12&lt;='VALOR POR PL'!$P$5,'MODELO PARA BI'!P61,0)</f>
        <v/>
      </c>
      <c r="E12" s="62">
        <f>IF(A12&gt;'VALOR POR PL'!$P$5,'MODELO PARA BI'!P61,0)</f>
        <v/>
      </c>
      <c r="F12" s="109">
        <f>IF('MODELO PARA BI'!$E$61=0,0,(D12+E12)/'MODELO PARA BI'!$E$61)</f>
        <v/>
      </c>
      <c r="G12" s="109">
        <f>G11+F12</f>
        <v/>
      </c>
      <c r="I12" s="49">
        <f>B12*'VALOR POR PL'!$G$50</f>
        <v/>
      </c>
      <c r="J12" s="54">
        <f>I12*IF(A12&lt;='VALOR POR PL'!$P$5,IFERROR(INDEX('"INCC-FGV"'!$B$2:$B$400,MATCH(A12,'"INCC-FGV"'!$A$2:$A$400,0)),'VALOR POR PL'!$P$7),'VALOR POR PL'!$P$7)</f>
        <v/>
      </c>
      <c r="K12" s="70">
        <f>'MODELO PARA BI'!P63</f>
        <v/>
      </c>
      <c r="L12" s="70">
        <f>'MODELO PARA BI'!P64</f>
        <v/>
      </c>
      <c r="M12" s="54">
        <f>M11+J12</f>
        <v/>
      </c>
    </row>
    <row r="13">
      <c r="A13" s="111">
        <f>'MODELO PARA BI'!Q1</f>
        <v/>
      </c>
      <c r="B13" s="112" t="n"/>
      <c r="C13" s="109">
        <f>C12+B13</f>
        <v/>
      </c>
      <c r="D13" s="62">
        <f>IF(A13&lt;='VALOR POR PL'!$P$5,'MODELO PARA BI'!Q61,0)</f>
        <v/>
      </c>
      <c r="E13" s="62">
        <f>IF(A13&gt;'VALOR POR PL'!$P$5,'MODELO PARA BI'!Q61,0)</f>
        <v/>
      </c>
      <c r="F13" s="109">
        <f>IF('MODELO PARA BI'!$E$61=0,0,(D13+E13)/'MODELO PARA BI'!$E$61)</f>
        <v/>
      </c>
      <c r="G13" s="109">
        <f>G12+F13</f>
        <v/>
      </c>
      <c r="I13" s="49">
        <f>B13*'VALOR POR PL'!$G$50</f>
        <v/>
      </c>
      <c r="J13" s="54">
        <f>I13*IF(A13&lt;='VALOR POR PL'!$P$5,IFERROR(INDEX('"INCC-FGV"'!$B$2:$B$400,MATCH(A13,'"INCC-FGV"'!$A$2:$A$400,0)),'VALOR POR PL'!$P$7),'VALOR POR PL'!$P$7)</f>
        <v/>
      </c>
      <c r="K13" s="70">
        <f>'MODELO PARA BI'!Q63</f>
        <v/>
      </c>
      <c r="L13" s="70">
        <f>'MODELO PARA BI'!Q64</f>
        <v/>
      </c>
      <c r="M13" s="54">
        <f>M12+J13</f>
        <v/>
      </c>
    </row>
    <row r="14">
      <c r="A14" s="111">
        <f>'MODELO PARA BI'!R1</f>
        <v/>
      </c>
      <c r="B14" s="112" t="n"/>
      <c r="C14" s="109">
        <f>C13+B14</f>
        <v/>
      </c>
      <c r="D14" s="62">
        <f>IF(A14&lt;='VALOR POR PL'!$P$5,'MODELO PARA BI'!R61,0)</f>
        <v/>
      </c>
      <c r="E14" s="62">
        <f>IF(A14&gt;'VALOR POR PL'!$P$5,'MODELO PARA BI'!R61,0)</f>
        <v/>
      </c>
      <c r="F14" s="109">
        <f>IF('MODELO PARA BI'!$E$61=0,0,(D14+E14)/'MODELO PARA BI'!$E$61)</f>
        <v/>
      </c>
      <c r="G14" s="109">
        <f>G13+F14</f>
        <v/>
      </c>
      <c r="I14" s="49">
        <f>B14*'VALOR POR PL'!$G$50</f>
        <v/>
      </c>
      <c r="J14" s="54">
        <f>I14*IF(A14&lt;='VALOR POR PL'!$P$5,IFERROR(INDEX('"INCC-FGV"'!$B$2:$B$400,MATCH(A14,'"INCC-FGV"'!$A$2:$A$400,0)),'VALOR POR PL'!$P$7),'VALOR POR PL'!$P$7)</f>
        <v/>
      </c>
      <c r="K14" s="70">
        <f>'MODELO PARA BI'!R63</f>
        <v/>
      </c>
      <c r="L14" s="70">
        <f>'MODELO PARA BI'!R64</f>
        <v/>
      </c>
      <c r="M14" s="54">
        <f>M13+J14</f>
        <v/>
      </c>
    </row>
    <row r="15">
      <c r="A15" s="111">
        <f>'MODELO PARA BI'!S1</f>
        <v/>
      </c>
      <c r="B15" s="112" t="n"/>
      <c r="C15" s="109">
        <f>C14+B15</f>
        <v/>
      </c>
      <c r="D15" s="62">
        <f>IF(A15&lt;='VALOR POR PL'!$P$5,'MODELO PARA BI'!S61,0)</f>
        <v/>
      </c>
      <c r="E15" s="62">
        <f>IF(A15&gt;'VALOR POR PL'!$P$5,'MODELO PARA BI'!S61,0)</f>
        <v/>
      </c>
      <c r="F15" s="109">
        <f>IF('MODELO PARA BI'!$E$61=0,0,(D15+E15)/'MODELO PARA BI'!$E$61)</f>
        <v/>
      </c>
      <c r="G15" s="109">
        <f>G14+F15</f>
        <v/>
      </c>
      <c r="I15" s="49">
        <f>B15*'VALOR POR PL'!$G$50</f>
        <v/>
      </c>
      <c r="J15" s="54">
        <f>I15*IF(A15&lt;='VALOR POR PL'!$P$5,IFERROR(INDEX('"INCC-FGV"'!$B$2:$B$400,MATCH(A15,'"INCC-FGV"'!$A$2:$A$400,0)),'VALOR POR PL'!$P$7),'VALOR POR PL'!$P$7)</f>
        <v/>
      </c>
      <c r="K15" s="70">
        <f>'MODELO PARA BI'!S63</f>
        <v/>
      </c>
      <c r="L15" s="70">
        <f>'MODELO PARA BI'!S64</f>
        <v/>
      </c>
      <c r="M15" s="54">
        <f>M14+J15</f>
        <v/>
      </c>
    </row>
    <row r="16">
      <c r="A16" s="111">
        <f>'MODELO PARA BI'!T1</f>
        <v/>
      </c>
      <c r="B16" s="112" t="n"/>
      <c r="C16" s="109">
        <f>C15+B16</f>
        <v/>
      </c>
      <c r="D16" s="62">
        <f>IF(A16&lt;='VALOR POR PL'!$P$5,'MODELO PARA BI'!T61,0)</f>
        <v/>
      </c>
      <c r="E16" s="62">
        <f>IF(A16&gt;'VALOR POR PL'!$P$5,'MODELO PARA BI'!T61,0)</f>
        <v/>
      </c>
      <c r="F16" s="109">
        <f>IF('MODELO PARA BI'!$E$61=0,0,(D16+E16)/'MODELO PARA BI'!$E$61)</f>
        <v/>
      </c>
      <c r="G16" s="109">
        <f>G15+F16</f>
        <v/>
      </c>
      <c r="I16" s="49">
        <f>B16*'VALOR POR PL'!$G$50</f>
        <v/>
      </c>
      <c r="J16" s="54">
        <f>I16*IF(A16&lt;='VALOR POR PL'!$P$5,IFERROR(INDEX('"INCC-FGV"'!$B$2:$B$400,MATCH(A16,'"INCC-FGV"'!$A$2:$A$400,0)),'VALOR POR PL'!$P$7),'VALOR POR PL'!$P$7)</f>
        <v/>
      </c>
      <c r="K16" s="70">
        <f>'MODELO PARA BI'!T63</f>
        <v/>
      </c>
      <c r="L16" s="70">
        <f>'MODELO PARA BI'!T64</f>
        <v/>
      </c>
      <c r="M16" s="54">
        <f>M15+J16</f>
        <v/>
      </c>
    </row>
    <row r="17">
      <c r="A17" s="111">
        <f>'MODELO PARA BI'!U1</f>
        <v/>
      </c>
      <c r="B17" s="112" t="n"/>
      <c r="C17" s="109">
        <f>C16+B17</f>
        <v/>
      </c>
      <c r="D17" s="62">
        <f>IF(A17&lt;='VALOR POR PL'!$P$5,'MODELO PARA BI'!U61,0)</f>
        <v/>
      </c>
      <c r="E17" s="62">
        <f>IF(A17&gt;'VALOR POR PL'!$P$5,'MODELO PARA BI'!U61,0)</f>
        <v/>
      </c>
      <c r="F17" s="109">
        <f>IF('MODELO PARA BI'!$E$61=0,0,(D17+E17)/'MODELO PARA BI'!$E$61)</f>
        <v/>
      </c>
      <c r="G17" s="109">
        <f>G16+F17</f>
        <v/>
      </c>
      <c r="I17" s="49">
        <f>B17*'VALOR POR PL'!$G$50</f>
        <v/>
      </c>
      <c r="J17" s="54">
        <f>I17*IF(A17&lt;='VALOR POR PL'!$P$5,IFERROR(INDEX('"INCC-FGV"'!$B$2:$B$400,MATCH(A17,'"INCC-FGV"'!$A$2:$A$400,0)),'VALOR POR PL'!$P$7),'VALOR POR PL'!$P$7)</f>
        <v/>
      </c>
      <c r="K17" s="70">
        <f>'MODELO PARA BI'!U63</f>
        <v/>
      </c>
      <c r="L17" s="70">
        <f>'MODELO PARA BI'!U64</f>
        <v/>
      </c>
      <c r="M17" s="54">
        <f>M16+J17</f>
        <v/>
      </c>
    </row>
    <row r="18">
      <c r="A18" s="111">
        <f>'MODELO PARA BI'!V1</f>
        <v/>
      </c>
      <c r="B18" s="112" t="n"/>
      <c r="C18" s="109">
        <f>C17+B18</f>
        <v/>
      </c>
      <c r="D18" s="62">
        <f>IF(A18&lt;='VALOR POR PL'!$P$5,'MODELO PARA BI'!V61,0)</f>
        <v/>
      </c>
      <c r="E18" s="62">
        <f>IF(A18&gt;'VALOR POR PL'!$P$5,'MODELO PARA BI'!V61,0)</f>
        <v/>
      </c>
      <c r="F18" s="109">
        <f>IF('MODELO PARA BI'!$E$61=0,0,(D18+E18)/'MODELO PARA BI'!$E$61)</f>
        <v/>
      </c>
      <c r="G18" s="109">
        <f>G17+F18</f>
        <v/>
      </c>
      <c r="I18" s="49">
        <f>B18*'VALOR POR PL'!$G$50</f>
        <v/>
      </c>
      <c r="J18" s="54">
        <f>I18*IF(A18&lt;='VALOR POR PL'!$P$5,IFERROR(INDEX('"INCC-FGV"'!$B$2:$B$400,MATCH(A18,'"INCC-FGV"'!$A$2:$A$400,0)),'VALOR POR PL'!$P$7),'VALOR POR PL'!$P$7)</f>
        <v/>
      </c>
      <c r="K18" s="70">
        <f>'MODELO PARA BI'!V63</f>
        <v/>
      </c>
      <c r="L18" s="70">
        <f>'MODELO PARA BI'!V64</f>
        <v/>
      </c>
      <c r="M18" s="54">
        <f>M17+J18</f>
        <v/>
      </c>
    </row>
    <row r="19">
      <c r="A19" s="111">
        <f>'MODELO PARA BI'!W1</f>
        <v/>
      </c>
      <c r="B19" s="112" t="n"/>
      <c r="C19" s="109">
        <f>C18+B19</f>
        <v/>
      </c>
      <c r="D19" s="62">
        <f>IF(A19&lt;='VALOR POR PL'!$P$5,'MODELO PARA BI'!W61,0)</f>
        <v/>
      </c>
      <c r="E19" s="62">
        <f>IF(A19&gt;'VALOR POR PL'!$P$5,'MODELO PARA BI'!W61,0)</f>
        <v/>
      </c>
      <c r="F19" s="109">
        <f>IF('MODELO PARA BI'!$E$61=0,0,(D19+E19)/'MODELO PARA BI'!$E$61)</f>
        <v/>
      </c>
      <c r="G19" s="109">
        <f>G18+F19</f>
        <v/>
      </c>
      <c r="I19" s="49">
        <f>B19*'VALOR POR PL'!$G$50</f>
        <v/>
      </c>
      <c r="J19" s="54">
        <f>I19*IF(A19&lt;='VALOR POR PL'!$P$5,IFERROR(INDEX('"INCC-FGV"'!$B$2:$B$400,MATCH(A19,'"INCC-FGV"'!$A$2:$A$400,0)),'VALOR POR PL'!$P$7),'VALOR POR PL'!$P$7)</f>
        <v/>
      </c>
      <c r="K19" s="70">
        <f>'MODELO PARA BI'!W63</f>
        <v/>
      </c>
      <c r="L19" s="70">
        <f>'MODELO PARA BI'!W64</f>
        <v/>
      </c>
      <c r="M19" s="54">
        <f>M18+J19</f>
        <v/>
      </c>
    </row>
    <row r="20">
      <c r="A20" s="111">
        <f>'MODELO PARA BI'!X1</f>
        <v/>
      </c>
      <c r="B20" s="112" t="n"/>
      <c r="C20" s="109">
        <f>C19+B20</f>
        <v/>
      </c>
      <c r="D20" s="62">
        <f>IF(A20&lt;='VALOR POR PL'!$P$5,'MODELO PARA BI'!X61,0)</f>
        <v/>
      </c>
      <c r="E20" s="62">
        <f>IF(A20&gt;'VALOR POR PL'!$P$5,'MODELO PARA BI'!X61,0)</f>
        <v/>
      </c>
      <c r="F20" s="109">
        <f>IF('MODELO PARA BI'!$E$61=0,0,(D20+E20)/'MODELO PARA BI'!$E$61)</f>
        <v/>
      </c>
      <c r="G20" s="109">
        <f>G19+F20</f>
        <v/>
      </c>
      <c r="I20" s="49">
        <f>B20*'VALOR POR PL'!$G$50</f>
        <v/>
      </c>
      <c r="J20" s="54">
        <f>I20*IF(A20&lt;='VALOR POR PL'!$P$5,IFERROR(INDEX('"INCC-FGV"'!$B$2:$B$400,MATCH(A20,'"INCC-FGV"'!$A$2:$A$400,0)),'VALOR POR PL'!$P$7),'VALOR POR PL'!$P$7)</f>
        <v/>
      </c>
      <c r="K20" s="70">
        <f>'MODELO PARA BI'!X63</f>
        <v/>
      </c>
      <c r="L20" s="70">
        <f>'MODELO PARA BI'!X64</f>
        <v/>
      </c>
      <c r="M20" s="54">
        <f>M19+J20</f>
        <v/>
      </c>
    </row>
    <row r="21">
      <c r="A21" s="111">
        <f>'MODELO PARA BI'!Y1</f>
        <v/>
      </c>
      <c r="B21" s="112" t="n"/>
      <c r="C21" s="109">
        <f>C20+B21</f>
        <v/>
      </c>
      <c r="D21" s="62">
        <f>IF(A21&lt;='VALOR POR PL'!$P$5,'MODELO PARA BI'!Y61,0)</f>
        <v/>
      </c>
      <c r="E21" s="62">
        <f>IF(A21&gt;'VALOR POR PL'!$P$5,'MODELO PARA BI'!Y61,0)</f>
        <v/>
      </c>
      <c r="F21" s="109">
        <f>IF('MODELO PARA BI'!$E$61=0,0,(D21+E21)/'MODELO PARA BI'!$E$61)</f>
        <v/>
      </c>
      <c r="G21" s="109">
        <f>G20+F21</f>
        <v/>
      </c>
      <c r="I21" s="49">
        <f>B21*'VALOR POR PL'!$G$50</f>
        <v/>
      </c>
      <c r="J21" s="54">
        <f>I21*IF(A21&lt;='VALOR POR PL'!$P$5,IFERROR(INDEX('"INCC-FGV"'!$B$2:$B$400,MATCH(A21,'"INCC-FGV"'!$A$2:$A$400,0)),'VALOR POR PL'!$P$7),'VALOR POR PL'!$P$7)</f>
        <v/>
      </c>
      <c r="K21" s="70">
        <f>'MODELO PARA BI'!Y63</f>
        <v/>
      </c>
      <c r="L21" s="70">
        <f>'MODELO PARA BI'!Y64</f>
        <v/>
      </c>
      <c r="M21" s="54">
        <f>M20+J21</f>
        <v/>
      </c>
    </row>
    <row r="22">
      <c r="A22" s="111">
        <f>'MODELO PARA BI'!Z1</f>
        <v/>
      </c>
      <c r="B22" s="112" t="n"/>
      <c r="C22" s="109">
        <f>C21+B22</f>
        <v/>
      </c>
      <c r="D22" s="62">
        <f>IF(A22&lt;='VALOR POR PL'!$P$5,'MODELO PARA BI'!Z61,0)</f>
        <v/>
      </c>
      <c r="E22" s="62">
        <f>IF(A22&gt;'VALOR POR PL'!$P$5,'MODELO PARA BI'!Z61,0)</f>
        <v/>
      </c>
      <c r="F22" s="109">
        <f>IF('MODELO PARA BI'!$E$61=0,0,(D22+E22)/'MODELO PARA BI'!$E$61)</f>
        <v/>
      </c>
      <c r="G22" s="109">
        <f>G21+F22</f>
        <v/>
      </c>
      <c r="I22" s="49">
        <f>B22*'VALOR POR PL'!$G$50</f>
        <v/>
      </c>
      <c r="J22" s="54">
        <f>I22*IF(A22&lt;='VALOR POR PL'!$P$5,IFERROR(INDEX('"INCC-FGV"'!$B$2:$B$400,MATCH(A22,'"INCC-FGV"'!$A$2:$A$400,0)),'VALOR POR PL'!$P$7),'VALOR POR PL'!$P$7)</f>
        <v/>
      </c>
      <c r="K22" s="70">
        <f>'MODELO PARA BI'!Z63</f>
        <v/>
      </c>
      <c r="L22" s="70">
        <f>'MODELO PARA BI'!Z64</f>
        <v/>
      </c>
      <c r="M22" s="54">
        <f>M21+J22</f>
        <v/>
      </c>
    </row>
    <row r="23">
      <c r="A23" s="111">
        <f>'MODELO PARA BI'!AA1</f>
        <v/>
      </c>
      <c r="B23" s="112" t="n"/>
      <c r="C23" s="109">
        <f>C22+B23</f>
        <v/>
      </c>
      <c r="D23" s="62">
        <f>IF(A23&lt;='VALOR POR PL'!$P$5,'MODELO PARA BI'!AA61,0)</f>
        <v/>
      </c>
      <c r="E23" s="62">
        <f>IF(A23&gt;'VALOR POR PL'!$P$5,'MODELO PARA BI'!AA61,0)</f>
        <v/>
      </c>
      <c r="F23" s="109">
        <f>IF('MODELO PARA BI'!$E$61=0,0,(D23+E23)/'MODELO PARA BI'!$E$61)</f>
        <v/>
      </c>
      <c r="G23" s="109">
        <f>G22+F23</f>
        <v/>
      </c>
      <c r="I23" s="49">
        <f>B23*'VALOR POR PL'!$G$50</f>
        <v/>
      </c>
      <c r="J23" s="54">
        <f>I23*IF(A23&lt;='VALOR POR PL'!$P$5,IFERROR(INDEX('"INCC-FGV"'!$B$2:$B$400,MATCH(A23,'"INCC-FGV"'!$A$2:$A$400,0)),'VALOR POR PL'!$P$7),'VALOR POR PL'!$P$7)</f>
        <v/>
      </c>
      <c r="K23" s="70">
        <f>'MODELO PARA BI'!AA63</f>
        <v/>
      </c>
      <c r="L23" s="70">
        <f>'MODELO PARA BI'!AA64</f>
        <v/>
      </c>
      <c r="M23" s="54">
        <f>M22+J23</f>
        <v/>
      </c>
    </row>
    <row r="24">
      <c r="A24" s="111">
        <f>'MODELO PARA BI'!AB1</f>
        <v/>
      </c>
      <c r="B24" s="112" t="n"/>
      <c r="C24" s="109">
        <f>C23+B24</f>
        <v/>
      </c>
      <c r="D24" s="62">
        <f>IF(A24&lt;='VALOR POR PL'!$P$5,'MODELO PARA BI'!AB61,0)</f>
        <v/>
      </c>
      <c r="E24" s="62">
        <f>IF(A24&gt;'VALOR POR PL'!$P$5,'MODELO PARA BI'!AB61,0)</f>
        <v/>
      </c>
      <c r="F24" s="109">
        <f>IF('MODELO PARA BI'!$E$61=0,0,(D24+E24)/'MODELO PARA BI'!$E$61)</f>
        <v/>
      </c>
      <c r="G24" s="109">
        <f>G23+F24</f>
        <v/>
      </c>
      <c r="I24" s="49">
        <f>B24*'VALOR POR PL'!$G$50</f>
        <v/>
      </c>
      <c r="J24" s="54">
        <f>I24*IF(A24&lt;='VALOR POR PL'!$P$5,IFERROR(INDEX('"INCC-FGV"'!$B$2:$B$400,MATCH(A24,'"INCC-FGV"'!$A$2:$A$400,0)),'VALOR POR PL'!$P$7),'VALOR POR PL'!$P$7)</f>
        <v/>
      </c>
      <c r="K24" s="70">
        <f>'MODELO PARA BI'!AB63</f>
        <v/>
      </c>
      <c r="L24" s="70">
        <f>'MODELO PARA BI'!AB64</f>
        <v/>
      </c>
      <c r="M24" s="54">
        <f>M23+J24</f>
        <v/>
      </c>
    </row>
    <row r="25">
      <c r="A25" s="111">
        <f>'MODELO PARA BI'!AC1</f>
        <v/>
      </c>
      <c r="B25" s="112" t="n"/>
      <c r="C25" s="109">
        <f>C24+B25</f>
        <v/>
      </c>
      <c r="D25" s="62">
        <f>IF(A25&lt;='VALOR POR PL'!$P$5,'MODELO PARA BI'!AC61,0)</f>
        <v/>
      </c>
      <c r="E25" s="62">
        <f>IF(A25&gt;'VALOR POR PL'!$P$5,'MODELO PARA BI'!AC61,0)</f>
        <v/>
      </c>
      <c r="F25" s="109">
        <f>IF('MODELO PARA BI'!$E$61=0,0,(D25+E25)/'MODELO PARA BI'!$E$61)</f>
        <v/>
      </c>
      <c r="G25" s="109">
        <f>G24+F25</f>
        <v/>
      </c>
      <c r="I25" s="49">
        <f>B25*'VALOR POR PL'!$G$50</f>
        <v/>
      </c>
      <c r="J25" s="54">
        <f>I25*IF(A25&lt;='VALOR POR PL'!$P$5,IFERROR(INDEX('"INCC-FGV"'!$B$2:$B$400,MATCH(A25,'"INCC-FGV"'!$A$2:$A$400,0)),'VALOR POR PL'!$P$7),'VALOR POR PL'!$P$7)</f>
        <v/>
      </c>
      <c r="K25" s="70">
        <f>'MODELO PARA BI'!AC63</f>
        <v/>
      </c>
      <c r="L25" s="70">
        <f>'MODELO PARA BI'!AC64</f>
        <v/>
      </c>
      <c r="M25" s="54">
        <f>M24+J25</f>
        <v/>
      </c>
    </row>
    <row r="26">
      <c r="A26" s="111">
        <f>'MODELO PARA BI'!AD1</f>
        <v/>
      </c>
      <c r="B26" s="112" t="n"/>
      <c r="C26" s="109">
        <f>C25+B26</f>
        <v/>
      </c>
      <c r="D26" s="62">
        <f>IF(A26&lt;='VALOR POR PL'!$P$5,'MODELO PARA BI'!AD61,0)</f>
        <v/>
      </c>
      <c r="E26" s="62">
        <f>IF(A26&gt;'VALOR POR PL'!$P$5,'MODELO PARA BI'!AD61,0)</f>
        <v/>
      </c>
      <c r="F26" s="109">
        <f>IF('MODELO PARA BI'!$E$61=0,0,(D26+E26)/'MODELO PARA BI'!$E$61)</f>
        <v/>
      </c>
      <c r="G26" s="109">
        <f>G25+F26</f>
        <v/>
      </c>
      <c r="I26" s="49">
        <f>B26*'VALOR POR PL'!$G$50</f>
        <v/>
      </c>
      <c r="J26" s="54">
        <f>I26*IF(A26&lt;='VALOR POR PL'!$P$5,IFERROR(INDEX('"INCC-FGV"'!$B$2:$B$400,MATCH(A26,'"INCC-FGV"'!$A$2:$A$400,0)),'VALOR POR PL'!$P$7),'VALOR POR PL'!$P$7)</f>
        <v/>
      </c>
      <c r="K26" s="70">
        <f>'MODELO PARA BI'!AD63</f>
        <v/>
      </c>
      <c r="L26" s="70">
        <f>'MODELO PARA BI'!AD64</f>
        <v/>
      </c>
      <c r="M26" s="54">
        <f>M25+J26</f>
        <v/>
      </c>
    </row>
    <row r="27">
      <c r="A27" s="111">
        <f>'MODELO PARA BI'!AE1</f>
        <v/>
      </c>
      <c r="B27" s="112" t="n"/>
      <c r="C27" s="109">
        <f>C26+B27</f>
        <v/>
      </c>
      <c r="D27" s="62">
        <f>IF(A27&lt;='VALOR POR PL'!$P$5,'MODELO PARA BI'!AE61,0)</f>
        <v/>
      </c>
      <c r="E27" s="62">
        <f>IF(A27&gt;'VALOR POR PL'!$P$5,'MODELO PARA BI'!AE61,0)</f>
        <v/>
      </c>
      <c r="F27" s="109">
        <f>IF('MODELO PARA BI'!$E$61=0,0,(D27+E27)/'MODELO PARA BI'!$E$61)</f>
        <v/>
      </c>
      <c r="G27" s="109">
        <f>G26+F27</f>
        <v/>
      </c>
      <c r="I27" s="49">
        <f>B27*'VALOR POR PL'!$G$50</f>
        <v/>
      </c>
      <c r="J27" s="54">
        <f>I27*IF(A27&lt;='VALOR POR PL'!$P$5,IFERROR(INDEX('"INCC-FGV"'!$B$2:$B$400,MATCH(A27,'"INCC-FGV"'!$A$2:$A$400,0)),'VALOR POR PL'!$P$7),'VALOR POR PL'!$P$7)</f>
        <v/>
      </c>
      <c r="K27" s="70">
        <f>'MODELO PARA BI'!AE63</f>
        <v/>
      </c>
      <c r="L27" s="70">
        <f>'MODELO PARA BI'!AE64</f>
        <v/>
      </c>
      <c r="M27" s="54">
        <f>M26+J27</f>
        <v/>
      </c>
    </row>
    <row r="28">
      <c r="A28" s="111">
        <f>'MODELO PARA BI'!AF1</f>
        <v/>
      </c>
      <c r="B28" s="112" t="n"/>
      <c r="C28" s="109">
        <f>C27+B28</f>
        <v/>
      </c>
      <c r="D28" s="62">
        <f>IF(A28&lt;='VALOR POR PL'!$P$5,'MODELO PARA BI'!AF61,0)</f>
        <v/>
      </c>
      <c r="E28" s="62">
        <f>IF(A28&gt;'VALOR POR PL'!$P$5,'MODELO PARA BI'!AF61,0)</f>
        <v/>
      </c>
      <c r="F28" s="109">
        <f>IF('MODELO PARA BI'!$E$61=0,0,(D28+E28)/'MODELO PARA BI'!$E$61)</f>
        <v/>
      </c>
      <c r="G28" s="109">
        <f>G27+F28</f>
        <v/>
      </c>
      <c r="I28" s="49">
        <f>B28*'VALOR POR PL'!$G$50</f>
        <v/>
      </c>
      <c r="J28" s="54">
        <f>I28*IF(A28&lt;='VALOR POR PL'!$P$5,IFERROR(INDEX('"INCC-FGV"'!$B$2:$B$400,MATCH(A28,'"INCC-FGV"'!$A$2:$A$400,0)),'VALOR POR PL'!$P$7),'VALOR POR PL'!$P$7)</f>
        <v/>
      </c>
      <c r="K28" s="70">
        <f>'MODELO PARA BI'!AF63</f>
        <v/>
      </c>
      <c r="L28" s="70">
        <f>'MODELO PARA BI'!AF64</f>
        <v/>
      </c>
      <c r="M28" s="54">
        <f>M27+J28</f>
        <v/>
      </c>
    </row>
    <row r="29">
      <c r="A29" s="111">
        <f>'MODELO PARA BI'!AG1</f>
        <v/>
      </c>
      <c r="B29" s="112" t="n"/>
      <c r="C29" s="109">
        <f>C28+B29</f>
        <v/>
      </c>
      <c r="D29" s="62">
        <f>IF(A29&lt;='VALOR POR PL'!$P$5,'MODELO PARA BI'!AG61,0)</f>
        <v/>
      </c>
      <c r="E29" s="62">
        <f>IF(A29&gt;'VALOR POR PL'!$P$5,'MODELO PARA BI'!AG61,0)</f>
        <v/>
      </c>
      <c r="F29" s="109">
        <f>IF('MODELO PARA BI'!$E$61=0,0,(D29+E29)/'MODELO PARA BI'!$E$61)</f>
        <v/>
      </c>
      <c r="G29" s="109">
        <f>G28+F29</f>
        <v/>
      </c>
      <c r="I29" s="49">
        <f>B29*'VALOR POR PL'!$G$50</f>
        <v/>
      </c>
      <c r="J29" s="54">
        <f>I29*IF(A29&lt;='VALOR POR PL'!$P$5,IFERROR(INDEX('"INCC-FGV"'!$B$2:$B$400,MATCH(A29,'"INCC-FGV"'!$A$2:$A$400,0)),'VALOR POR PL'!$P$7),'VALOR POR PL'!$P$7)</f>
        <v/>
      </c>
      <c r="K29" s="70">
        <f>'MODELO PARA BI'!AG63</f>
        <v/>
      </c>
      <c r="L29" s="70">
        <f>'MODELO PARA BI'!AG64</f>
        <v/>
      </c>
      <c r="M29" s="54">
        <f>M28+J29</f>
        <v/>
      </c>
    </row>
    <row r="30">
      <c r="A30" s="111">
        <f>'MODELO PARA BI'!AH1</f>
        <v/>
      </c>
      <c r="B30" s="112" t="n"/>
      <c r="C30" s="109">
        <f>C29+B30</f>
        <v/>
      </c>
      <c r="D30" s="62">
        <f>IF(A30&lt;='VALOR POR PL'!$P$5,'MODELO PARA BI'!AH61,0)</f>
        <v/>
      </c>
      <c r="E30" s="62">
        <f>IF(A30&gt;'VALOR POR PL'!$P$5,'MODELO PARA BI'!AH61,0)</f>
        <v/>
      </c>
      <c r="F30" s="109">
        <f>IF('MODELO PARA BI'!$E$61=0,0,(D30+E30)/'MODELO PARA BI'!$E$61)</f>
        <v/>
      </c>
      <c r="G30" s="109">
        <f>G29+F30</f>
        <v/>
      </c>
      <c r="I30" s="49">
        <f>B30*'VALOR POR PL'!$G$50</f>
        <v/>
      </c>
      <c r="J30" s="54">
        <f>I30*IF(A30&lt;='VALOR POR PL'!$P$5,IFERROR(INDEX('"INCC-FGV"'!$B$2:$B$400,MATCH(A30,'"INCC-FGV"'!$A$2:$A$400,0)),'VALOR POR PL'!$P$7),'VALOR POR PL'!$P$7)</f>
        <v/>
      </c>
      <c r="K30" s="70">
        <f>'MODELO PARA BI'!AH63</f>
        <v/>
      </c>
      <c r="L30" s="70">
        <f>'MODELO PARA BI'!AH64</f>
        <v/>
      </c>
      <c r="M30" s="54">
        <f>M29+J30</f>
        <v/>
      </c>
    </row>
    <row r="31">
      <c r="A31" s="111">
        <f>'MODELO PARA BI'!AI1</f>
        <v/>
      </c>
      <c r="B31" s="112" t="n"/>
      <c r="C31" s="109">
        <f>C30+B31</f>
        <v/>
      </c>
      <c r="D31" s="62">
        <f>IF(A31&lt;='VALOR POR PL'!$P$5,'MODELO PARA BI'!AI61,0)</f>
        <v/>
      </c>
      <c r="E31" s="62">
        <f>IF(A31&gt;'VALOR POR PL'!$P$5,'MODELO PARA BI'!AI61,0)</f>
        <v/>
      </c>
      <c r="F31" s="109">
        <f>IF('MODELO PARA BI'!$E$61=0,0,(D31+E31)/'MODELO PARA BI'!$E$61)</f>
        <v/>
      </c>
      <c r="G31" s="109">
        <f>G30+F31</f>
        <v/>
      </c>
      <c r="I31" s="49">
        <f>B31*'VALOR POR PL'!$G$50</f>
        <v/>
      </c>
      <c r="J31" s="54">
        <f>I31*IF(A31&lt;='VALOR POR PL'!$P$5,IFERROR(INDEX('"INCC-FGV"'!$B$2:$B$400,MATCH(A31,'"INCC-FGV"'!$A$2:$A$400,0)),'VALOR POR PL'!$P$7),'VALOR POR PL'!$P$7)</f>
        <v/>
      </c>
      <c r="K31" s="70">
        <f>'MODELO PARA BI'!AI63</f>
        <v/>
      </c>
      <c r="L31" s="70">
        <f>'MODELO PARA BI'!AI64</f>
        <v/>
      </c>
      <c r="M31" s="54">
        <f>M30+J31</f>
        <v/>
      </c>
    </row>
    <row r="32">
      <c r="A32" s="111">
        <f>'MODELO PARA BI'!AJ1</f>
        <v/>
      </c>
      <c r="B32" s="112" t="n"/>
      <c r="C32" s="109">
        <f>C31+B32</f>
        <v/>
      </c>
      <c r="D32" s="62">
        <f>IF(A32&lt;='VALOR POR PL'!$P$5,'MODELO PARA BI'!AJ61,0)</f>
        <v/>
      </c>
      <c r="E32" s="62">
        <f>IF(A32&gt;'VALOR POR PL'!$P$5,'MODELO PARA BI'!AJ61,0)</f>
        <v/>
      </c>
      <c r="F32" s="109">
        <f>IF('MODELO PARA BI'!$E$61=0,0,(D32+E32)/'MODELO PARA BI'!$E$61)</f>
        <v/>
      </c>
      <c r="G32" s="109">
        <f>G31+F32</f>
        <v/>
      </c>
      <c r="I32" s="49">
        <f>B32*'VALOR POR PL'!$G$50</f>
        <v/>
      </c>
      <c r="J32" s="54">
        <f>I32*IF(A32&lt;='VALOR POR PL'!$P$5,IFERROR(INDEX('"INCC-FGV"'!$B$2:$B$400,MATCH(A32,'"INCC-FGV"'!$A$2:$A$400,0)),'VALOR POR PL'!$P$7),'VALOR POR PL'!$P$7)</f>
        <v/>
      </c>
      <c r="K32" s="70">
        <f>'MODELO PARA BI'!AJ63</f>
        <v/>
      </c>
      <c r="L32" s="70">
        <f>'MODELO PARA BI'!AJ64</f>
        <v/>
      </c>
      <c r="M32" s="54">
        <f>M31+J32</f>
        <v/>
      </c>
    </row>
    <row r="33">
      <c r="A33" s="111">
        <f>'MODELO PARA BI'!AK1</f>
        <v/>
      </c>
      <c r="B33" s="112" t="n"/>
      <c r="C33" s="109">
        <f>C32+B33</f>
        <v/>
      </c>
      <c r="D33" s="62">
        <f>IF(A33&lt;='VALOR POR PL'!$P$5,'MODELO PARA BI'!AK61,0)</f>
        <v/>
      </c>
      <c r="E33" s="62">
        <f>IF(A33&gt;'VALOR POR PL'!$P$5,'MODELO PARA BI'!AK61,0)</f>
        <v/>
      </c>
      <c r="F33" s="109">
        <f>IF('MODELO PARA BI'!$E$61=0,0,(D33+E33)/'MODELO PARA BI'!$E$61)</f>
        <v/>
      </c>
      <c r="G33" s="109">
        <f>G32+F33</f>
        <v/>
      </c>
      <c r="I33" s="49">
        <f>B33*'VALOR POR PL'!$G$50</f>
        <v/>
      </c>
      <c r="J33" s="54">
        <f>I33*IF(A33&lt;='VALOR POR PL'!$P$5,IFERROR(INDEX('"INCC-FGV"'!$B$2:$B$400,MATCH(A33,'"INCC-FGV"'!$A$2:$A$400,0)),'VALOR POR PL'!$P$7),'VALOR POR PL'!$P$7)</f>
        <v/>
      </c>
      <c r="K33" s="70">
        <f>'MODELO PARA BI'!AK63</f>
        <v/>
      </c>
      <c r="L33" s="70">
        <f>'MODELO PARA BI'!AK64</f>
        <v/>
      </c>
      <c r="M33" s="54">
        <f>M32+J33</f>
        <v/>
      </c>
    </row>
    <row r="34">
      <c r="A34" s="111">
        <f>'MODELO PARA BI'!AL1</f>
        <v/>
      </c>
      <c r="B34" s="112" t="n"/>
      <c r="C34" s="109">
        <f>C33+B34</f>
        <v/>
      </c>
      <c r="D34" s="62">
        <f>IF(A34&lt;='VALOR POR PL'!$P$5,'MODELO PARA BI'!AL61,0)</f>
        <v/>
      </c>
      <c r="E34" s="62">
        <f>IF(A34&gt;'VALOR POR PL'!$P$5,'MODELO PARA BI'!AL61,0)</f>
        <v/>
      </c>
      <c r="F34" s="109">
        <f>IF('MODELO PARA BI'!$E$61=0,0,(D34+E34)/'MODELO PARA BI'!$E$61)</f>
        <v/>
      </c>
      <c r="G34" s="109">
        <f>G33+F34</f>
        <v/>
      </c>
      <c r="I34" s="49">
        <f>B34*'VALOR POR PL'!$G$50</f>
        <v/>
      </c>
      <c r="J34" s="54">
        <f>I34*IF(A34&lt;='VALOR POR PL'!$P$5,IFERROR(INDEX('"INCC-FGV"'!$B$2:$B$400,MATCH(A34,'"INCC-FGV"'!$A$2:$A$400,0)),'VALOR POR PL'!$P$7),'VALOR POR PL'!$P$7)</f>
        <v/>
      </c>
      <c r="K34" s="70">
        <f>'MODELO PARA BI'!AL63</f>
        <v/>
      </c>
      <c r="L34" s="70">
        <f>'MODELO PARA BI'!AL64</f>
        <v/>
      </c>
      <c r="M34" s="54">
        <f>M33+J34</f>
        <v/>
      </c>
    </row>
    <row r="35">
      <c r="A35" s="111">
        <f>'MODELO PARA BI'!AM1</f>
        <v/>
      </c>
      <c r="B35" s="112" t="n"/>
      <c r="C35" s="109">
        <f>C34+B35</f>
        <v/>
      </c>
      <c r="D35" s="62">
        <f>IF(A35&lt;='VALOR POR PL'!$P$5,'MODELO PARA BI'!AM61,0)</f>
        <v/>
      </c>
      <c r="E35" s="62">
        <f>IF(A35&gt;'VALOR POR PL'!$P$5,'MODELO PARA BI'!AM61,0)</f>
        <v/>
      </c>
      <c r="F35" s="109">
        <f>IF('MODELO PARA BI'!$E$61=0,0,(D35+E35)/'MODELO PARA BI'!$E$61)</f>
        <v/>
      </c>
      <c r="G35" s="109">
        <f>G34+F35</f>
        <v/>
      </c>
      <c r="I35" s="49">
        <f>B35*'VALOR POR PL'!$G$50</f>
        <v/>
      </c>
      <c r="J35" s="54">
        <f>I35*IF(A35&lt;='VALOR POR PL'!$P$5,IFERROR(INDEX('"INCC-FGV"'!$B$2:$B$400,MATCH(A35,'"INCC-FGV"'!$A$2:$A$400,0)),'VALOR POR PL'!$P$7),'VALOR POR PL'!$P$7)</f>
        <v/>
      </c>
      <c r="K35" s="70">
        <f>'MODELO PARA BI'!AM63</f>
        <v/>
      </c>
      <c r="L35" s="70">
        <f>'MODELO PARA BI'!AM64</f>
        <v/>
      </c>
      <c r="M35" s="54">
        <f>M34+J35</f>
        <v/>
      </c>
    </row>
    <row r="36">
      <c r="A36" s="111">
        <f>'MODELO PARA BI'!AN1</f>
        <v/>
      </c>
      <c r="B36" s="112" t="n"/>
      <c r="C36" s="109">
        <f>C35+B36</f>
        <v/>
      </c>
      <c r="D36" s="62">
        <f>IF(A36&lt;='VALOR POR PL'!$P$5,'MODELO PARA BI'!AN61,0)</f>
        <v/>
      </c>
      <c r="E36" s="62">
        <f>IF(A36&gt;'VALOR POR PL'!$P$5,'MODELO PARA BI'!AN61,0)</f>
        <v/>
      </c>
      <c r="F36" s="109">
        <f>IF('MODELO PARA BI'!$E$61=0,0,(D36+E36)/'MODELO PARA BI'!$E$61)</f>
        <v/>
      </c>
      <c r="G36" s="109">
        <f>G35+F36</f>
        <v/>
      </c>
      <c r="I36" s="49">
        <f>B36*'VALOR POR PL'!$G$50</f>
        <v/>
      </c>
      <c r="J36" s="54">
        <f>I36*IF(A36&lt;='VALOR POR PL'!$P$5,IFERROR(INDEX('"INCC-FGV"'!$B$2:$B$400,MATCH(A36,'"INCC-FGV"'!$A$2:$A$400,0)),'VALOR POR PL'!$P$7),'VALOR POR PL'!$P$7)</f>
        <v/>
      </c>
      <c r="K36" s="70">
        <f>'MODELO PARA BI'!AN63</f>
        <v/>
      </c>
      <c r="L36" s="70">
        <f>'MODELO PARA BI'!AN64</f>
        <v/>
      </c>
      <c r="M36" s="54">
        <f>M35+J36</f>
        <v/>
      </c>
    </row>
    <row r="37">
      <c r="A37" s="111">
        <f>'MODELO PARA BI'!AO1</f>
        <v/>
      </c>
      <c r="B37" s="112" t="n"/>
      <c r="C37" s="109">
        <f>C36+B37</f>
        <v/>
      </c>
      <c r="D37" s="62">
        <f>IF(A37&lt;='VALOR POR PL'!$P$5,'MODELO PARA BI'!AO61,0)</f>
        <v/>
      </c>
      <c r="E37" s="62">
        <f>IF(A37&gt;'VALOR POR PL'!$P$5,'MODELO PARA BI'!AO61,0)</f>
        <v/>
      </c>
      <c r="F37" s="109">
        <f>IF('MODELO PARA BI'!$E$61=0,0,(D37+E37)/'MODELO PARA BI'!$E$61)</f>
        <v/>
      </c>
      <c r="G37" s="109">
        <f>G36+F37</f>
        <v/>
      </c>
      <c r="I37" s="49">
        <f>B37*'VALOR POR PL'!$G$50</f>
        <v/>
      </c>
      <c r="J37" s="54">
        <f>I37*IF(A37&lt;='VALOR POR PL'!$P$5,IFERROR(INDEX('"INCC-FGV"'!$B$2:$B$400,MATCH(A37,'"INCC-FGV"'!$A$2:$A$400,0)),'VALOR POR PL'!$P$7),'VALOR POR PL'!$P$7)</f>
        <v/>
      </c>
      <c r="K37" s="70">
        <f>'MODELO PARA BI'!AO63</f>
        <v/>
      </c>
      <c r="L37" s="70">
        <f>'MODELO PARA BI'!AO64</f>
        <v/>
      </c>
      <c r="M37" s="54">
        <f>M36+J37</f>
        <v/>
      </c>
    </row>
    <row r="38">
      <c r="A38" s="111">
        <f>'MODELO PARA BI'!AP1</f>
        <v/>
      </c>
      <c r="B38" s="112" t="n"/>
      <c r="C38" s="109">
        <f>C37+B38</f>
        <v/>
      </c>
      <c r="D38" s="62">
        <f>IF(A38&lt;='VALOR POR PL'!$P$5,'MODELO PARA BI'!AP61,0)</f>
        <v/>
      </c>
      <c r="E38" s="62">
        <f>IF(A38&gt;'VALOR POR PL'!$P$5,'MODELO PARA BI'!AP61,0)</f>
        <v/>
      </c>
      <c r="F38" s="109">
        <f>IF('MODELO PARA BI'!$E$61=0,0,(D38+E38)/'MODELO PARA BI'!$E$61)</f>
        <v/>
      </c>
      <c r="G38" s="109">
        <f>G37+F38</f>
        <v/>
      </c>
      <c r="I38" s="49">
        <f>B38*'VALOR POR PL'!$G$50</f>
        <v/>
      </c>
      <c r="J38" s="54">
        <f>I38*IF(A38&lt;='VALOR POR PL'!$P$5,IFERROR(INDEX('"INCC-FGV"'!$B$2:$B$400,MATCH(A38,'"INCC-FGV"'!$A$2:$A$400,0)),'VALOR POR PL'!$P$7),'VALOR POR PL'!$P$7)</f>
        <v/>
      </c>
      <c r="K38" s="70">
        <f>'MODELO PARA BI'!AP63</f>
        <v/>
      </c>
      <c r="L38" s="70">
        <f>'MODELO PARA BI'!AP64</f>
        <v/>
      </c>
      <c r="M38" s="54">
        <f>M37+J38</f>
        <v/>
      </c>
    </row>
    <row r="39">
      <c r="A39" s="111">
        <f>'MODELO PARA BI'!AQ1</f>
        <v/>
      </c>
      <c r="B39" s="112" t="n"/>
      <c r="C39" s="109">
        <f>C38+B39</f>
        <v/>
      </c>
      <c r="D39" s="62">
        <f>IF(A39&lt;='VALOR POR PL'!$P$5,'MODELO PARA BI'!AQ61,0)</f>
        <v/>
      </c>
      <c r="E39" s="62">
        <f>IF(A39&gt;'VALOR POR PL'!$P$5,'MODELO PARA BI'!AQ61,0)</f>
        <v/>
      </c>
      <c r="F39" s="109">
        <f>IF('MODELO PARA BI'!$E$61=0,0,(D39+E39)/'MODELO PARA BI'!$E$61)</f>
        <v/>
      </c>
      <c r="G39" s="109">
        <f>G38+F39</f>
        <v/>
      </c>
      <c r="I39" s="49">
        <f>B39*'VALOR POR PL'!$G$50</f>
        <v/>
      </c>
      <c r="J39" s="54">
        <f>I39*IF(A39&lt;='VALOR POR PL'!$P$5,IFERROR(INDEX('"INCC-FGV"'!$B$2:$B$400,MATCH(A39,'"INCC-FGV"'!$A$2:$A$400,0)),'VALOR POR PL'!$P$7),'VALOR POR PL'!$P$7)</f>
        <v/>
      </c>
      <c r="K39" s="70">
        <f>'MODELO PARA BI'!AQ63</f>
        <v/>
      </c>
      <c r="L39" s="70">
        <f>'MODELO PARA BI'!AQ64</f>
        <v/>
      </c>
      <c r="M39" s="54">
        <f>M38+J39</f>
        <v/>
      </c>
    </row>
    <row r="40">
      <c r="A40" s="111">
        <f>'MODELO PARA BI'!AR1</f>
        <v/>
      </c>
      <c r="B40" s="112" t="n"/>
      <c r="C40" s="109">
        <f>C39+B40</f>
        <v/>
      </c>
      <c r="D40" s="62">
        <f>IF(A40&lt;='VALOR POR PL'!$P$5,'MODELO PARA BI'!AR61,0)</f>
        <v/>
      </c>
      <c r="E40" s="62">
        <f>IF(A40&gt;'VALOR POR PL'!$P$5,'MODELO PARA BI'!AR61,0)</f>
        <v/>
      </c>
      <c r="F40" s="109">
        <f>IF('MODELO PARA BI'!$E$61=0,0,(D40+E40)/'MODELO PARA BI'!$E$61)</f>
        <v/>
      </c>
      <c r="G40" s="109">
        <f>G39+F40</f>
        <v/>
      </c>
      <c r="I40" s="49">
        <f>B40*'VALOR POR PL'!$G$50</f>
        <v/>
      </c>
      <c r="J40" s="54">
        <f>I40*IF(A40&lt;='VALOR POR PL'!$P$5,IFERROR(INDEX('"INCC-FGV"'!$B$2:$B$400,MATCH(A40,'"INCC-FGV"'!$A$2:$A$400,0)),'VALOR POR PL'!$P$7),'VALOR POR PL'!$P$7)</f>
        <v/>
      </c>
      <c r="K40" s="70">
        <f>'MODELO PARA BI'!AR63</f>
        <v/>
      </c>
      <c r="L40" s="70">
        <f>'MODELO PARA BI'!AR64</f>
        <v/>
      </c>
      <c r="M40" s="54">
        <f>M39+J40</f>
        <v/>
      </c>
    </row>
    <row r="41">
      <c r="A41" s="111">
        <f>'MODELO PARA BI'!AS1</f>
        <v/>
      </c>
      <c r="B41" s="112" t="n"/>
      <c r="C41" s="109">
        <f>C40+B41</f>
        <v/>
      </c>
      <c r="D41" s="62">
        <f>IF(A41&lt;='VALOR POR PL'!$P$5,'MODELO PARA BI'!AS61,0)</f>
        <v/>
      </c>
      <c r="E41" s="62">
        <f>IF(A41&gt;'VALOR POR PL'!$P$5,'MODELO PARA BI'!AS61,0)</f>
        <v/>
      </c>
      <c r="F41" s="109">
        <f>IF('MODELO PARA BI'!$E$61=0,0,(D41+E41)/'MODELO PARA BI'!$E$61)</f>
        <v/>
      </c>
      <c r="G41" s="109">
        <f>G40+F41</f>
        <v/>
      </c>
      <c r="I41" s="49">
        <f>B41*'VALOR POR PL'!$G$50</f>
        <v/>
      </c>
      <c r="J41" s="54">
        <f>I41*IF(A41&lt;='VALOR POR PL'!$P$5,IFERROR(INDEX('"INCC-FGV"'!$B$2:$B$400,MATCH(A41,'"INCC-FGV"'!$A$2:$A$400,0)),'VALOR POR PL'!$P$7),'VALOR POR PL'!$P$7)</f>
        <v/>
      </c>
      <c r="K41" s="70">
        <f>'MODELO PARA BI'!AS63</f>
        <v/>
      </c>
      <c r="L41" s="70">
        <f>'MODELO PARA BI'!AS64</f>
        <v/>
      </c>
      <c r="M41" s="54">
        <f>M40+J41</f>
        <v/>
      </c>
    </row>
    <row r="42">
      <c r="A42" s="111">
        <f>'MODELO PARA BI'!AT1</f>
        <v/>
      </c>
      <c r="B42" s="112" t="n"/>
      <c r="C42" s="109">
        <f>C41+B42</f>
        <v/>
      </c>
      <c r="D42" s="62">
        <f>IF(A42&lt;='VALOR POR PL'!$P$5,'MODELO PARA BI'!AT61,0)</f>
        <v/>
      </c>
      <c r="E42" s="62">
        <f>IF(A42&gt;'VALOR POR PL'!$P$5,'MODELO PARA BI'!AT61,0)</f>
        <v/>
      </c>
      <c r="F42" s="109">
        <f>IF('MODELO PARA BI'!$E$61=0,0,(D42+E42)/'MODELO PARA BI'!$E$61)</f>
        <v/>
      </c>
      <c r="G42" s="109">
        <f>G41+F42</f>
        <v/>
      </c>
      <c r="I42" s="49">
        <f>B42*'VALOR POR PL'!$G$50</f>
        <v/>
      </c>
      <c r="J42" s="54">
        <f>I42*IF(A42&lt;='VALOR POR PL'!$P$5,IFERROR(INDEX('"INCC-FGV"'!$B$2:$B$400,MATCH(A42,'"INCC-FGV"'!$A$2:$A$400,0)),'VALOR POR PL'!$P$7),'VALOR POR PL'!$P$7)</f>
        <v/>
      </c>
      <c r="K42" s="70">
        <f>'MODELO PARA BI'!AT63</f>
        <v/>
      </c>
      <c r="L42" s="70">
        <f>'MODELO PARA BI'!AT64</f>
        <v/>
      </c>
      <c r="M42" s="54">
        <f>M41+J42</f>
        <v/>
      </c>
    </row>
    <row r="43">
      <c r="A43" s="111">
        <f>'MODELO PARA BI'!AU1</f>
        <v/>
      </c>
      <c r="B43" s="112" t="n"/>
      <c r="C43" s="109">
        <f>C42+B43</f>
        <v/>
      </c>
      <c r="D43" s="62">
        <f>IF(A43&lt;='VALOR POR PL'!$P$5,'MODELO PARA BI'!AU61,0)</f>
        <v/>
      </c>
      <c r="E43" s="62">
        <f>IF(A43&gt;'VALOR POR PL'!$P$5,'MODELO PARA BI'!AU61,0)</f>
        <v/>
      </c>
      <c r="F43" s="109">
        <f>IF('MODELO PARA BI'!$E$61=0,0,(D43+E43)/'MODELO PARA BI'!$E$61)</f>
        <v/>
      </c>
      <c r="G43" s="109">
        <f>G42+F43</f>
        <v/>
      </c>
      <c r="I43" s="49">
        <f>B43*'VALOR POR PL'!$G$50</f>
        <v/>
      </c>
      <c r="J43" s="54">
        <f>I43*IF(A43&lt;='VALOR POR PL'!$P$5,IFERROR(INDEX('"INCC-FGV"'!$B$2:$B$400,MATCH(A43,'"INCC-FGV"'!$A$2:$A$400,0)),'VALOR POR PL'!$P$7),'VALOR POR PL'!$P$7)</f>
        <v/>
      </c>
      <c r="K43" s="70">
        <f>'MODELO PARA BI'!AU63</f>
        <v/>
      </c>
      <c r="L43" s="70">
        <f>'MODELO PARA BI'!AU64</f>
        <v/>
      </c>
      <c r="M43" s="54">
        <f>M42+J43</f>
        <v/>
      </c>
    </row>
    <row r="44">
      <c r="A44" s="111">
        <f>'MODELO PARA BI'!AV1</f>
        <v/>
      </c>
      <c r="B44" s="112" t="n"/>
      <c r="C44" s="109">
        <f>C43+B44</f>
        <v/>
      </c>
      <c r="D44" s="62">
        <f>IF(A44&lt;='VALOR POR PL'!$P$5,'MODELO PARA BI'!AV61,0)</f>
        <v/>
      </c>
      <c r="E44" s="62">
        <f>IF(A44&gt;'VALOR POR PL'!$P$5,'MODELO PARA BI'!AV61,0)</f>
        <v/>
      </c>
      <c r="F44" s="109">
        <f>IF('MODELO PARA BI'!$E$61=0,0,(D44+E44)/'MODELO PARA BI'!$E$61)</f>
        <v/>
      </c>
      <c r="G44" s="109">
        <f>G43+F44</f>
        <v/>
      </c>
      <c r="I44" s="49">
        <f>B44*'VALOR POR PL'!$G$50</f>
        <v/>
      </c>
      <c r="J44" s="54">
        <f>I44*IF(A44&lt;='VALOR POR PL'!$P$5,IFERROR(INDEX('"INCC-FGV"'!$B$2:$B$400,MATCH(A44,'"INCC-FGV"'!$A$2:$A$400,0)),'VALOR POR PL'!$P$7),'VALOR POR PL'!$P$7)</f>
        <v/>
      </c>
      <c r="K44" s="70">
        <f>'MODELO PARA BI'!AV63</f>
        <v/>
      </c>
      <c r="L44" s="70">
        <f>'MODELO PARA BI'!AV64</f>
        <v/>
      </c>
      <c r="M44" s="54">
        <f>M43+J44</f>
        <v/>
      </c>
    </row>
    <row r="45">
      <c r="A45" s="111">
        <f>'MODELO PARA BI'!AW1</f>
        <v/>
      </c>
      <c r="B45" s="112" t="n"/>
      <c r="C45" s="109">
        <f>C44+B45</f>
        <v/>
      </c>
      <c r="D45" s="62">
        <f>IF(A45&lt;='VALOR POR PL'!$P$5,'MODELO PARA BI'!AW61,0)</f>
        <v/>
      </c>
      <c r="E45" s="62">
        <f>IF(A45&gt;'VALOR POR PL'!$P$5,'MODELO PARA BI'!AW61,0)</f>
        <v/>
      </c>
      <c r="F45" s="109">
        <f>IF('MODELO PARA BI'!$E$61=0,0,(D45+E45)/'MODELO PARA BI'!$E$61)</f>
        <v/>
      </c>
      <c r="G45" s="109">
        <f>G44+F45</f>
        <v/>
      </c>
      <c r="I45" s="49">
        <f>B45*'VALOR POR PL'!$G$50</f>
        <v/>
      </c>
      <c r="J45" s="54">
        <f>I45*IF(A45&lt;='VALOR POR PL'!$P$5,IFERROR(INDEX('"INCC-FGV"'!$B$2:$B$400,MATCH(A45,'"INCC-FGV"'!$A$2:$A$400,0)),'VALOR POR PL'!$P$7),'VALOR POR PL'!$P$7)</f>
        <v/>
      </c>
      <c r="K45" s="70">
        <f>'MODELO PARA BI'!AW63</f>
        <v/>
      </c>
      <c r="L45" s="70">
        <f>'MODELO PARA BI'!AW64</f>
        <v/>
      </c>
      <c r="M45" s="54">
        <f>M44+J45</f>
        <v/>
      </c>
    </row>
    <row r="46">
      <c r="A46" s="111">
        <f>'MODELO PARA BI'!AX1</f>
        <v/>
      </c>
      <c r="B46" s="112" t="n"/>
      <c r="C46" s="109">
        <f>C45+B46</f>
        <v/>
      </c>
      <c r="D46" s="62">
        <f>IF(A46&lt;='VALOR POR PL'!$P$5,'MODELO PARA BI'!AX61,0)</f>
        <v/>
      </c>
      <c r="E46" s="62">
        <f>IF(A46&gt;'VALOR POR PL'!$P$5,'MODELO PARA BI'!AX61,0)</f>
        <v/>
      </c>
      <c r="F46" s="109">
        <f>IF('MODELO PARA BI'!$E$61=0,0,(D46+E46)/'MODELO PARA BI'!$E$61)</f>
        <v/>
      </c>
      <c r="G46" s="109">
        <f>G45+F46</f>
        <v/>
      </c>
      <c r="I46" s="49">
        <f>B46*'VALOR POR PL'!$G$50</f>
        <v/>
      </c>
      <c r="J46" s="54">
        <f>I46*IF(A46&lt;='VALOR POR PL'!$P$5,IFERROR(INDEX('"INCC-FGV"'!$B$2:$B$400,MATCH(A46,'"INCC-FGV"'!$A$2:$A$400,0)),'VALOR POR PL'!$P$7),'VALOR POR PL'!$P$7)</f>
        <v/>
      </c>
      <c r="K46" s="70">
        <f>'MODELO PARA BI'!AX63</f>
        <v/>
      </c>
      <c r="L46" s="70">
        <f>'MODELO PARA BI'!AX64</f>
        <v/>
      </c>
      <c r="M46" s="54">
        <f>M45+J46</f>
        <v/>
      </c>
    </row>
    <row r="47">
      <c r="A47" s="111">
        <f>'MODELO PARA BI'!AY1</f>
        <v/>
      </c>
      <c r="B47" s="112" t="n"/>
      <c r="C47" s="109">
        <f>C46+B47</f>
        <v/>
      </c>
      <c r="D47" s="62">
        <f>IF(A47&lt;='VALOR POR PL'!$P$5,'MODELO PARA BI'!AY61,0)</f>
        <v/>
      </c>
      <c r="E47" s="62">
        <f>IF(A47&gt;'VALOR POR PL'!$P$5,'MODELO PARA BI'!AY61,0)</f>
        <v/>
      </c>
      <c r="F47" s="109">
        <f>IF('MODELO PARA BI'!$E$61=0,0,(D47+E47)/'MODELO PARA BI'!$E$61)</f>
        <v/>
      </c>
      <c r="G47" s="109">
        <f>G46+F47</f>
        <v/>
      </c>
      <c r="I47" s="49">
        <f>B47*'VALOR POR PL'!$G$50</f>
        <v/>
      </c>
      <c r="J47" s="54">
        <f>I47*IF(A47&lt;='VALOR POR PL'!$P$5,IFERROR(INDEX('"INCC-FGV"'!$B$2:$B$400,MATCH(A47,'"INCC-FGV"'!$A$2:$A$400,0)),'VALOR POR PL'!$P$7),'VALOR POR PL'!$P$7)</f>
        <v/>
      </c>
      <c r="K47" s="70">
        <f>'MODELO PARA BI'!AY63</f>
        <v/>
      </c>
      <c r="L47" s="70">
        <f>'MODELO PARA BI'!AY64</f>
        <v/>
      </c>
      <c r="M47" s="54">
        <f>M46+J47</f>
        <v/>
      </c>
    </row>
    <row r="48">
      <c r="A48" s="111">
        <f>'MODELO PARA BI'!AZ1</f>
        <v/>
      </c>
      <c r="B48" s="112" t="n"/>
      <c r="C48" s="109">
        <f>C47+B48</f>
        <v/>
      </c>
      <c r="D48" s="62">
        <f>IF(A48&lt;='VALOR POR PL'!$P$5,'MODELO PARA BI'!AZ61,0)</f>
        <v/>
      </c>
      <c r="E48" s="62">
        <f>IF(A48&gt;'VALOR POR PL'!$P$5,'MODELO PARA BI'!AZ61,0)</f>
        <v/>
      </c>
      <c r="F48" s="109">
        <f>IF('MODELO PARA BI'!$E$61=0,0,(D48+E48)/'MODELO PARA BI'!$E$61)</f>
        <v/>
      </c>
      <c r="G48" s="109">
        <f>G47+F48</f>
        <v/>
      </c>
      <c r="I48" s="49">
        <f>B48*'VALOR POR PL'!$G$50</f>
        <v/>
      </c>
      <c r="J48" s="54">
        <f>I48*IF(A48&lt;='VALOR POR PL'!$P$5,IFERROR(INDEX('"INCC-FGV"'!$B$2:$B$400,MATCH(A48,'"INCC-FGV"'!$A$2:$A$400,0)),'VALOR POR PL'!$P$7),'VALOR POR PL'!$P$7)</f>
        <v/>
      </c>
      <c r="K48" s="70">
        <f>'MODELO PARA BI'!AZ63</f>
        <v/>
      </c>
      <c r="L48" s="70">
        <f>'MODELO PARA BI'!AZ64</f>
        <v/>
      </c>
      <c r="M48" s="54">
        <f>M47+J48</f>
        <v/>
      </c>
    </row>
    <row r="49">
      <c r="A49" s="111">
        <f>'MODELO PARA BI'!BA1</f>
        <v/>
      </c>
      <c r="B49" s="112" t="n"/>
      <c r="C49" s="109">
        <f>C48+B49</f>
        <v/>
      </c>
      <c r="D49" s="62">
        <f>IF(A49&lt;='VALOR POR PL'!$P$5,'MODELO PARA BI'!BA61,0)</f>
        <v/>
      </c>
      <c r="E49" s="62">
        <f>IF(A49&gt;'VALOR POR PL'!$P$5,'MODELO PARA BI'!BA61,0)</f>
        <v/>
      </c>
      <c r="F49" s="109">
        <f>IF('MODELO PARA BI'!$E$61=0,0,(D49+E49)/'MODELO PARA BI'!$E$61)</f>
        <v/>
      </c>
      <c r="G49" s="109">
        <f>G48+F49</f>
        <v/>
      </c>
      <c r="I49" s="49">
        <f>B49*'VALOR POR PL'!$G$50</f>
        <v/>
      </c>
      <c r="J49" s="54">
        <f>I49*IF(A49&lt;='VALOR POR PL'!$P$5,IFERROR(INDEX('"INCC-FGV"'!$B$2:$B$400,MATCH(A49,'"INCC-FGV"'!$A$2:$A$400,0)),'VALOR POR PL'!$P$7),'VALOR POR PL'!$P$7)</f>
        <v/>
      </c>
      <c r="K49" s="70">
        <f>'MODELO PARA BI'!BA63</f>
        <v/>
      </c>
      <c r="L49" s="70">
        <f>'MODELO PARA BI'!BA64</f>
        <v/>
      </c>
      <c r="M49" s="54">
        <f>M48+J49</f>
        <v/>
      </c>
    </row>
    <row r="50">
      <c r="A50" s="111">
        <f>'MODELO PARA BI'!BB1</f>
        <v/>
      </c>
      <c r="B50" s="112" t="n"/>
      <c r="C50" s="109">
        <f>C49+B50</f>
        <v/>
      </c>
      <c r="D50" s="62">
        <f>IF(A50&lt;='VALOR POR PL'!$P$5,'MODELO PARA BI'!BB61,0)</f>
        <v/>
      </c>
      <c r="E50" s="62">
        <f>IF(A50&gt;'VALOR POR PL'!$P$5,'MODELO PARA BI'!BB61,0)</f>
        <v/>
      </c>
      <c r="F50" s="109">
        <f>IF('MODELO PARA BI'!$E$61=0,0,(D50+E50)/'MODELO PARA BI'!$E$61)</f>
        <v/>
      </c>
      <c r="G50" s="109">
        <f>G49+F50</f>
        <v/>
      </c>
      <c r="I50" s="49">
        <f>B50*'VALOR POR PL'!$G$50</f>
        <v/>
      </c>
      <c r="J50" s="54">
        <f>I50*IF(A50&lt;='VALOR POR PL'!$P$5,IFERROR(INDEX('"INCC-FGV"'!$B$2:$B$400,MATCH(A50,'"INCC-FGV"'!$A$2:$A$400,0)),'VALOR POR PL'!$P$7),'VALOR POR PL'!$P$7)</f>
        <v/>
      </c>
      <c r="K50" s="70">
        <f>'MODELO PARA BI'!BB63</f>
        <v/>
      </c>
      <c r="L50" s="70">
        <f>'MODELO PARA BI'!BB64</f>
        <v/>
      </c>
      <c r="M50" s="54">
        <f>M49+J50</f>
        <v/>
      </c>
    </row>
    <row r="51">
      <c r="A51" s="111">
        <f>'MODELO PARA BI'!BC1</f>
        <v/>
      </c>
      <c r="B51" s="112" t="n"/>
      <c r="C51" s="109">
        <f>C50+B51</f>
        <v/>
      </c>
      <c r="D51" s="62">
        <f>IF(A51&lt;='VALOR POR PL'!$P$5,'MODELO PARA BI'!BC61,0)</f>
        <v/>
      </c>
      <c r="E51" s="62">
        <f>IF(A51&gt;'VALOR POR PL'!$P$5,'MODELO PARA BI'!BC61,0)</f>
        <v/>
      </c>
      <c r="F51" s="109">
        <f>IF('MODELO PARA BI'!$E$61=0,0,(D51+E51)/'MODELO PARA BI'!$E$61)</f>
        <v/>
      </c>
      <c r="G51" s="109">
        <f>G50+F51</f>
        <v/>
      </c>
      <c r="I51" s="49">
        <f>B51*'VALOR POR PL'!$G$50</f>
        <v/>
      </c>
      <c r="J51" s="54">
        <f>I51*IF(A51&lt;='VALOR POR PL'!$P$5,IFERROR(INDEX('"INCC-FGV"'!$B$2:$B$400,MATCH(A51,'"INCC-FGV"'!$A$2:$A$400,0)),'VALOR POR PL'!$P$7),'VALOR POR PL'!$P$7)</f>
        <v/>
      </c>
      <c r="K51" s="70">
        <f>'MODELO PARA BI'!BC63</f>
        <v/>
      </c>
      <c r="L51" s="70">
        <f>'MODELO PARA BI'!BC64</f>
        <v/>
      </c>
      <c r="M51" s="54">
        <f>M50+J51</f>
        <v/>
      </c>
    </row>
    <row r="52">
      <c r="A52" s="111">
        <f>'MODELO PARA BI'!BD1</f>
        <v/>
      </c>
      <c r="B52" s="112" t="n"/>
      <c r="C52" s="109">
        <f>C51+B52</f>
        <v/>
      </c>
      <c r="D52" s="62">
        <f>IF(A52&lt;='VALOR POR PL'!$P$5,'MODELO PARA BI'!BD61,0)</f>
        <v/>
      </c>
      <c r="E52" s="62">
        <f>IF(A52&gt;'VALOR POR PL'!$P$5,'MODELO PARA BI'!BD61,0)</f>
        <v/>
      </c>
      <c r="F52" s="109">
        <f>IF('MODELO PARA BI'!$E$61=0,0,(D52+E52)/'MODELO PARA BI'!$E$61)</f>
        <v/>
      </c>
      <c r="G52" s="109">
        <f>G51+F52</f>
        <v/>
      </c>
      <c r="I52" s="49">
        <f>B52*'VALOR POR PL'!$G$50</f>
        <v/>
      </c>
      <c r="J52" s="54">
        <f>I52*IF(A52&lt;='VALOR POR PL'!$P$5,IFERROR(INDEX('"INCC-FGV"'!$B$2:$B$400,MATCH(A52,'"INCC-FGV"'!$A$2:$A$400,0)),'VALOR POR PL'!$P$7),'VALOR POR PL'!$P$7)</f>
        <v/>
      </c>
      <c r="K52" s="70">
        <f>'MODELO PARA BI'!BD63</f>
        <v/>
      </c>
      <c r="L52" s="70">
        <f>'MODELO PARA BI'!BD64</f>
        <v/>
      </c>
      <c r="M52" s="54">
        <f>M51+J52</f>
        <v/>
      </c>
    </row>
    <row r="53">
      <c r="A53" s="111">
        <f>'MODELO PARA BI'!BE1</f>
        <v/>
      </c>
      <c r="B53" s="112" t="n"/>
      <c r="C53" s="109">
        <f>C52+B53</f>
        <v/>
      </c>
      <c r="D53" s="62">
        <f>IF(A53&lt;='VALOR POR PL'!$P$5,'MODELO PARA BI'!BE61,0)</f>
        <v/>
      </c>
      <c r="E53" s="62">
        <f>IF(A53&gt;'VALOR POR PL'!$P$5,'MODELO PARA BI'!BE61,0)</f>
        <v/>
      </c>
      <c r="F53" s="109">
        <f>IF('MODELO PARA BI'!$E$61=0,0,(D53+E53)/'MODELO PARA BI'!$E$61)</f>
        <v/>
      </c>
      <c r="G53" s="109">
        <f>G52+F53</f>
        <v/>
      </c>
      <c r="I53" s="49">
        <f>B53*'VALOR POR PL'!$G$50</f>
        <v/>
      </c>
      <c r="J53" s="54">
        <f>I53*IF(A53&lt;='VALOR POR PL'!$P$5,IFERROR(INDEX('"INCC-FGV"'!$B$2:$B$400,MATCH(A53,'"INCC-FGV"'!$A$2:$A$400,0)),'VALOR POR PL'!$P$7),'VALOR POR PL'!$P$7)</f>
        <v/>
      </c>
      <c r="K53" s="70">
        <f>'MODELO PARA BI'!BE63</f>
        <v/>
      </c>
      <c r="L53" s="70">
        <f>'MODELO PARA BI'!BE64</f>
        <v/>
      </c>
      <c r="M53" s="54">
        <f>M52+J53</f>
        <v/>
      </c>
    </row>
    <row r="54">
      <c r="A54" s="111">
        <f>'MODELO PARA BI'!BF1</f>
        <v/>
      </c>
      <c r="B54" s="112" t="n"/>
      <c r="C54" s="109">
        <f>C53+B54</f>
        <v/>
      </c>
      <c r="D54" s="62">
        <f>IF(A54&lt;='VALOR POR PL'!$P$5,'MODELO PARA BI'!BF61,0)</f>
        <v/>
      </c>
      <c r="E54" s="62">
        <f>IF(A54&gt;'VALOR POR PL'!$P$5,'MODELO PARA BI'!BF61,0)</f>
        <v/>
      </c>
      <c r="F54" s="109">
        <f>IF('MODELO PARA BI'!$E$61=0,0,(D54+E54)/'MODELO PARA BI'!$E$61)</f>
        <v/>
      </c>
      <c r="G54" s="109">
        <f>G53+F54</f>
        <v/>
      </c>
      <c r="I54" s="49">
        <f>B54*'VALOR POR PL'!$G$50</f>
        <v/>
      </c>
      <c r="J54" s="54">
        <f>I54*IF(A54&lt;='VALOR POR PL'!$P$5,IFERROR(INDEX('"INCC-FGV"'!$B$2:$B$400,MATCH(A54,'"INCC-FGV"'!$A$2:$A$400,0)),'VALOR POR PL'!$P$7),'VALOR POR PL'!$P$7)</f>
        <v/>
      </c>
      <c r="K54" s="70">
        <f>'MODELO PARA BI'!BF63</f>
        <v/>
      </c>
      <c r="L54" s="70">
        <f>'MODELO PARA BI'!BF64</f>
        <v/>
      </c>
      <c r="M54" s="54">
        <f>M53+J54</f>
        <v/>
      </c>
    </row>
    <row r="55">
      <c r="A55" s="111">
        <f>'MODELO PARA BI'!BG1</f>
        <v/>
      </c>
      <c r="B55" s="112" t="n"/>
      <c r="C55" s="109">
        <f>C54+B55</f>
        <v/>
      </c>
      <c r="D55" s="62">
        <f>IF(A55&lt;='VALOR POR PL'!$P$5,'MODELO PARA BI'!BG61,0)</f>
        <v/>
      </c>
      <c r="E55" s="62">
        <f>IF(A55&gt;'VALOR POR PL'!$P$5,'MODELO PARA BI'!BG61,0)</f>
        <v/>
      </c>
      <c r="F55" s="109">
        <f>IF('MODELO PARA BI'!$E$61=0,0,(D55+E55)/'MODELO PARA BI'!$E$61)</f>
        <v/>
      </c>
      <c r="G55" s="109">
        <f>G54+F55</f>
        <v/>
      </c>
      <c r="I55" s="49">
        <f>B55*'VALOR POR PL'!$G$50</f>
        <v/>
      </c>
      <c r="J55" s="54">
        <f>I55*IF(A55&lt;='VALOR POR PL'!$P$5,IFERROR(INDEX('"INCC-FGV"'!$B$2:$B$400,MATCH(A55,'"INCC-FGV"'!$A$2:$A$400,0)),'VALOR POR PL'!$P$7),'VALOR POR PL'!$P$7)</f>
        <v/>
      </c>
      <c r="K55" s="70">
        <f>'MODELO PARA BI'!BG63</f>
        <v/>
      </c>
      <c r="L55" s="70">
        <f>'MODELO PARA BI'!BG64</f>
        <v/>
      </c>
      <c r="M55" s="54">
        <f>M54+J55</f>
        <v/>
      </c>
    </row>
    <row r="56">
      <c r="A56" s="111">
        <f>'MODELO PARA BI'!BH1</f>
        <v/>
      </c>
      <c r="B56" s="112" t="n"/>
      <c r="C56" s="109">
        <f>C55+B56</f>
        <v/>
      </c>
      <c r="D56" s="62">
        <f>IF(A56&lt;='VALOR POR PL'!$P$5,'MODELO PARA BI'!BH61,0)</f>
        <v/>
      </c>
      <c r="E56" s="62">
        <f>IF(A56&gt;'VALOR POR PL'!$P$5,'MODELO PARA BI'!BH61,0)</f>
        <v/>
      </c>
      <c r="F56" s="109">
        <f>IF('MODELO PARA BI'!$E$61=0,0,(D56+E56)/'MODELO PARA BI'!$E$61)</f>
        <v/>
      </c>
      <c r="G56" s="109">
        <f>G55+F56</f>
        <v/>
      </c>
      <c r="I56" s="49">
        <f>B56*'VALOR POR PL'!$G$50</f>
        <v/>
      </c>
      <c r="J56" s="54">
        <f>I56*IF(A56&lt;='VALOR POR PL'!$P$5,IFERROR(INDEX('"INCC-FGV"'!$B$2:$B$400,MATCH(A56,'"INCC-FGV"'!$A$2:$A$400,0)),'VALOR POR PL'!$P$7),'VALOR POR PL'!$P$7)</f>
        <v/>
      </c>
      <c r="K56" s="70">
        <f>'MODELO PARA BI'!BH63</f>
        <v/>
      </c>
      <c r="L56" s="70">
        <f>'MODELO PARA BI'!BH64</f>
        <v/>
      </c>
      <c r="M56" s="54">
        <f>M55+J56</f>
        <v/>
      </c>
    </row>
    <row r="57">
      <c r="A57" s="111">
        <f>'MODELO PARA BI'!BI1</f>
        <v/>
      </c>
      <c r="B57" s="112" t="n"/>
      <c r="C57" s="109">
        <f>C56+B57</f>
        <v/>
      </c>
      <c r="D57" s="62">
        <f>IF(A57&lt;='VALOR POR PL'!$P$5,'MODELO PARA BI'!BI61,0)</f>
        <v/>
      </c>
      <c r="E57" s="62">
        <f>IF(A57&gt;'VALOR POR PL'!$P$5,'MODELO PARA BI'!BI61,0)</f>
        <v/>
      </c>
      <c r="F57" s="109">
        <f>IF('MODELO PARA BI'!$E$61=0,0,(D57+E57)/'MODELO PARA BI'!$E$61)</f>
        <v/>
      </c>
      <c r="G57" s="109">
        <f>G56+F57</f>
        <v/>
      </c>
      <c r="I57" s="49">
        <f>B57*'VALOR POR PL'!$G$50</f>
        <v/>
      </c>
      <c r="J57" s="54">
        <f>I57*IF(A57&lt;='VALOR POR PL'!$P$5,IFERROR(INDEX('"INCC-FGV"'!$B$2:$B$400,MATCH(A57,'"INCC-FGV"'!$A$2:$A$400,0)),'VALOR POR PL'!$P$7),'VALOR POR PL'!$P$7)</f>
        <v/>
      </c>
      <c r="K57" s="70">
        <f>'MODELO PARA BI'!BI63</f>
        <v/>
      </c>
      <c r="L57" s="70">
        <f>'MODELO PARA BI'!BI64</f>
        <v/>
      </c>
      <c r="M57" s="54">
        <f>M56+J57</f>
        <v/>
      </c>
    </row>
    <row r="58">
      <c r="A58" s="111">
        <f>'MODELO PARA BI'!BJ1</f>
        <v/>
      </c>
      <c r="B58" s="112" t="n"/>
      <c r="C58" s="109">
        <f>C57+B58</f>
        <v/>
      </c>
      <c r="D58" s="62">
        <f>IF(A58&lt;='VALOR POR PL'!$P$5,'MODELO PARA BI'!BJ61,0)</f>
        <v/>
      </c>
      <c r="E58" s="62">
        <f>IF(A58&gt;'VALOR POR PL'!$P$5,'MODELO PARA BI'!BJ61,0)</f>
        <v/>
      </c>
      <c r="F58" s="109">
        <f>IF('MODELO PARA BI'!$E$61=0,0,(D58+E58)/'MODELO PARA BI'!$E$61)</f>
        <v/>
      </c>
      <c r="G58" s="109">
        <f>G57+F58</f>
        <v/>
      </c>
      <c r="I58" s="49">
        <f>B58*'VALOR POR PL'!$G$50</f>
        <v/>
      </c>
      <c r="J58" s="54">
        <f>I58*IF(A58&lt;='VALOR POR PL'!$P$5,IFERROR(INDEX('"INCC-FGV"'!$B$2:$B$400,MATCH(A58,'"INCC-FGV"'!$A$2:$A$400,0)),'VALOR POR PL'!$P$7),'VALOR POR PL'!$P$7)</f>
        <v/>
      </c>
      <c r="K58" s="70">
        <f>'MODELO PARA BI'!BJ63</f>
        <v/>
      </c>
      <c r="L58" s="70">
        <f>'MODELO PARA BI'!BJ64</f>
        <v/>
      </c>
      <c r="M58" s="54">
        <f>M57+J58</f>
        <v/>
      </c>
    </row>
    <row r="59">
      <c r="A59" s="111">
        <f>'MODELO PARA BI'!BK1</f>
        <v/>
      </c>
      <c r="B59" s="112" t="n"/>
      <c r="C59" s="109">
        <f>C58+B59</f>
        <v/>
      </c>
      <c r="D59" s="62">
        <f>IF(A59&lt;='VALOR POR PL'!$P$5,'MODELO PARA BI'!BK61,0)</f>
        <v/>
      </c>
      <c r="E59" s="62">
        <f>IF(A59&gt;'VALOR POR PL'!$P$5,'MODELO PARA BI'!BK61,0)</f>
        <v/>
      </c>
      <c r="F59" s="109">
        <f>IF('MODELO PARA BI'!$E$61=0,0,(D59+E59)/'MODELO PARA BI'!$E$61)</f>
        <v/>
      </c>
      <c r="G59" s="109">
        <f>G58+F59</f>
        <v/>
      </c>
      <c r="I59" s="49">
        <f>B59*'VALOR POR PL'!$G$50</f>
        <v/>
      </c>
      <c r="J59" s="54">
        <f>I59*IF(A59&lt;='VALOR POR PL'!$P$5,IFERROR(INDEX('"INCC-FGV"'!$B$2:$B$400,MATCH(A59,'"INCC-FGV"'!$A$2:$A$400,0)),'VALOR POR PL'!$P$7),'VALOR POR PL'!$P$7)</f>
        <v/>
      </c>
      <c r="K59" s="70">
        <f>'MODELO PARA BI'!BK63</f>
        <v/>
      </c>
      <c r="L59" s="70">
        <f>'MODELO PARA BI'!BK64</f>
        <v/>
      </c>
      <c r="M59" s="54">
        <f>M58+J59</f>
        <v/>
      </c>
    </row>
    <row r="60">
      <c r="A60" s="111">
        <f>'MODELO PARA BI'!BL1</f>
        <v/>
      </c>
      <c r="B60" s="112" t="n"/>
      <c r="C60" s="109">
        <f>C59+B60</f>
        <v/>
      </c>
      <c r="D60" s="62">
        <f>IF(A60&lt;='VALOR POR PL'!$P$5,'MODELO PARA BI'!BL61,0)</f>
        <v/>
      </c>
      <c r="E60" s="62">
        <f>IF(A60&gt;'VALOR POR PL'!$P$5,'MODELO PARA BI'!BL61,0)</f>
        <v/>
      </c>
      <c r="F60" s="109">
        <f>IF('MODELO PARA BI'!$E$61=0,0,(D60+E60)/'MODELO PARA BI'!$E$61)</f>
        <v/>
      </c>
      <c r="G60" s="109">
        <f>G59+F60</f>
        <v/>
      </c>
      <c r="I60" s="49">
        <f>B60*'VALOR POR PL'!$G$50</f>
        <v/>
      </c>
      <c r="J60" s="54">
        <f>I60*IF(A60&lt;='VALOR POR PL'!$P$5,IFERROR(INDEX('"INCC-FGV"'!$B$2:$B$400,MATCH(A60,'"INCC-FGV"'!$A$2:$A$400,0)),'VALOR POR PL'!$P$7),'VALOR POR PL'!$P$7)</f>
        <v/>
      </c>
      <c r="K60" s="70">
        <f>'MODELO PARA BI'!BL63</f>
        <v/>
      </c>
      <c r="L60" s="70">
        <f>'MODELO PARA BI'!BL64</f>
        <v/>
      </c>
      <c r="M60" s="54">
        <f>M59+J60</f>
        <v/>
      </c>
    </row>
    <row r="61">
      <c r="A61" s="111">
        <f>'MODELO PARA BI'!BM1</f>
        <v/>
      </c>
      <c r="B61" s="112" t="n"/>
      <c r="C61" s="109">
        <f>C60+B61</f>
        <v/>
      </c>
      <c r="D61" s="62">
        <f>IF(A61&lt;='VALOR POR PL'!$P$5,'MODELO PARA BI'!BM61,0)</f>
        <v/>
      </c>
      <c r="E61" s="62">
        <f>IF(A61&gt;'VALOR POR PL'!$P$5,'MODELO PARA BI'!BM61,0)</f>
        <v/>
      </c>
      <c r="F61" s="109">
        <f>IF('MODELO PARA BI'!$E$61=0,0,(D61+E61)/'MODELO PARA BI'!$E$61)</f>
        <v/>
      </c>
      <c r="G61" s="109">
        <f>G60+F61</f>
        <v/>
      </c>
      <c r="I61" s="49">
        <f>B61*'VALOR POR PL'!$G$50</f>
        <v/>
      </c>
      <c r="J61" s="54">
        <f>I61*IF(A61&lt;='VALOR POR PL'!$P$5,IFERROR(INDEX('"INCC-FGV"'!$B$2:$B$400,MATCH(A61,'"INCC-FGV"'!$A$2:$A$400,0)),'VALOR POR PL'!$P$7),'VALOR POR PL'!$P$7)</f>
        <v/>
      </c>
      <c r="K61" s="70">
        <f>'MODELO PARA BI'!BM63</f>
        <v/>
      </c>
      <c r="L61" s="70">
        <f>'MODELO PARA BI'!BM64</f>
        <v/>
      </c>
      <c r="M61" s="54">
        <f>M60+J61</f>
        <v/>
      </c>
    </row>
    <row r="62">
      <c r="A62" s="111">
        <f>'MODELO PARA BI'!BN1</f>
        <v/>
      </c>
      <c r="B62" s="112" t="n"/>
      <c r="C62" s="109">
        <f>C61+B62</f>
        <v/>
      </c>
      <c r="D62" s="62">
        <f>IF(A62&lt;='VALOR POR PL'!$P$5,'MODELO PARA BI'!BN61,0)</f>
        <v/>
      </c>
      <c r="E62" s="62">
        <f>IF(A62&gt;'VALOR POR PL'!$P$5,'MODELO PARA BI'!BN61,0)</f>
        <v/>
      </c>
      <c r="F62" s="109">
        <f>IF('MODELO PARA BI'!$E$61=0,0,(D62+E62)/'MODELO PARA BI'!$E$61)</f>
        <v/>
      </c>
      <c r="G62" s="109">
        <f>G61+F62</f>
        <v/>
      </c>
      <c r="I62" s="49">
        <f>B62*'VALOR POR PL'!$G$50</f>
        <v/>
      </c>
      <c r="J62" s="54">
        <f>I62*IF(A62&lt;='VALOR POR PL'!$P$5,IFERROR(INDEX('"INCC-FGV"'!$B$2:$B$400,MATCH(A62,'"INCC-FGV"'!$A$2:$A$400,0)),'VALOR POR PL'!$P$7),'VALOR POR PL'!$P$7)</f>
        <v/>
      </c>
      <c r="K62" s="70">
        <f>'MODELO PARA BI'!BN63</f>
        <v/>
      </c>
      <c r="L62" s="70">
        <f>'MODELO PARA BI'!BN64</f>
        <v/>
      </c>
      <c r="M62" s="54">
        <f>M61+J62</f>
        <v/>
      </c>
    </row>
    <row r="63">
      <c r="A63" s="111">
        <f>'MODELO PARA BI'!BO1</f>
        <v/>
      </c>
      <c r="B63" s="112" t="n"/>
      <c r="C63" s="109">
        <f>C62+B63</f>
        <v/>
      </c>
      <c r="D63" s="62">
        <f>IF(A63&lt;='VALOR POR PL'!$P$5,'MODELO PARA BI'!BO61,0)</f>
        <v/>
      </c>
      <c r="E63" s="62">
        <f>IF(A63&gt;'VALOR POR PL'!$P$5,'MODELO PARA BI'!BO61,0)</f>
        <v/>
      </c>
      <c r="F63" s="109">
        <f>IF('MODELO PARA BI'!$E$61=0,0,(D63+E63)/'MODELO PARA BI'!$E$61)</f>
        <v/>
      </c>
      <c r="G63" s="109">
        <f>G62+F63</f>
        <v/>
      </c>
      <c r="I63" s="49">
        <f>B63*'VALOR POR PL'!$G$50</f>
        <v/>
      </c>
      <c r="J63" s="54">
        <f>I63*IF(A63&lt;='VALOR POR PL'!$P$5,IFERROR(INDEX('"INCC-FGV"'!$B$2:$B$400,MATCH(A63,'"INCC-FGV"'!$A$2:$A$400,0)),'VALOR POR PL'!$P$7),'VALOR POR PL'!$P$7)</f>
        <v/>
      </c>
      <c r="K63" s="70">
        <f>'MODELO PARA BI'!BO63</f>
        <v/>
      </c>
      <c r="L63" s="70">
        <f>'MODELO PARA BI'!BO64</f>
        <v/>
      </c>
      <c r="M63" s="54">
        <f>M62+J63</f>
        <v/>
      </c>
    </row>
    <row r="64">
      <c r="A64" s="111">
        <f>'MODELO PARA BI'!BP1</f>
        <v/>
      </c>
      <c r="B64" s="112" t="n"/>
      <c r="C64" s="109">
        <f>C63+B64</f>
        <v/>
      </c>
      <c r="D64" s="62">
        <f>IF(A64&lt;='VALOR POR PL'!$P$5,'MODELO PARA BI'!BP61,0)</f>
        <v/>
      </c>
      <c r="E64" s="62">
        <f>IF(A64&gt;'VALOR POR PL'!$P$5,'MODELO PARA BI'!BP61,0)</f>
        <v/>
      </c>
      <c r="F64" s="109">
        <f>IF('MODELO PARA BI'!$E$61=0,0,(D64+E64)/'MODELO PARA BI'!$E$61)</f>
        <v/>
      </c>
      <c r="G64" s="109">
        <f>G63+F64</f>
        <v/>
      </c>
      <c r="I64" s="49">
        <f>B64*'VALOR POR PL'!$G$50</f>
        <v/>
      </c>
      <c r="J64" s="54">
        <f>I64*IF(A64&lt;='VALOR POR PL'!$P$5,IFERROR(INDEX('"INCC-FGV"'!$B$2:$B$400,MATCH(A64,'"INCC-FGV"'!$A$2:$A$400,0)),'VALOR POR PL'!$P$7),'VALOR POR PL'!$P$7)</f>
        <v/>
      </c>
      <c r="K64" s="70">
        <f>'MODELO PARA BI'!BP63</f>
        <v/>
      </c>
      <c r="L64" s="70">
        <f>'MODELO PARA BI'!BP64</f>
        <v/>
      </c>
      <c r="M64" s="54">
        <f>M63+J64</f>
        <v/>
      </c>
    </row>
    <row r="65">
      <c r="A65" s="111">
        <f>'MODELO PARA BI'!BQ1</f>
        <v/>
      </c>
      <c r="B65" s="112" t="n"/>
      <c r="C65" s="109">
        <f>C64+B65</f>
        <v/>
      </c>
      <c r="D65" s="62">
        <f>IF(A65&lt;='VALOR POR PL'!$P$5,'MODELO PARA BI'!BQ61,0)</f>
        <v/>
      </c>
      <c r="E65" s="62">
        <f>IF(A65&gt;'VALOR POR PL'!$P$5,'MODELO PARA BI'!BQ61,0)</f>
        <v/>
      </c>
      <c r="F65" s="109">
        <f>IF('MODELO PARA BI'!$E$61=0,0,(D65+E65)/'MODELO PARA BI'!$E$61)</f>
        <v/>
      </c>
      <c r="G65" s="109">
        <f>G64+F65</f>
        <v/>
      </c>
      <c r="I65" s="49">
        <f>B65*'VALOR POR PL'!$G$50</f>
        <v/>
      </c>
      <c r="J65" s="54">
        <f>I65*IF(A65&lt;='VALOR POR PL'!$P$5,IFERROR(INDEX('"INCC-FGV"'!$B$2:$B$400,MATCH(A65,'"INCC-FGV"'!$A$2:$A$400,0)),'VALOR POR PL'!$P$7),'VALOR POR PL'!$P$7)</f>
        <v/>
      </c>
      <c r="K65" s="70">
        <f>'MODELO PARA BI'!BQ63</f>
        <v/>
      </c>
      <c r="L65" s="70">
        <f>'MODELO PARA BI'!BQ64</f>
        <v/>
      </c>
      <c r="M65" s="54">
        <f>M64+J65</f>
        <v/>
      </c>
    </row>
    <row r="66">
      <c r="A66" s="111">
        <f>'MODELO PARA BI'!BR1</f>
        <v/>
      </c>
      <c r="B66" s="112" t="n"/>
      <c r="C66" s="109">
        <f>C65+B66</f>
        <v/>
      </c>
      <c r="D66" s="62">
        <f>IF(A66&lt;='VALOR POR PL'!$P$5,'MODELO PARA BI'!BR61,0)</f>
        <v/>
      </c>
      <c r="E66" s="62">
        <f>IF(A66&gt;'VALOR POR PL'!$P$5,'MODELO PARA BI'!BR61,0)</f>
        <v/>
      </c>
      <c r="F66" s="109">
        <f>IF('MODELO PARA BI'!$E$61=0,0,(D66+E66)/'MODELO PARA BI'!$E$61)</f>
        <v/>
      </c>
      <c r="G66" s="109">
        <f>G65+F66</f>
        <v/>
      </c>
      <c r="I66" s="49">
        <f>B66*'VALOR POR PL'!$G$50</f>
        <v/>
      </c>
      <c r="J66" s="54">
        <f>I66*IF(A66&lt;='VALOR POR PL'!$P$5,IFERROR(INDEX('"INCC-FGV"'!$B$2:$B$400,MATCH(A66,'"INCC-FGV"'!$A$2:$A$400,0)),'VALOR POR PL'!$P$7),'VALOR POR PL'!$P$7)</f>
        <v/>
      </c>
      <c r="K66" s="70">
        <f>'MODELO PARA BI'!BR63</f>
        <v/>
      </c>
      <c r="L66" s="70">
        <f>'MODELO PARA BI'!BR64</f>
        <v/>
      </c>
      <c r="M66" s="54">
        <f>M65+J66</f>
        <v/>
      </c>
    </row>
    <row r="67">
      <c r="A67" s="111">
        <f>'MODELO PARA BI'!BS1</f>
        <v/>
      </c>
      <c r="B67" s="112" t="n"/>
      <c r="C67" s="109">
        <f>C66+B67</f>
        <v/>
      </c>
      <c r="D67" s="62">
        <f>IF(A67&lt;='VALOR POR PL'!$P$5,'MODELO PARA BI'!BS61,0)</f>
        <v/>
      </c>
      <c r="E67" s="62">
        <f>IF(A67&gt;'VALOR POR PL'!$P$5,'MODELO PARA BI'!BS61,0)</f>
        <v/>
      </c>
      <c r="F67" s="109">
        <f>IF('MODELO PARA BI'!$E$61=0,0,(D67+E67)/'MODELO PARA BI'!$E$61)</f>
        <v/>
      </c>
      <c r="G67" s="109">
        <f>G66+F67</f>
        <v/>
      </c>
      <c r="I67" s="49">
        <f>B67*'VALOR POR PL'!$G$50</f>
        <v/>
      </c>
      <c r="J67" s="54">
        <f>I67*IF(A67&lt;='VALOR POR PL'!$P$5,IFERROR(INDEX('"INCC-FGV"'!$B$2:$B$400,MATCH(A67,'"INCC-FGV"'!$A$2:$A$400,0)),'VALOR POR PL'!$P$7),'VALOR POR PL'!$P$7)</f>
        <v/>
      </c>
      <c r="K67" s="70">
        <f>'MODELO PARA BI'!BS63</f>
        <v/>
      </c>
      <c r="L67" s="70">
        <f>'MODELO PARA BI'!BS64</f>
        <v/>
      </c>
      <c r="M67" s="54">
        <f>M66+J67</f>
        <v/>
      </c>
    </row>
    <row r="68">
      <c r="A68" s="111">
        <f>'MODELO PARA BI'!BT1</f>
        <v/>
      </c>
      <c r="B68" s="112" t="n"/>
      <c r="C68" s="109">
        <f>C67+B68</f>
        <v/>
      </c>
      <c r="D68" s="62">
        <f>IF(A68&lt;='VALOR POR PL'!$P$5,'MODELO PARA BI'!BT61,0)</f>
        <v/>
      </c>
      <c r="E68" s="62">
        <f>IF(A68&gt;'VALOR POR PL'!$P$5,'MODELO PARA BI'!BT61,0)</f>
        <v/>
      </c>
      <c r="F68" s="109">
        <f>IF('MODELO PARA BI'!$E$61=0,0,(D68+E68)/'MODELO PARA BI'!$E$61)</f>
        <v/>
      </c>
      <c r="G68" s="109">
        <f>G67+F68</f>
        <v/>
      </c>
      <c r="I68" s="49">
        <f>B68*'VALOR POR PL'!$G$50</f>
        <v/>
      </c>
      <c r="J68" s="54">
        <f>I68*IF(A68&lt;='VALOR POR PL'!$P$5,IFERROR(INDEX('"INCC-FGV"'!$B$2:$B$400,MATCH(A68,'"INCC-FGV"'!$A$2:$A$400,0)),'VALOR POR PL'!$P$7),'VALOR POR PL'!$P$7)</f>
        <v/>
      </c>
      <c r="K68" s="70">
        <f>'MODELO PARA BI'!BT63</f>
        <v/>
      </c>
      <c r="L68" s="70">
        <f>'MODELO PARA BI'!BT64</f>
        <v/>
      </c>
      <c r="M68" s="54">
        <f>M67+J68</f>
        <v/>
      </c>
    </row>
    <row r="69">
      <c r="A69" s="111">
        <f>'MODELO PARA BI'!BU1</f>
        <v/>
      </c>
      <c r="B69" s="112" t="n"/>
      <c r="C69" s="109">
        <f>C68+B69</f>
        <v/>
      </c>
      <c r="D69" s="62">
        <f>IF(A69&lt;='VALOR POR PL'!$P$5,'MODELO PARA BI'!BU61,0)</f>
        <v/>
      </c>
      <c r="E69" s="62">
        <f>IF(A69&gt;'VALOR POR PL'!$P$5,'MODELO PARA BI'!BU61,0)</f>
        <v/>
      </c>
      <c r="F69" s="109">
        <f>IF('MODELO PARA BI'!$E$61=0,0,(D69+E69)/'MODELO PARA BI'!$E$61)</f>
        <v/>
      </c>
      <c r="G69" s="109">
        <f>G68+F69</f>
        <v/>
      </c>
      <c r="I69" s="49">
        <f>B69*'VALOR POR PL'!$G$50</f>
        <v/>
      </c>
      <c r="J69" s="54">
        <f>I69*IF(A69&lt;='VALOR POR PL'!$P$5,IFERROR(INDEX('"INCC-FGV"'!$B$2:$B$400,MATCH(A69,'"INCC-FGV"'!$A$2:$A$400,0)),'VALOR POR PL'!$P$7),'VALOR POR PL'!$P$7)</f>
        <v/>
      </c>
      <c r="K69" s="70">
        <f>'MODELO PARA BI'!BU63</f>
        <v/>
      </c>
      <c r="L69" s="70">
        <f>'MODELO PARA BI'!BU64</f>
        <v/>
      </c>
      <c r="M69" s="54">
        <f>M68+J69</f>
        <v/>
      </c>
    </row>
    <row r="70">
      <c r="A70" s="111">
        <f>'MODELO PARA BI'!BV1</f>
        <v/>
      </c>
      <c r="B70" s="112" t="n"/>
      <c r="C70" s="109">
        <f>C69+B70</f>
        <v/>
      </c>
      <c r="D70" s="62">
        <f>IF(A70&lt;='VALOR POR PL'!$P$5,'MODELO PARA BI'!BV61,0)</f>
        <v/>
      </c>
      <c r="E70" s="62">
        <f>IF(A70&gt;'VALOR POR PL'!$P$5,'MODELO PARA BI'!BV61,0)</f>
        <v/>
      </c>
      <c r="F70" s="109">
        <f>IF('MODELO PARA BI'!$E$61=0,0,(D70+E70)/'MODELO PARA BI'!$E$61)</f>
        <v/>
      </c>
      <c r="G70" s="109">
        <f>G69+F70</f>
        <v/>
      </c>
      <c r="I70" s="49">
        <f>B70*'VALOR POR PL'!$G$50</f>
        <v/>
      </c>
      <c r="J70" s="54">
        <f>I70*IF(A70&lt;='VALOR POR PL'!$P$5,IFERROR(INDEX('"INCC-FGV"'!$B$2:$B$400,MATCH(A70,'"INCC-FGV"'!$A$2:$A$400,0)),'VALOR POR PL'!$P$7),'VALOR POR PL'!$P$7)</f>
        <v/>
      </c>
      <c r="K70" s="70">
        <f>'MODELO PARA BI'!BV63</f>
        <v/>
      </c>
      <c r="L70" s="70">
        <f>'MODELO PARA BI'!BV64</f>
        <v/>
      </c>
      <c r="M70" s="54">
        <f>M69+J70</f>
        <v/>
      </c>
    </row>
    <row r="71">
      <c r="A71" s="111">
        <f>'MODELO PARA BI'!BW1</f>
        <v/>
      </c>
      <c r="B71" s="112" t="n"/>
      <c r="C71" s="109">
        <f>C70+B71</f>
        <v/>
      </c>
      <c r="D71" s="62">
        <f>IF(A71&lt;='VALOR POR PL'!$P$5,'MODELO PARA BI'!BW61,0)</f>
        <v/>
      </c>
      <c r="E71" s="62">
        <f>IF(A71&gt;'VALOR POR PL'!$P$5,'MODELO PARA BI'!BW61,0)</f>
        <v/>
      </c>
      <c r="F71" s="109">
        <f>IF('MODELO PARA BI'!$E$61=0,0,(D71+E71)/'MODELO PARA BI'!$E$61)</f>
        <v/>
      </c>
      <c r="G71" s="109">
        <f>G70+F71</f>
        <v/>
      </c>
      <c r="I71" s="49">
        <f>B71*'VALOR POR PL'!$G$50</f>
        <v/>
      </c>
      <c r="J71" s="54">
        <f>I71*IF(A71&lt;='VALOR POR PL'!$P$5,IFERROR(INDEX('"INCC-FGV"'!$B$2:$B$400,MATCH(A71,'"INCC-FGV"'!$A$2:$A$400,0)),'VALOR POR PL'!$P$7),'VALOR POR PL'!$P$7)</f>
        <v/>
      </c>
      <c r="K71" s="70">
        <f>'MODELO PARA BI'!BW63</f>
        <v/>
      </c>
      <c r="L71" s="70">
        <f>'MODELO PARA BI'!BW64</f>
        <v/>
      </c>
      <c r="M71" s="54">
        <f>M70+J71</f>
        <v/>
      </c>
    </row>
    <row r="72">
      <c r="A72" s="111">
        <f>'MODELO PARA BI'!BX1</f>
        <v/>
      </c>
      <c r="B72" s="112" t="n"/>
      <c r="C72" s="109">
        <f>C71+B72</f>
        <v/>
      </c>
      <c r="D72" s="62">
        <f>IF(A72&lt;='VALOR POR PL'!$P$5,'MODELO PARA BI'!BX61,0)</f>
        <v/>
      </c>
      <c r="E72" s="62">
        <f>IF(A72&gt;'VALOR POR PL'!$P$5,'MODELO PARA BI'!BX61,0)</f>
        <v/>
      </c>
      <c r="F72" s="109">
        <f>IF('MODELO PARA BI'!$E$61=0,0,(D72+E72)/'MODELO PARA BI'!$E$61)</f>
        <v/>
      </c>
      <c r="G72" s="109">
        <f>G71+F72</f>
        <v/>
      </c>
      <c r="I72" s="49">
        <f>B72*'VALOR POR PL'!$G$50</f>
        <v/>
      </c>
      <c r="J72" s="54">
        <f>I72*IF(A72&lt;='VALOR POR PL'!$P$5,IFERROR(INDEX('"INCC-FGV"'!$B$2:$B$400,MATCH(A72,'"INCC-FGV"'!$A$2:$A$400,0)),'VALOR POR PL'!$P$7),'VALOR POR PL'!$P$7)</f>
        <v/>
      </c>
      <c r="K72" s="70">
        <f>'MODELO PARA BI'!BX63</f>
        <v/>
      </c>
      <c r="L72" s="70">
        <f>'MODELO PARA BI'!BX64</f>
        <v/>
      </c>
      <c r="M72" s="54">
        <f>M71+J72</f>
        <v/>
      </c>
    </row>
    <row r="73">
      <c r="A73" s="111">
        <f>'MODELO PARA BI'!BY1</f>
        <v/>
      </c>
      <c r="B73" s="112" t="n"/>
      <c r="C73" s="109">
        <f>C72+B73</f>
        <v/>
      </c>
      <c r="D73" s="62">
        <f>IF(A73&lt;='VALOR POR PL'!$P$5,'MODELO PARA BI'!BY61,0)</f>
        <v/>
      </c>
      <c r="E73" s="62">
        <f>IF(A73&gt;'VALOR POR PL'!$P$5,'MODELO PARA BI'!BY61,0)</f>
        <v/>
      </c>
      <c r="F73" s="109">
        <f>IF('MODELO PARA BI'!$E$61=0,0,(D73+E73)/'MODELO PARA BI'!$E$61)</f>
        <v/>
      </c>
      <c r="G73" s="109">
        <f>G72+F73</f>
        <v/>
      </c>
      <c r="I73" s="49">
        <f>B73*'VALOR POR PL'!$G$50</f>
        <v/>
      </c>
      <c r="J73" s="54">
        <f>I73*IF(A73&lt;='VALOR POR PL'!$P$5,IFERROR(INDEX('"INCC-FGV"'!$B$2:$B$400,MATCH(A73,'"INCC-FGV"'!$A$2:$A$400,0)),'VALOR POR PL'!$P$7),'VALOR POR PL'!$P$7)</f>
        <v/>
      </c>
      <c r="K73" s="70">
        <f>'MODELO PARA BI'!BY63</f>
        <v/>
      </c>
      <c r="L73" s="70">
        <f>'MODELO PARA BI'!BY64</f>
        <v/>
      </c>
      <c r="M73" s="54">
        <f>M72+J73</f>
        <v/>
      </c>
    </row>
    <row r="74">
      <c r="A74" s="111">
        <f>'MODELO PARA BI'!BZ1</f>
        <v/>
      </c>
      <c r="B74" s="112" t="n"/>
      <c r="C74" s="109">
        <f>C73+B74</f>
        <v/>
      </c>
      <c r="D74" s="62">
        <f>IF(A74&lt;='VALOR POR PL'!$P$5,'MODELO PARA BI'!BZ61,0)</f>
        <v/>
      </c>
      <c r="E74" s="62">
        <f>IF(A74&gt;'VALOR POR PL'!$P$5,'MODELO PARA BI'!BZ61,0)</f>
        <v/>
      </c>
      <c r="F74" s="109">
        <f>IF('MODELO PARA BI'!$E$61=0,0,(D74+E74)/'MODELO PARA BI'!$E$61)</f>
        <v/>
      </c>
      <c r="G74" s="109">
        <f>G73+F74</f>
        <v/>
      </c>
      <c r="I74" s="49">
        <f>B74*'VALOR POR PL'!$G$50</f>
        <v/>
      </c>
      <c r="J74" s="54">
        <f>I74*IF(A74&lt;='VALOR POR PL'!$P$5,IFERROR(INDEX('"INCC-FGV"'!$B$2:$B$400,MATCH(A74,'"INCC-FGV"'!$A$2:$A$400,0)),'VALOR POR PL'!$P$7),'VALOR POR PL'!$P$7)</f>
        <v/>
      </c>
      <c r="K74" s="70">
        <f>'MODELO PARA BI'!BZ63</f>
        <v/>
      </c>
      <c r="L74" s="70">
        <f>'MODELO PARA BI'!BZ64</f>
        <v/>
      </c>
      <c r="M74" s="54">
        <f>M73+J74</f>
        <v/>
      </c>
    </row>
    <row r="75">
      <c r="A75" s="111">
        <f>'MODELO PARA BI'!CA1</f>
        <v/>
      </c>
      <c r="B75" s="112" t="n"/>
      <c r="C75" s="109">
        <f>C74+B75</f>
        <v/>
      </c>
      <c r="D75" s="62">
        <f>IF(A75&lt;='VALOR POR PL'!$P$5,'MODELO PARA BI'!CA61,0)</f>
        <v/>
      </c>
      <c r="E75" s="62">
        <f>IF(A75&gt;'VALOR POR PL'!$P$5,'MODELO PARA BI'!CA61,0)</f>
        <v/>
      </c>
      <c r="F75" s="109">
        <f>IF('MODELO PARA BI'!$E$61=0,0,(D75+E75)/'MODELO PARA BI'!$E$61)</f>
        <v/>
      </c>
      <c r="G75" s="109">
        <f>G74+F75</f>
        <v/>
      </c>
      <c r="I75" s="49">
        <f>B75*'VALOR POR PL'!$G$50</f>
        <v/>
      </c>
      <c r="J75" s="54">
        <f>I75*IF(A75&lt;='VALOR POR PL'!$P$5,IFERROR(INDEX('"INCC-FGV"'!$B$2:$B$400,MATCH(A75,'"INCC-FGV"'!$A$2:$A$400,0)),'VALOR POR PL'!$P$7),'VALOR POR PL'!$P$7)</f>
        <v/>
      </c>
      <c r="K75" s="70">
        <f>'MODELO PARA BI'!CA63</f>
        <v/>
      </c>
      <c r="L75" s="70">
        <f>'MODELO PARA BI'!CA64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4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13" t="n">
        <v>45536</v>
      </c>
      <c r="B2" s="47" t="n">
        <v>1136.521</v>
      </c>
      <c r="D2" s="114">
        <f>IF(B2="","",IFERROR(B2/INDEX($B$2:$B$400,MATCH(DATE(YEAR(A2)-1,12,1),$A$2:$A$400,0))-1,""))</f>
        <v/>
      </c>
      <c r="E2" s="114">
        <f>IF(B2="","",IFERROR(B2/INDEX($B$2:$B$400,MATCH(DATE(YEAR(A2)-1,MONTH(A2),1),$A$2:$A$400,0))-1,""))</f>
        <v/>
      </c>
      <c r="G2" s="115" t="inlineStr">
        <is>
          <t>Fonte: FGV (INCC-DI). Acrescente uma linha por mês.</t>
        </is>
      </c>
    </row>
    <row r="3">
      <c r="A3" s="113" t="n">
        <v>45566</v>
      </c>
      <c r="B3" s="47" t="n">
        <v>1144.136</v>
      </c>
      <c r="C3" s="114">
        <f>IF(OR(B3="",B2=""),"",B3/B2-1)</f>
        <v/>
      </c>
      <c r="D3" s="114">
        <f>IF(B3="","",IFERROR(B3/INDEX($B$2:$B$400,MATCH(DATE(YEAR(A3)-1,12,1),$A$2:$A$400,0))-1,""))</f>
        <v/>
      </c>
      <c r="E3" s="114">
        <f>IF(B3="","",IFERROR(B3/INDEX($B$2:$B$400,MATCH(DATE(YEAR(A3)-1,MONTH(A3),1),$A$2:$A$400,0))-1,""))</f>
        <v/>
      </c>
    </row>
    <row r="4">
      <c r="A4" s="113" t="n">
        <v>45597</v>
      </c>
      <c r="B4" s="47" t="n">
        <v>1149.158</v>
      </c>
      <c r="C4" s="114">
        <f>IF(OR(B4="",B3=""),"",B4/B3-1)</f>
        <v/>
      </c>
      <c r="D4" s="114">
        <f>IF(B4="","",IFERROR(B4/INDEX($B$2:$B$400,MATCH(DATE(YEAR(A4)-1,12,1),$A$2:$A$400,0))-1,""))</f>
        <v/>
      </c>
      <c r="E4" s="114">
        <f>IF(B4="","",IFERROR(B4/INDEX($B$2:$B$400,MATCH(DATE(YEAR(A4)-1,MONTH(A4),1),$A$2:$A$400,0))-1,""))</f>
        <v/>
      </c>
    </row>
    <row r="5">
      <c r="A5" s="113" t="n">
        <v>45627</v>
      </c>
      <c r="B5" s="47" t="n">
        <v>1154.99</v>
      </c>
      <c r="C5" s="114">
        <f>IF(OR(B5="",B4=""),"",B5/B4-1)</f>
        <v/>
      </c>
      <c r="D5" s="114">
        <f>IF(B5="","",IFERROR(B5/INDEX($B$2:$B$400,MATCH(DATE(YEAR(A5)-1,12,1),$A$2:$A$400,0))-1,""))</f>
        <v/>
      </c>
      <c r="E5" s="114">
        <f>IF(B5="","",IFERROR(B5/INDEX($B$2:$B$400,MATCH(DATE(YEAR(A5)-1,MONTH(A5),1),$A$2:$A$400,0))-1,""))</f>
        <v/>
      </c>
    </row>
    <row r="6">
      <c r="A6" s="113" t="n">
        <v>45658</v>
      </c>
      <c r="B6" s="47" t="n">
        <v>1163.221</v>
      </c>
      <c r="C6" s="114">
        <f>IF(OR(B6="",B5=""),"",B6/B5-1)</f>
        <v/>
      </c>
      <c r="D6" s="114">
        <f>IF(B6="","",IFERROR(B6/INDEX($B$2:$B$400,MATCH(DATE(YEAR(A6)-1,12,1),$A$2:$A$400,0))-1,""))</f>
        <v/>
      </c>
      <c r="E6" s="114">
        <f>IF(B6="","",IFERROR(B6/INDEX($B$2:$B$400,MATCH(DATE(YEAR(A6)-1,MONTH(A6),1),$A$2:$A$400,0))-1,""))</f>
        <v/>
      </c>
    </row>
    <row r="7">
      <c r="A7" s="113" t="n">
        <v>45689</v>
      </c>
      <c r="B7" s="47" t="n">
        <v>1169.156</v>
      </c>
      <c r="C7" s="114">
        <f>IF(OR(B7="",B6=""),"",B7/B6-1)</f>
        <v/>
      </c>
      <c r="D7" s="114">
        <f>IF(B7="","",IFERROR(B7/INDEX($B$2:$B$400,MATCH(DATE(YEAR(A7)-1,12,1),$A$2:$A$400,0))-1,""))</f>
        <v/>
      </c>
      <c r="E7" s="114">
        <f>IF(B7="","",IFERROR(B7/INDEX($B$2:$B$400,MATCH(DATE(YEAR(A7)-1,MONTH(A7),1),$A$2:$A$400,0))-1,""))</f>
        <v/>
      </c>
    </row>
    <row r="8">
      <c r="A8" s="113" t="n">
        <v>45717</v>
      </c>
      <c r="B8" s="47" t="n">
        <v>1173.586</v>
      </c>
      <c r="C8" s="114">
        <f>IF(OR(B8="",B7=""),"",B8/B7-1)</f>
        <v/>
      </c>
      <c r="D8" s="114">
        <f>IF(B8="","",IFERROR(B8/INDEX($B$2:$B$400,MATCH(DATE(YEAR(A8)-1,12,1),$A$2:$A$400,0))-1,""))</f>
        <v/>
      </c>
      <c r="E8" s="114">
        <f>IF(B8="","",IFERROR(B8/INDEX($B$2:$B$400,MATCH(DATE(YEAR(A8)-1,MONTH(A8),1),$A$2:$A$400,0))-1,""))</f>
        <v/>
      </c>
    </row>
    <row r="9">
      <c r="A9" s="113" t="n">
        <v>45748</v>
      </c>
      <c r="B9" s="47" t="n">
        <v>1180.564</v>
      </c>
      <c r="C9" s="114">
        <f>IF(OR(B9="",B8=""),"",B9/B8-1)</f>
        <v/>
      </c>
      <c r="D9" s="114">
        <f>IF(B9="","",IFERROR(B9/INDEX($B$2:$B$400,MATCH(DATE(YEAR(A9)-1,12,1),$A$2:$A$400,0))-1,""))</f>
        <v/>
      </c>
      <c r="E9" s="114">
        <f>IF(B9="","",IFERROR(B9/INDEX($B$2:$B$400,MATCH(DATE(YEAR(A9)-1,MONTH(A9),1),$A$2:$A$400,0))-1,""))</f>
        <v/>
      </c>
    </row>
    <row r="10">
      <c r="A10" s="113" t="n">
        <v>45778</v>
      </c>
      <c r="B10" s="47" t="n">
        <v>1183.606</v>
      </c>
      <c r="C10" s="114">
        <f>IF(OR(B10="",B9=""),"",B10/B9-1)</f>
        <v/>
      </c>
      <c r="D10" s="114">
        <f>IF(B10="","",IFERROR(B10/INDEX($B$2:$B$400,MATCH(DATE(YEAR(A10)-1,12,1),$A$2:$A$400,0))-1,""))</f>
        <v/>
      </c>
      <c r="E10" s="114">
        <f>IF(B10="","",IFERROR(B10/INDEX($B$2:$B$400,MATCH(DATE(YEAR(A10)-1,MONTH(A10),1),$A$2:$A$400,0))-1,""))</f>
        <v/>
      </c>
    </row>
    <row r="11">
      <c r="A11" s="113" t="n">
        <v>45809</v>
      </c>
      <c r="B11" s="47" t="n">
        <v>1194.912</v>
      </c>
      <c r="C11" s="114">
        <f>IF(OR(B11="",B10=""),"",B11/B10-1)</f>
        <v/>
      </c>
      <c r="D11" s="114">
        <f>IF(B11="","",IFERROR(B11/INDEX($B$2:$B$400,MATCH(DATE(YEAR(A11)-1,12,1),$A$2:$A$400,0))-1,""))</f>
        <v/>
      </c>
      <c r="E11" s="114">
        <f>IF(B11="","",IFERROR(B11/INDEX($B$2:$B$400,MATCH(DATE(YEAR(A11)-1,MONTH(A11),1),$A$2:$A$400,0))-1,""))</f>
        <v/>
      </c>
    </row>
    <row r="12">
      <c r="A12" s="113" t="n">
        <v>45839</v>
      </c>
      <c r="B12" s="47" t="n">
        <v>1205.838</v>
      </c>
      <c r="C12" s="114">
        <f>IF(OR(B12="",B11=""),"",B12/B11-1)</f>
        <v/>
      </c>
      <c r="D12" s="114">
        <f>IF(B12="","",IFERROR(B12/INDEX($B$2:$B$400,MATCH(DATE(YEAR(A12)-1,12,1),$A$2:$A$400,0))-1,""))</f>
        <v/>
      </c>
      <c r="E12" s="114">
        <f>IF(B12="","",IFERROR(B12/INDEX($B$2:$B$400,MATCH(DATE(YEAR(A12)-1,MONTH(A12),1),$A$2:$A$400,0))-1,""))</f>
        <v/>
      </c>
    </row>
    <row r="13">
      <c r="A13" s="113" t="n">
        <v>45870</v>
      </c>
      <c r="B13" s="47" t="n">
        <v>1214.239</v>
      </c>
      <c r="C13" s="114">
        <f>IF(OR(B13="",B12=""),"",B13/B12-1)</f>
        <v/>
      </c>
      <c r="D13" s="114">
        <f>IF(B13="","",IFERROR(B13/INDEX($B$2:$B$400,MATCH(DATE(YEAR(A13)-1,12,1),$A$2:$A$400,0))-1,""))</f>
        <v/>
      </c>
      <c r="E13" s="114">
        <f>IF(B13="","",IFERROR(B13/INDEX($B$2:$B$400,MATCH(DATE(YEAR(A13)-1,MONTH(A13),1),$A$2:$A$400,0))-1,""))</f>
        <v/>
      </c>
    </row>
    <row r="14">
      <c r="A14" s="113" t="n">
        <v>45901</v>
      </c>
      <c r="B14" s="47" t="n">
        <v>1216.825</v>
      </c>
      <c r="C14" s="114">
        <f>IF(OR(B14="",B13=""),"",B14/B13-1)</f>
        <v/>
      </c>
      <c r="D14" s="114">
        <f>IF(B14="","",IFERROR(B14/INDEX($B$2:$B$400,MATCH(DATE(YEAR(A14)-1,12,1),$A$2:$A$400,0))-1,""))</f>
        <v/>
      </c>
      <c r="E14" s="114">
        <f>IF(B14="","",IFERROR(B14/INDEX($B$2:$B$400,MATCH(DATE(YEAR(A14)-1,MONTH(A14),1),$A$2:$A$400,0))-1,""))</f>
        <v/>
      </c>
    </row>
    <row r="15">
      <c r="A15" s="113" t="n">
        <v>45931</v>
      </c>
      <c r="B15" s="47" t="n">
        <v>1219.407</v>
      </c>
      <c r="C15" s="114">
        <f>IF(OR(B15="",B14=""),"",B15/B14-1)</f>
        <v/>
      </c>
      <c r="D15" s="114">
        <f>IF(B15="","",IFERROR(B15/INDEX($B$2:$B$400,MATCH(DATE(YEAR(A15)-1,12,1),$A$2:$A$400,0))-1,""))</f>
        <v/>
      </c>
      <c r="E15" s="114">
        <f>IF(B15="","",IFERROR(B15/INDEX($B$2:$B$400,MATCH(DATE(YEAR(A15)-1,MONTH(A15),1),$A$2:$A$400,0))-1,""))</f>
        <v/>
      </c>
    </row>
    <row r="16">
      <c r="A16" s="113" t="n">
        <v>45962</v>
      </c>
      <c r="B16" s="47" t="n">
        <v>1222.865</v>
      </c>
      <c r="C16" s="114">
        <f>IF(OR(B16="",B15=""),"",B16/B15-1)</f>
        <v/>
      </c>
      <c r="D16" s="114">
        <f>IF(B16="","",IFERROR(B16/INDEX($B$2:$B$400,MATCH(DATE(YEAR(A16)-1,12,1),$A$2:$A$400,0))-1,""))</f>
        <v/>
      </c>
      <c r="E16" s="114">
        <f>IF(B16="","",IFERROR(B16/INDEX($B$2:$B$400,MATCH(DATE(YEAR(A16)-1,MONTH(A16),1),$A$2:$A$400,0))-1,""))</f>
        <v/>
      </c>
    </row>
    <row r="17">
      <c r="A17" s="113" t="n">
        <v>45992</v>
      </c>
      <c r="B17" s="47" t="n">
        <v>1225.398</v>
      </c>
      <c r="C17" s="114">
        <f>IF(OR(B17="",B16=""),"",B17/B16-1)</f>
        <v/>
      </c>
      <c r="D17" s="114">
        <f>IF(B17="","",IFERROR(B17/INDEX($B$2:$B$400,MATCH(DATE(YEAR(A17)-1,12,1),$A$2:$A$400,0))-1,""))</f>
        <v/>
      </c>
      <c r="E17" s="114">
        <f>IF(B17="","",IFERROR(B17/INDEX($B$2:$B$400,MATCH(DATE(YEAR(A17)-1,MONTH(A17),1),$A$2:$A$400,0))-1,""))</f>
        <v/>
      </c>
    </row>
    <row r="18">
      <c r="A18" s="113" t="n">
        <v>46023</v>
      </c>
      <c r="B18" s="47" t="n">
        <v>1233.096</v>
      </c>
      <c r="C18" s="114">
        <f>IF(OR(B18="",B17=""),"",B18/B17-1)</f>
        <v/>
      </c>
      <c r="D18" s="114">
        <f>IF(B18="","",IFERROR(B18/INDEX($B$2:$B$400,MATCH(DATE(YEAR(A18)-1,12,1),$A$2:$A$400,0))-1,""))</f>
        <v/>
      </c>
      <c r="E18" s="114">
        <f>IF(B18="","",IFERROR(B18/INDEX($B$2:$B$400,MATCH(DATE(YEAR(A18)-1,MONTH(A18),1),$A$2:$A$400,0))-1,""))</f>
        <v/>
      </c>
    </row>
    <row r="19">
      <c r="A19" s="113" t="n">
        <v>46054</v>
      </c>
      <c r="B19" s="47" t="n">
        <v>1237.312</v>
      </c>
      <c r="C19" s="114">
        <f>IF(OR(B19="",B18=""),"",B19/B18-1)</f>
        <v/>
      </c>
      <c r="D19" s="114">
        <f>IF(B19="","",IFERROR(B19/INDEX($B$2:$B$400,MATCH(DATE(YEAR(A19)-1,12,1),$A$2:$A$400,0))-1,""))</f>
        <v/>
      </c>
      <c r="E19" s="114">
        <f>IF(B19="","",IFERROR(B19/INDEX($B$2:$B$400,MATCH(DATE(YEAR(A19)-1,MONTH(A19),1),$A$2:$A$400,0))-1,""))</f>
        <v/>
      </c>
    </row>
    <row r="20">
      <c r="A20" s="113" t="n">
        <v>46082</v>
      </c>
      <c r="B20" s="47" t="n">
        <v>1247.181</v>
      </c>
      <c r="C20" s="114">
        <f>IF(OR(B20="",B19=""),"",B20/B19-1)</f>
        <v/>
      </c>
      <c r="D20" s="114">
        <f>IF(B20="","",IFERROR(B20/INDEX($B$2:$B$400,MATCH(DATE(YEAR(A20)-1,12,1),$A$2:$A$400,0))-1,""))</f>
        <v/>
      </c>
      <c r="E20" s="114">
        <f>IF(B20="","",IFERROR(B20/INDEX($B$2:$B$400,MATCH(DATE(YEAR(A20)-1,MONTH(A20),1),$A$2:$A$400,0))-1,""))</f>
        <v/>
      </c>
    </row>
    <row r="21">
      <c r="A21" s="113" t="n">
        <v>46113</v>
      </c>
      <c r="B21" s="47" t="n">
        <v>1259.652</v>
      </c>
      <c r="C21" s="114">
        <f>IF(OR(B21="",B20=""),"",B21/B20-1)</f>
        <v/>
      </c>
      <c r="D21" s="114">
        <f>IF(B21="","",IFERROR(B21/INDEX($B$2:$B$400,MATCH(DATE(YEAR(A21)-1,12,1),$A$2:$A$400,0))-1,""))</f>
        <v/>
      </c>
      <c r="E21" s="114">
        <f>IF(B21="","",IFERROR(B21/INDEX($B$2:$B$400,MATCH(DATE(YEAR(A21)-1,MONTH(A21),1),$A$2:$A$400,0))-1,""))</f>
        <v/>
      </c>
    </row>
    <row r="22">
      <c r="A22" s="113" t="n">
        <v>46143</v>
      </c>
      <c r="B22" s="47" t="n">
        <v>1270.695</v>
      </c>
      <c r="C22" s="114">
        <f>IF(OR(B22="",B21=""),"",B22/B21-1)</f>
        <v/>
      </c>
      <c r="D22" s="114">
        <f>IF(B22="","",IFERROR(B22/INDEX($B$2:$B$400,MATCH(DATE(YEAR(A22)-1,12,1),$A$2:$A$400,0))-1,""))</f>
        <v/>
      </c>
      <c r="E22" s="114">
        <f>IF(B22="","",IFERROR(B22/INDEX($B$2:$B$400,MATCH(DATE(YEAR(A22)-1,MONTH(A22),1),$A$2:$A$400,0))-1,""))</f>
        <v/>
      </c>
    </row>
    <row r="23">
      <c r="A23" s="113" t="n">
        <v>46174</v>
      </c>
      <c r="B23" s="47" t="n">
        <v>1280.641</v>
      </c>
      <c r="C23" s="114">
        <f>IF(OR(B23="",B22=""),"",B23/B22-1)</f>
        <v/>
      </c>
      <c r="D23" s="114">
        <f>IF(B23="","",IFERROR(B23/INDEX($B$2:$B$400,MATCH(DATE(YEAR(A23)-1,12,1),$A$2:$A$400,0))-1,""))</f>
        <v/>
      </c>
      <c r="E23" s="114">
        <f>IF(B23="","",IFERROR(B23/INDEX($B$2:$B$400,MATCH(DATE(YEAR(A23)-1,MONTH(A23),1),$A$2:$A$400,0))-1,""))</f>
        <v/>
      </c>
    </row>
    <row r="24">
      <c r="A24" s="113" t="n">
        <v>46204</v>
      </c>
      <c r="B24" s="47" t="n">
        <v>1288.431</v>
      </c>
      <c r="C24" s="114">
        <f>IF(OR(B24="",B23=""),"",B24/B23-1)</f>
        <v/>
      </c>
      <c r="D24" s="114">
        <f>IF(B24="","",IFERROR(B24/INDEX($B$2:$B$400,MATCH(DATE(YEAR(A24)-1,12,1),$A$2:$A$400,0))-1,""))</f>
        <v/>
      </c>
      <c r="E24" s="114">
        <f>IF(B24="","",IFERROR(B24/INDEX($B$2:$B$400,MATCH(DATE(YEAR(A24)-1,MONTH(A24),1),$A$2:$A$400,0))-1,""))</f>
        <v/>
      </c>
    </row>
    <row r="25">
      <c r="A25" s="113" t="n">
        <v>46235</v>
      </c>
      <c r="B25" s="47" t="n">
        <v>1296.889</v>
      </c>
      <c r="C25" s="114">
        <f>IF(OR(B25="",B24=""),"",B25/B24-1)</f>
        <v/>
      </c>
      <c r="D25" s="114">
        <f>IF(B25="","",IFERROR(B25/INDEX($B$2:$B$400,MATCH(DATE(YEAR(A25)-1,12,1),$A$2:$A$400,0))-1,""))</f>
        <v/>
      </c>
      <c r="E25" s="114">
        <f>IF(B25="","",IFERROR(B25/INDEX($B$2:$B$400,MATCH(DATE(YEAR(A25)-1,MONTH(A25),1),$A$2:$A$400,0))-1,""))</f>
        <v/>
      </c>
    </row>
    <row r="26">
      <c r="A26" s="116" t="n"/>
      <c r="B26" s="117" t="n"/>
      <c r="C26" s="114">
        <f>IF(OR(B26="",B25=""),"",B26/B25-1)</f>
        <v/>
      </c>
      <c r="D26" s="114">
        <f>IF(B26="","",IFERROR(B26/INDEX($B$2:$B$400,MATCH(DATE(YEAR(A26)-1,12,1),$A$2:$A$400,0))-1,""))</f>
        <v/>
      </c>
      <c r="E26" s="114">
        <f>IF(B26="","",IFERROR(B26/INDEX($B$2:$B$400,MATCH(DATE(YEAR(A26)-1,MONTH(A26),1),$A$2:$A$400,0))-1,""))</f>
        <v/>
      </c>
    </row>
    <row r="27">
      <c r="A27" s="116" t="n"/>
      <c r="B27" s="117" t="n"/>
      <c r="C27" s="114">
        <f>IF(OR(B27="",B26=""),"",B27/B26-1)</f>
        <v/>
      </c>
      <c r="D27" s="114">
        <f>IF(B27="","",IFERROR(B27/INDEX($B$2:$B$400,MATCH(DATE(YEAR(A27)-1,12,1),$A$2:$A$400,0))-1,""))</f>
        <v/>
      </c>
      <c r="E27" s="114">
        <f>IF(B27="","",IFERROR(B27/INDEX($B$2:$B$400,MATCH(DATE(YEAR(A27)-1,MONTH(A27),1),$A$2:$A$400,0))-1,""))</f>
        <v/>
      </c>
    </row>
    <row r="28">
      <c r="A28" s="116" t="n"/>
      <c r="B28" s="117" t="n"/>
      <c r="C28" s="114">
        <f>IF(OR(B28="",B27=""),"",B28/B27-1)</f>
        <v/>
      </c>
      <c r="D28" s="114">
        <f>IF(B28="","",IFERROR(B28/INDEX($B$2:$B$400,MATCH(DATE(YEAR(A28)-1,12,1),$A$2:$A$400,0))-1,""))</f>
        <v/>
      </c>
      <c r="E28" s="114">
        <f>IF(B28="","",IFERROR(B28/INDEX($B$2:$B$400,MATCH(DATE(YEAR(A28)-1,MONTH(A28),1),$A$2:$A$400,0))-1,""))</f>
        <v/>
      </c>
    </row>
    <row r="29">
      <c r="A29" s="116" t="n"/>
      <c r="B29" s="117" t="n"/>
      <c r="C29" s="114">
        <f>IF(OR(B29="",B28=""),"",B29/B28-1)</f>
        <v/>
      </c>
      <c r="D29" s="114">
        <f>IF(B29="","",IFERROR(B29/INDEX($B$2:$B$400,MATCH(DATE(YEAR(A29)-1,12,1),$A$2:$A$400,0))-1,""))</f>
        <v/>
      </c>
      <c r="E29" s="114">
        <f>IF(B29="","",IFERROR(B29/INDEX($B$2:$B$400,MATCH(DATE(YEAR(A29)-1,MONTH(A29),1),$A$2:$A$400,0))-1,""))</f>
        <v/>
      </c>
    </row>
    <row r="30">
      <c r="A30" s="116" t="n"/>
      <c r="B30" s="117" t="n"/>
      <c r="C30" s="114">
        <f>IF(OR(B30="",B29=""),"",B30/B29-1)</f>
        <v/>
      </c>
      <c r="D30" s="114">
        <f>IF(B30="","",IFERROR(B30/INDEX($B$2:$B$400,MATCH(DATE(YEAR(A30)-1,12,1),$A$2:$A$400,0))-1,""))</f>
        <v/>
      </c>
      <c r="E30" s="114">
        <f>IF(B30="","",IFERROR(B30/INDEX($B$2:$B$400,MATCH(DATE(YEAR(A30)-1,MONTH(A30),1),$A$2:$A$400,0))-1,""))</f>
        <v/>
      </c>
    </row>
    <row r="31">
      <c r="A31" s="116" t="n"/>
      <c r="B31" s="117" t="n"/>
      <c r="C31" s="114">
        <f>IF(OR(B31="",B30=""),"",B31/B30-1)</f>
        <v/>
      </c>
      <c r="D31" s="114">
        <f>IF(B31="","",IFERROR(B31/INDEX($B$2:$B$400,MATCH(DATE(YEAR(A31)-1,12,1),$A$2:$A$400,0))-1,""))</f>
        <v/>
      </c>
      <c r="E31" s="114">
        <f>IF(B31="","",IFERROR(B31/INDEX($B$2:$B$400,MATCH(DATE(YEAR(A31)-1,MONTH(A31),1),$A$2:$A$400,0))-1,""))</f>
        <v/>
      </c>
    </row>
    <row r="32">
      <c r="A32" s="116" t="n"/>
      <c r="B32" s="117" t="n"/>
      <c r="C32" s="114">
        <f>IF(OR(B32="",B31=""),"",B32/B31-1)</f>
        <v/>
      </c>
      <c r="D32" s="114">
        <f>IF(B32="","",IFERROR(B32/INDEX($B$2:$B$400,MATCH(DATE(YEAR(A32)-1,12,1),$A$2:$A$400,0))-1,""))</f>
        <v/>
      </c>
      <c r="E32" s="114">
        <f>IF(B32="","",IFERROR(B32/INDEX($B$2:$B$400,MATCH(DATE(YEAR(A32)-1,MONTH(A32),1),$A$2:$A$400,0))-1,""))</f>
        <v/>
      </c>
    </row>
    <row r="33">
      <c r="A33" s="116" t="n"/>
      <c r="B33" s="117" t="n"/>
      <c r="C33" s="114">
        <f>IF(OR(B33="",B32=""),"",B33/B32-1)</f>
        <v/>
      </c>
      <c r="D33" s="114">
        <f>IF(B33="","",IFERROR(B33/INDEX($B$2:$B$400,MATCH(DATE(YEAR(A33)-1,12,1),$A$2:$A$400,0))-1,""))</f>
        <v/>
      </c>
      <c r="E33" s="114">
        <f>IF(B33="","",IFERROR(B33/INDEX($B$2:$B$400,MATCH(DATE(YEAR(A33)-1,MONTH(A33),1),$A$2:$A$400,0))-1,""))</f>
        <v/>
      </c>
    </row>
    <row r="34">
      <c r="A34" s="116" t="n"/>
      <c r="B34" s="117" t="n"/>
      <c r="C34" s="114">
        <f>IF(OR(B34="",B33=""),"",B34/B33-1)</f>
        <v/>
      </c>
      <c r="D34" s="114">
        <f>IF(B34="","",IFERROR(B34/INDEX($B$2:$B$400,MATCH(DATE(YEAR(A34)-1,12,1),$A$2:$A$400,0))-1,""))</f>
        <v/>
      </c>
      <c r="E34" s="114">
        <f>IF(B34="","",IFERROR(B34/INDEX($B$2:$B$400,MATCH(DATE(YEAR(A34)-1,MONTH(A34),1),$A$2:$A$400,0))-1,""))</f>
        <v/>
      </c>
    </row>
    <row r="35">
      <c r="A35" s="116" t="n"/>
      <c r="B35" s="117" t="n"/>
      <c r="C35" s="114">
        <f>IF(OR(B35="",B34=""),"",B35/B34-1)</f>
        <v/>
      </c>
      <c r="D35" s="114">
        <f>IF(B35="","",IFERROR(B35/INDEX($B$2:$B$400,MATCH(DATE(YEAR(A35)-1,12,1),$A$2:$A$400,0))-1,""))</f>
        <v/>
      </c>
      <c r="E35" s="114">
        <f>IF(B35="","",IFERROR(B35/INDEX($B$2:$B$400,MATCH(DATE(YEAR(A35)-1,MONTH(A35),1),$A$2:$A$400,0))-1,""))</f>
        <v/>
      </c>
    </row>
    <row r="36">
      <c r="A36" s="116" t="n"/>
      <c r="B36" s="117" t="n"/>
      <c r="C36" s="114">
        <f>IF(OR(B36="",B35=""),"",B36/B35-1)</f>
        <v/>
      </c>
      <c r="D36" s="114">
        <f>IF(B36="","",IFERROR(B36/INDEX($B$2:$B$400,MATCH(DATE(YEAR(A36)-1,12,1),$A$2:$A$400,0))-1,""))</f>
        <v/>
      </c>
      <c r="E36" s="114">
        <f>IF(B36="","",IFERROR(B36/INDEX($B$2:$B$400,MATCH(DATE(YEAR(A36)-1,MONTH(A36),1),$A$2:$A$400,0))-1,""))</f>
        <v/>
      </c>
    </row>
    <row r="37">
      <c r="A37" s="116" t="n"/>
      <c r="B37" s="117" t="n"/>
      <c r="C37" s="114">
        <f>IF(OR(B37="",B36=""),"",B37/B36-1)</f>
        <v/>
      </c>
      <c r="D37" s="114">
        <f>IF(B37="","",IFERROR(B37/INDEX($B$2:$B$400,MATCH(DATE(YEAR(A37)-1,12,1),$A$2:$A$400,0))-1,""))</f>
        <v/>
      </c>
      <c r="E37" s="114">
        <f>IF(B37="","",IFERROR(B37/INDEX($B$2:$B$400,MATCH(DATE(YEAR(A37)-1,MONTH(A37),1),$A$2:$A$400,0))-1,""))</f>
        <v/>
      </c>
    </row>
    <row r="38">
      <c r="A38" s="116" t="n"/>
      <c r="B38" s="117" t="n"/>
      <c r="C38" s="114">
        <f>IF(OR(B38="",B37=""),"",B38/B37-1)</f>
        <v/>
      </c>
      <c r="D38" s="114">
        <f>IF(B38="","",IFERROR(B38/INDEX($B$2:$B$400,MATCH(DATE(YEAR(A38)-1,12,1),$A$2:$A$400,0))-1,""))</f>
        <v/>
      </c>
      <c r="E38" s="114">
        <f>IF(B38="","",IFERROR(B38/INDEX($B$2:$B$400,MATCH(DATE(YEAR(A38)-1,MONTH(A38),1),$A$2:$A$400,0))-1,""))</f>
        <v/>
      </c>
    </row>
    <row r="39">
      <c r="A39" s="116" t="n"/>
      <c r="B39" s="117" t="n"/>
      <c r="C39" s="114">
        <f>IF(OR(B39="",B38=""),"",B39/B38-1)</f>
        <v/>
      </c>
      <c r="D39" s="114">
        <f>IF(B39="","",IFERROR(B39/INDEX($B$2:$B$400,MATCH(DATE(YEAR(A39)-1,12,1),$A$2:$A$400,0))-1,""))</f>
        <v/>
      </c>
      <c r="E39" s="114">
        <f>IF(B39="","",IFERROR(B39/INDEX($B$2:$B$400,MATCH(DATE(YEAR(A39)-1,MONTH(A39),1),$A$2:$A$400,0))-1,""))</f>
        <v/>
      </c>
    </row>
    <row r="40">
      <c r="A40" s="116" t="n"/>
      <c r="B40" s="117" t="n"/>
      <c r="C40" s="114">
        <f>IF(OR(B40="",B39=""),"",B40/B39-1)</f>
        <v/>
      </c>
      <c r="D40" s="114">
        <f>IF(B40="","",IFERROR(B40/INDEX($B$2:$B$400,MATCH(DATE(YEAR(A40)-1,12,1),$A$2:$A$400,0))-1,""))</f>
        <v/>
      </c>
      <c r="E40" s="114">
        <f>IF(B40="","",IFERROR(B40/INDEX($B$2:$B$400,MATCH(DATE(YEAR(A40)-1,MONTH(A40),1),$A$2:$A$400,0))-1,""))</f>
        <v/>
      </c>
    </row>
    <row r="41">
      <c r="A41" s="116" t="n"/>
      <c r="B41" s="117" t="n"/>
      <c r="C41" s="114">
        <f>IF(OR(B41="",B40=""),"",B41/B40-1)</f>
        <v/>
      </c>
      <c r="D41" s="114">
        <f>IF(B41="","",IFERROR(B41/INDEX($B$2:$B$400,MATCH(DATE(YEAR(A41)-1,12,1),$A$2:$A$400,0))-1,""))</f>
        <v/>
      </c>
      <c r="E41" s="114">
        <f>IF(B41="","",IFERROR(B41/INDEX($B$2:$B$400,MATCH(DATE(YEAR(A41)-1,MONTH(A41),1),$A$2:$A$400,0))-1,""))</f>
        <v/>
      </c>
    </row>
    <row r="42">
      <c r="A42" s="116" t="n"/>
      <c r="B42" s="117" t="n"/>
      <c r="C42" s="114">
        <f>IF(OR(B42="",B41=""),"",B42/B41-1)</f>
        <v/>
      </c>
      <c r="D42" s="114">
        <f>IF(B42="","",IFERROR(B42/INDEX($B$2:$B$400,MATCH(DATE(YEAR(A42)-1,12,1),$A$2:$A$400,0))-1,""))</f>
        <v/>
      </c>
      <c r="E42" s="114">
        <f>IF(B42="","",IFERROR(B42/INDEX($B$2:$B$400,MATCH(DATE(YEAR(A42)-1,MONTH(A42),1),$A$2:$A$400,0))-1,""))</f>
        <v/>
      </c>
    </row>
    <row r="43">
      <c r="A43" s="116" t="n"/>
      <c r="B43" s="117" t="n"/>
      <c r="C43" s="114">
        <f>IF(OR(B43="",B42=""),"",B43/B42-1)</f>
        <v/>
      </c>
      <c r="D43" s="114">
        <f>IF(B43="","",IFERROR(B43/INDEX($B$2:$B$400,MATCH(DATE(YEAR(A43)-1,12,1),$A$2:$A$400,0))-1,""))</f>
        <v/>
      </c>
      <c r="E43" s="114">
        <f>IF(B43="","",IFERROR(B43/INDEX($B$2:$B$400,MATCH(DATE(YEAR(A43)-1,MONTH(A43),1),$A$2:$A$400,0))-1,""))</f>
        <v/>
      </c>
    </row>
    <row r="44">
      <c r="A44" s="116" t="n"/>
      <c r="B44" s="117" t="n"/>
      <c r="C44" s="114">
        <f>IF(OR(B44="",B43=""),"",B44/B43-1)</f>
        <v/>
      </c>
      <c r="D44" s="114">
        <f>IF(B44="","",IFERROR(B44/INDEX($B$2:$B$400,MATCH(DATE(YEAR(A44)-1,12,1),$A$2:$A$400,0))-1,""))</f>
        <v/>
      </c>
      <c r="E44" s="114">
        <f>IF(B44="","",IFERROR(B44/INDEX($B$2:$B$400,MATCH(DATE(YEAR(A44)-1,MONTH(A44),1),$A$2:$A$400,0))-1,""))</f>
        <v/>
      </c>
    </row>
    <row r="45">
      <c r="A45" s="116" t="n"/>
      <c r="B45" s="117" t="n"/>
      <c r="C45" s="114">
        <f>IF(OR(B45="",B44=""),"",B45/B44-1)</f>
        <v/>
      </c>
      <c r="D45" s="114">
        <f>IF(B45="","",IFERROR(B45/INDEX($B$2:$B$400,MATCH(DATE(YEAR(A45)-1,12,1),$A$2:$A$400,0))-1,""))</f>
        <v/>
      </c>
      <c r="E45" s="114">
        <f>IF(B45="","",IFERROR(B45/INDEX($B$2:$B$400,MATCH(DATE(YEAR(A45)-1,MONTH(A45),1),$A$2:$A$400,0))-1,""))</f>
        <v/>
      </c>
    </row>
    <row r="46">
      <c r="A46" s="116" t="n"/>
      <c r="B46" s="117" t="n"/>
      <c r="C46" s="114">
        <f>IF(OR(B46="",B45=""),"",B46/B45-1)</f>
        <v/>
      </c>
      <c r="D46" s="114">
        <f>IF(B46="","",IFERROR(B46/INDEX($B$2:$B$400,MATCH(DATE(YEAR(A46)-1,12,1),$A$2:$A$400,0))-1,""))</f>
        <v/>
      </c>
      <c r="E46" s="114">
        <f>IF(B46="","",IFERROR(B46/INDEX($B$2:$B$400,MATCH(DATE(YEAR(A46)-1,MONTH(A46),1),$A$2:$A$400,0))-1,""))</f>
        <v/>
      </c>
    </row>
    <row r="47">
      <c r="A47" s="116" t="n"/>
      <c r="B47" s="117" t="n"/>
      <c r="C47" s="114">
        <f>IF(OR(B47="",B46=""),"",B47/B46-1)</f>
        <v/>
      </c>
      <c r="D47" s="114">
        <f>IF(B47="","",IFERROR(B47/INDEX($B$2:$B$400,MATCH(DATE(YEAR(A47)-1,12,1),$A$2:$A$400,0))-1,""))</f>
        <v/>
      </c>
      <c r="E47" s="114">
        <f>IF(B47="","",IFERROR(B47/INDEX($B$2:$B$400,MATCH(DATE(YEAR(A47)-1,MONTH(A47),1),$A$2:$A$400,0))-1,""))</f>
        <v/>
      </c>
    </row>
    <row r="48">
      <c r="A48" s="116" t="n"/>
      <c r="B48" s="117" t="n"/>
      <c r="C48" s="114">
        <f>IF(OR(B48="",B47=""),"",B48/B47-1)</f>
        <v/>
      </c>
      <c r="D48" s="114">
        <f>IF(B48="","",IFERROR(B48/INDEX($B$2:$B$400,MATCH(DATE(YEAR(A48)-1,12,1),$A$2:$A$400,0))-1,""))</f>
        <v/>
      </c>
      <c r="E48" s="114">
        <f>IF(B48="","",IFERROR(B48/INDEX($B$2:$B$400,MATCH(DATE(YEAR(A48)-1,MONTH(A48),1),$A$2:$A$400,0))-1,""))</f>
        <v/>
      </c>
    </row>
    <row r="49">
      <c r="A49" s="116" t="n"/>
      <c r="B49" s="117" t="n"/>
      <c r="C49" s="114">
        <f>IF(OR(B49="",B48=""),"",B49/B48-1)</f>
        <v/>
      </c>
      <c r="D49" s="114">
        <f>IF(B49="","",IFERROR(B49/INDEX($B$2:$B$400,MATCH(DATE(YEAR(A49)-1,12,1),$A$2:$A$400,0))-1,""))</f>
        <v/>
      </c>
      <c r="E49" s="114">
        <f>IF(B49="","",IFERROR(B49/INDEX($B$2:$B$400,MATCH(DATE(YEAR(A49)-1,MONTH(A49),1),$A$2:$A$400,0))-1,""))</f>
        <v/>
      </c>
    </row>
    <row r="50">
      <c r="A50" s="116" t="n"/>
      <c r="B50" s="117" t="n"/>
      <c r="C50" s="114">
        <f>IF(OR(B50="",B49=""),"",B50/B49-1)</f>
        <v/>
      </c>
      <c r="D50" s="114">
        <f>IF(B50="","",IFERROR(B50/INDEX($B$2:$B$400,MATCH(DATE(YEAR(A50)-1,12,1),$A$2:$A$400,0))-1,""))</f>
        <v/>
      </c>
      <c r="E50" s="114">
        <f>IF(B50="","",IFERROR(B50/INDEX($B$2:$B$400,MATCH(DATE(YEAR(A50)-1,MONTH(A50),1),$A$2:$A$400,0))-1,""))</f>
        <v/>
      </c>
    </row>
    <row r="51">
      <c r="A51" s="116" t="n"/>
      <c r="B51" s="117" t="n"/>
      <c r="C51" s="114">
        <f>IF(OR(B51="",B50=""),"",B51/B50-1)</f>
        <v/>
      </c>
      <c r="D51" s="114">
        <f>IF(B51="","",IFERROR(B51/INDEX($B$2:$B$400,MATCH(DATE(YEAR(A51)-1,12,1),$A$2:$A$400,0))-1,""))</f>
        <v/>
      </c>
      <c r="E51" s="114">
        <f>IF(B51="","",IFERROR(B51/INDEX($B$2:$B$400,MATCH(DATE(YEAR(A51)-1,MONTH(A51),1),$A$2:$A$400,0))-1,""))</f>
        <v/>
      </c>
    </row>
    <row r="52">
      <c r="A52" s="116" t="n"/>
      <c r="B52" s="117" t="n"/>
      <c r="C52" s="114">
        <f>IF(OR(B52="",B51=""),"",B52/B51-1)</f>
        <v/>
      </c>
      <c r="D52" s="114">
        <f>IF(B52="","",IFERROR(B52/INDEX($B$2:$B$400,MATCH(DATE(YEAR(A52)-1,12,1),$A$2:$A$400,0))-1,""))</f>
        <v/>
      </c>
      <c r="E52" s="114">
        <f>IF(B52="","",IFERROR(B52/INDEX($B$2:$B$400,MATCH(DATE(YEAR(A52)-1,MONTH(A52),1),$A$2:$A$400,0))-1,""))</f>
        <v/>
      </c>
    </row>
    <row r="53">
      <c r="A53" s="116" t="n"/>
      <c r="B53" s="117" t="n"/>
      <c r="C53" s="114">
        <f>IF(OR(B53="",B52=""),"",B53/B52-1)</f>
        <v/>
      </c>
      <c r="D53" s="114">
        <f>IF(B53="","",IFERROR(B53/INDEX($B$2:$B$400,MATCH(DATE(YEAR(A53)-1,12,1),$A$2:$A$400,0))-1,""))</f>
        <v/>
      </c>
      <c r="E53" s="114">
        <f>IF(B53="","",IFERROR(B53/INDEX($B$2:$B$400,MATCH(DATE(YEAR(A53)-1,MONTH(A53),1),$A$2:$A$400,0))-1,""))</f>
        <v/>
      </c>
    </row>
    <row r="54">
      <c r="A54" s="116" t="n"/>
      <c r="B54" s="117" t="n"/>
      <c r="C54" s="114">
        <f>IF(OR(B54="",B53=""),"",B54/B53-1)</f>
        <v/>
      </c>
      <c r="D54" s="114">
        <f>IF(B54="","",IFERROR(B54/INDEX($B$2:$B$400,MATCH(DATE(YEAR(A54)-1,12,1),$A$2:$A$400,0))-1,""))</f>
        <v/>
      </c>
      <c r="E54" s="114">
        <f>IF(B54="","",IFERROR(B54/INDEX($B$2:$B$400,MATCH(DATE(YEAR(A54)-1,MONTH(A54),1),$A$2:$A$400,0))-1,""))</f>
        <v/>
      </c>
    </row>
    <row r="55">
      <c r="A55" s="116" t="n"/>
      <c r="B55" s="117" t="n"/>
      <c r="C55" s="114">
        <f>IF(OR(B55="",B54=""),"",B55/B54-1)</f>
        <v/>
      </c>
      <c r="D55" s="114">
        <f>IF(B55="","",IFERROR(B55/INDEX($B$2:$B$400,MATCH(DATE(YEAR(A55)-1,12,1),$A$2:$A$400,0))-1,""))</f>
        <v/>
      </c>
      <c r="E55" s="114">
        <f>IF(B55="","",IFERROR(B55/INDEX($B$2:$B$400,MATCH(DATE(YEAR(A55)-1,MONTH(A55),1),$A$2:$A$400,0))-1,""))</f>
        <v/>
      </c>
    </row>
    <row r="56">
      <c r="A56" s="116" t="n"/>
      <c r="B56" s="117" t="n"/>
      <c r="C56" s="114">
        <f>IF(OR(B56="",B55=""),"",B56/B55-1)</f>
        <v/>
      </c>
      <c r="D56" s="114">
        <f>IF(B56="","",IFERROR(B56/INDEX($B$2:$B$400,MATCH(DATE(YEAR(A56)-1,12,1),$A$2:$A$400,0))-1,""))</f>
        <v/>
      </c>
      <c r="E56" s="114">
        <f>IF(B56="","",IFERROR(B56/INDEX($B$2:$B$400,MATCH(DATE(YEAR(A56)-1,MONTH(A56),1),$A$2:$A$400,0))-1,""))</f>
        <v/>
      </c>
    </row>
    <row r="57">
      <c r="A57" s="116" t="n"/>
      <c r="B57" s="117" t="n"/>
      <c r="C57" s="114">
        <f>IF(OR(B57="",B56=""),"",B57/B56-1)</f>
        <v/>
      </c>
      <c r="D57" s="114">
        <f>IF(B57="","",IFERROR(B57/INDEX($B$2:$B$400,MATCH(DATE(YEAR(A57)-1,12,1),$A$2:$A$400,0))-1,""))</f>
        <v/>
      </c>
      <c r="E57" s="114">
        <f>IF(B57="","",IFERROR(B57/INDEX($B$2:$B$400,MATCH(DATE(YEAR(A57)-1,MONTH(A57),1),$A$2:$A$400,0))-1,""))</f>
        <v/>
      </c>
    </row>
    <row r="58">
      <c r="A58" s="116" t="n"/>
      <c r="B58" s="117" t="n"/>
      <c r="C58" s="114">
        <f>IF(OR(B58="",B57=""),"",B58/B57-1)</f>
        <v/>
      </c>
      <c r="D58" s="114">
        <f>IF(B58="","",IFERROR(B58/INDEX($B$2:$B$400,MATCH(DATE(YEAR(A58)-1,12,1),$A$2:$A$400,0))-1,""))</f>
        <v/>
      </c>
      <c r="E58" s="114">
        <f>IF(B58="","",IFERROR(B58/INDEX($B$2:$B$400,MATCH(DATE(YEAR(A58)-1,MONTH(A58),1),$A$2:$A$400,0))-1,""))</f>
        <v/>
      </c>
    </row>
    <row r="59">
      <c r="A59" s="116" t="n"/>
      <c r="B59" s="117" t="n"/>
      <c r="C59" s="114">
        <f>IF(OR(B59="",B58=""),"",B59/B58-1)</f>
        <v/>
      </c>
      <c r="D59" s="114">
        <f>IF(B59="","",IFERROR(B59/INDEX($B$2:$B$400,MATCH(DATE(YEAR(A59)-1,12,1),$A$2:$A$400,0))-1,""))</f>
        <v/>
      </c>
      <c r="E59" s="114">
        <f>IF(B59="","",IFERROR(B59/INDEX($B$2:$B$400,MATCH(DATE(YEAR(A59)-1,MONTH(A59),1),$A$2:$A$400,0))-1,""))</f>
        <v/>
      </c>
    </row>
    <row r="60">
      <c r="A60" s="116" t="n"/>
      <c r="B60" s="117" t="n"/>
      <c r="C60" s="114">
        <f>IF(OR(B60="",B59=""),"",B60/B59-1)</f>
        <v/>
      </c>
      <c r="D60" s="114">
        <f>IF(B60="","",IFERROR(B60/INDEX($B$2:$B$400,MATCH(DATE(YEAR(A60)-1,12,1),$A$2:$A$400,0))-1,""))</f>
        <v/>
      </c>
      <c r="E60" s="114">
        <f>IF(B60="","",IFERROR(B60/INDEX($B$2:$B$400,MATCH(DATE(YEAR(A60)-1,MONTH(A60),1),$A$2:$A$400,0))-1,""))</f>
        <v/>
      </c>
    </row>
    <row r="61">
      <c r="A61" s="116" t="n"/>
      <c r="B61" s="117" t="n"/>
      <c r="C61" s="114">
        <f>IF(OR(B61="",B60=""),"",B61/B60-1)</f>
        <v/>
      </c>
      <c r="D61" s="114">
        <f>IF(B61="","",IFERROR(B61/INDEX($B$2:$B$400,MATCH(DATE(YEAR(A61)-1,12,1),$A$2:$A$400,0))-1,""))</f>
        <v/>
      </c>
      <c r="E61" s="114">
        <f>IF(B61="","",IFERROR(B61/INDEX($B$2:$B$400,MATCH(DATE(YEAR(A61)-1,MONTH(A61),1),$A$2:$A$400,0))-1,""))</f>
        <v/>
      </c>
    </row>
    <row r="62">
      <c r="A62" s="116" t="n"/>
      <c r="B62" s="117" t="n"/>
      <c r="C62" s="114">
        <f>IF(OR(B62="",B61=""),"",B62/B61-1)</f>
        <v/>
      </c>
      <c r="D62" s="114">
        <f>IF(B62="","",IFERROR(B62/INDEX($B$2:$B$400,MATCH(DATE(YEAR(A62)-1,12,1),$A$2:$A$400,0))-1,""))</f>
        <v/>
      </c>
      <c r="E62" s="114">
        <f>IF(B62="","",IFERROR(B62/INDEX($B$2:$B$400,MATCH(DATE(YEAR(A62)-1,MONTH(A62),1),$A$2:$A$400,0))-1,""))</f>
        <v/>
      </c>
    </row>
    <row r="63">
      <c r="A63" s="116" t="n"/>
      <c r="B63" s="117" t="n"/>
      <c r="C63" s="114">
        <f>IF(OR(B63="",B62=""),"",B63/B62-1)</f>
        <v/>
      </c>
      <c r="D63" s="114">
        <f>IF(B63="","",IFERROR(B63/INDEX($B$2:$B$400,MATCH(DATE(YEAR(A63)-1,12,1),$A$2:$A$400,0))-1,""))</f>
        <v/>
      </c>
      <c r="E63" s="114">
        <f>IF(B63="","",IFERROR(B63/INDEX($B$2:$B$400,MATCH(DATE(YEAR(A63)-1,MONTH(A63),1),$A$2:$A$400,0))-1,""))</f>
        <v/>
      </c>
    </row>
    <row r="64">
      <c r="A64" s="116" t="n"/>
      <c r="B64" s="117" t="n"/>
      <c r="C64" s="114">
        <f>IF(OR(B64="",B63=""),"",B64/B63-1)</f>
        <v/>
      </c>
      <c r="D64" s="114">
        <f>IF(B64="","",IFERROR(B64/INDEX($B$2:$B$400,MATCH(DATE(YEAR(A64)-1,12,1),$A$2:$A$400,0))-1,""))</f>
        <v/>
      </c>
      <c r="E64" s="114">
        <f>IF(B64="","",IFERROR(B64/INDEX($B$2:$B$400,MATCH(DATE(YEAR(A64)-1,MONTH(A64),1),$A$2:$A$400,0))-1,""))</f>
        <v/>
      </c>
    </row>
    <row r="65">
      <c r="A65" s="116" t="n"/>
      <c r="B65" s="117" t="n"/>
      <c r="C65" s="114">
        <f>IF(OR(B65="",B64=""),"",B65/B64-1)</f>
        <v/>
      </c>
      <c r="D65" s="114">
        <f>IF(B65="","",IFERROR(B65/INDEX($B$2:$B$400,MATCH(DATE(YEAR(A65)-1,12,1),$A$2:$A$400,0))-1,""))</f>
        <v/>
      </c>
      <c r="E65" s="114">
        <f>IF(B65="","",IFERROR(B65/INDEX($B$2:$B$400,MATCH(DATE(YEAR(A65)-1,MONTH(A65),1),$A$2:$A$400,0))-1,""))</f>
        <v/>
      </c>
    </row>
    <row r="66">
      <c r="A66" s="116" t="n"/>
      <c r="B66" s="117" t="n"/>
      <c r="C66" s="114">
        <f>IF(OR(B66="",B65=""),"",B66/B65-1)</f>
        <v/>
      </c>
      <c r="D66" s="114">
        <f>IF(B66="","",IFERROR(B66/INDEX($B$2:$B$400,MATCH(DATE(YEAR(A66)-1,12,1),$A$2:$A$400,0))-1,""))</f>
        <v/>
      </c>
      <c r="E66" s="114">
        <f>IF(B66="","",IFERROR(B66/INDEX($B$2:$B$400,MATCH(DATE(YEAR(A66)-1,MONTH(A66),1),$A$2:$A$400,0))-1,""))</f>
        <v/>
      </c>
    </row>
    <row r="67">
      <c r="A67" s="116" t="n"/>
      <c r="B67" s="117" t="n"/>
      <c r="C67" s="114">
        <f>IF(OR(B67="",B66=""),"",B67/B66-1)</f>
        <v/>
      </c>
      <c r="D67" s="114">
        <f>IF(B67="","",IFERROR(B67/INDEX($B$2:$B$400,MATCH(DATE(YEAR(A67)-1,12,1),$A$2:$A$400,0))-1,""))</f>
        <v/>
      </c>
      <c r="E67" s="114">
        <f>IF(B67="","",IFERROR(B67/INDEX($B$2:$B$400,MATCH(DATE(YEAR(A67)-1,MONTH(A67),1),$A$2:$A$400,0))-1,""))</f>
        <v/>
      </c>
    </row>
    <row r="68">
      <c r="A68" s="116" t="n"/>
      <c r="B68" s="117" t="n"/>
      <c r="C68" s="114">
        <f>IF(OR(B68="",B67=""),"",B68/B67-1)</f>
        <v/>
      </c>
      <c r="D68" s="114">
        <f>IF(B68="","",IFERROR(B68/INDEX($B$2:$B$400,MATCH(DATE(YEAR(A68)-1,12,1),$A$2:$A$400,0))-1,""))</f>
        <v/>
      </c>
      <c r="E68" s="114">
        <f>IF(B68="","",IFERROR(B68/INDEX($B$2:$B$400,MATCH(DATE(YEAR(A68)-1,MONTH(A68),1),$A$2:$A$400,0))-1,""))</f>
        <v/>
      </c>
    </row>
    <row r="69">
      <c r="A69" s="116" t="n"/>
      <c r="B69" s="117" t="n"/>
      <c r="C69" s="114">
        <f>IF(OR(B69="",B68=""),"",B69/B68-1)</f>
        <v/>
      </c>
      <c r="D69" s="114">
        <f>IF(B69="","",IFERROR(B69/INDEX($B$2:$B$400,MATCH(DATE(YEAR(A69)-1,12,1),$A$2:$A$400,0))-1,""))</f>
        <v/>
      </c>
      <c r="E69" s="114">
        <f>IF(B69="","",IFERROR(B69/INDEX($B$2:$B$400,MATCH(DATE(YEAR(A69)-1,MONTH(A69),1),$A$2:$A$400,0))-1,""))</f>
        <v/>
      </c>
    </row>
    <row r="70">
      <c r="A70" s="116" t="n"/>
      <c r="B70" s="117" t="n"/>
      <c r="C70" s="114">
        <f>IF(OR(B70="",B69=""),"",B70/B69-1)</f>
        <v/>
      </c>
      <c r="D70" s="114">
        <f>IF(B70="","",IFERROR(B70/INDEX($B$2:$B$400,MATCH(DATE(YEAR(A70)-1,12,1),$A$2:$A$400,0))-1,""))</f>
        <v/>
      </c>
      <c r="E70" s="114">
        <f>IF(B70="","",IFERROR(B70/INDEX($B$2:$B$400,MATCH(DATE(YEAR(A70)-1,MONTH(A70),1),$A$2:$A$400,0))-1,""))</f>
        <v/>
      </c>
    </row>
    <row r="71">
      <c r="A71" s="116" t="n"/>
      <c r="B71" s="117" t="n"/>
      <c r="C71" s="114">
        <f>IF(OR(B71="",B70=""),"",B71/B70-1)</f>
        <v/>
      </c>
      <c r="D71" s="114">
        <f>IF(B71="","",IFERROR(B71/INDEX($B$2:$B$400,MATCH(DATE(YEAR(A71)-1,12,1),$A$2:$A$400,0))-1,""))</f>
        <v/>
      </c>
      <c r="E71" s="114">
        <f>IF(B71="","",IFERROR(B71/INDEX($B$2:$B$400,MATCH(DATE(YEAR(A71)-1,MONTH(A71),1),$A$2:$A$400,0))-1,""))</f>
        <v/>
      </c>
    </row>
    <row r="72">
      <c r="A72" s="116" t="n"/>
      <c r="B72" s="117" t="n"/>
      <c r="C72" s="114">
        <f>IF(OR(B72="",B71=""),"",B72/B71-1)</f>
        <v/>
      </c>
      <c r="D72" s="114">
        <f>IF(B72="","",IFERROR(B72/INDEX($B$2:$B$400,MATCH(DATE(YEAR(A72)-1,12,1),$A$2:$A$400,0))-1,""))</f>
        <v/>
      </c>
      <c r="E72" s="114">
        <f>IF(B72="","",IFERROR(B72/INDEX($B$2:$B$400,MATCH(DATE(YEAR(A72)-1,MONTH(A72),1),$A$2:$A$400,0))-1,""))</f>
        <v/>
      </c>
    </row>
    <row r="73">
      <c r="A73" s="116" t="n"/>
      <c r="B73" s="117" t="n"/>
      <c r="C73" s="114">
        <f>IF(OR(B73="",B72=""),"",B73/B72-1)</f>
        <v/>
      </c>
      <c r="D73" s="114">
        <f>IF(B73="","",IFERROR(B73/INDEX($B$2:$B$400,MATCH(DATE(YEAR(A73)-1,12,1),$A$2:$A$400,0))-1,""))</f>
        <v/>
      </c>
      <c r="E73" s="114">
        <f>IF(B73="","",IFERROR(B73/INDEX($B$2:$B$400,MATCH(DATE(YEAR(A73)-1,MONTH(A73),1),$A$2:$A$400,0))-1,""))</f>
        <v/>
      </c>
    </row>
    <row r="74">
      <c r="A74" s="116" t="n"/>
      <c r="B74" s="117" t="n"/>
      <c r="C74" s="114">
        <f>IF(OR(B74="",B73=""),"",B74/B73-1)</f>
        <v/>
      </c>
      <c r="D74" s="114">
        <f>IF(B74="","",IFERROR(B74/INDEX($B$2:$B$400,MATCH(DATE(YEAR(A74)-1,12,1),$A$2:$A$400,0))-1,""))</f>
        <v/>
      </c>
      <c r="E74" s="114">
        <f>IF(B74="","",IFERROR(B74/INDEX($B$2:$B$400,MATCH(DATE(YEAR(A74)-1,MONTH(A74),1),$A$2:$A$400,0))-1,""))</f>
        <v/>
      </c>
    </row>
    <row r="75">
      <c r="A75" s="116" t="n"/>
      <c r="B75" s="117" t="n"/>
      <c r="C75" s="114">
        <f>IF(OR(B75="",B74=""),"",B75/B74-1)</f>
        <v/>
      </c>
      <c r="D75" s="114">
        <f>IF(B75="","",IFERROR(B75/INDEX($B$2:$B$400,MATCH(DATE(YEAR(A75)-1,12,1),$A$2:$A$400,0))-1,""))</f>
        <v/>
      </c>
      <c r="E75" s="114">
        <f>IF(B75="","",IFERROR(B75/INDEX($B$2:$B$400,MATCH(DATE(YEAR(A75)-1,MONTH(A75),1),$A$2:$A$400,0))-1,""))</f>
        <v/>
      </c>
    </row>
    <row r="76">
      <c r="A76" s="116" t="n"/>
      <c r="B76" s="117" t="n"/>
      <c r="C76" s="114">
        <f>IF(OR(B76="",B75=""),"",B76/B75-1)</f>
        <v/>
      </c>
      <c r="D76" s="114">
        <f>IF(B76="","",IFERROR(B76/INDEX($B$2:$B$400,MATCH(DATE(YEAR(A76)-1,12,1),$A$2:$A$400,0))-1,""))</f>
        <v/>
      </c>
      <c r="E76" s="114">
        <f>IF(B76="","",IFERROR(B76/INDEX($B$2:$B$400,MATCH(DATE(YEAR(A76)-1,MONTH(A76),1),$A$2:$A$400,0))-1,""))</f>
        <v/>
      </c>
    </row>
    <row r="77">
      <c r="A77" s="116" t="n"/>
      <c r="B77" s="117" t="n"/>
      <c r="C77" s="114">
        <f>IF(OR(B77="",B76=""),"",B77/B76-1)</f>
        <v/>
      </c>
      <c r="D77" s="114">
        <f>IF(B77="","",IFERROR(B77/INDEX($B$2:$B$400,MATCH(DATE(YEAR(A77)-1,12,1),$A$2:$A$400,0))-1,""))</f>
        <v/>
      </c>
      <c r="E77" s="114">
        <f>IF(B77="","",IFERROR(B77/INDEX($B$2:$B$400,MATCH(DATE(YEAR(A77)-1,MONTH(A77),1),$A$2:$A$400,0))-1,""))</f>
        <v/>
      </c>
    </row>
    <row r="78">
      <c r="A78" s="116" t="n"/>
      <c r="B78" s="117" t="n"/>
      <c r="C78" s="114">
        <f>IF(OR(B78="",B77=""),"",B78/B77-1)</f>
        <v/>
      </c>
      <c r="D78" s="114">
        <f>IF(B78="","",IFERROR(B78/INDEX($B$2:$B$400,MATCH(DATE(YEAR(A78)-1,12,1),$A$2:$A$400,0))-1,""))</f>
        <v/>
      </c>
      <c r="E78" s="114">
        <f>IF(B78="","",IFERROR(B78/INDEX($B$2:$B$400,MATCH(DATE(YEAR(A78)-1,MONTH(A78),1),$A$2:$A$400,0))-1,""))</f>
        <v/>
      </c>
    </row>
    <row r="79">
      <c r="A79" s="116" t="n"/>
      <c r="B79" s="117" t="n"/>
      <c r="C79" s="114">
        <f>IF(OR(B79="",B78=""),"",B79/B78-1)</f>
        <v/>
      </c>
      <c r="D79" s="114">
        <f>IF(B79="","",IFERROR(B79/INDEX($B$2:$B$400,MATCH(DATE(YEAR(A79)-1,12,1),$A$2:$A$400,0))-1,""))</f>
        <v/>
      </c>
      <c r="E79" s="114">
        <f>IF(B79="","",IFERROR(B79/INDEX($B$2:$B$400,MATCH(DATE(YEAR(A79)-1,MONTH(A79),1),$A$2:$A$400,0))-1,""))</f>
        <v/>
      </c>
    </row>
    <row r="80">
      <c r="A80" s="116" t="n"/>
      <c r="B80" s="117" t="n"/>
      <c r="C80" s="114">
        <f>IF(OR(B80="",B79=""),"",B80/B79-1)</f>
        <v/>
      </c>
      <c r="D80" s="114">
        <f>IF(B80="","",IFERROR(B80/INDEX($B$2:$B$400,MATCH(DATE(YEAR(A80)-1,12,1),$A$2:$A$400,0))-1,""))</f>
        <v/>
      </c>
      <c r="E80" s="114">
        <f>IF(B80="","",IFERROR(B80/INDEX($B$2:$B$400,MATCH(DATE(YEAR(A80)-1,MONTH(A80),1),$A$2:$A$400,0))-1,""))</f>
        <v/>
      </c>
    </row>
    <row r="81">
      <c r="A81" s="116" t="n"/>
      <c r="B81" s="117" t="n"/>
      <c r="C81" s="114">
        <f>IF(OR(B81="",B80=""),"",B81/B80-1)</f>
        <v/>
      </c>
      <c r="D81" s="114">
        <f>IF(B81="","",IFERROR(B81/INDEX($B$2:$B$400,MATCH(DATE(YEAR(A81)-1,12,1),$A$2:$A$400,0))-1,""))</f>
        <v/>
      </c>
      <c r="E81" s="114">
        <f>IF(B81="","",IFERROR(B81/INDEX($B$2:$B$400,MATCH(DATE(YEAR(A81)-1,MONTH(A81),1),$A$2:$A$400,0))-1,""))</f>
        <v/>
      </c>
    </row>
    <row r="82">
      <c r="A82" s="116" t="n"/>
      <c r="B82" s="117" t="n"/>
      <c r="C82" s="114">
        <f>IF(OR(B82="",B81=""),"",B82/B81-1)</f>
        <v/>
      </c>
      <c r="D82" s="114">
        <f>IF(B82="","",IFERROR(B82/INDEX($B$2:$B$400,MATCH(DATE(YEAR(A82)-1,12,1),$A$2:$A$400,0))-1,""))</f>
        <v/>
      </c>
      <c r="E82" s="114">
        <f>IF(B82="","",IFERROR(B82/INDEX($B$2:$B$400,MATCH(DATE(YEAR(A82)-1,MONTH(A82),1),$A$2:$A$400,0))-1,""))</f>
        <v/>
      </c>
    </row>
    <row r="83">
      <c r="A83" s="116" t="n"/>
      <c r="B83" s="117" t="n"/>
      <c r="C83" s="114">
        <f>IF(OR(B83="",B82=""),"",B83/B82-1)</f>
        <v/>
      </c>
      <c r="D83" s="114">
        <f>IF(B83="","",IFERROR(B83/INDEX($B$2:$B$400,MATCH(DATE(YEAR(A83)-1,12,1),$A$2:$A$400,0))-1,""))</f>
        <v/>
      </c>
      <c r="E83" s="114">
        <f>IF(B83="","",IFERROR(B83/INDEX($B$2:$B$400,MATCH(DATE(YEAR(A83)-1,MONTH(A83),1),$A$2:$A$400,0))-1,""))</f>
        <v/>
      </c>
    </row>
    <row r="84">
      <c r="A84" s="116" t="n"/>
      <c r="B84" s="117" t="n"/>
      <c r="C84" s="114">
        <f>IF(OR(B84="",B83=""),"",B84/B83-1)</f>
        <v/>
      </c>
      <c r="D84" s="114">
        <f>IF(B84="","",IFERROR(B84/INDEX($B$2:$B$400,MATCH(DATE(YEAR(A84)-1,12,1),$A$2:$A$400,0))-1,""))</f>
        <v/>
      </c>
      <c r="E84" s="114">
        <f>IF(B84="","",IFERROR(B84/INDEX($B$2:$B$400,MATCH(DATE(YEAR(A84)-1,MONTH(A84),1),$A$2:$A$400,0))-1,""))</f>
        <v/>
      </c>
    </row>
    <row r="85">
      <c r="A85" s="116" t="n"/>
      <c r="B85" s="117" t="n"/>
      <c r="C85" s="114">
        <f>IF(OR(B85="",B84=""),"",B85/B84-1)</f>
        <v/>
      </c>
      <c r="D85" s="114">
        <f>IF(B85="","",IFERROR(B85/INDEX($B$2:$B$400,MATCH(DATE(YEAR(A85)-1,12,1),$A$2:$A$400,0))-1,""))</f>
        <v/>
      </c>
      <c r="E85" s="114">
        <f>IF(B85="","",IFERROR(B85/INDEX($B$2:$B$400,MATCH(DATE(YEAR(A85)-1,MONTH(A85),1),$A$2:$A$400,0))-1,""))</f>
        <v/>
      </c>
    </row>
    <row r="86">
      <c r="A86" s="116" t="n"/>
      <c r="B86" s="117" t="n"/>
      <c r="C86" s="114">
        <f>IF(OR(B86="",B85=""),"",B86/B85-1)</f>
        <v/>
      </c>
      <c r="D86" s="114">
        <f>IF(B86="","",IFERROR(B86/INDEX($B$2:$B$400,MATCH(DATE(YEAR(A86)-1,12,1),$A$2:$A$400,0))-1,""))</f>
        <v/>
      </c>
      <c r="E86" s="114">
        <f>IF(B86="","",IFERROR(B86/INDEX($B$2:$B$400,MATCH(DATE(YEAR(A86)-1,MONTH(A86),1),$A$2:$A$400,0))-1,""))</f>
        <v/>
      </c>
    </row>
    <row r="87">
      <c r="A87" s="116" t="n"/>
      <c r="B87" s="117" t="n"/>
      <c r="C87" s="114">
        <f>IF(OR(B87="",B86=""),"",B87/B86-1)</f>
        <v/>
      </c>
      <c r="D87" s="114">
        <f>IF(B87="","",IFERROR(B87/INDEX($B$2:$B$400,MATCH(DATE(YEAR(A87)-1,12,1),$A$2:$A$400,0))-1,""))</f>
        <v/>
      </c>
      <c r="E87" s="114">
        <f>IF(B87="","",IFERROR(B87/INDEX($B$2:$B$400,MATCH(DATE(YEAR(A87)-1,MONTH(A87),1),$A$2:$A$400,0))-1,""))</f>
        <v/>
      </c>
    </row>
    <row r="88">
      <c r="A88" s="116" t="n"/>
      <c r="B88" s="117" t="n"/>
      <c r="C88" s="114">
        <f>IF(OR(B88="",B87=""),"",B88/B87-1)</f>
        <v/>
      </c>
      <c r="D88" s="114">
        <f>IF(B88="","",IFERROR(B88/INDEX($B$2:$B$400,MATCH(DATE(YEAR(A88)-1,12,1),$A$2:$A$400,0))-1,""))</f>
        <v/>
      </c>
      <c r="E88" s="114">
        <f>IF(B88="","",IFERROR(B88/INDEX($B$2:$B$400,MATCH(DATE(YEAR(A88)-1,MONTH(A88),1),$A$2:$A$400,0))-1,""))</f>
        <v/>
      </c>
    </row>
    <row r="89">
      <c r="A89" s="116" t="n"/>
      <c r="B89" s="117" t="n"/>
      <c r="C89" s="114">
        <f>IF(OR(B89="",B88=""),"",B89/B88-1)</f>
        <v/>
      </c>
      <c r="D89" s="114">
        <f>IF(B89="","",IFERROR(B89/INDEX($B$2:$B$400,MATCH(DATE(YEAR(A89)-1,12,1),$A$2:$A$400,0))-1,""))</f>
        <v/>
      </c>
      <c r="E89" s="114">
        <f>IF(B89="","",IFERROR(B89/INDEX($B$2:$B$400,MATCH(DATE(YEAR(A89)-1,MONTH(A89),1),$A$2:$A$400,0))-1,""))</f>
        <v/>
      </c>
    </row>
    <row r="90">
      <c r="A90" s="116" t="n"/>
      <c r="B90" s="117" t="n"/>
      <c r="C90" s="114">
        <f>IF(OR(B90="",B89=""),"",B90/B89-1)</f>
        <v/>
      </c>
      <c r="D90" s="114">
        <f>IF(B90="","",IFERROR(B90/INDEX($B$2:$B$400,MATCH(DATE(YEAR(A90)-1,12,1),$A$2:$A$400,0))-1,""))</f>
        <v/>
      </c>
      <c r="E90" s="114">
        <f>IF(B90="","",IFERROR(B90/INDEX($B$2:$B$400,MATCH(DATE(YEAR(A90)-1,MONTH(A90),1),$A$2:$A$400,0))-1,""))</f>
        <v/>
      </c>
    </row>
    <row r="91">
      <c r="A91" s="116" t="n"/>
      <c r="B91" s="117" t="n"/>
      <c r="C91" s="114">
        <f>IF(OR(B91="",B90=""),"",B91/B90-1)</f>
        <v/>
      </c>
      <c r="D91" s="114">
        <f>IF(B91="","",IFERROR(B91/INDEX($B$2:$B$400,MATCH(DATE(YEAR(A91)-1,12,1),$A$2:$A$400,0))-1,""))</f>
        <v/>
      </c>
      <c r="E91" s="114">
        <f>IF(B91="","",IFERROR(B91/INDEX($B$2:$B$400,MATCH(DATE(YEAR(A91)-1,MONTH(A91),1),$A$2:$A$400,0))-1,""))</f>
        <v/>
      </c>
    </row>
    <row r="92">
      <c r="A92" s="116" t="n"/>
      <c r="B92" s="117" t="n"/>
      <c r="C92" s="114">
        <f>IF(OR(B92="",B91=""),"",B92/B91-1)</f>
        <v/>
      </c>
      <c r="D92" s="114">
        <f>IF(B92="","",IFERROR(B92/INDEX($B$2:$B$400,MATCH(DATE(YEAR(A92)-1,12,1),$A$2:$A$400,0))-1,""))</f>
        <v/>
      </c>
      <c r="E92" s="114">
        <f>IF(B92="","",IFERROR(B92/INDEX($B$2:$B$400,MATCH(DATE(YEAR(A92)-1,MONTH(A92),1),$A$2:$A$400,0))-1,""))</f>
        <v/>
      </c>
    </row>
    <row r="93">
      <c r="A93" s="116" t="n"/>
      <c r="B93" s="117" t="n"/>
      <c r="C93" s="114">
        <f>IF(OR(B93="",B92=""),"",B93/B92-1)</f>
        <v/>
      </c>
      <c r="D93" s="114">
        <f>IF(B93="","",IFERROR(B93/INDEX($B$2:$B$400,MATCH(DATE(YEAR(A93)-1,12,1),$A$2:$A$400,0))-1,""))</f>
        <v/>
      </c>
      <c r="E93" s="114">
        <f>IF(B93="","",IFERROR(B93/INDEX($B$2:$B$400,MATCH(DATE(YEAR(A93)-1,MONTH(A93),1),$A$2:$A$400,0))-1,""))</f>
        <v/>
      </c>
    </row>
    <row r="94">
      <c r="A94" s="116" t="n"/>
      <c r="B94" s="117" t="n"/>
      <c r="C94" s="114">
        <f>IF(OR(B94="",B93=""),"",B94/B93-1)</f>
        <v/>
      </c>
      <c r="D94" s="114">
        <f>IF(B94="","",IFERROR(B94/INDEX($B$2:$B$400,MATCH(DATE(YEAR(A94)-1,12,1),$A$2:$A$400,0))-1,""))</f>
        <v/>
      </c>
      <c r="E94" s="114">
        <f>IF(B94="","",IFERROR(B94/INDEX($B$2:$B$400,MATCH(DATE(YEAR(A94)-1,MONTH(A94),1),$A$2:$A$400,0))-1,""))</f>
        <v/>
      </c>
    </row>
    <row r="95">
      <c r="A95" s="116" t="n"/>
      <c r="B95" s="117" t="n"/>
      <c r="C95" s="114">
        <f>IF(OR(B95="",B94=""),"",B95/B94-1)</f>
        <v/>
      </c>
      <c r="D95" s="114">
        <f>IF(B95="","",IFERROR(B95/INDEX($B$2:$B$400,MATCH(DATE(YEAR(A95)-1,12,1),$A$2:$A$400,0))-1,""))</f>
        <v/>
      </c>
      <c r="E95" s="114">
        <f>IF(B95="","",IFERROR(B95/INDEX($B$2:$B$400,MATCH(DATE(YEAR(A95)-1,MONTH(A95),1),$A$2:$A$400,0))-1,""))</f>
        <v/>
      </c>
    </row>
    <row r="96">
      <c r="A96" s="116" t="n"/>
      <c r="B96" s="117" t="n"/>
      <c r="C96" s="114">
        <f>IF(OR(B96="",B95=""),"",B96/B95-1)</f>
        <v/>
      </c>
      <c r="D96" s="114">
        <f>IF(B96="","",IFERROR(B96/INDEX($B$2:$B$400,MATCH(DATE(YEAR(A96)-1,12,1),$A$2:$A$400,0))-1,""))</f>
        <v/>
      </c>
      <c r="E96" s="114">
        <f>IF(B96="","",IFERROR(B96/INDEX($B$2:$B$400,MATCH(DATE(YEAR(A96)-1,MONTH(A96),1),$A$2:$A$400,0))-1,""))</f>
        <v/>
      </c>
    </row>
    <row r="97">
      <c r="A97" s="116" t="n"/>
      <c r="B97" s="117" t="n"/>
      <c r="C97" s="114">
        <f>IF(OR(B97="",B96=""),"",B97/B96-1)</f>
        <v/>
      </c>
      <c r="D97" s="114">
        <f>IF(B97="","",IFERROR(B97/INDEX($B$2:$B$400,MATCH(DATE(YEAR(A97)-1,12,1),$A$2:$A$400,0))-1,""))</f>
        <v/>
      </c>
      <c r="E97" s="114">
        <f>IF(B97="","",IFERROR(B97/INDEX($B$2:$B$400,MATCH(DATE(YEAR(A97)-1,MONTH(A97),1),$A$2:$A$400,0))-1,""))</f>
        <v/>
      </c>
    </row>
    <row r="98">
      <c r="A98" s="116" t="n"/>
      <c r="B98" s="117" t="n"/>
      <c r="C98" s="114">
        <f>IF(OR(B98="",B97=""),"",B98/B97-1)</f>
        <v/>
      </c>
      <c r="D98" s="114">
        <f>IF(B98="","",IFERROR(B98/INDEX($B$2:$B$400,MATCH(DATE(YEAR(A98)-1,12,1),$A$2:$A$400,0))-1,""))</f>
        <v/>
      </c>
      <c r="E98" s="114">
        <f>IF(B98="","",IFERROR(B98/INDEX($B$2:$B$400,MATCH(DATE(YEAR(A98)-1,MONTH(A98),1),$A$2:$A$400,0))-1,""))</f>
        <v/>
      </c>
    </row>
    <row r="99">
      <c r="A99" s="116" t="n"/>
      <c r="B99" s="117" t="n"/>
      <c r="C99" s="114">
        <f>IF(OR(B99="",B98=""),"",B99/B98-1)</f>
        <v/>
      </c>
      <c r="D99" s="114">
        <f>IF(B99="","",IFERROR(B99/INDEX($B$2:$B$400,MATCH(DATE(YEAR(A99)-1,12,1),$A$2:$A$400,0))-1,""))</f>
        <v/>
      </c>
      <c r="E99" s="114">
        <f>IF(B99="","",IFERROR(B99/INDEX($B$2:$B$400,MATCH(DATE(YEAR(A99)-1,MONTH(A99),1),$A$2:$A$400,0))-1,""))</f>
        <v/>
      </c>
    </row>
    <row r="100">
      <c r="A100" s="116" t="n"/>
      <c r="B100" s="117" t="n"/>
      <c r="C100" s="114">
        <f>IF(OR(B100="",B99=""),"",B100/B99-1)</f>
        <v/>
      </c>
      <c r="D100" s="114">
        <f>IF(B100="","",IFERROR(B100/INDEX($B$2:$B$400,MATCH(DATE(YEAR(A100)-1,12,1),$A$2:$A$400,0))-1,""))</f>
        <v/>
      </c>
      <c r="E100" s="114">
        <f>IF(B100="","",IFERROR(B100/INDEX($B$2:$B$400,MATCH(DATE(YEAR(A100)-1,MONTH(A100),1),$A$2:$A$400,0))-1,""))</f>
        <v/>
      </c>
    </row>
    <row r="101">
      <c r="A101" s="116" t="n"/>
      <c r="B101" s="117" t="n"/>
      <c r="C101" s="114">
        <f>IF(OR(B101="",B100=""),"",B101/B100-1)</f>
        <v/>
      </c>
      <c r="D101" s="114">
        <f>IF(B101="","",IFERROR(B101/INDEX($B$2:$B$400,MATCH(DATE(YEAR(A101)-1,12,1),$A$2:$A$400,0))-1,""))</f>
        <v/>
      </c>
      <c r="E101" s="114">
        <f>IF(B101="","",IFERROR(B101/INDEX($B$2:$B$400,MATCH(DATE(YEAR(A101)-1,MONTH(A101),1),$A$2:$A$400,0))-1,""))</f>
        <v/>
      </c>
    </row>
    <row r="102">
      <c r="A102" s="116" t="n"/>
      <c r="B102" s="117" t="n"/>
      <c r="C102" s="114">
        <f>IF(OR(B102="",B101=""),"",B102/B101-1)</f>
        <v/>
      </c>
      <c r="D102" s="114">
        <f>IF(B102="","",IFERROR(B102/INDEX($B$2:$B$400,MATCH(DATE(YEAR(A102)-1,12,1),$A$2:$A$400,0))-1,""))</f>
        <v/>
      </c>
      <c r="E102" s="114">
        <f>IF(B102="","",IFERROR(B102/INDEX($B$2:$B$400,MATCH(DATE(YEAR(A102)-1,MONTH(A102),1),$A$2:$A$400,0))-1,""))</f>
        <v/>
      </c>
    </row>
    <row r="103">
      <c r="A103" s="116" t="n"/>
      <c r="B103" s="117" t="n"/>
      <c r="C103" s="114">
        <f>IF(OR(B103="",B102=""),"",B103/B102-1)</f>
        <v/>
      </c>
      <c r="D103" s="114">
        <f>IF(B103="","",IFERROR(B103/INDEX($B$2:$B$400,MATCH(DATE(YEAR(A103)-1,12,1),$A$2:$A$400,0))-1,""))</f>
        <v/>
      </c>
      <c r="E103" s="114">
        <f>IF(B103="","",IFERROR(B103/INDEX($B$2:$B$400,MATCH(DATE(YEAR(A103)-1,MONTH(A103),1),$A$2:$A$400,0))-1,""))</f>
        <v/>
      </c>
    </row>
    <row r="104">
      <c r="A104" s="116" t="n"/>
      <c r="B104" s="117" t="n"/>
      <c r="C104" s="114">
        <f>IF(OR(B104="",B103=""),"",B104/B103-1)</f>
        <v/>
      </c>
      <c r="D104" s="114">
        <f>IF(B104="","",IFERROR(B104/INDEX($B$2:$B$400,MATCH(DATE(YEAR(A104)-1,12,1),$A$2:$A$400,0))-1,""))</f>
        <v/>
      </c>
      <c r="E104" s="114">
        <f>IF(B104="","",IFERROR(B104/INDEX($B$2:$B$400,MATCH(DATE(YEAR(A104)-1,MONTH(A104),1),$A$2:$A$400,0))-1,""))</f>
        <v/>
      </c>
    </row>
    <row r="105">
      <c r="A105" s="116" t="n"/>
      <c r="B105" s="117" t="n"/>
      <c r="C105" s="114">
        <f>IF(OR(B105="",B104=""),"",B105/B104-1)</f>
        <v/>
      </c>
      <c r="D105" s="114">
        <f>IF(B105="","",IFERROR(B105/INDEX($B$2:$B$400,MATCH(DATE(YEAR(A105)-1,12,1),$A$2:$A$400,0))-1,""))</f>
        <v/>
      </c>
      <c r="E105" s="114">
        <f>IF(B105="","",IFERROR(B105/INDEX($B$2:$B$400,MATCH(DATE(YEAR(A105)-1,MONTH(A105),1),$A$2:$A$400,0))-1,""))</f>
        <v/>
      </c>
    </row>
    <row r="106">
      <c r="A106" s="116" t="n"/>
      <c r="B106" s="117" t="n"/>
      <c r="C106" s="114">
        <f>IF(OR(B106="",B105=""),"",B106/B105-1)</f>
        <v/>
      </c>
      <c r="D106" s="114">
        <f>IF(B106="","",IFERROR(B106/INDEX($B$2:$B$400,MATCH(DATE(YEAR(A106)-1,12,1),$A$2:$A$400,0))-1,""))</f>
        <v/>
      </c>
      <c r="E106" s="114">
        <f>IF(B106="","",IFERROR(B106/INDEX($B$2:$B$400,MATCH(DATE(YEAR(A106)-1,MONTH(A106),1),$A$2:$A$400,0))-1,""))</f>
        <v/>
      </c>
    </row>
    <row r="107">
      <c r="A107" s="116" t="n"/>
      <c r="B107" s="117" t="n"/>
      <c r="C107" s="114">
        <f>IF(OR(B107="",B106=""),"",B107/B106-1)</f>
        <v/>
      </c>
      <c r="D107" s="114">
        <f>IF(B107="","",IFERROR(B107/INDEX($B$2:$B$400,MATCH(DATE(YEAR(A107)-1,12,1),$A$2:$A$400,0))-1,""))</f>
        <v/>
      </c>
      <c r="E107" s="114">
        <f>IF(B107="","",IFERROR(B107/INDEX($B$2:$B$400,MATCH(DATE(YEAR(A107)-1,MONTH(A107),1),$A$2:$A$400,0))-1,""))</f>
        <v/>
      </c>
    </row>
    <row r="108">
      <c r="A108" s="116" t="n"/>
      <c r="B108" s="117" t="n"/>
      <c r="C108" s="114">
        <f>IF(OR(B108="",B107=""),"",B108/B107-1)</f>
        <v/>
      </c>
      <c r="D108" s="114">
        <f>IF(B108="","",IFERROR(B108/INDEX($B$2:$B$400,MATCH(DATE(YEAR(A108)-1,12,1),$A$2:$A$400,0))-1,""))</f>
        <v/>
      </c>
      <c r="E108" s="114">
        <f>IF(B108="","",IFERROR(B108/INDEX($B$2:$B$400,MATCH(DATE(YEAR(A108)-1,MONTH(A108),1),$A$2:$A$400,0))-1,""))</f>
        <v/>
      </c>
    </row>
    <row r="109">
      <c r="A109" s="116" t="n"/>
      <c r="B109" s="117" t="n"/>
      <c r="C109" s="114">
        <f>IF(OR(B109="",B108=""),"",B109/B108-1)</f>
        <v/>
      </c>
      <c r="D109" s="114">
        <f>IF(B109="","",IFERROR(B109/INDEX($B$2:$B$400,MATCH(DATE(YEAR(A109)-1,12,1),$A$2:$A$400,0))-1,""))</f>
        <v/>
      </c>
      <c r="E109" s="114">
        <f>IF(B109="","",IFERROR(B109/INDEX($B$2:$B$400,MATCH(DATE(YEAR(A109)-1,MONTH(A109),1),$A$2:$A$400,0))-1,""))</f>
        <v/>
      </c>
    </row>
    <row r="110">
      <c r="A110" s="116" t="n"/>
      <c r="B110" s="117" t="n"/>
      <c r="C110" s="114">
        <f>IF(OR(B110="",B109=""),"",B110/B109-1)</f>
        <v/>
      </c>
      <c r="D110" s="114">
        <f>IF(B110="","",IFERROR(B110/INDEX($B$2:$B$400,MATCH(DATE(YEAR(A110)-1,12,1),$A$2:$A$400,0))-1,""))</f>
        <v/>
      </c>
      <c r="E110" s="114">
        <f>IF(B110="","",IFERROR(B110/INDEX($B$2:$B$400,MATCH(DATE(YEAR(A110)-1,MONTH(A110),1),$A$2:$A$400,0))-1,""))</f>
        <v/>
      </c>
    </row>
    <row r="111">
      <c r="A111" s="116" t="n"/>
      <c r="B111" s="117" t="n"/>
      <c r="C111" s="114">
        <f>IF(OR(B111="",B110=""),"",B111/B110-1)</f>
        <v/>
      </c>
      <c r="D111" s="114">
        <f>IF(B111="","",IFERROR(B111/INDEX($B$2:$B$400,MATCH(DATE(YEAR(A111)-1,12,1),$A$2:$A$400,0))-1,""))</f>
        <v/>
      </c>
      <c r="E111" s="114">
        <f>IF(B111="","",IFERROR(B111/INDEX($B$2:$B$400,MATCH(DATE(YEAR(A111)-1,MONTH(A111),1),$A$2:$A$400,0))-1,""))</f>
        <v/>
      </c>
    </row>
    <row r="112">
      <c r="A112" s="116" t="n"/>
      <c r="B112" s="117" t="n"/>
      <c r="C112" s="114">
        <f>IF(OR(B112="",B111=""),"",B112/B111-1)</f>
        <v/>
      </c>
      <c r="D112" s="114">
        <f>IF(B112="","",IFERROR(B112/INDEX($B$2:$B$400,MATCH(DATE(YEAR(A112)-1,12,1),$A$2:$A$400,0))-1,""))</f>
        <v/>
      </c>
      <c r="E112" s="114">
        <f>IF(B112="","",IFERROR(B112/INDEX($B$2:$B$400,MATCH(DATE(YEAR(A112)-1,MONTH(A112),1),$A$2:$A$400,0))-1,""))</f>
        <v/>
      </c>
    </row>
    <row r="113">
      <c r="A113" s="116" t="n"/>
      <c r="B113" s="117" t="n"/>
      <c r="C113" s="114">
        <f>IF(OR(B113="",B112=""),"",B113/B112-1)</f>
        <v/>
      </c>
      <c r="D113" s="114">
        <f>IF(B113="","",IFERROR(B113/INDEX($B$2:$B$400,MATCH(DATE(YEAR(A113)-1,12,1),$A$2:$A$400,0))-1,""))</f>
        <v/>
      </c>
      <c r="E113" s="114">
        <f>IF(B113="","",IFERROR(B113/INDEX($B$2:$B$400,MATCH(DATE(YEAR(A113)-1,MONTH(A113),1),$A$2:$A$400,0))-1,""))</f>
        <v/>
      </c>
    </row>
    <row r="114">
      <c r="A114" s="116" t="n"/>
      <c r="B114" s="117" t="n"/>
      <c r="C114" s="114">
        <f>IF(OR(B114="",B113=""),"",B114/B113-1)</f>
        <v/>
      </c>
      <c r="D114" s="114">
        <f>IF(B114="","",IFERROR(B114/INDEX($B$2:$B$400,MATCH(DATE(YEAR(A114)-1,12,1),$A$2:$A$400,0))-1,""))</f>
        <v/>
      </c>
      <c r="E114" s="114">
        <f>IF(B114="","",IFERROR(B114/INDEX($B$2:$B$400,MATCH(DATE(YEAR(A114)-1,MONTH(A114),1),$A$2:$A$400,0))-1,""))</f>
        <v/>
      </c>
    </row>
    <row r="115">
      <c r="A115" s="116" t="n"/>
      <c r="B115" s="117" t="n"/>
      <c r="C115" s="114">
        <f>IF(OR(B115="",B114=""),"",B115/B114-1)</f>
        <v/>
      </c>
      <c r="D115" s="114">
        <f>IF(B115="","",IFERROR(B115/INDEX($B$2:$B$400,MATCH(DATE(YEAR(A115)-1,12,1),$A$2:$A$400,0))-1,""))</f>
        <v/>
      </c>
      <c r="E115" s="114">
        <f>IF(B115="","",IFERROR(B115/INDEX($B$2:$B$400,MATCH(DATE(YEAR(A115)-1,MONTH(A115),1),$A$2:$A$400,0))-1,""))</f>
        <v/>
      </c>
    </row>
    <row r="116">
      <c r="A116" s="116" t="n"/>
      <c r="B116" s="117" t="n"/>
      <c r="C116" s="114">
        <f>IF(OR(B116="",B115=""),"",B116/B115-1)</f>
        <v/>
      </c>
      <c r="D116" s="114">
        <f>IF(B116="","",IFERROR(B116/INDEX($B$2:$B$400,MATCH(DATE(YEAR(A116)-1,12,1),$A$2:$A$400,0))-1,""))</f>
        <v/>
      </c>
      <c r="E116" s="114">
        <f>IF(B116="","",IFERROR(B116/INDEX($B$2:$B$400,MATCH(DATE(YEAR(A116)-1,MONTH(A116),1),$A$2:$A$400,0))-1,""))</f>
        <v/>
      </c>
    </row>
    <row r="117">
      <c r="A117" s="116" t="n"/>
      <c r="B117" s="117" t="n"/>
      <c r="C117" s="114">
        <f>IF(OR(B117="",B116=""),"",B117/B116-1)</f>
        <v/>
      </c>
      <c r="D117" s="114">
        <f>IF(B117="","",IFERROR(B117/INDEX($B$2:$B$400,MATCH(DATE(YEAR(A117)-1,12,1),$A$2:$A$400,0))-1,""))</f>
        <v/>
      </c>
      <c r="E117" s="114">
        <f>IF(B117="","",IFERROR(B117/INDEX($B$2:$B$400,MATCH(DATE(YEAR(A117)-1,MONTH(A117),1),$A$2:$A$400,0))-1,""))</f>
        <v/>
      </c>
    </row>
    <row r="118">
      <c r="A118" s="116" t="n"/>
      <c r="B118" s="117" t="n"/>
      <c r="C118" s="114">
        <f>IF(OR(B118="",B117=""),"",B118/B117-1)</f>
        <v/>
      </c>
      <c r="D118" s="114">
        <f>IF(B118="","",IFERROR(B118/INDEX($B$2:$B$400,MATCH(DATE(YEAR(A118)-1,12,1),$A$2:$A$400,0))-1,""))</f>
        <v/>
      </c>
      <c r="E118" s="114">
        <f>IF(B118="","",IFERROR(B118/INDEX($B$2:$B$400,MATCH(DATE(YEAR(A118)-1,MONTH(A118),1),$A$2:$A$400,0))-1,""))</f>
        <v/>
      </c>
    </row>
    <row r="119">
      <c r="A119" s="116" t="n"/>
      <c r="B119" s="117" t="n"/>
      <c r="C119" s="114">
        <f>IF(OR(B119="",B118=""),"",B119/B118-1)</f>
        <v/>
      </c>
      <c r="D119" s="114">
        <f>IF(B119="","",IFERROR(B119/INDEX($B$2:$B$400,MATCH(DATE(YEAR(A119)-1,12,1),$A$2:$A$400,0))-1,""))</f>
        <v/>
      </c>
      <c r="E119" s="114">
        <f>IF(B119="","",IFERROR(B119/INDEX($B$2:$B$400,MATCH(DATE(YEAR(A119)-1,MONTH(A119),1),$A$2:$A$400,0))-1,""))</f>
        <v/>
      </c>
    </row>
    <row r="120">
      <c r="A120" s="116" t="n"/>
      <c r="B120" s="117" t="n"/>
      <c r="C120" s="114">
        <f>IF(OR(B120="",B119=""),"",B120/B119-1)</f>
        <v/>
      </c>
      <c r="D120" s="114">
        <f>IF(B120="","",IFERROR(B120/INDEX($B$2:$B$400,MATCH(DATE(YEAR(A120)-1,12,1),$A$2:$A$400,0))-1,""))</f>
        <v/>
      </c>
      <c r="E120" s="114">
        <f>IF(B120="","",IFERROR(B120/INDEX($B$2:$B$400,MATCH(DATE(YEAR(A120)-1,MONTH(A120),1),$A$2:$A$400,0))-1,""))</f>
        <v/>
      </c>
    </row>
    <row r="121">
      <c r="A121" s="116" t="n"/>
      <c r="B121" s="117" t="n"/>
      <c r="C121" s="114">
        <f>IF(OR(B121="",B120=""),"",B121/B120-1)</f>
        <v/>
      </c>
      <c r="D121" s="114">
        <f>IF(B121="","",IFERROR(B121/INDEX($B$2:$B$400,MATCH(DATE(YEAR(A121)-1,12,1),$A$2:$A$400,0))-1,""))</f>
        <v/>
      </c>
      <c r="E121" s="114">
        <f>IF(B121="","",IFERROR(B121/INDEX($B$2:$B$400,MATCH(DATE(YEAR(A121)-1,MONTH(A121),1),$A$2:$A$400,0))-1,""))</f>
        <v/>
      </c>
    </row>
    <row r="122">
      <c r="A122" s="116" t="n"/>
      <c r="B122" s="117" t="n"/>
      <c r="C122" s="114">
        <f>IF(OR(B122="",B121=""),"",B122/B121-1)</f>
        <v/>
      </c>
      <c r="D122" s="114">
        <f>IF(B122="","",IFERROR(B122/INDEX($B$2:$B$400,MATCH(DATE(YEAR(A122)-1,12,1),$A$2:$A$400,0))-1,""))</f>
        <v/>
      </c>
      <c r="E122" s="114">
        <f>IF(B122="","",IFERROR(B122/INDEX($B$2:$B$400,MATCH(DATE(YEAR(A122)-1,MONTH(A122),1),$A$2:$A$400,0))-1,""))</f>
        <v/>
      </c>
    </row>
    <row r="123">
      <c r="A123" s="116" t="n"/>
      <c r="B123" s="117" t="n"/>
      <c r="C123" s="114">
        <f>IF(OR(B123="",B122=""),"",B123/B122-1)</f>
        <v/>
      </c>
      <c r="D123" s="114">
        <f>IF(B123="","",IFERROR(B123/INDEX($B$2:$B$400,MATCH(DATE(YEAR(A123)-1,12,1),$A$2:$A$400,0))-1,""))</f>
        <v/>
      </c>
      <c r="E123" s="114">
        <f>IF(B123="","",IFERROR(B123/INDEX($B$2:$B$400,MATCH(DATE(YEAR(A123)-1,MONTH(A123),1),$A$2:$A$400,0))-1,""))</f>
        <v/>
      </c>
    </row>
    <row r="124">
      <c r="A124" s="116" t="n"/>
      <c r="B124" s="117" t="n"/>
      <c r="C124" s="114">
        <f>IF(OR(B124="",B123=""),"",B124/B123-1)</f>
        <v/>
      </c>
      <c r="D124" s="114">
        <f>IF(B124="","",IFERROR(B124/INDEX($B$2:$B$400,MATCH(DATE(YEAR(A124)-1,12,1),$A$2:$A$400,0))-1,""))</f>
        <v/>
      </c>
      <c r="E124" s="114">
        <f>IF(B124="","",IFERROR(B124/INDEX($B$2:$B$400,MATCH(DATE(YEAR(A124)-1,MONTH(A124),1),$A$2:$A$400,0))-1,""))</f>
        <v/>
      </c>
    </row>
    <row r="125">
      <c r="A125" s="116" t="n"/>
      <c r="B125" s="117" t="n"/>
      <c r="C125" s="114">
        <f>IF(OR(B125="",B124=""),"",B125/B124-1)</f>
        <v/>
      </c>
      <c r="D125" s="114">
        <f>IF(B125="","",IFERROR(B125/INDEX($B$2:$B$400,MATCH(DATE(YEAR(A125)-1,12,1),$A$2:$A$400,0))-1,""))</f>
        <v/>
      </c>
      <c r="E125" s="114">
        <f>IF(B125="","",IFERROR(B125/INDEX($B$2:$B$400,MATCH(DATE(YEAR(A125)-1,MONTH(A125),1),$A$2:$A$400,0))-1,""))</f>
        <v/>
      </c>
    </row>
    <row r="126">
      <c r="A126" s="116" t="n"/>
      <c r="B126" s="117" t="n"/>
      <c r="C126" s="114">
        <f>IF(OR(B126="",B125=""),"",B126/B125-1)</f>
        <v/>
      </c>
      <c r="D126" s="114">
        <f>IF(B126="","",IFERROR(B126/INDEX($B$2:$B$400,MATCH(DATE(YEAR(A126)-1,12,1),$A$2:$A$400,0))-1,""))</f>
        <v/>
      </c>
      <c r="E126" s="114">
        <f>IF(B126="","",IFERROR(B126/INDEX($B$2:$B$400,MATCH(DATE(YEAR(A126)-1,MONTH(A126),1),$A$2:$A$400,0))-1,""))</f>
        <v/>
      </c>
    </row>
    <row r="127">
      <c r="A127" s="116" t="n"/>
      <c r="B127" s="117" t="n"/>
      <c r="C127" s="114">
        <f>IF(OR(B127="",B126=""),"",B127/B126-1)</f>
        <v/>
      </c>
      <c r="D127" s="114">
        <f>IF(B127="","",IFERROR(B127/INDEX($B$2:$B$400,MATCH(DATE(YEAR(A127)-1,12,1),$A$2:$A$400,0))-1,""))</f>
        <v/>
      </c>
      <c r="E127" s="114">
        <f>IF(B127="","",IFERROR(B127/INDEX($B$2:$B$400,MATCH(DATE(YEAR(A127)-1,MONTH(A127),1),$A$2:$A$400,0))-1,""))</f>
        <v/>
      </c>
    </row>
    <row r="128">
      <c r="A128" s="116" t="n"/>
      <c r="B128" s="117" t="n"/>
      <c r="C128" s="114">
        <f>IF(OR(B128="",B127=""),"",B128/B127-1)</f>
        <v/>
      </c>
      <c r="D128" s="114">
        <f>IF(B128="","",IFERROR(B128/INDEX($B$2:$B$400,MATCH(DATE(YEAR(A128)-1,12,1),$A$2:$A$400,0))-1,""))</f>
        <v/>
      </c>
      <c r="E128" s="114">
        <f>IF(B128="","",IFERROR(B128/INDEX($B$2:$B$400,MATCH(DATE(YEAR(A128)-1,MONTH(A128),1),$A$2:$A$400,0))-1,""))</f>
        <v/>
      </c>
    </row>
    <row r="129">
      <c r="A129" s="116" t="n"/>
      <c r="B129" s="117" t="n"/>
      <c r="C129" s="114">
        <f>IF(OR(B129="",B128=""),"",B129/B128-1)</f>
        <v/>
      </c>
      <c r="D129" s="114">
        <f>IF(B129="","",IFERROR(B129/INDEX($B$2:$B$400,MATCH(DATE(YEAR(A129)-1,12,1),$A$2:$A$400,0))-1,""))</f>
        <v/>
      </c>
      <c r="E129" s="114">
        <f>IF(B129="","",IFERROR(B129/INDEX($B$2:$B$400,MATCH(DATE(YEAR(A129)-1,MONTH(A129),1),$A$2:$A$400,0))-1,""))</f>
        <v/>
      </c>
    </row>
    <row r="130">
      <c r="A130" s="116" t="n"/>
      <c r="B130" s="117" t="n"/>
      <c r="C130" s="114">
        <f>IF(OR(B130="",B129=""),"",B130/B129-1)</f>
        <v/>
      </c>
      <c r="D130" s="114">
        <f>IF(B130="","",IFERROR(B130/INDEX($B$2:$B$400,MATCH(DATE(YEAR(A130)-1,12,1),$A$2:$A$400,0))-1,""))</f>
        <v/>
      </c>
      <c r="E130" s="114">
        <f>IF(B130="","",IFERROR(B130/INDEX($B$2:$B$400,MATCH(DATE(YEAR(A130)-1,MONTH(A130),1),$A$2:$A$400,0))-1,""))</f>
        <v/>
      </c>
    </row>
    <row r="131">
      <c r="A131" s="116" t="n"/>
      <c r="B131" s="117" t="n"/>
      <c r="C131" s="114">
        <f>IF(OR(B131="",B130=""),"",B131/B130-1)</f>
        <v/>
      </c>
      <c r="D131" s="114">
        <f>IF(B131="","",IFERROR(B131/INDEX($B$2:$B$400,MATCH(DATE(YEAR(A131)-1,12,1),$A$2:$A$400,0))-1,""))</f>
        <v/>
      </c>
      <c r="E131" s="114">
        <f>IF(B131="","",IFERROR(B131/INDEX($B$2:$B$400,MATCH(DATE(YEAR(A131)-1,MONTH(A131),1),$A$2:$A$400,0))-1,""))</f>
        <v/>
      </c>
    </row>
    <row r="132">
      <c r="A132" s="116" t="n"/>
      <c r="B132" s="117" t="n"/>
      <c r="C132" s="114">
        <f>IF(OR(B132="",B131=""),"",B132/B131-1)</f>
        <v/>
      </c>
      <c r="D132" s="114">
        <f>IF(B132="","",IFERROR(B132/INDEX($B$2:$B$400,MATCH(DATE(YEAR(A132)-1,12,1),$A$2:$A$400,0))-1,""))</f>
        <v/>
      </c>
      <c r="E132" s="114">
        <f>IF(B132="","",IFERROR(B132/INDEX($B$2:$B$400,MATCH(DATE(YEAR(A132)-1,MONTH(A132),1),$A$2:$A$400,0))-1,""))</f>
        <v/>
      </c>
    </row>
    <row r="133">
      <c r="A133" s="116" t="n"/>
      <c r="B133" s="117" t="n"/>
      <c r="C133" s="114">
        <f>IF(OR(B133="",B132=""),"",B133/B132-1)</f>
        <v/>
      </c>
      <c r="D133" s="114">
        <f>IF(B133="","",IFERROR(B133/INDEX($B$2:$B$400,MATCH(DATE(YEAR(A133)-1,12,1),$A$2:$A$400,0))-1,""))</f>
        <v/>
      </c>
      <c r="E133" s="114">
        <f>IF(B133="","",IFERROR(B133/INDEX($B$2:$B$400,MATCH(DATE(YEAR(A133)-1,MONTH(A133),1),$A$2:$A$400,0))-1,""))</f>
        <v/>
      </c>
    </row>
    <row r="134">
      <c r="A134" s="116" t="n"/>
      <c r="B134" s="117" t="n"/>
      <c r="C134" s="114">
        <f>IF(OR(B134="",B133=""),"",B134/B133-1)</f>
        <v/>
      </c>
      <c r="D134" s="114">
        <f>IF(B134="","",IFERROR(B134/INDEX($B$2:$B$400,MATCH(DATE(YEAR(A134)-1,12,1),$A$2:$A$400,0))-1,""))</f>
        <v/>
      </c>
      <c r="E134" s="114">
        <f>IF(B134="","",IFERROR(B134/INDEX($B$2:$B$400,MATCH(DATE(YEAR(A134)-1,MONTH(A134),1),$A$2:$A$400,0))-1,""))</f>
        <v/>
      </c>
    </row>
    <row r="135">
      <c r="A135" s="116" t="n"/>
      <c r="B135" s="117" t="n"/>
      <c r="C135" s="114">
        <f>IF(OR(B135="",B134=""),"",B135/B134-1)</f>
        <v/>
      </c>
      <c r="D135" s="114">
        <f>IF(B135="","",IFERROR(B135/INDEX($B$2:$B$400,MATCH(DATE(YEAR(A135)-1,12,1),$A$2:$A$400,0))-1,""))</f>
        <v/>
      </c>
      <c r="E135" s="114">
        <f>IF(B135="","",IFERROR(B135/INDEX($B$2:$B$400,MATCH(DATE(YEAR(A135)-1,MONTH(A135),1),$A$2:$A$400,0))-1,""))</f>
        <v/>
      </c>
    </row>
    <row r="136">
      <c r="A136" s="116" t="n"/>
      <c r="B136" s="117" t="n"/>
      <c r="C136" s="114">
        <f>IF(OR(B136="",B135=""),"",B136/B135-1)</f>
        <v/>
      </c>
      <c r="D136" s="114">
        <f>IF(B136="","",IFERROR(B136/INDEX($B$2:$B$400,MATCH(DATE(YEAR(A136)-1,12,1),$A$2:$A$400,0))-1,""))</f>
        <v/>
      </c>
      <c r="E136" s="114">
        <f>IF(B136="","",IFERROR(B136/INDEX($B$2:$B$400,MATCH(DATE(YEAR(A136)-1,MONTH(A136),1),$A$2:$A$400,0))-1,""))</f>
        <v/>
      </c>
    </row>
    <row r="137">
      <c r="A137" s="116" t="n"/>
      <c r="B137" s="117" t="n"/>
      <c r="C137" s="114">
        <f>IF(OR(B137="",B136=""),"",B137/B136-1)</f>
        <v/>
      </c>
      <c r="D137" s="114">
        <f>IF(B137="","",IFERROR(B137/INDEX($B$2:$B$400,MATCH(DATE(YEAR(A137)-1,12,1),$A$2:$A$400,0))-1,""))</f>
        <v/>
      </c>
      <c r="E137" s="114">
        <f>IF(B137="","",IFERROR(B137/INDEX($B$2:$B$400,MATCH(DATE(YEAR(A137)-1,MONTH(A137),1),$A$2:$A$400,0))-1,""))</f>
        <v/>
      </c>
    </row>
    <row r="138">
      <c r="A138" s="116" t="n"/>
      <c r="B138" s="117" t="n"/>
      <c r="C138" s="114">
        <f>IF(OR(B138="",B137=""),"",B138/B137-1)</f>
        <v/>
      </c>
      <c r="D138" s="114">
        <f>IF(B138="","",IFERROR(B138/INDEX($B$2:$B$400,MATCH(DATE(YEAR(A138)-1,12,1),$A$2:$A$400,0))-1,""))</f>
        <v/>
      </c>
      <c r="E138" s="114">
        <f>IF(B138="","",IFERROR(B138/INDEX($B$2:$B$400,MATCH(DATE(YEAR(A138)-1,MONTH(A138),1),$A$2:$A$400,0))-1,""))</f>
        <v/>
      </c>
    </row>
    <row r="139">
      <c r="A139" s="116" t="n"/>
      <c r="B139" s="117" t="n"/>
      <c r="C139" s="114">
        <f>IF(OR(B139="",B138=""),"",B139/B138-1)</f>
        <v/>
      </c>
      <c r="D139" s="114">
        <f>IF(B139="","",IFERROR(B139/INDEX($B$2:$B$400,MATCH(DATE(YEAR(A139)-1,12,1),$A$2:$A$400,0))-1,""))</f>
        <v/>
      </c>
      <c r="E139" s="114">
        <f>IF(B139="","",IFERROR(B139/INDEX($B$2:$B$400,MATCH(DATE(YEAR(A139)-1,MONTH(A139),1),$A$2:$A$400,0))-1,""))</f>
        <v/>
      </c>
    </row>
    <row r="140">
      <c r="A140" s="116" t="n"/>
      <c r="B140" s="117" t="n"/>
      <c r="C140" s="114">
        <f>IF(OR(B140="",B139=""),"",B140/B139-1)</f>
        <v/>
      </c>
      <c r="D140" s="114">
        <f>IF(B140="","",IFERROR(B140/INDEX($B$2:$B$400,MATCH(DATE(YEAR(A140)-1,12,1),$A$2:$A$400,0))-1,""))</f>
        <v/>
      </c>
      <c r="E140" s="114">
        <f>IF(B140="","",IFERROR(B140/INDEX($B$2:$B$400,MATCH(DATE(YEAR(A140)-1,MONTH(A140),1),$A$2:$A$400,0))-1,""))</f>
        <v/>
      </c>
    </row>
    <row r="141">
      <c r="A141" s="116" t="n"/>
      <c r="B141" s="117" t="n"/>
      <c r="C141" s="114">
        <f>IF(OR(B141="",B140=""),"",B141/B140-1)</f>
        <v/>
      </c>
      <c r="D141" s="114">
        <f>IF(B141="","",IFERROR(B141/INDEX($B$2:$B$400,MATCH(DATE(YEAR(A141)-1,12,1),$A$2:$A$400,0))-1,""))</f>
        <v/>
      </c>
      <c r="E141" s="114">
        <f>IF(B141="","",IFERROR(B141/INDEX($B$2:$B$400,MATCH(DATE(YEAR(A141)-1,MONTH(A141),1),$A$2:$A$400,0))-1,""))</f>
        <v/>
      </c>
    </row>
    <row r="142">
      <c r="A142" s="116" t="n"/>
      <c r="B142" s="117" t="n"/>
      <c r="C142" s="114">
        <f>IF(OR(B142="",B141=""),"",B142/B141-1)</f>
        <v/>
      </c>
      <c r="D142" s="114">
        <f>IF(B142="","",IFERROR(B142/INDEX($B$2:$B$400,MATCH(DATE(YEAR(A142)-1,12,1),$A$2:$A$400,0))-1,""))</f>
        <v/>
      </c>
      <c r="E142" s="114">
        <f>IF(B142="","",IFERROR(B142/INDEX($B$2:$B$400,MATCH(DATE(YEAR(A142)-1,MONTH(A142),1),$A$2:$A$400,0))-1,""))</f>
        <v/>
      </c>
    </row>
    <row r="143">
      <c r="A143" s="116" t="n"/>
      <c r="B143" s="117" t="n"/>
      <c r="C143" s="114">
        <f>IF(OR(B143="",B142=""),"",B143/B142-1)</f>
        <v/>
      </c>
      <c r="D143" s="114">
        <f>IF(B143="","",IFERROR(B143/INDEX($B$2:$B$400,MATCH(DATE(YEAR(A143)-1,12,1),$A$2:$A$400,0))-1,""))</f>
        <v/>
      </c>
      <c r="E143" s="114">
        <f>IF(B143="","",IFERROR(B143/INDEX($B$2:$B$400,MATCH(DATE(YEAR(A143)-1,MONTH(A143),1),$A$2:$A$400,0))-1,""))</f>
        <v/>
      </c>
    </row>
    <row r="144">
      <c r="A144" s="116" t="n"/>
      <c r="B144" s="117" t="n"/>
      <c r="C144" s="114">
        <f>IF(OR(B144="",B143=""),"",B144/B143-1)</f>
        <v/>
      </c>
      <c r="D144" s="114">
        <f>IF(B144="","",IFERROR(B144/INDEX($B$2:$B$400,MATCH(DATE(YEAR(A144)-1,12,1),$A$2:$A$400,0))-1,""))</f>
        <v/>
      </c>
      <c r="E144" s="114">
        <f>IF(B144="","",IFERROR(B144/INDEX($B$2:$B$400,MATCH(DATE(YEAR(A144)-1,MONTH(A144),1),$A$2:$A$400,0))-1,""))</f>
        <v/>
      </c>
    </row>
    <row r="145">
      <c r="A145" s="116" t="n"/>
      <c r="B145" s="117" t="n"/>
      <c r="C145" s="114">
        <f>IF(OR(B145="",B144=""),"",B145/B144-1)</f>
        <v/>
      </c>
      <c r="D145" s="114">
        <f>IF(B145="","",IFERROR(B145/INDEX($B$2:$B$400,MATCH(DATE(YEAR(A145)-1,12,1),$A$2:$A$400,0))-1,""))</f>
        <v/>
      </c>
      <c r="E145" s="114">
        <f>IF(B145="","",IFERROR(B145/INDEX($B$2:$B$400,MATCH(DATE(YEAR(A145)-1,MONTH(A145),1),$A$2:$A$400,0))-1,""))</f>
        <v/>
      </c>
    </row>
    <row r="146">
      <c r="A146" s="116" t="n"/>
      <c r="B146" s="117" t="n"/>
      <c r="C146" s="114">
        <f>IF(OR(B146="",B145=""),"",B146/B145-1)</f>
        <v/>
      </c>
      <c r="D146" s="114">
        <f>IF(B146="","",IFERROR(B146/INDEX($B$2:$B$400,MATCH(DATE(YEAR(A146)-1,12,1),$A$2:$A$400,0))-1,""))</f>
        <v/>
      </c>
      <c r="E146" s="114">
        <f>IF(B146="","",IFERROR(B146/INDEX($B$2:$B$400,MATCH(DATE(YEAR(A146)-1,MONTH(A146),1),$A$2:$A$400,0))-1,""))</f>
        <v/>
      </c>
    </row>
    <row r="147">
      <c r="A147" s="116" t="n"/>
      <c r="B147" s="117" t="n"/>
      <c r="C147" s="114">
        <f>IF(OR(B147="",B146=""),"",B147/B146-1)</f>
        <v/>
      </c>
      <c r="D147" s="114">
        <f>IF(B147="","",IFERROR(B147/INDEX($B$2:$B$400,MATCH(DATE(YEAR(A147)-1,12,1),$A$2:$A$400,0))-1,""))</f>
        <v/>
      </c>
      <c r="E147" s="114">
        <f>IF(B147="","",IFERROR(B147/INDEX($B$2:$B$400,MATCH(DATE(YEAR(A147)-1,MONTH(A147),1),$A$2:$A$400,0))-1,""))</f>
        <v/>
      </c>
    </row>
    <row r="148">
      <c r="A148" s="116" t="n"/>
      <c r="B148" s="117" t="n"/>
      <c r="C148" s="114">
        <f>IF(OR(B148="",B147=""),"",B148/B147-1)</f>
        <v/>
      </c>
      <c r="D148" s="114">
        <f>IF(B148="","",IFERROR(B148/INDEX($B$2:$B$400,MATCH(DATE(YEAR(A148)-1,12,1),$A$2:$A$400,0))-1,""))</f>
        <v/>
      </c>
      <c r="E148" s="114">
        <f>IF(B148="","",IFERROR(B148/INDEX($B$2:$B$400,MATCH(DATE(YEAR(A148)-1,MONTH(A148),1),$A$2:$A$400,0))-1,""))</f>
        <v/>
      </c>
    </row>
    <row r="149">
      <c r="A149" s="116" t="n"/>
      <c r="B149" s="117" t="n"/>
      <c r="C149" s="114">
        <f>IF(OR(B149="",B148=""),"",B149/B148-1)</f>
        <v/>
      </c>
      <c r="D149" s="114">
        <f>IF(B149="","",IFERROR(B149/INDEX($B$2:$B$400,MATCH(DATE(YEAR(A149)-1,12,1),$A$2:$A$400,0))-1,""))</f>
        <v/>
      </c>
      <c r="E149" s="114">
        <f>IF(B149="","",IFERROR(B149/INDEX($B$2:$B$400,MATCH(DATE(YEAR(A149)-1,MONTH(A149),1),$A$2:$A$400,0))-1,""))</f>
        <v/>
      </c>
    </row>
    <row r="150">
      <c r="A150" s="116" t="n"/>
      <c r="B150" s="117" t="n"/>
      <c r="C150" s="114">
        <f>IF(OR(B150="",B149=""),"",B150/B149-1)</f>
        <v/>
      </c>
      <c r="D150" s="114">
        <f>IF(B150="","",IFERROR(B150/INDEX($B$2:$B$400,MATCH(DATE(YEAR(A150)-1,12,1),$A$2:$A$400,0))-1,""))</f>
        <v/>
      </c>
      <c r="E150" s="114">
        <f>IF(B150="","",IFERROR(B150/INDEX($B$2:$B$400,MATCH(DATE(YEAR(A150)-1,MONTH(A150),1),$A$2:$A$400,0))-1,""))</f>
        <v/>
      </c>
    </row>
    <row r="151">
      <c r="A151" s="116" t="n"/>
      <c r="B151" s="117" t="n"/>
      <c r="C151" s="114">
        <f>IF(OR(B151="",B150=""),"",B151/B150-1)</f>
        <v/>
      </c>
      <c r="D151" s="114">
        <f>IF(B151="","",IFERROR(B151/INDEX($B$2:$B$400,MATCH(DATE(YEAR(A151)-1,12,1),$A$2:$A$400,0))-1,""))</f>
        <v/>
      </c>
      <c r="E151" s="114">
        <f>IF(B151="","",IFERROR(B151/INDEX($B$2:$B$400,MATCH(DATE(YEAR(A151)-1,MONTH(A151),1),$A$2:$A$400,0))-1,""))</f>
        <v/>
      </c>
    </row>
    <row r="152">
      <c r="A152" s="116" t="n"/>
      <c r="B152" s="117" t="n"/>
      <c r="C152" s="114">
        <f>IF(OR(B152="",B151=""),"",B152/B151-1)</f>
        <v/>
      </c>
      <c r="D152" s="114">
        <f>IF(B152="","",IFERROR(B152/INDEX($B$2:$B$400,MATCH(DATE(YEAR(A152)-1,12,1),$A$2:$A$400,0))-1,""))</f>
        <v/>
      </c>
      <c r="E152" s="114">
        <f>IF(B152="","",IFERROR(B152/INDEX($B$2:$B$400,MATCH(DATE(YEAR(A152)-1,MONTH(A152),1),$A$2:$A$400,0))-1,""))</f>
        <v/>
      </c>
    </row>
    <row r="153">
      <c r="A153" s="116" t="n"/>
      <c r="B153" s="117" t="n"/>
      <c r="C153" s="114">
        <f>IF(OR(B153="",B152=""),"",B153/B152-1)</f>
        <v/>
      </c>
      <c r="D153" s="114">
        <f>IF(B153="","",IFERROR(B153/INDEX($B$2:$B$400,MATCH(DATE(YEAR(A153)-1,12,1),$A$2:$A$400,0))-1,""))</f>
        <v/>
      </c>
      <c r="E153" s="114">
        <f>IF(B153="","",IFERROR(B153/INDEX($B$2:$B$400,MATCH(DATE(YEAR(A153)-1,MONTH(A153),1),$A$2:$A$400,0))-1,""))</f>
        <v/>
      </c>
    </row>
    <row r="154">
      <c r="A154" s="116" t="n"/>
      <c r="B154" s="117" t="n"/>
      <c r="C154" s="114">
        <f>IF(OR(B154="",B153=""),"",B154/B153-1)</f>
        <v/>
      </c>
      <c r="D154" s="114">
        <f>IF(B154="","",IFERROR(B154/INDEX($B$2:$B$400,MATCH(DATE(YEAR(A154)-1,12,1),$A$2:$A$400,0))-1,""))</f>
        <v/>
      </c>
      <c r="E154" s="114">
        <f>IF(B154="","",IFERROR(B154/INDEX($B$2:$B$400,MATCH(DATE(YEAR(A154)-1,MONTH(A154),1),$A$2:$A$400,0))-1,""))</f>
        <v/>
      </c>
    </row>
    <row r="155">
      <c r="A155" s="116" t="n"/>
      <c r="B155" s="117" t="n"/>
      <c r="C155" s="114">
        <f>IF(OR(B155="",B154=""),"",B155/B154-1)</f>
        <v/>
      </c>
      <c r="D155" s="114">
        <f>IF(B155="","",IFERROR(B155/INDEX($B$2:$B$400,MATCH(DATE(YEAR(A155)-1,12,1),$A$2:$A$400,0))-1,""))</f>
        <v/>
      </c>
      <c r="E155" s="114">
        <f>IF(B155="","",IFERROR(B155/INDEX($B$2:$B$400,MATCH(DATE(YEAR(A155)-1,MONTH(A155),1),$A$2:$A$400,0))-1,""))</f>
        <v/>
      </c>
    </row>
    <row r="156">
      <c r="A156" s="116" t="n"/>
      <c r="B156" s="117" t="n"/>
      <c r="C156" s="114">
        <f>IF(OR(B156="",B155=""),"",B156/B155-1)</f>
        <v/>
      </c>
      <c r="D156" s="114">
        <f>IF(B156="","",IFERROR(B156/INDEX($B$2:$B$400,MATCH(DATE(YEAR(A156)-1,12,1),$A$2:$A$400,0))-1,""))</f>
        <v/>
      </c>
      <c r="E156" s="114">
        <f>IF(B156="","",IFERROR(B156/INDEX($B$2:$B$400,MATCH(DATE(YEAR(A156)-1,MONTH(A156),1),$A$2:$A$400,0))-1,""))</f>
        <v/>
      </c>
    </row>
    <row r="157">
      <c r="A157" s="116" t="n"/>
      <c r="B157" s="117" t="n"/>
      <c r="C157" s="114">
        <f>IF(OR(B157="",B156=""),"",B157/B156-1)</f>
        <v/>
      </c>
      <c r="D157" s="114">
        <f>IF(B157="","",IFERROR(B157/INDEX($B$2:$B$400,MATCH(DATE(YEAR(A157)-1,12,1),$A$2:$A$400,0))-1,""))</f>
        <v/>
      </c>
      <c r="E157" s="114">
        <f>IF(B157="","",IFERROR(B157/INDEX($B$2:$B$400,MATCH(DATE(YEAR(A157)-1,MONTH(A157),1),$A$2:$A$400,0))-1,""))</f>
        <v/>
      </c>
    </row>
    <row r="158">
      <c r="A158" s="116" t="n"/>
      <c r="B158" s="117" t="n"/>
      <c r="C158" s="114">
        <f>IF(OR(B158="",B157=""),"",B158/B157-1)</f>
        <v/>
      </c>
      <c r="D158" s="114">
        <f>IF(B158="","",IFERROR(B158/INDEX($B$2:$B$400,MATCH(DATE(YEAR(A158)-1,12,1),$A$2:$A$400,0))-1,""))</f>
        <v/>
      </c>
      <c r="E158" s="114">
        <f>IF(B158="","",IFERROR(B158/INDEX($B$2:$B$400,MATCH(DATE(YEAR(A158)-1,MONTH(A158),1),$A$2:$A$400,0))-1,""))</f>
        <v/>
      </c>
    </row>
    <row r="159">
      <c r="A159" s="116" t="n"/>
      <c r="B159" s="117" t="n"/>
      <c r="C159" s="114">
        <f>IF(OR(B159="",B158=""),"",B159/B158-1)</f>
        <v/>
      </c>
      <c r="D159" s="114">
        <f>IF(B159="","",IFERROR(B159/INDEX($B$2:$B$400,MATCH(DATE(YEAR(A159)-1,12,1),$A$2:$A$400,0))-1,""))</f>
        <v/>
      </c>
      <c r="E159" s="114">
        <f>IF(B159="","",IFERROR(B159/INDEX($B$2:$B$400,MATCH(DATE(YEAR(A159)-1,MONTH(A159),1),$A$2:$A$400,0))-1,""))</f>
        <v/>
      </c>
    </row>
    <row r="160">
      <c r="A160" s="116" t="n"/>
      <c r="B160" s="117" t="n"/>
      <c r="C160" s="114">
        <f>IF(OR(B160="",B159=""),"",B160/B159-1)</f>
        <v/>
      </c>
      <c r="D160" s="114">
        <f>IF(B160="","",IFERROR(B160/INDEX($B$2:$B$400,MATCH(DATE(YEAR(A160)-1,12,1),$A$2:$A$400,0))-1,""))</f>
        <v/>
      </c>
      <c r="E160" s="114">
        <f>IF(B160="","",IFERROR(B160/INDEX($B$2:$B$400,MATCH(DATE(YEAR(A160)-1,MONTH(A160),1),$A$2:$A$400,0))-1,""))</f>
        <v/>
      </c>
    </row>
    <row r="161">
      <c r="A161" s="116" t="n"/>
      <c r="B161" s="117" t="n"/>
      <c r="C161" s="114">
        <f>IF(OR(B161="",B160=""),"",B161/B160-1)</f>
        <v/>
      </c>
      <c r="D161" s="114">
        <f>IF(B161="","",IFERROR(B161/INDEX($B$2:$B$400,MATCH(DATE(YEAR(A161)-1,12,1),$A$2:$A$400,0))-1,""))</f>
        <v/>
      </c>
      <c r="E161" s="114">
        <f>IF(B161="","",IFERROR(B161/INDEX($B$2:$B$400,MATCH(DATE(YEAR(A161)-1,MONTH(A161),1),$A$2:$A$400,0))-1,""))</f>
        <v/>
      </c>
    </row>
    <row r="162">
      <c r="A162" s="116" t="n"/>
      <c r="B162" s="117" t="n"/>
      <c r="C162" s="114">
        <f>IF(OR(B162="",B161=""),"",B162/B161-1)</f>
        <v/>
      </c>
      <c r="D162" s="114">
        <f>IF(B162="","",IFERROR(B162/INDEX($B$2:$B$400,MATCH(DATE(YEAR(A162)-1,12,1),$A$2:$A$400,0))-1,""))</f>
        <v/>
      </c>
      <c r="E162" s="114">
        <f>IF(B162="","",IFERROR(B162/INDEX($B$2:$B$400,MATCH(DATE(YEAR(A162)-1,MONTH(A162),1),$A$2:$A$400,0))-1,""))</f>
        <v/>
      </c>
    </row>
    <row r="163">
      <c r="A163" s="116" t="n"/>
      <c r="B163" s="117" t="n"/>
      <c r="C163" s="114">
        <f>IF(OR(B163="",B162=""),"",B163/B162-1)</f>
        <v/>
      </c>
      <c r="D163" s="114">
        <f>IF(B163="","",IFERROR(B163/INDEX($B$2:$B$400,MATCH(DATE(YEAR(A163)-1,12,1),$A$2:$A$400,0))-1,""))</f>
        <v/>
      </c>
      <c r="E163" s="114">
        <f>IF(B163="","",IFERROR(B163/INDEX($B$2:$B$400,MATCH(DATE(YEAR(A163)-1,MONTH(A163),1),$A$2:$A$400,0))-1,""))</f>
        <v/>
      </c>
    </row>
    <row r="164">
      <c r="A164" s="116" t="n"/>
      <c r="B164" s="117" t="n"/>
      <c r="C164" s="114">
        <f>IF(OR(B164="",B163=""),"",B164/B163-1)</f>
        <v/>
      </c>
      <c r="D164" s="114">
        <f>IF(B164="","",IFERROR(B164/INDEX($B$2:$B$400,MATCH(DATE(YEAR(A164)-1,12,1),$A$2:$A$400,0))-1,""))</f>
        <v/>
      </c>
      <c r="E164" s="114">
        <f>IF(B164="","",IFERROR(B164/INDEX($B$2:$B$400,MATCH(DATE(YEAR(A164)-1,MONTH(A164),1),$A$2:$A$400,0))-1,""))</f>
        <v/>
      </c>
    </row>
    <row r="165">
      <c r="A165" s="116" t="n"/>
      <c r="B165" s="117" t="n"/>
      <c r="C165" s="114">
        <f>IF(OR(B165="",B164=""),"",B165/B164-1)</f>
        <v/>
      </c>
      <c r="D165" s="114">
        <f>IF(B165="","",IFERROR(B165/INDEX($B$2:$B$400,MATCH(DATE(YEAR(A165)-1,12,1),$A$2:$A$400,0))-1,""))</f>
        <v/>
      </c>
      <c r="E165" s="114">
        <f>IF(B165="","",IFERROR(B165/INDEX($B$2:$B$400,MATCH(DATE(YEAR(A165)-1,MONTH(A165),1),$A$2:$A$400,0))-1,""))</f>
        <v/>
      </c>
    </row>
    <row r="166">
      <c r="A166" s="116" t="n"/>
      <c r="B166" s="117" t="n"/>
      <c r="C166" s="114">
        <f>IF(OR(B166="",B165=""),"",B166/B165-1)</f>
        <v/>
      </c>
      <c r="D166" s="114">
        <f>IF(B166="","",IFERROR(B166/INDEX($B$2:$B$400,MATCH(DATE(YEAR(A166)-1,12,1),$A$2:$A$400,0))-1,""))</f>
        <v/>
      </c>
      <c r="E166" s="114">
        <f>IF(B166="","",IFERROR(B166/INDEX($B$2:$B$400,MATCH(DATE(YEAR(A166)-1,MONTH(A166),1),$A$2:$A$400,0))-1,""))</f>
        <v/>
      </c>
    </row>
    <row r="167">
      <c r="A167" s="116" t="n"/>
      <c r="B167" s="117" t="n"/>
      <c r="C167" s="114">
        <f>IF(OR(B167="",B166=""),"",B167/B166-1)</f>
        <v/>
      </c>
      <c r="D167" s="114">
        <f>IF(B167="","",IFERROR(B167/INDEX($B$2:$B$400,MATCH(DATE(YEAR(A167)-1,12,1),$A$2:$A$400,0))-1,""))</f>
        <v/>
      </c>
      <c r="E167" s="114">
        <f>IF(B167="","",IFERROR(B167/INDEX($B$2:$B$400,MATCH(DATE(YEAR(A167)-1,MONTH(A167),1),$A$2:$A$400,0))-1,""))</f>
        <v/>
      </c>
    </row>
    <row r="168">
      <c r="A168" s="116" t="n"/>
      <c r="B168" s="117" t="n"/>
      <c r="C168" s="114">
        <f>IF(OR(B168="",B167=""),"",B168/B167-1)</f>
        <v/>
      </c>
      <c r="D168" s="114">
        <f>IF(B168="","",IFERROR(B168/INDEX($B$2:$B$400,MATCH(DATE(YEAR(A168)-1,12,1),$A$2:$A$400,0))-1,""))</f>
        <v/>
      </c>
      <c r="E168" s="114">
        <f>IF(B168="","",IFERROR(B168/INDEX($B$2:$B$400,MATCH(DATE(YEAR(A168)-1,MONTH(A168),1),$A$2:$A$400,0))-1,""))</f>
        <v/>
      </c>
    </row>
    <row r="169">
      <c r="A169" s="116" t="n"/>
      <c r="B169" s="117" t="n"/>
      <c r="C169" s="114">
        <f>IF(OR(B169="",B168=""),"",B169/B168-1)</f>
        <v/>
      </c>
      <c r="D169" s="114">
        <f>IF(B169="","",IFERROR(B169/INDEX($B$2:$B$400,MATCH(DATE(YEAR(A169)-1,12,1),$A$2:$A$400,0))-1,""))</f>
        <v/>
      </c>
      <c r="E169" s="114">
        <f>IF(B169="","",IFERROR(B169/INDEX($B$2:$B$400,MATCH(DATE(YEAR(A169)-1,MONTH(A169),1),$A$2:$A$400,0))-1,""))</f>
        <v/>
      </c>
    </row>
    <row r="170">
      <c r="A170" s="116" t="n"/>
      <c r="B170" s="117" t="n"/>
      <c r="C170" s="114">
        <f>IF(OR(B170="",B169=""),"",B170/B169-1)</f>
        <v/>
      </c>
      <c r="D170" s="114">
        <f>IF(B170="","",IFERROR(B170/INDEX($B$2:$B$400,MATCH(DATE(YEAR(A170)-1,12,1),$A$2:$A$400,0))-1,""))</f>
        <v/>
      </c>
      <c r="E170" s="114">
        <f>IF(B170="","",IFERROR(B170/INDEX($B$2:$B$400,MATCH(DATE(YEAR(A170)-1,MONTH(A170),1),$A$2:$A$400,0))-1,""))</f>
        <v/>
      </c>
    </row>
    <row r="171">
      <c r="A171" s="116" t="n"/>
      <c r="B171" s="117" t="n"/>
      <c r="C171" s="114">
        <f>IF(OR(B171="",B170=""),"",B171/B170-1)</f>
        <v/>
      </c>
      <c r="D171" s="114">
        <f>IF(B171="","",IFERROR(B171/INDEX($B$2:$B$400,MATCH(DATE(YEAR(A171)-1,12,1),$A$2:$A$400,0))-1,""))</f>
        <v/>
      </c>
      <c r="E171" s="114">
        <f>IF(B171="","",IFERROR(B171/INDEX($B$2:$B$400,MATCH(DATE(YEAR(A171)-1,MONTH(A171),1),$A$2:$A$400,0))-1,""))</f>
        <v/>
      </c>
    </row>
    <row r="172">
      <c r="A172" s="116" t="n"/>
      <c r="B172" s="117" t="n"/>
      <c r="C172" s="114">
        <f>IF(OR(B172="",B171=""),"",B172/B171-1)</f>
        <v/>
      </c>
      <c r="D172" s="114">
        <f>IF(B172="","",IFERROR(B172/INDEX($B$2:$B$400,MATCH(DATE(YEAR(A172)-1,12,1),$A$2:$A$400,0))-1,""))</f>
        <v/>
      </c>
      <c r="E172" s="114">
        <f>IF(B172="","",IFERROR(B172/INDEX($B$2:$B$400,MATCH(DATE(YEAR(A172)-1,MONTH(A172),1),$A$2:$A$400,0))-1,""))</f>
        <v/>
      </c>
    </row>
    <row r="173">
      <c r="A173" s="116" t="n"/>
      <c r="B173" s="117" t="n"/>
      <c r="C173" s="114">
        <f>IF(OR(B173="",B172=""),"",B173/B172-1)</f>
        <v/>
      </c>
      <c r="D173" s="114">
        <f>IF(B173="","",IFERROR(B173/INDEX($B$2:$B$400,MATCH(DATE(YEAR(A173)-1,12,1),$A$2:$A$400,0))-1,""))</f>
        <v/>
      </c>
      <c r="E173" s="114">
        <f>IF(B173="","",IFERROR(B173/INDEX($B$2:$B$400,MATCH(DATE(YEAR(A173)-1,MONTH(A173),1),$A$2:$A$400,0))-1,""))</f>
        <v/>
      </c>
    </row>
    <row r="174">
      <c r="A174" s="116" t="n"/>
      <c r="B174" s="117" t="n"/>
      <c r="C174" s="114">
        <f>IF(OR(B174="",B173=""),"",B174/B173-1)</f>
        <v/>
      </c>
      <c r="D174" s="114">
        <f>IF(B174="","",IFERROR(B174/INDEX($B$2:$B$400,MATCH(DATE(YEAR(A174)-1,12,1),$A$2:$A$400,0))-1,""))</f>
        <v/>
      </c>
      <c r="E174" s="114">
        <f>IF(B174="","",IFERROR(B174/INDEX($B$2:$B$400,MATCH(DATE(YEAR(A174)-1,MONTH(A174),1),$A$2:$A$400,0))-1,""))</f>
        <v/>
      </c>
    </row>
    <row r="175">
      <c r="A175" s="116" t="n"/>
      <c r="B175" s="117" t="n"/>
      <c r="C175" s="114">
        <f>IF(OR(B175="",B174=""),"",B175/B174-1)</f>
        <v/>
      </c>
      <c r="D175" s="114">
        <f>IF(B175="","",IFERROR(B175/INDEX($B$2:$B$400,MATCH(DATE(YEAR(A175)-1,12,1),$A$2:$A$400,0))-1,""))</f>
        <v/>
      </c>
      <c r="E175" s="114">
        <f>IF(B175="","",IFERROR(B175/INDEX($B$2:$B$400,MATCH(DATE(YEAR(A175)-1,MONTH(A175),1),$A$2:$A$400,0))-1,""))</f>
        <v/>
      </c>
    </row>
    <row r="176">
      <c r="A176" s="116" t="n"/>
      <c r="B176" s="117" t="n"/>
      <c r="C176" s="114">
        <f>IF(OR(B176="",B175=""),"",B176/B175-1)</f>
        <v/>
      </c>
      <c r="D176" s="114">
        <f>IF(B176="","",IFERROR(B176/INDEX($B$2:$B$400,MATCH(DATE(YEAR(A176)-1,12,1),$A$2:$A$400,0))-1,""))</f>
        <v/>
      </c>
      <c r="E176" s="114">
        <f>IF(B176="","",IFERROR(B176/INDEX($B$2:$B$400,MATCH(DATE(YEAR(A176)-1,MONTH(A176),1),$A$2:$A$400,0))-1,""))</f>
        <v/>
      </c>
    </row>
    <row r="177">
      <c r="A177" s="116" t="n"/>
      <c r="B177" s="117" t="n"/>
      <c r="C177" s="114">
        <f>IF(OR(B177="",B176=""),"",B177/B176-1)</f>
        <v/>
      </c>
      <c r="D177" s="114">
        <f>IF(B177="","",IFERROR(B177/INDEX($B$2:$B$400,MATCH(DATE(YEAR(A177)-1,12,1),$A$2:$A$400,0))-1,""))</f>
        <v/>
      </c>
      <c r="E177" s="114">
        <f>IF(B177="","",IFERROR(B177/INDEX($B$2:$B$400,MATCH(DATE(YEAR(A177)-1,MONTH(A177),1),$A$2:$A$400,0))-1,""))</f>
        <v/>
      </c>
    </row>
    <row r="178">
      <c r="A178" s="116" t="n"/>
      <c r="B178" s="117" t="n"/>
      <c r="C178" s="114">
        <f>IF(OR(B178="",B177=""),"",B178/B177-1)</f>
        <v/>
      </c>
      <c r="D178" s="114">
        <f>IF(B178="","",IFERROR(B178/INDEX($B$2:$B$400,MATCH(DATE(YEAR(A178)-1,12,1),$A$2:$A$400,0))-1,""))</f>
        <v/>
      </c>
      <c r="E178" s="114">
        <f>IF(B178="","",IFERROR(B178/INDEX($B$2:$B$400,MATCH(DATE(YEAR(A178)-1,MONTH(A178),1),$A$2:$A$400,0))-1,""))</f>
        <v/>
      </c>
    </row>
    <row r="179">
      <c r="A179" s="116" t="n"/>
      <c r="B179" s="117" t="n"/>
      <c r="C179" s="114">
        <f>IF(OR(B179="",B178=""),"",B179/B178-1)</f>
        <v/>
      </c>
      <c r="D179" s="114">
        <f>IF(B179="","",IFERROR(B179/INDEX($B$2:$B$400,MATCH(DATE(YEAR(A179)-1,12,1),$A$2:$A$400,0))-1,""))</f>
        <v/>
      </c>
      <c r="E179" s="114">
        <f>IF(B179="","",IFERROR(B179/INDEX($B$2:$B$400,MATCH(DATE(YEAR(A179)-1,MONTH(A179),1),$A$2:$A$400,0))-1,""))</f>
        <v/>
      </c>
    </row>
    <row r="180">
      <c r="A180" s="116" t="n"/>
      <c r="B180" s="117" t="n"/>
      <c r="C180" s="114">
        <f>IF(OR(B180="",B179=""),"",B180/B179-1)</f>
        <v/>
      </c>
      <c r="D180" s="114">
        <f>IF(B180="","",IFERROR(B180/INDEX($B$2:$B$400,MATCH(DATE(YEAR(A180)-1,12,1),$A$2:$A$400,0))-1,""))</f>
        <v/>
      </c>
      <c r="E180" s="114">
        <f>IF(B180="","",IFERROR(B180/INDEX($B$2:$B$400,MATCH(DATE(YEAR(A180)-1,MONTH(A180),1),$A$2:$A$400,0))-1,""))</f>
        <v/>
      </c>
    </row>
    <row r="181">
      <c r="A181" s="116" t="n"/>
      <c r="B181" s="117" t="n"/>
      <c r="C181" s="114">
        <f>IF(OR(B181="",B180=""),"",B181/B180-1)</f>
        <v/>
      </c>
      <c r="D181" s="114">
        <f>IF(B181="","",IFERROR(B181/INDEX($B$2:$B$400,MATCH(DATE(YEAR(A181)-1,12,1),$A$2:$A$400,0))-1,""))</f>
        <v/>
      </c>
      <c r="E181" s="114">
        <f>IF(B181="","",IFERROR(B181/INDEX($B$2:$B$400,MATCH(DATE(YEAR(A181)-1,MONTH(A181),1),$A$2:$A$400,0))-1,""))</f>
        <v/>
      </c>
    </row>
    <row r="182">
      <c r="A182" s="116" t="n"/>
      <c r="B182" s="117" t="n"/>
      <c r="C182" s="114">
        <f>IF(OR(B182="",B181=""),"",B182/B181-1)</f>
        <v/>
      </c>
      <c r="D182" s="114">
        <f>IF(B182="","",IFERROR(B182/INDEX($B$2:$B$400,MATCH(DATE(YEAR(A182)-1,12,1),$A$2:$A$400,0))-1,""))</f>
        <v/>
      </c>
      <c r="E182" s="114">
        <f>IF(B182="","",IFERROR(B182/INDEX($B$2:$B$400,MATCH(DATE(YEAR(A182)-1,MONTH(A182),1),$A$2:$A$400,0))-1,""))</f>
        <v/>
      </c>
    </row>
    <row r="183">
      <c r="A183" s="116" t="n"/>
      <c r="B183" s="117" t="n"/>
      <c r="C183" s="114">
        <f>IF(OR(B183="",B182=""),"",B183/B182-1)</f>
        <v/>
      </c>
      <c r="D183" s="114">
        <f>IF(B183="","",IFERROR(B183/INDEX($B$2:$B$400,MATCH(DATE(YEAR(A183)-1,12,1),$A$2:$A$400,0))-1,""))</f>
        <v/>
      </c>
      <c r="E183" s="114">
        <f>IF(B183="","",IFERROR(B183/INDEX($B$2:$B$400,MATCH(DATE(YEAR(A183)-1,MONTH(A183),1),$A$2:$A$400,0))-1,""))</f>
        <v/>
      </c>
    </row>
    <row r="184">
      <c r="A184" s="116" t="n"/>
      <c r="B184" s="117" t="n"/>
      <c r="C184" s="114">
        <f>IF(OR(B184="",B183=""),"",B184/B183-1)</f>
        <v/>
      </c>
      <c r="D184" s="114">
        <f>IF(B184="","",IFERROR(B184/INDEX($B$2:$B$400,MATCH(DATE(YEAR(A184)-1,12,1),$A$2:$A$400,0))-1,""))</f>
        <v/>
      </c>
      <c r="E184" s="114">
        <f>IF(B184="","",IFERROR(B184/INDEX($B$2:$B$400,MATCH(DATE(YEAR(A184)-1,MONTH(A184),1),$A$2:$A$400,0))-1,""))</f>
        <v/>
      </c>
    </row>
    <row r="185">
      <c r="A185" s="116" t="n"/>
      <c r="B185" s="117" t="n"/>
      <c r="C185" s="114">
        <f>IF(OR(B185="",B184=""),"",B185/B184-1)</f>
        <v/>
      </c>
      <c r="D185" s="114">
        <f>IF(B185="","",IFERROR(B185/INDEX($B$2:$B$400,MATCH(DATE(YEAR(A185)-1,12,1),$A$2:$A$400,0))-1,""))</f>
        <v/>
      </c>
      <c r="E185" s="114">
        <f>IF(B185="","",IFERROR(B185/INDEX($B$2:$B$400,MATCH(DATE(YEAR(A185)-1,MONTH(A185),1),$A$2:$A$400,0))-1,""))</f>
        <v/>
      </c>
    </row>
    <row r="186">
      <c r="A186" s="116" t="n"/>
      <c r="B186" s="117" t="n"/>
      <c r="C186" s="114">
        <f>IF(OR(B186="",B185=""),"",B186/B185-1)</f>
        <v/>
      </c>
      <c r="D186" s="114">
        <f>IF(B186="","",IFERROR(B186/INDEX($B$2:$B$400,MATCH(DATE(YEAR(A186)-1,12,1),$A$2:$A$400,0))-1,""))</f>
        <v/>
      </c>
      <c r="E186" s="114">
        <f>IF(B186="","",IFERROR(B186/INDEX($B$2:$B$400,MATCH(DATE(YEAR(A186)-1,MONTH(A186),1),$A$2:$A$400,0))-1,""))</f>
        <v/>
      </c>
    </row>
    <row r="187">
      <c r="A187" s="116" t="n"/>
      <c r="B187" s="117" t="n"/>
      <c r="C187" s="114">
        <f>IF(OR(B187="",B186=""),"",B187/B186-1)</f>
        <v/>
      </c>
      <c r="D187" s="114">
        <f>IF(B187="","",IFERROR(B187/INDEX($B$2:$B$400,MATCH(DATE(YEAR(A187)-1,12,1),$A$2:$A$400,0))-1,""))</f>
        <v/>
      </c>
      <c r="E187" s="114">
        <f>IF(B187="","",IFERROR(B187/INDEX($B$2:$B$400,MATCH(DATE(YEAR(A187)-1,MONTH(A187),1),$A$2:$A$400,0))-1,""))</f>
        <v/>
      </c>
    </row>
    <row r="188">
      <c r="A188" s="116" t="n"/>
      <c r="B188" s="117" t="n"/>
      <c r="C188" s="114">
        <f>IF(OR(B188="",B187=""),"",B188/B187-1)</f>
        <v/>
      </c>
      <c r="D188" s="114">
        <f>IF(B188="","",IFERROR(B188/INDEX($B$2:$B$400,MATCH(DATE(YEAR(A188)-1,12,1),$A$2:$A$400,0))-1,""))</f>
        <v/>
      </c>
      <c r="E188" s="114">
        <f>IF(B188="","",IFERROR(B188/INDEX($B$2:$B$400,MATCH(DATE(YEAR(A188)-1,MONTH(A188),1),$A$2:$A$400,0))-1,""))</f>
        <v/>
      </c>
    </row>
    <row r="189">
      <c r="A189" s="116" t="n"/>
      <c r="B189" s="117" t="n"/>
      <c r="C189" s="114">
        <f>IF(OR(B189="",B188=""),"",B189/B188-1)</f>
        <v/>
      </c>
      <c r="D189" s="114">
        <f>IF(B189="","",IFERROR(B189/INDEX($B$2:$B$400,MATCH(DATE(YEAR(A189)-1,12,1),$A$2:$A$400,0))-1,""))</f>
        <v/>
      </c>
      <c r="E189" s="114">
        <f>IF(B189="","",IFERROR(B189/INDEX($B$2:$B$400,MATCH(DATE(YEAR(A189)-1,MONTH(A189),1),$A$2:$A$400,0))-1,""))</f>
        <v/>
      </c>
    </row>
    <row r="190">
      <c r="A190" s="116" t="n"/>
      <c r="B190" s="117" t="n"/>
      <c r="C190" s="114">
        <f>IF(OR(B190="",B189=""),"",B190/B189-1)</f>
        <v/>
      </c>
      <c r="D190" s="114">
        <f>IF(B190="","",IFERROR(B190/INDEX($B$2:$B$400,MATCH(DATE(YEAR(A190)-1,12,1),$A$2:$A$400,0))-1,""))</f>
        <v/>
      </c>
      <c r="E190" s="114">
        <f>IF(B190="","",IFERROR(B190/INDEX($B$2:$B$400,MATCH(DATE(YEAR(A190)-1,MONTH(A190),1),$A$2:$A$400,0))-1,""))</f>
        <v/>
      </c>
    </row>
    <row r="191">
      <c r="A191" s="116" t="n"/>
      <c r="B191" s="117" t="n"/>
      <c r="C191" s="114">
        <f>IF(OR(B191="",B190=""),"",B191/B190-1)</f>
        <v/>
      </c>
      <c r="D191" s="114">
        <f>IF(B191="","",IFERROR(B191/INDEX($B$2:$B$400,MATCH(DATE(YEAR(A191)-1,12,1),$A$2:$A$400,0))-1,""))</f>
        <v/>
      </c>
      <c r="E191" s="114">
        <f>IF(B191="","",IFERROR(B191/INDEX($B$2:$B$400,MATCH(DATE(YEAR(A191)-1,MONTH(A191),1),$A$2:$A$400,0))-1,""))</f>
        <v/>
      </c>
    </row>
    <row r="192">
      <c r="A192" s="116" t="n"/>
      <c r="B192" s="117" t="n"/>
      <c r="C192" s="114">
        <f>IF(OR(B192="",B191=""),"",B192/B191-1)</f>
        <v/>
      </c>
      <c r="D192" s="114">
        <f>IF(B192="","",IFERROR(B192/INDEX($B$2:$B$400,MATCH(DATE(YEAR(A192)-1,12,1),$A$2:$A$400,0))-1,""))</f>
        <v/>
      </c>
      <c r="E192" s="114">
        <f>IF(B192="","",IFERROR(B192/INDEX($B$2:$B$400,MATCH(DATE(YEAR(A192)-1,MONTH(A192),1),$A$2:$A$400,0))-1,""))</f>
        <v/>
      </c>
    </row>
    <row r="193">
      <c r="A193" s="116" t="n"/>
      <c r="B193" s="117" t="n"/>
      <c r="C193" s="114">
        <f>IF(OR(B193="",B192=""),"",B193/B192-1)</f>
        <v/>
      </c>
      <c r="D193" s="114">
        <f>IF(B193="","",IFERROR(B193/INDEX($B$2:$B$400,MATCH(DATE(YEAR(A193)-1,12,1),$A$2:$A$400,0))-1,""))</f>
        <v/>
      </c>
      <c r="E193" s="114">
        <f>IF(B193="","",IFERROR(B193/INDEX($B$2:$B$400,MATCH(DATE(YEAR(A193)-1,MONTH(A193),1),$A$2:$A$400,0))-1,""))</f>
        <v/>
      </c>
    </row>
    <row r="194">
      <c r="A194" s="116" t="n"/>
      <c r="B194" s="117" t="n"/>
      <c r="C194" s="114">
        <f>IF(OR(B194="",B193=""),"",B194/B193-1)</f>
        <v/>
      </c>
      <c r="D194" s="114">
        <f>IF(B194="","",IFERROR(B194/INDEX($B$2:$B$400,MATCH(DATE(YEAR(A194)-1,12,1),$A$2:$A$400,0))-1,""))</f>
        <v/>
      </c>
      <c r="E194" s="114">
        <f>IF(B194="","",IFERROR(B194/INDEX($B$2:$B$400,MATCH(DATE(YEAR(A194)-1,MONTH(A194),1),$A$2:$A$400,0))-1,""))</f>
        <v/>
      </c>
    </row>
    <row r="195">
      <c r="A195" s="116" t="n"/>
      <c r="B195" s="117" t="n"/>
      <c r="C195" s="114">
        <f>IF(OR(B195="",B194=""),"",B195/B194-1)</f>
        <v/>
      </c>
      <c r="D195" s="114">
        <f>IF(B195="","",IFERROR(B195/INDEX($B$2:$B$400,MATCH(DATE(YEAR(A195)-1,12,1),$A$2:$A$400,0))-1,""))</f>
        <v/>
      </c>
      <c r="E195" s="114">
        <f>IF(B195="","",IFERROR(B195/INDEX($B$2:$B$400,MATCH(DATE(YEAR(A195)-1,MONTH(A195),1),$A$2:$A$400,0))-1,""))</f>
        <v/>
      </c>
    </row>
    <row r="196">
      <c r="A196" s="116" t="n"/>
      <c r="B196" s="117" t="n"/>
      <c r="C196" s="114">
        <f>IF(OR(B196="",B195=""),"",B196/B195-1)</f>
        <v/>
      </c>
      <c r="D196" s="114">
        <f>IF(B196="","",IFERROR(B196/INDEX($B$2:$B$400,MATCH(DATE(YEAR(A196)-1,12,1),$A$2:$A$400,0))-1,""))</f>
        <v/>
      </c>
      <c r="E196" s="114">
        <f>IF(B196="","",IFERROR(B196/INDEX($B$2:$B$400,MATCH(DATE(YEAR(A196)-1,MONTH(A196),1),$A$2:$A$400,0))-1,""))</f>
        <v/>
      </c>
    </row>
    <row r="197">
      <c r="A197" s="116" t="n"/>
      <c r="B197" s="117" t="n"/>
      <c r="C197" s="114">
        <f>IF(OR(B197="",B196=""),"",B197/B196-1)</f>
        <v/>
      </c>
      <c r="D197" s="114">
        <f>IF(B197="","",IFERROR(B197/INDEX($B$2:$B$400,MATCH(DATE(YEAR(A197)-1,12,1),$A$2:$A$400,0))-1,""))</f>
        <v/>
      </c>
      <c r="E197" s="114">
        <f>IF(B197="","",IFERROR(B197/INDEX($B$2:$B$400,MATCH(DATE(YEAR(A197)-1,MONTH(A197),1),$A$2:$A$400,0))-1,""))</f>
        <v/>
      </c>
    </row>
    <row r="198">
      <c r="A198" s="116" t="n"/>
      <c r="B198" s="117" t="n"/>
      <c r="C198" s="114">
        <f>IF(OR(B198="",B197=""),"",B198/B197-1)</f>
        <v/>
      </c>
      <c r="D198" s="114">
        <f>IF(B198="","",IFERROR(B198/INDEX($B$2:$B$400,MATCH(DATE(YEAR(A198)-1,12,1),$A$2:$A$400,0))-1,""))</f>
        <v/>
      </c>
      <c r="E198" s="114">
        <f>IF(B198="","",IFERROR(B198/INDEX($B$2:$B$400,MATCH(DATE(YEAR(A198)-1,MONTH(A198),1),$A$2:$A$400,0))-1,""))</f>
        <v/>
      </c>
    </row>
    <row r="199">
      <c r="A199" s="116" t="n"/>
      <c r="B199" s="117" t="n"/>
      <c r="C199" s="114">
        <f>IF(OR(B199="",B198=""),"",B199/B198-1)</f>
        <v/>
      </c>
      <c r="D199" s="114">
        <f>IF(B199="","",IFERROR(B199/INDEX($B$2:$B$400,MATCH(DATE(YEAR(A199)-1,12,1),$A$2:$A$400,0))-1,""))</f>
        <v/>
      </c>
      <c r="E199" s="114">
        <f>IF(B199="","",IFERROR(B199/INDEX($B$2:$B$400,MATCH(DATE(YEAR(A199)-1,MONTH(A199),1),$A$2:$A$400,0))-1,""))</f>
        <v/>
      </c>
    </row>
    <row r="200">
      <c r="A200" s="116" t="n"/>
      <c r="B200" s="117" t="n"/>
      <c r="C200" s="114">
        <f>IF(OR(B200="",B199=""),"",B200/B199-1)</f>
        <v/>
      </c>
      <c r="D200" s="114">
        <f>IF(B200="","",IFERROR(B200/INDEX($B$2:$B$400,MATCH(DATE(YEAR(A200)-1,12,1),$A$2:$A$400,0))-1,""))</f>
        <v/>
      </c>
      <c r="E200" s="114">
        <f>IF(B200="","",IFERROR(B200/INDEX($B$2:$B$400,MATCH(DATE(YEAR(A200)-1,MONTH(A200),1),$A$2:$A$400,0))-1,""))</f>
        <v/>
      </c>
    </row>
    <row r="201">
      <c r="A201" s="116" t="n"/>
      <c r="B201" s="117" t="n"/>
      <c r="C201" s="114">
        <f>IF(OR(B201="",B200=""),"",B201/B200-1)</f>
        <v/>
      </c>
      <c r="D201" s="114">
        <f>IF(B201="","",IFERROR(B201/INDEX($B$2:$B$400,MATCH(DATE(YEAR(A201)-1,12,1),$A$2:$A$400,0))-1,""))</f>
        <v/>
      </c>
      <c r="E201" s="114">
        <f>IF(B201="","",IFERROR(B201/INDEX($B$2:$B$400,MATCH(DATE(YEAR(A201)-1,MONTH(A201),1),$A$2:$A$400,0))-1,""))</f>
        <v/>
      </c>
    </row>
    <row r="202">
      <c r="A202" s="116" t="n"/>
      <c r="B202" s="117" t="n"/>
      <c r="C202" s="114">
        <f>IF(OR(B202="",B201=""),"",B202/B201-1)</f>
        <v/>
      </c>
      <c r="D202" s="114">
        <f>IF(B202="","",IFERROR(B202/INDEX($B$2:$B$400,MATCH(DATE(YEAR(A202)-1,12,1),$A$2:$A$400,0))-1,""))</f>
        <v/>
      </c>
      <c r="E202" s="114">
        <f>IF(B202="","",IFERROR(B202/INDEX($B$2:$B$400,MATCH(DATE(YEAR(A202)-1,MONTH(A202),1),$A$2:$A$400,0))-1,""))</f>
        <v/>
      </c>
    </row>
    <row r="203">
      <c r="A203" s="116" t="n"/>
      <c r="B203" s="117" t="n"/>
      <c r="C203" s="114">
        <f>IF(OR(B203="",B202=""),"",B203/B202-1)</f>
        <v/>
      </c>
      <c r="D203" s="114">
        <f>IF(B203="","",IFERROR(B203/INDEX($B$2:$B$400,MATCH(DATE(YEAR(A203)-1,12,1),$A$2:$A$400,0))-1,""))</f>
        <v/>
      </c>
      <c r="E203" s="114">
        <f>IF(B203="","",IFERROR(B203/INDEX($B$2:$B$400,MATCH(DATE(YEAR(A203)-1,MONTH(A203),1),$A$2:$A$400,0))-1,""))</f>
        <v/>
      </c>
    </row>
    <row r="204">
      <c r="A204" s="116" t="n"/>
      <c r="B204" s="117" t="n"/>
      <c r="C204" s="114">
        <f>IF(OR(B204="",B203=""),"",B204/B203-1)</f>
        <v/>
      </c>
      <c r="D204" s="114">
        <f>IF(B204="","",IFERROR(B204/INDEX($B$2:$B$400,MATCH(DATE(YEAR(A204)-1,12,1),$A$2:$A$400,0))-1,""))</f>
        <v/>
      </c>
      <c r="E204" s="114">
        <f>IF(B204="","",IFERROR(B204/INDEX($B$2:$B$400,MATCH(DATE(YEAR(A204)-1,MONTH(A204),1),$A$2:$A$400,0))-1,""))</f>
        <v/>
      </c>
    </row>
    <row r="205">
      <c r="A205" s="116" t="n"/>
      <c r="B205" s="117" t="n"/>
      <c r="C205" s="114">
        <f>IF(OR(B205="",B204=""),"",B205/B204-1)</f>
        <v/>
      </c>
      <c r="D205" s="114">
        <f>IF(B205="","",IFERROR(B205/INDEX($B$2:$B$400,MATCH(DATE(YEAR(A205)-1,12,1),$A$2:$A$400,0))-1,""))</f>
        <v/>
      </c>
      <c r="E205" s="114">
        <f>IF(B205="","",IFERROR(B205/INDEX($B$2:$B$400,MATCH(DATE(YEAR(A205)-1,MONTH(A205),1),$A$2:$A$400,0))-1,""))</f>
        <v/>
      </c>
    </row>
    <row r="206">
      <c r="A206" s="116" t="n"/>
      <c r="B206" s="117" t="n"/>
      <c r="C206" s="114">
        <f>IF(OR(B206="",B205=""),"",B206/B205-1)</f>
        <v/>
      </c>
      <c r="D206" s="114">
        <f>IF(B206="","",IFERROR(B206/INDEX($B$2:$B$400,MATCH(DATE(YEAR(A206)-1,12,1),$A$2:$A$400,0))-1,""))</f>
        <v/>
      </c>
      <c r="E206" s="114">
        <f>IF(B206="","",IFERROR(B206/INDEX($B$2:$B$400,MATCH(DATE(YEAR(A206)-1,MONTH(A206),1),$A$2:$A$400,0))-1,""))</f>
        <v/>
      </c>
    </row>
    <row r="207">
      <c r="A207" s="116" t="n"/>
      <c r="B207" s="117" t="n"/>
      <c r="C207" s="114">
        <f>IF(OR(B207="",B206=""),"",B207/B206-1)</f>
        <v/>
      </c>
      <c r="D207" s="114">
        <f>IF(B207="","",IFERROR(B207/INDEX($B$2:$B$400,MATCH(DATE(YEAR(A207)-1,12,1),$A$2:$A$400,0))-1,""))</f>
        <v/>
      </c>
      <c r="E207" s="114">
        <f>IF(B207="","",IFERROR(B207/INDEX($B$2:$B$400,MATCH(DATE(YEAR(A207)-1,MONTH(A207),1),$A$2:$A$400,0))-1,""))</f>
        <v/>
      </c>
    </row>
    <row r="208">
      <c r="A208" s="116" t="n"/>
      <c r="B208" s="117" t="n"/>
      <c r="C208" s="114">
        <f>IF(OR(B208="",B207=""),"",B208/B207-1)</f>
        <v/>
      </c>
      <c r="D208" s="114">
        <f>IF(B208="","",IFERROR(B208/INDEX($B$2:$B$400,MATCH(DATE(YEAR(A208)-1,12,1),$A$2:$A$400,0))-1,""))</f>
        <v/>
      </c>
      <c r="E208" s="114">
        <f>IF(B208="","",IFERROR(B208/INDEX($B$2:$B$400,MATCH(DATE(YEAR(A208)-1,MONTH(A208),1),$A$2:$A$400,0))-1,""))</f>
        <v/>
      </c>
    </row>
    <row r="209">
      <c r="A209" s="116" t="n"/>
      <c r="B209" s="117" t="n"/>
      <c r="C209" s="114">
        <f>IF(OR(B209="",B208=""),"",B209/B208-1)</f>
        <v/>
      </c>
      <c r="D209" s="114">
        <f>IF(B209="","",IFERROR(B209/INDEX($B$2:$B$400,MATCH(DATE(YEAR(A209)-1,12,1),$A$2:$A$400,0))-1,""))</f>
        <v/>
      </c>
      <c r="E209" s="114">
        <f>IF(B209="","",IFERROR(B209/INDEX($B$2:$B$400,MATCH(DATE(YEAR(A209)-1,MONTH(A209),1),$A$2:$A$400,0))-1,""))</f>
        <v/>
      </c>
    </row>
    <row r="210">
      <c r="A210" s="116" t="n"/>
      <c r="B210" s="117" t="n"/>
      <c r="C210" s="114">
        <f>IF(OR(B210="",B209=""),"",B210/B209-1)</f>
        <v/>
      </c>
      <c r="D210" s="114">
        <f>IF(B210="","",IFERROR(B210/INDEX($B$2:$B$400,MATCH(DATE(YEAR(A210)-1,12,1),$A$2:$A$400,0))-1,""))</f>
        <v/>
      </c>
      <c r="E210" s="114">
        <f>IF(B210="","",IFERROR(B210/INDEX($B$2:$B$400,MATCH(DATE(YEAR(A210)-1,MONTH(A210),1),$A$2:$A$400,0))-1,""))</f>
        <v/>
      </c>
    </row>
    <row r="211">
      <c r="A211" s="116" t="n"/>
      <c r="B211" s="117" t="n"/>
      <c r="C211" s="114">
        <f>IF(OR(B211="",B210=""),"",B211/B210-1)</f>
        <v/>
      </c>
      <c r="D211" s="114">
        <f>IF(B211="","",IFERROR(B211/INDEX($B$2:$B$400,MATCH(DATE(YEAR(A211)-1,12,1),$A$2:$A$400,0))-1,""))</f>
        <v/>
      </c>
      <c r="E211" s="114">
        <f>IF(B211="","",IFERROR(B211/INDEX($B$2:$B$400,MATCH(DATE(YEAR(A211)-1,MONTH(A211),1),$A$2:$A$400,0))-1,""))</f>
        <v/>
      </c>
    </row>
    <row r="212">
      <c r="A212" s="116" t="n"/>
      <c r="B212" s="117" t="n"/>
      <c r="C212" s="114">
        <f>IF(OR(B212="",B211=""),"",B212/B211-1)</f>
        <v/>
      </c>
      <c r="D212" s="114">
        <f>IF(B212="","",IFERROR(B212/INDEX($B$2:$B$400,MATCH(DATE(YEAR(A212)-1,12,1),$A$2:$A$400,0))-1,""))</f>
        <v/>
      </c>
      <c r="E212" s="114">
        <f>IF(B212="","",IFERROR(B212/INDEX($B$2:$B$400,MATCH(DATE(YEAR(A212)-1,MONTH(A212),1),$A$2:$A$400,0))-1,""))</f>
        <v/>
      </c>
    </row>
    <row r="213">
      <c r="A213" s="116" t="n"/>
      <c r="B213" s="117" t="n"/>
      <c r="C213" s="114">
        <f>IF(OR(B213="",B212=""),"",B213/B212-1)</f>
        <v/>
      </c>
      <c r="D213" s="114">
        <f>IF(B213="","",IFERROR(B213/INDEX($B$2:$B$400,MATCH(DATE(YEAR(A213)-1,12,1),$A$2:$A$400,0))-1,""))</f>
        <v/>
      </c>
      <c r="E213" s="114">
        <f>IF(B213="","",IFERROR(B213/INDEX($B$2:$B$400,MATCH(DATE(YEAR(A213)-1,MONTH(A213),1),$A$2:$A$400,0))-1,""))</f>
        <v/>
      </c>
    </row>
    <row r="214">
      <c r="A214" s="116" t="n"/>
      <c r="B214" s="117" t="n"/>
      <c r="C214" s="114">
        <f>IF(OR(B214="",B213=""),"",B214/B213-1)</f>
        <v/>
      </c>
      <c r="D214" s="114">
        <f>IF(B214="","",IFERROR(B214/INDEX($B$2:$B$400,MATCH(DATE(YEAR(A214)-1,12,1),$A$2:$A$400,0))-1,""))</f>
        <v/>
      </c>
      <c r="E214" s="114">
        <f>IF(B214="","",IFERROR(B214/INDEX($B$2:$B$400,MATCH(DATE(YEAR(A214)-1,MONTH(A214),1),$A$2:$A$400,0))-1,""))</f>
        <v/>
      </c>
    </row>
    <row r="215">
      <c r="A215" s="116" t="n"/>
      <c r="B215" s="117" t="n"/>
      <c r="C215" s="114">
        <f>IF(OR(B215="",B214=""),"",B215/B214-1)</f>
        <v/>
      </c>
      <c r="D215" s="114">
        <f>IF(B215="","",IFERROR(B215/INDEX($B$2:$B$400,MATCH(DATE(YEAR(A215)-1,12,1),$A$2:$A$400,0))-1,""))</f>
        <v/>
      </c>
      <c r="E215" s="114">
        <f>IF(B215="","",IFERROR(B215/INDEX($B$2:$B$400,MATCH(DATE(YEAR(A215)-1,MONTH(A215),1),$A$2:$A$400,0))-1,""))</f>
        <v/>
      </c>
    </row>
    <row r="216">
      <c r="A216" s="116" t="n"/>
      <c r="B216" s="117" t="n"/>
      <c r="C216" s="114">
        <f>IF(OR(B216="",B215=""),"",B216/B215-1)</f>
        <v/>
      </c>
      <c r="D216" s="114">
        <f>IF(B216="","",IFERROR(B216/INDEX($B$2:$B$400,MATCH(DATE(YEAR(A216)-1,12,1),$A$2:$A$400,0))-1,""))</f>
        <v/>
      </c>
      <c r="E216" s="114">
        <f>IF(B216="","",IFERROR(B216/INDEX($B$2:$B$400,MATCH(DATE(YEAR(A216)-1,MONTH(A216),1),$A$2:$A$400,0))-1,""))</f>
        <v/>
      </c>
    </row>
    <row r="217">
      <c r="A217" s="116" t="n"/>
      <c r="B217" s="117" t="n"/>
      <c r="C217" s="114">
        <f>IF(OR(B217="",B216=""),"",B217/B216-1)</f>
        <v/>
      </c>
      <c r="D217" s="114">
        <f>IF(B217="","",IFERROR(B217/INDEX($B$2:$B$400,MATCH(DATE(YEAR(A217)-1,12,1),$A$2:$A$400,0))-1,""))</f>
        <v/>
      </c>
      <c r="E217" s="114">
        <f>IF(B217="","",IFERROR(B217/INDEX($B$2:$B$400,MATCH(DATE(YEAR(A217)-1,MONTH(A217),1),$A$2:$A$400,0))-1,""))</f>
        <v/>
      </c>
    </row>
    <row r="218">
      <c r="A218" s="116" t="n"/>
      <c r="B218" s="117" t="n"/>
      <c r="C218" s="114">
        <f>IF(OR(B218="",B217=""),"",B218/B217-1)</f>
        <v/>
      </c>
      <c r="D218" s="114">
        <f>IF(B218="","",IFERROR(B218/INDEX($B$2:$B$400,MATCH(DATE(YEAR(A218)-1,12,1),$A$2:$A$400,0))-1,""))</f>
        <v/>
      </c>
      <c r="E218" s="114">
        <f>IF(B218="","",IFERROR(B218/INDEX($B$2:$B$400,MATCH(DATE(YEAR(A218)-1,MONTH(A218),1),$A$2:$A$400,0))-1,""))</f>
        <v/>
      </c>
    </row>
    <row r="219">
      <c r="A219" s="116" t="n"/>
      <c r="B219" s="117" t="n"/>
      <c r="C219" s="114">
        <f>IF(OR(B219="",B218=""),"",B219/B218-1)</f>
        <v/>
      </c>
      <c r="D219" s="114">
        <f>IF(B219="","",IFERROR(B219/INDEX($B$2:$B$400,MATCH(DATE(YEAR(A219)-1,12,1),$A$2:$A$400,0))-1,""))</f>
        <v/>
      </c>
      <c r="E219" s="114">
        <f>IF(B219="","",IFERROR(B219/INDEX($B$2:$B$400,MATCH(DATE(YEAR(A219)-1,MONTH(A219),1),$A$2:$A$400,0))-1,""))</f>
        <v/>
      </c>
    </row>
    <row r="220">
      <c r="A220" s="116" t="n"/>
      <c r="B220" s="117" t="n"/>
      <c r="C220" s="114">
        <f>IF(OR(B220="",B219=""),"",B220/B219-1)</f>
        <v/>
      </c>
      <c r="D220" s="114">
        <f>IF(B220="","",IFERROR(B220/INDEX($B$2:$B$400,MATCH(DATE(YEAR(A220)-1,12,1),$A$2:$A$400,0))-1,""))</f>
        <v/>
      </c>
      <c r="E220" s="114">
        <f>IF(B220="","",IFERROR(B220/INDEX($B$2:$B$400,MATCH(DATE(YEAR(A220)-1,MONTH(A220),1),$A$2:$A$400,0))-1,""))</f>
        <v/>
      </c>
    </row>
    <row r="221">
      <c r="A221" s="116" t="n"/>
      <c r="B221" s="117" t="n"/>
      <c r="C221" s="114">
        <f>IF(OR(B221="",B220=""),"",B221/B220-1)</f>
        <v/>
      </c>
      <c r="D221" s="114">
        <f>IF(B221="","",IFERROR(B221/INDEX($B$2:$B$400,MATCH(DATE(YEAR(A221)-1,12,1),$A$2:$A$400,0))-1,""))</f>
        <v/>
      </c>
      <c r="E221" s="114">
        <f>IF(B221="","",IFERROR(B221/INDEX($B$2:$B$400,MATCH(DATE(YEAR(A221)-1,MONTH(A221),1),$A$2:$A$400,0))-1,""))</f>
        <v/>
      </c>
    </row>
    <row r="222">
      <c r="A222" s="116" t="n"/>
      <c r="B222" s="117" t="n"/>
      <c r="C222" s="114">
        <f>IF(OR(B222="",B221=""),"",B222/B221-1)</f>
        <v/>
      </c>
      <c r="D222" s="114">
        <f>IF(B222="","",IFERROR(B222/INDEX($B$2:$B$400,MATCH(DATE(YEAR(A222)-1,12,1),$A$2:$A$400,0))-1,""))</f>
        <v/>
      </c>
      <c r="E222" s="114">
        <f>IF(B222="","",IFERROR(B222/INDEX($B$2:$B$400,MATCH(DATE(YEAR(A222)-1,MONTH(A222),1),$A$2:$A$400,0))-1,""))</f>
        <v/>
      </c>
    </row>
    <row r="223">
      <c r="A223" s="116" t="n"/>
      <c r="B223" s="117" t="n"/>
      <c r="C223" s="114">
        <f>IF(OR(B223="",B222=""),"",B223/B222-1)</f>
        <v/>
      </c>
      <c r="D223" s="114">
        <f>IF(B223="","",IFERROR(B223/INDEX($B$2:$B$400,MATCH(DATE(YEAR(A223)-1,12,1),$A$2:$A$400,0))-1,""))</f>
        <v/>
      </c>
      <c r="E223" s="114">
        <f>IF(B223="","",IFERROR(B223/INDEX($B$2:$B$400,MATCH(DATE(YEAR(A223)-1,MONTH(A223),1),$A$2:$A$400,0))-1,""))</f>
        <v/>
      </c>
    </row>
    <row r="224">
      <c r="A224" s="116" t="n"/>
      <c r="B224" s="117" t="n"/>
      <c r="C224" s="114">
        <f>IF(OR(B224="",B223=""),"",B224/B223-1)</f>
        <v/>
      </c>
      <c r="D224" s="114">
        <f>IF(B224="","",IFERROR(B224/INDEX($B$2:$B$400,MATCH(DATE(YEAR(A224)-1,12,1),$A$2:$A$400,0))-1,""))</f>
        <v/>
      </c>
      <c r="E224" s="114">
        <f>IF(B224="","",IFERROR(B224/INDEX($B$2:$B$400,MATCH(DATE(YEAR(A224)-1,MONTH(A224),1),$A$2:$A$400,0))-1,""))</f>
        <v/>
      </c>
    </row>
    <row r="225">
      <c r="A225" s="116" t="n"/>
      <c r="B225" s="117" t="n"/>
      <c r="C225" s="114">
        <f>IF(OR(B225="",B224=""),"",B225/B224-1)</f>
        <v/>
      </c>
      <c r="D225" s="114">
        <f>IF(B225="","",IFERROR(B225/INDEX($B$2:$B$400,MATCH(DATE(YEAR(A225)-1,12,1),$A$2:$A$400,0))-1,""))</f>
        <v/>
      </c>
      <c r="E225" s="114">
        <f>IF(B225="","",IFERROR(B225/INDEX($B$2:$B$400,MATCH(DATE(YEAR(A225)-1,MONTH(A225),1),$A$2:$A$400,0))-1,""))</f>
        <v/>
      </c>
    </row>
    <row r="226">
      <c r="A226" s="116" t="n"/>
      <c r="B226" s="117" t="n"/>
      <c r="C226" s="114">
        <f>IF(OR(B226="",B225=""),"",B226/B225-1)</f>
        <v/>
      </c>
      <c r="D226" s="114">
        <f>IF(B226="","",IFERROR(B226/INDEX($B$2:$B$400,MATCH(DATE(YEAR(A226)-1,12,1),$A$2:$A$400,0))-1,""))</f>
        <v/>
      </c>
      <c r="E226" s="114">
        <f>IF(B226="","",IFERROR(B226/INDEX($B$2:$B$400,MATCH(DATE(YEAR(A226)-1,MONTH(A226),1),$A$2:$A$400,0))-1,""))</f>
        <v/>
      </c>
    </row>
    <row r="227">
      <c r="A227" s="116" t="n"/>
      <c r="B227" s="117" t="n"/>
      <c r="C227" s="114">
        <f>IF(OR(B227="",B226=""),"",B227/B226-1)</f>
        <v/>
      </c>
      <c r="D227" s="114">
        <f>IF(B227="","",IFERROR(B227/INDEX($B$2:$B$400,MATCH(DATE(YEAR(A227)-1,12,1),$A$2:$A$400,0))-1,""))</f>
        <v/>
      </c>
      <c r="E227" s="114">
        <f>IF(B227="","",IFERROR(B227/INDEX($B$2:$B$400,MATCH(DATE(YEAR(A227)-1,MONTH(A227),1),$A$2:$A$400,0))-1,""))</f>
        <v/>
      </c>
    </row>
    <row r="228">
      <c r="A228" s="116" t="n"/>
      <c r="B228" s="117" t="n"/>
      <c r="C228" s="114">
        <f>IF(OR(B228="",B227=""),"",B228/B227-1)</f>
        <v/>
      </c>
      <c r="D228" s="114">
        <f>IF(B228="","",IFERROR(B228/INDEX($B$2:$B$400,MATCH(DATE(YEAR(A228)-1,12,1),$A$2:$A$400,0))-1,""))</f>
        <v/>
      </c>
      <c r="E228" s="114">
        <f>IF(B228="","",IFERROR(B228/INDEX($B$2:$B$400,MATCH(DATE(YEAR(A228)-1,MONTH(A228),1),$A$2:$A$400,0))-1,""))</f>
        <v/>
      </c>
    </row>
    <row r="229">
      <c r="A229" s="116" t="n"/>
      <c r="B229" s="117" t="n"/>
      <c r="C229" s="114">
        <f>IF(OR(B229="",B228=""),"",B229/B228-1)</f>
        <v/>
      </c>
      <c r="D229" s="114">
        <f>IF(B229="","",IFERROR(B229/INDEX($B$2:$B$400,MATCH(DATE(YEAR(A229)-1,12,1),$A$2:$A$400,0))-1,""))</f>
        <v/>
      </c>
      <c r="E229" s="114">
        <f>IF(B229="","",IFERROR(B229/INDEX($B$2:$B$400,MATCH(DATE(YEAR(A229)-1,MONTH(A229),1),$A$2:$A$400,0))-1,""))</f>
        <v/>
      </c>
    </row>
    <row r="230">
      <c r="A230" s="116" t="n"/>
      <c r="B230" s="117" t="n"/>
      <c r="C230" s="114">
        <f>IF(OR(B230="",B229=""),"",B230/B229-1)</f>
        <v/>
      </c>
      <c r="D230" s="114">
        <f>IF(B230="","",IFERROR(B230/INDEX($B$2:$B$400,MATCH(DATE(YEAR(A230)-1,12,1),$A$2:$A$400,0))-1,""))</f>
        <v/>
      </c>
      <c r="E230" s="114">
        <f>IF(B230="","",IFERROR(B230/INDEX($B$2:$B$400,MATCH(DATE(YEAR(A230)-1,MONTH(A230),1),$A$2:$A$400,0))-1,""))</f>
        <v/>
      </c>
    </row>
    <row r="231">
      <c r="A231" s="116" t="n"/>
      <c r="B231" s="117" t="n"/>
      <c r="C231" s="114">
        <f>IF(OR(B231="",B230=""),"",B231/B230-1)</f>
        <v/>
      </c>
      <c r="D231" s="114">
        <f>IF(B231="","",IFERROR(B231/INDEX($B$2:$B$400,MATCH(DATE(YEAR(A231)-1,12,1),$A$2:$A$400,0))-1,""))</f>
        <v/>
      </c>
      <c r="E231" s="114">
        <f>IF(B231="","",IFERROR(B231/INDEX($B$2:$B$400,MATCH(DATE(YEAR(A231)-1,MONTH(A231),1),$A$2:$A$400,0))-1,""))</f>
        <v/>
      </c>
    </row>
    <row r="232">
      <c r="A232" s="116" t="n"/>
      <c r="B232" s="117" t="n"/>
      <c r="C232" s="114">
        <f>IF(OR(B232="",B231=""),"",B232/B231-1)</f>
        <v/>
      </c>
      <c r="D232" s="114">
        <f>IF(B232="","",IFERROR(B232/INDEX($B$2:$B$400,MATCH(DATE(YEAR(A232)-1,12,1),$A$2:$A$400,0))-1,""))</f>
        <v/>
      </c>
      <c r="E232" s="114">
        <f>IF(B232="","",IFERROR(B232/INDEX($B$2:$B$400,MATCH(DATE(YEAR(A232)-1,MONTH(A232),1),$A$2:$A$400,0))-1,""))</f>
        <v/>
      </c>
    </row>
    <row r="233">
      <c r="A233" s="116" t="n"/>
      <c r="B233" s="117" t="n"/>
      <c r="C233" s="114">
        <f>IF(OR(B233="",B232=""),"",B233/B232-1)</f>
        <v/>
      </c>
      <c r="D233" s="114">
        <f>IF(B233="","",IFERROR(B233/INDEX($B$2:$B$400,MATCH(DATE(YEAR(A233)-1,12,1),$A$2:$A$400,0))-1,""))</f>
        <v/>
      </c>
      <c r="E233" s="114">
        <f>IF(B233="","",IFERROR(B233/INDEX($B$2:$B$400,MATCH(DATE(YEAR(A233)-1,MONTH(A233),1),$A$2:$A$400,0))-1,""))</f>
        <v/>
      </c>
    </row>
    <row r="234">
      <c r="A234" s="116" t="n"/>
      <c r="B234" s="117" t="n"/>
      <c r="C234" s="114">
        <f>IF(OR(B234="",B233=""),"",B234/B233-1)</f>
        <v/>
      </c>
      <c r="D234" s="114">
        <f>IF(B234="","",IFERROR(B234/INDEX($B$2:$B$400,MATCH(DATE(YEAR(A234)-1,12,1),$A$2:$A$400,0))-1,""))</f>
        <v/>
      </c>
      <c r="E234" s="114">
        <f>IF(B234="","",IFERROR(B234/INDEX($B$2:$B$400,MATCH(DATE(YEAR(A234)-1,MONTH(A234),1),$A$2:$A$400,0))-1,""))</f>
        <v/>
      </c>
    </row>
    <row r="235">
      <c r="A235" s="116" t="n"/>
      <c r="B235" s="117" t="n"/>
      <c r="C235" s="114">
        <f>IF(OR(B235="",B234=""),"",B235/B234-1)</f>
        <v/>
      </c>
      <c r="D235" s="114">
        <f>IF(B235="","",IFERROR(B235/INDEX($B$2:$B$400,MATCH(DATE(YEAR(A235)-1,12,1),$A$2:$A$400,0))-1,""))</f>
        <v/>
      </c>
      <c r="E235" s="114">
        <f>IF(B235="","",IFERROR(B235/INDEX($B$2:$B$400,MATCH(DATE(YEAR(A235)-1,MONTH(A235),1),$A$2:$A$400,0))-1,""))</f>
        <v/>
      </c>
    </row>
    <row r="236">
      <c r="A236" s="116" t="n"/>
      <c r="B236" s="117" t="n"/>
      <c r="C236" s="114">
        <f>IF(OR(B236="",B235=""),"",B236/B235-1)</f>
        <v/>
      </c>
      <c r="D236" s="114">
        <f>IF(B236="","",IFERROR(B236/INDEX($B$2:$B$400,MATCH(DATE(YEAR(A236)-1,12,1),$A$2:$A$400,0))-1,""))</f>
        <v/>
      </c>
      <c r="E236" s="114">
        <f>IF(B236="","",IFERROR(B236/INDEX($B$2:$B$400,MATCH(DATE(YEAR(A236)-1,MONTH(A236),1),$A$2:$A$400,0))-1,""))</f>
        <v/>
      </c>
    </row>
    <row r="237">
      <c r="A237" s="116" t="n"/>
      <c r="B237" s="117" t="n"/>
      <c r="C237" s="114">
        <f>IF(OR(B237="",B236=""),"",B237/B236-1)</f>
        <v/>
      </c>
      <c r="D237" s="114">
        <f>IF(B237="","",IFERROR(B237/INDEX($B$2:$B$400,MATCH(DATE(YEAR(A237)-1,12,1),$A$2:$A$400,0))-1,""))</f>
        <v/>
      </c>
      <c r="E237" s="114">
        <f>IF(B237="","",IFERROR(B237/INDEX($B$2:$B$400,MATCH(DATE(YEAR(A237)-1,MONTH(A237),1),$A$2:$A$400,0))-1,""))</f>
        <v/>
      </c>
    </row>
    <row r="238">
      <c r="A238" s="116" t="n"/>
      <c r="B238" s="117" t="n"/>
      <c r="C238" s="114">
        <f>IF(OR(B238="",B237=""),"",B238/B237-1)</f>
        <v/>
      </c>
      <c r="D238" s="114">
        <f>IF(B238="","",IFERROR(B238/INDEX($B$2:$B$400,MATCH(DATE(YEAR(A238)-1,12,1),$A$2:$A$400,0))-1,""))</f>
        <v/>
      </c>
      <c r="E238" s="114">
        <f>IF(B238="","",IFERROR(B238/INDEX($B$2:$B$400,MATCH(DATE(YEAR(A238)-1,MONTH(A238),1),$A$2:$A$400,0))-1,""))</f>
        <v/>
      </c>
    </row>
    <row r="239">
      <c r="A239" s="116" t="n"/>
      <c r="B239" s="117" t="n"/>
      <c r="C239" s="114">
        <f>IF(OR(B239="",B238=""),"",B239/B238-1)</f>
        <v/>
      </c>
      <c r="D239" s="114">
        <f>IF(B239="","",IFERROR(B239/INDEX($B$2:$B$400,MATCH(DATE(YEAR(A239)-1,12,1),$A$2:$A$400,0))-1,""))</f>
        <v/>
      </c>
      <c r="E239" s="114">
        <f>IF(B239="","",IFERROR(B239/INDEX($B$2:$B$400,MATCH(DATE(YEAR(A239)-1,MONTH(A239),1),$A$2:$A$400,0))-1,""))</f>
        <v/>
      </c>
    </row>
    <row r="240">
      <c r="A240" s="116" t="n"/>
      <c r="B240" s="117" t="n"/>
      <c r="C240" s="114">
        <f>IF(OR(B240="",B239=""),"",B240/B239-1)</f>
        <v/>
      </c>
      <c r="D240" s="114">
        <f>IF(B240="","",IFERROR(B240/INDEX($B$2:$B$400,MATCH(DATE(YEAR(A240)-1,12,1),$A$2:$A$400,0))-1,""))</f>
        <v/>
      </c>
      <c r="E240" s="114">
        <f>IF(B240="","",IFERROR(B240/INDEX($B$2:$B$400,MATCH(DATE(YEAR(A240)-1,MONTH(A240),1),$A$2:$A$400,0))-1,""))</f>
        <v/>
      </c>
    </row>
    <row r="241">
      <c r="A241" s="116" t="n"/>
      <c r="B241" s="117" t="n"/>
      <c r="C241" s="114">
        <f>IF(OR(B241="",B240=""),"",B241/B240-1)</f>
        <v/>
      </c>
      <c r="D241" s="114">
        <f>IF(B241="","",IFERROR(B241/INDEX($B$2:$B$400,MATCH(DATE(YEAR(A241)-1,12,1),$A$2:$A$400,0))-1,""))</f>
        <v/>
      </c>
      <c r="E241" s="114">
        <f>IF(B241="","",IFERROR(B241/INDEX($B$2:$B$400,MATCH(DATE(YEAR(A241)-1,MONTH(A241),1),$A$2:$A$400,0))-1,""))</f>
        <v/>
      </c>
    </row>
    <row r="242">
      <c r="A242" s="116" t="n"/>
      <c r="B242" s="117" t="n"/>
      <c r="C242" s="114">
        <f>IF(OR(B242="",B241=""),"",B242/B241-1)</f>
        <v/>
      </c>
      <c r="D242" s="114">
        <f>IF(B242="","",IFERROR(B242/INDEX($B$2:$B$400,MATCH(DATE(YEAR(A242)-1,12,1),$A$2:$A$400,0))-1,""))</f>
        <v/>
      </c>
      <c r="E242" s="114">
        <f>IF(B242="","",IFERROR(B242/INDEX($B$2:$B$400,MATCH(DATE(YEAR(A242)-1,MONTH(A242),1),$A$2:$A$400,0))-1,""))</f>
        <v/>
      </c>
    </row>
    <row r="243">
      <c r="A243" s="116" t="n"/>
      <c r="B243" s="117" t="n"/>
      <c r="C243" s="114">
        <f>IF(OR(B243="",B242=""),"",B243/B242-1)</f>
        <v/>
      </c>
      <c r="D243" s="114">
        <f>IF(B243="","",IFERROR(B243/INDEX($B$2:$B$400,MATCH(DATE(YEAR(A243)-1,12,1),$A$2:$A$400,0))-1,""))</f>
        <v/>
      </c>
      <c r="E243" s="114">
        <f>IF(B243="","",IFERROR(B243/INDEX($B$2:$B$400,MATCH(DATE(YEAR(A243)-1,MONTH(A243),1),$A$2:$A$400,0))-1,""))</f>
        <v/>
      </c>
    </row>
    <row r="244">
      <c r="A244" s="116" t="n"/>
      <c r="B244" s="117" t="n"/>
      <c r="C244" s="114">
        <f>IF(OR(B244="",B243=""),"",B244/B243-1)</f>
        <v/>
      </c>
      <c r="D244" s="114">
        <f>IF(B244="","",IFERROR(B244/INDEX($B$2:$B$400,MATCH(DATE(YEAR(A244)-1,12,1),$A$2:$A$400,0))-1,""))</f>
        <v/>
      </c>
      <c r="E244" s="114">
        <f>IF(B244="","",IFERROR(B244/INDEX($B$2:$B$400,MATCH(DATE(YEAR(A244)-1,MONTH(A244),1),$A$2:$A$400,0))-1,""))</f>
        <v/>
      </c>
    </row>
    <row r="245">
      <c r="A245" s="116" t="n"/>
      <c r="B245" s="117" t="n"/>
      <c r="C245" s="114">
        <f>IF(OR(B245="",B244=""),"",B245/B244-1)</f>
        <v/>
      </c>
      <c r="D245" s="114">
        <f>IF(B245="","",IFERROR(B245/INDEX($B$2:$B$400,MATCH(DATE(YEAR(A245)-1,12,1),$A$2:$A$400,0))-1,""))</f>
        <v/>
      </c>
      <c r="E245" s="114">
        <f>IF(B245="","",IFERROR(B245/INDEX($B$2:$B$400,MATCH(DATE(YEAR(A245)-1,MONTH(A245),1),$A$2:$A$400,0))-1,""))</f>
        <v/>
      </c>
    </row>
    <row r="246">
      <c r="A246" s="116" t="n"/>
      <c r="B246" s="117" t="n"/>
      <c r="C246" s="114">
        <f>IF(OR(B246="",B245=""),"",B246/B245-1)</f>
        <v/>
      </c>
      <c r="D246" s="114">
        <f>IF(B246="","",IFERROR(B246/INDEX($B$2:$B$400,MATCH(DATE(YEAR(A246)-1,12,1),$A$2:$A$400,0))-1,""))</f>
        <v/>
      </c>
      <c r="E246" s="114">
        <f>IF(B246="","",IFERROR(B246/INDEX($B$2:$B$400,MATCH(DATE(YEAR(A246)-1,MONTH(A246),1),$A$2:$A$400,0))-1,""))</f>
        <v/>
      </c>
    </row>
    <row r="247">
      <c r="A247" s="116" t="n"/>
      <c r="B247" s="117" t="n"/>
      <c r="C247" s="114">
        <f>IF(OR(B247="",B246=""),"",B247/B246-1)</f>
        <v/>
      </c>
      <c r="D247" s="114">
        <f>IF(B247="","",IFERROR(B247/INDEX($B$2:$B$400,MATCH(DATE(YEAR(A247)-1,12,1),$A$2:$A$400,0))-1,""))</f>
        <v/>
      </c>
      <c r="E247" s="114">
        <f>IF(B247="","",IFERROR(B247/INDEX($B$2:$B$400,MATCH(DATE(YEAR(A247)-1,MONTH(A247),1),$A$2:$A$400,0))-1,""))</f>
        <v/>
      </c>
    </row>
    <row r="248">
      <c r="A248" s="116" t="n"/>
      <c r="B248" s="117" t="n"/>
      <c r="C248" s="114">
        <f>IF(OR(B248="",B247=""),"",B248/B247-1)</f>
        <v/>
      </c>
      <c r="D248" s="114">
        <f>IF(B248="","",IFERROR(B248/INDEX($B$2:$B$400,MATCH(DATE(YEAR(A248)-1,12,1),$A$2:$A$400,0))-1,""))</f>
        <v/>
      </c>
      <c r="E248" s="114">
        <f>IF(B248="","",IFERROR(B248/INDEX($B$2:$B$400,MATCH(DATE(YEAR(A248)-1,MONTH(A248),1),$A$2:$A$400,0))-1,""))</f>
        <v/>
      </c>
    </row>
    <row r="249">
      <c r="A249" s="116" t="n"/>
      <c r="B249" s="117" t="n"/>
      <c r="C249" s="114">
        <f>IF(OR(B249="",B248=""),"",B249/B248-1)</f>
        <v/>
      </c>
      <c r="D249" s="114">
        <f>IF(B249="","",IFERROR(B249/INDEX($B$2:$B$400,MATCH(DATE(YEAR(A249)-1,12,1),$A$2:$A$400,0))-1,""))</f>
        <v/>
      </c>
      <c r="E249" s="114">
        <f>IF(B249="","",IFERROR(B249/INDEX($B$2:$B$400,MATCH(DATE(YEAR(A249)-1,MONTH(A249),1),$A$2:$A$400,0))-1,""))</f>
        <v/>
      </c>
    </row>
    <row r="250">
      <c r="A250" s="116" t="n"/>
      <c r="B250" s="117" t="n"/>
      <c r="C250" s="114">
        <f>IF(OR(B250="",B249=""),"",B250/B249-1)</f>
        <v/>
      </c>
      <c r="D250" s="114">
        <f>IF(B250="","",IFERROR(B250/INDEX($B$2:$B$400,MATCH(DATE(YEAR(A250)-1,12,1),$A$2:$A$400,0))-1,""))</f>
        <v/>
      </c>
      <c r="E250" s="114">
        <f>IF(B250="","",IFERROR(B250/INDEX($B$2:$B$400,MATCH(DATE(YEAR(A250)-1,MONTH(A250),1),$A$2:$A$400,0))-1,""))</f>
        <v/>
      </c>
    </row>
    <row r="251">
      <c r="A251" s="116" t="n"/>
      <c r="B251" s="117" t="n"/>
      <c r="C251" s="114">
        <f>IF(OR(B251="",B250=""),"",B251/B250-1)</f>
        <v/>
      </c>
      <c r="D251" s="114">
        <f>IF(B251="","",IFERROR(B251/INDEX($B$2:$B$400,MATCH(DATE(YEAR(A251)-1,12,1),$A$2:$A$400,0))-1,""))</f>
        <v/>
      </c>
      <c r="E251" s="114">
        <f>IF(B251="","",IFERROR(B251/INDEX($B$2:$B$400,MATCH(DATE(YEAR(A251)-1,MONTH(A251),1),$A$2:$A$400,0))-1,""))</f>
        <v/>
      </c>
    </row>
    <row r="252">
      <c r="A252" s="116" t="n"/>
      <c r="B252" s="117" t="n"/>
      <c r="C252" s="114">
        <f>IF(OR(B252="",B251=""),"",B252/B251-1)</f>
        <v/>
      </c>
      <c r="D252" s="114">
        <f>IF(B252="","",IFERROR(B252/INDEX($B$2:$B$400,MATCH(DATE(YEAR(A252)-1,12,1),$A$2:$A$400,0))-1,""))</f>
        <v/>
      </c>
      <c r="E252" s="114">
        <f>IF(B252="","",IFERROR(B252/INDEX($B$2:$B$400,MATCH(DATE(YEAR(A252)-1,MONTH(A252),1),$A$2:$A$400,0))-1,""))</f>
        <v/>
      </c>
    </row>
    <row r="253">
      <c r="A253" s="116" t="n"/>
      <c r="B253" s="117" t="n"/>
      <c r="C253" s="114">
        <f>IF(OR(B253="",B252=""),"",B253/B252-1)</f>
        <v/>
      </c>
      <c r="D253" s="114">
        <f>IF(B253="","",IFERROR(B253/INDEX($B$2:$B$400,MATCH(DATE(YEAR(A253)-1,12,1),$A$2:$A$400,0))-1,""))</f>
        <v/>
      </c>
      <c r="E253" s="114">
        <f>IF(B253="","",IFERROR(B253/INDEX($B$2:$B$400,MATCH(DATE(YEAR(A253)-1,MONTH(A253),1),$A$2:$A$400,0))-1,""))</f>
        <v/>
      </c>
    </row>
    <row r="254">
      <c r="A254" s="116" t="n"/>
      <c r="B254" s="117" t="n"/>
      <c r="C254" s="114">
        <f>IF(OR(B254="",B253=""),"",B254/B253-1)</f>
        <v/>
      </c>
      <c r="D254" s="114">
        <f>IF(B254="","",IFERROR(B254/INDEX($B$2:$B$400,MATCH(DATE(YEAR(A254)-1,12,1),$A$2:$A$400,0))-1,""))</f>
        <v/>
      </c>
      <c r="E254" s="114">
        <f>IF(B254="","",IFERROR(B254/INDEX($B$2:$B$400,MATCH(DATE(YEAR(A254)-1,MONTH(A254),1),$A$2:$A$400,0))-1,""))</f>
        <v/>
      </c>
    </row>
    <row r="255">
      <c r="A255" s="116" t="n"/>
      <c r="B255" s="117" t="n"/>
      <c r="C255" s="114">
        <f>IF(OR(B255="",B254=""),"",B255/B254-1)</f>
        <v/>
      </c>
      <c r="D255" s="114">
        <f>IF(B255="","",IFERROR(B255/INDEX($B$2:$B$400,MATCH(DATE(YEAR(A255)-1,12,1),$A$2:$A$400,0))-1,""))</f>
        <v/>
      </c>
      <c r="E255" s="114">
        <f>IF(B255="","",IFERROR(B255/INDEX($B$2:$B$400,MATCH(DATE(YEAR(A255)-1,MONTH(A255),1),$A$2:$A$400,0))-1,""))</f>
        <v/>
      </c>
    </row>
    <row r="256">
      <c r="A256" s="116" t="n"/>
      <c r="B256" s="117" t="n"/>
      <c r="C256" s="114">
        <f>IF(OR(B256="",B255=""),"",B256/B255-1)</f>
        <v/>
      </c>
      <c r="D256" s="114">
        <f>IF(B256="","",IFERROR(B256/INDEX($B$2:$B$400,MATCH(DATE(YEAR(A256)-1,12,1),$A$2:$A$400,0))-1,""))</f>
        <v/>
      </c>
      <c r="E256" s="114">
        <f>IF(B256="","",IFERROR(B256/INDEX($B$2:$B$400,MATCH(DATE(YEAR(A256)-1,MONTH(A256),1),$A$2:$A$400,0))-1,""))</f>
        <v/>
      </c>
    </row>
    <row r="257">
      <c r="A257" s="116" t="n"/>
      <c r="B257" s="117" t="n"/>
      <c r="C257" s="114">
        <f>IF(OR(B257="",B256=""),"",B257/B256-1)</f>
        <v/>
      </c>
      <c r="D257" s="114">
        <f>IF(B257="","",IFERROR(B257/INDEX($B$2:$B$400,MATCH(DATE(YEAR(A257)-1,12,1),$A$2:$A$400,0))-1,""))</f>
        <v/>
      </c>
      <c r="E257" s="114">
        <f>IF(B257="","",IFERROR(B257/INDEX($B$2:$B$400,MATCH(DATE(YEAR(A257)-1,MONTH(A257),1),$A$2:$A$400,0))-1,""))</f>
        <v/>
      </c>
    </row>
    <row r="258">
      <c r="A258" s="116" t="n"/>
      <c r="B258" s="117" t="n"/>
      <c r="C258" s="114">
        <f>IF(OR(B258="",B257=""),"",B258/B257-1)</f>
        <v/>
      </c>
      <c r="D258" s="114">
        <f>IF(B258="","",IFERROR(B258/INDEX($B$2:$B$400,MATCH(DATE(YEAR(A258)-1,12,1),$A$2:$A$400,0))-1,""))</f>
        <v/>
      </c>
      <c r="E258" s="114">
        <f>IF(B258="","",IFERROR(B258/INDEX($B$2:$B$400,MATCH(DATE(YEAR(A258)-1,MONTH(A258),1),$A$2:$A$400,0))-1,""))</f>
        <v/>
      </c>
    </row>
    <row r="259">
      <c r="A259" s="116" t="n"/>
      <c r="B259" s="117" t="n"/>
      <c r="C259" s="114">
        <f>IF(OR(B259="",B258=""),"",B259/B258-1)</f>
        <v/>
      </c>
      <c r="D259" s="114">
        <f>IF(B259="","",IFERROR(B259/INDEX($B$2:$B$400,MATCH(DATE(YEAR(A259)-1,12,1),$A$2:$A$400,0))-1,""))</f>
        <v/>
      </c>
      <c r="E259" s="114">
        <f>IF(B259="","",IFERROR(B259/INDEX($B$2:$B$400,MATCH(DATE(YEAR(A259)-1,MONTH(A259),1),$A$2:$A$400,0))-1,""))</f>
        <v/>
      </c>
    </row>
    <row r="260">
      <c r="A260" s="116" t="n"/>
      <c r="B260" s="117" t="n"/>
      <c r="C260" s="114">
        <f>IF(OR(B260="",B259=""),"",B260/B259-1)</f>
        <v/>
      </c>
      <c r="D260" s="114">
        <f>IF(B260="","",IFERROR(B260/INDEX($B$2:$B$400,MATCH(DATE(YEAR(A260)-1,12,1),$A$2:$A$400,0))-1,""))</f>
        <v/>
      </c>
      <c r="E260" s="114">
        <f>IF(B260="","",IFERROR(B260/INDEX($B$2:$B$400,MATCH(DATE(YEAR(A260)-1,MONTH(A260),1),$A$2:$A$400,0))-1,""))</f>
        <v/>
      </c>
    </row>
    <row r="261">
      <c r="A261" s="116" t="n"/>
      <c r="B261" s="117" t="n"/>
      <c r="C261" s="114">
        <f>IF(OR(B261="",B260=""),"",B261/B260-1)</f>
        <v/>
      </c>
      <c r="D261" s="114">
        <f>IF(B261="","",IFERROR(B261/INDEX($B$2:$B$400,MATCH(DATE(YEAR(A261)-1,12,1),$A$2:$A$400,0))-1,""))</f>
        <v/>
      </c>
      <c r="E261" s="114">
        <f>IF(B261="","",IFERROR(B261/INDEX($B$2:$B$400,MATCH(DATE(YEAR(A261)-1,MONTH(A261),1),$A$2:$A$400,0))-1,""))</f>
        <v/>
      </c>
    </row>
    <row r="262">
      <c r="A262" s="116" t="n"/>
      <c r="B262" s="117" t="n"/>
      <c r="C262" s="114">
        <f>IF(OR(B262="",B261=""),"",B262/B261-1)</f>
        <v/>
      </c>
      <c r="D262" s="114">
        <f>IF(B262="","",IFERROR(B262/INDEX($B$2:$B$400,MATCH(DATE(YEAR(A262)-1,12,1),$A$2:$A$400,0))-1,""))</f>
        <v/>
      </c>
      <c r="E262" s="114">
        <f>IF(B262="","",IFERROR(B262/INDEX($B$2:$B$400,MATCH(DATE(YEAR(A262)-1,MONTH(A262),1),$A$2:$A$400,0))-1,""))</f>
        <v/>
      </c>
    </row>
    <row r="263">
      <c r="A263" s="116" t="n"/>
      <c r="B263" s="117" t="n"/>
      <c r="C263" s="114">
        <f>IF(OR(B263="",B262=""),"",B263/B262-1)</f>
        <v/>
      </c>
      <c r="D263" s="114">
        <f>IF(B263="","",IFERROR(B263/INDEX($B$2:$B$400,MATCH(DATE(YEAR(A263)-1,12,1),$A$2:$A$400,0))-1,""))</f>
        <v/>
      </c>
      <c r="E263" s="114">
        <f>IF(B263="","",IFERROR(B263/INDEX($B$2:$B$400,MATCH(DATE(YEAR(A263)-1,MONTH(A263),1),$A$2:$A$400,0))-1,""))</f>
        <v/>
      </c>
    </row>
    <row r="264">
      <c r="A264" s="116" t="n"/>
      <c r="B264" s="117" t="n"/>
      <c r="C264" s="114">
        <f>IF(OR(B264="",B263=""),"",B264/B263-1)</f>
        <v/>
      </c>
      <c r="D264" s="114">
        <f>IF(B264="","",IFERROR(B264/INDEX($B$2:$B$400,MATCH(DATE(YEAR(A264)-1,12,1),$A$2:$A$400,0))-1,""))</f>
        <v/>
      </c>
      <c r="E264" s="114">
        <f>IF(B264="","",IFERROR(B264/INDEX($B$2:$B$400,MATCH(DATE(YEAR(A264)-1,MONTH(A264),1),$A$2:$A$400,0))-1,""))</f>
        <v/>
      </c>
    </row>
    <row r="265">
      <c r="A265" s="116" t="n"/>
      <c r="B265" s="117" t="n"/>
      <c r="C265" s="114">
        <f>IF(OR(B265="",B264=""),"",B265/B264-1)</f>
        <v/>
      </c>
      <c r="D265" s="114">
        <f>IF(B265="","",IFERROR(B265/INDEX($B$2:$B$400,MATCH(DATE(YEAR(A265)-1,12,1),$A$2:$A$400,0))-1,""))</f>
        <v/>
      </c>
      <c r="E265" s="114">
        <f>IF(B265="","",IFERROR(B265/INDEX($B$2:$B$400,MATCH(DATE(YEAR(A265)-1,MONTH(A265),1),$A$2:$A$400,0))-1,""))</f>
        <v/>
      </c>
    </row>
    <row r="266">
      <c r="A266" s="116" t="n"/>
      <c r="B266" s="117" t="n"/>
      <c r="C266" s="114">
        <f>IF(OR(B266="",B265=""),"",B266/B265-1)</f>
        <v/>
      </c>
      <c r="D266" s="114">
        <f>IF(B266="","",IFERROR(B266/INDEX($B$2:$B$400,MATCH(DATE(YEAR(A266)-1,12,1),$A$2:$A$400,0))-1,""))</f>
        <v/>
      </c>
      <c r="E266" s="114">
        <f>IF(B266="","",IFERROR(B266/INDEX($B$2:$B$400,MATCH(DATE(YEAR(A266)-1,MONTH(A266),1),$A$2:$A$400,0))-1,""))</f>
        <v/>
      </c>
    </row>
    <row r="267">
      <c r="A267" s="116" t="n"/>
      <c r="B267" s="117" t="n"/>
      <c r="C267" s="114">
        <f>IF(OR(B267="",B266=""),"",B267/B266-1)</f>
        <v/>
      </c>
      <c r="D267" s="114">
        <f>IF(B267="","",IFERROR(B267/INDEX($B$2:$B$400,MATCH(DATE(YEAR(A267)-1,12,1),$A$2:$A$400,0))-1,""))</f>
        <v/>
      </c>
      <c r="E267" s="114">
        <f>IF(B267="","",IFERROR(B267/INDEX($B$2:$B$400,MATCH(DATE(YEAR(A267)-1,MONTH(A267),1),$A$2:$A$400,0))-1,""))</f>
        <v/>
      </c>
    </row>
    <row r="268">
      <c r="A268" s="116" t="n"/>
      <c r="B268" s="117" t="n"/>
      <c r="C268" s="114">
        <f>IF(OR(B268="",B267=""),"",B268/B267-1)</f>
        <v/>
      </c>
      <c r="D268" s="114">
        <f>IF(B268="","",IFERROR(B268/INDEX($B$2:$B$400,MATCH(DATE(YEAR(A268)-1,12,1),$A$2:$A$400,0))-1,""))</f>
        <v/>
      </c>
      <c r="E268" s="114">
        <f>IF(B268="","",IFERROR(B268/INDEX($B$2:$B$400,MATCH(DATE(YEAR(A268)-1,MONTH(A268),1),$A$2:$A$400,0))-1,""))</f>
        <v/>
      </c>
    </row>
    <row r="269">
      <c r="A269" s="116" t="n"/>
      <c r="B269" s="117" t="n"/>
      <c r="C269" s="114">
        <f>IF(OR(B269="",B268=""),"",B269/B268-1)</f>
        <v/>
      </c>
      <c r="D269" s="114">
        <f>IF(B269="","",IFERROR(B269/INDEX($B$2:$B$400,MATCH(DATE(YEAR(A269)-1,12,1),$A$2:$A$400,0))-1,""))</f>
        <v/>
      </c>
      <c r="E269" s="114">
        <f>IF(B269="","",IFERROR(B269/INDEX($B$2:$B$400,MATCH(DATE(YEAR(A269)-1,MONTH(A269),1),$A$2:$A$400,0))-1,""))</f>
        <v/>
      </c>
    </row>
    <row r="270">
      <c r="A270" s="116" t="n"/>
      <c r="B270" s="117" t="n"/>
      <c r="C270" s="114">
        <f>IF(OR(B270="",B269=""),"",B270/B269-1)</f>
        <v/>
      </c>
      <c r="D270" s="114">
        <f>IF(B270="","",IFERROR(B270/INDEX($B$2:$B$400,MATCH(DATE(YEAR(A270)-1,12,1),$A$2:$A$400,0))-1,""))</f>
        <v/>
      </c>
      <c r="E270" s="114">
        <f>IF(B270="","",IFERROR(B270/INDEX($B$2:$B$400,MATCH(DATE(YEAR(A270)-1,MONTH(A270),1),$A$2:$A$400,0))-1,""))</f>
        <v/>
      </c>
    </row>
    <row r="271">
      <c r="A271" s="116" t="n"/>
      <c r="B271" s="117" t="n"/>
      <c r="C271" s="114">
        <f>IF(OR(B271="",B270=""),"",B271/B270-1)</f>
        <v/>
      </c>
      <c r="D271" s="114">
        <f>IF(B271="","",IFERROR(B271/INDEX($B$2:$B$400,MATCH(DATE(YEAR(A271)-1,12,1),$A$2:$A$400,0))-1,""))</f>
        <v/>
      </c>
      <c r="E271" s="114">
        <f>IF(B271="","",IFERROR(B271/INDEX($B$2:$B$400,MATCH(DATE(YEAR(A271)-1,MONTH(A271),1),$A$2:$A$400,0))-1,""))</f>
        <v/>
      </c>
    </row>
    <row r="272">
      <c r="A272" s="116" t="n"/>
      <c r="B272" s="117" t="n"/>
      <c r="C272" s="114">
        <f>IF(OR(B272="",B271=""),"",B272/B271-1)</f>
        <v/>
      </c>
      <c r="D272" s="114">
        <f>IF(B272="","",IFERROR(B272/INDEX($B$2:$B$400,MATCH(DATE(YEAR(A272)-1,12,1),$A$2:$A$400,0))-1,""))</f>
        <v/>
      </c>
      <c r="E272" s="114">
        <f>IF(B272="","",IFERROR(B272/INDEX($B$2:$B$400,MATCH(DATE(YEAR(A272)-1,MONTH(A272),1),$A$2:$A$400,0))-1,""))</f>
        <v/>
      </c>
    </row>
    <row r="273">
      <c r="A273" s="116" t="n"/>
      <c r="B273" s="117" t="n"/>
      <c r="C273" s="114">
        <f>IF(OR(B273="",B272=""),"",B273/B272-1)</f>
        <v/>
      </c>
      <c r="D273" s="114">
        <f>IF(B273="","",IFERROR(B273/INDEX($B$2:$B$400,MATCH(DATE(YEAR(A273)-1,12,1),$A$2:$A$400,0))-1,""))</f>
        <v/>
      </c>
      <c r="E273" s="114">
        <f>IF(B273="","",IFERROR(B273/INDEX($B$2:$B$400,MATCH(DATE(YEAR(A273)-1,MONTH(A273),1),$A$2:$A$400,0))-1,""))</f>
        <v/>
      </c>
    </row>
    <row r="274">
      <c r="A274" s="116" t="n"/>
      <c r="B274" s="117" t="n"/>
      <c r="C274" s="114">
        <f>IF(OR(B274="",B273=""),"",B274/B273-1)</f>
        <v/>
      </c>
      <c r="D274" s="114">
        <f>IF(B274="","",IFERROR(B274/INDEX($B$2:$B$400,MATCH(DATE(YEAR(A274)-1,12,1),$A$2:$A$400,0))-1,""))</f>
        <v/>
      </c>
      <c r="E274" s="114">
        <f>IF(B274="","",IFERROR(B274/INDEX($B$2:$B$400,MATCH(DATE(YEAR(A274)-1,MONTH(A274),1),$A$2:$A$400,0))-1,""))</f>
        <v/>
      </c>
    </row>
    <row r="275">
      <c r="A275" s="116" t="n"/>
      <c r="B275" s="117" t="n"/>
      <c r="C275" s="114">
        <f>IF(OR(B275="",B274=""),"",B275/B274-1)</f>
        <v/>
      </c>
      <c r="D275" s="114">
        <f>IF(B275="","",IFERROR(B275/INDEX($B$2:$B$400,MATCH(DATE(YEAR(A275)-1,12,1),$A$2:$A$400,0))-1,""))</f>
        <v/>
      </c>
      <c r="E275" s="114">
        <f>IF(B275="","",IFERROR(B275/INDEX($B$2:$B$400,MATCH(DATE(YEAR(A275)-1,MONTH(A275),1),$A$2:$A$400,0))-1,""))</f>
        <v/>
      </c>
    </row>
    <row r="276">
      <c r="A276" s="116" t="n"/>
      <c r="B276" s="117" t="n"/>
      <c r="C276" s="114">
        <f>IF(OR(B276="",B275=""),"",B276/B275-1)</f>
        <v/>
      </c>
      <c r="D276" s="114">
        <f>IF(B276="","",IFERROR(B276/INDEX($B$2:$B$400,MATCH(DATE(YEAR(A276)-1,12,1),$A$2:$A$400,0))-1,""))</f>
        <v/>
      </c>
      <c r="E276" s="114">
        <f>IF(B276="","",IFERROR(B276/INDEX($B$2:$B$400,MATCH(DATE(YEAR(A276)-1,MONTH(A276),1),$A$2:$A$400,0))-1,""))</f>
        <v/>
      </c>
    </row>
    <row r="277">
      <c r="A277" s="116" t="n"/>
      <c r="B277" s="117" t="n"/>
      <c r="C277" s="114">
        <f>IF(OR(B277="",B276=""),"",B277/B276-1)</f>
        <v/>
      </c>
      <c r="D277" s="114">
        <f>IF(B277="","",IFERROR(B277/INDEX($B$2:$B$400,MATCH(DATE(YEAR(A277)-1,12,1),$A$2:$A$400,0))-1,""))</f>
        <v/>
      </c>
      <c r="E277" s="114">
        <f>IF(B277="","",IFERROR(B277/INDEX($B$2:$B$400,MATCH(DATE(YEAR(A277)-1,MONTH(A277),1),$A$2:$A$400,0))-1,""))</f>
        <v/>
      </c>
    </row>
    <row r="278">
      <c r="A278" s="116" t="n"/>
      <c r="B278" s="117" t="n"/>
      <c r="C278" s="114">
        <f>IF(OR(B278="",B277=""),"",B278/B277-1)</f>
        <v/>
      </c>
      <c r="D278" s="114">
        <f>IF(B278="","",IFERROR(B278/INDEX($B$2:$B$400,MATCH(DATE(YEAR(A278)-1,12,1),$A$2:$A$400,0))-1,""))</f>
        <v/>
      </c>
      <c r="E278" s="114">
        <f>IF(B278="","",IFERROR(B278/INDEX($B$2:$B$400,MATCH(DATE(YEAR(A278)-1,MONTH(A278),1),$A$2:$A$400,0))-1,""))</f>
        <v/>
      </c>
    </row>
    <row r="279">
      <c r="A279" s="116" t="n"/>
      <c r="B279" s="117" t="n"/>
      <c r="C279" s="114">
        <f>IF(OR(B279="",B278=""),"",B279/B278-1)</f>
        <v/>
      </c>
      <c r="D279" s="114">
        <f>IF(B279="","",IFERROR(B279/INDEX($B$2:$B$400,MATCH(DATE(YEAR(A279)-1,12,1),$A$2:$A$400,0))-1,""))</f>
        <v/>
      </c>
      <c r="E279" s="114">
        <f>IF(B279="","",IFERROR(B279/INDEX($B$2:$B$400,MATCH(DATE(YEAR(A279)-1,MONTH(A279),1),$A$2:$A$400,0))-1,""))</f>
        <v/>
      </c>
    </row>
    <row r="280">
      <c r="A280" s="116" t="n"/>
      <c r="B280" s="117" t="n"/>
      <c r="C280" s="114">
        <f>IF(OR(B280="",B279=""),"",B280/B279-1)</f>
        <v/>
      </c>
      <c r="D280" s="114">
        <f>IF(B280="","",IFERROR(B280/INDEX($B$2:$B$400,MATCH(DATE(YEAR(A280)-1,12,1),$A$2:$A$400,0))-1,""))</f>
        <v/>
      </c>
      <c r="E280" s="114">
        <f>IF(B280="","",IFERROR(B280/INDEX($B$2:$B$400,MATCH(DATE(YEAR(A280)-1,MONTH(A280),1),$A$2:$A$400,0))-1,""))</f>
        <v/>
      </c>
    </row>
    <row r="281">
      <c r="A281" s="116" t="n"/>
      <c r="B281" s="117" t="n"/>
      <c r="C281" s="114">
        <f>IF(OR(B281="",B280=""),"",B281/B280-1)</f>
        <v/>
      </c>
      <c r="D281" s="114">
        <f>IF(B281="","",IFERROR(B281/INDEX($B$2:$B$400,MATCH(DATE(YEAR(A281)-1,12,1),$A$2:$A$400,0))-1,""))</f>
        <v/>
      </c>
      <c r="E281" s="114">
        <f>IF(B281="","",IFERROR(B281/INDEX($B$2:$B$400,MATCH(DATE(YEAR(A281)-1,MONTH(A281),1),$A$2:$A$400,0))-1,""))</f>
        <v/>
      </c>
    </row>
    <row r="282">
      <c r="A282" s="116" t="n"/>
      <c r="B282" s="117" t="n"/>
      <c r="C282" s="114">
        <f>IF(OR(B282="",B281=""),"",B282/B281-1)</f>
        <v/>
      </c>
      <c r="D282" s="114">
        <f>IF(B282="","",IFERROR(B282/INDEX($B$2:$B$400,MATCH(DATE(YEAR(A282)-1,12,1),$A$2:$A$400,0))-1,""))</f>
        <v/>
      </c>
      <c r="E282" s="114">
        <f>IF(B282="","",IFERROR(B282/INDEX($B$2:$B$400,MATCH(DATE(YEAR(A282)-1,MONTH(A282),1),$A$2:$A$400,0))-1,""))</f>
        <v/>
      </c>
    </row>
    <row r="283">
      <c r="A283" s="116" t="n"/>
      <c r="B283" s="117" t="n"/>
      <c r="C283" s="114">
        <f>IF(OR(B283="",B282=""),"",B283/B282-1)</f>
        <v/>
      </c>
      <c r="D283" s="114">
        <f>IF(B283="","",IFERROR(B283/INDEX($B$2:$B$400,MATCH(DATE(YEAR(A283)-1,12,1),$A$2:$A$400,0))-1,""))</f>
        <v/>
      </c>
      <c r="E283" s="114">
        <f>IF(B283="","",IFERROR(B283/INDEX($B$2:$B$400,MATCH(DATE(YEAR(A283)-1,MONTH(A283),1),$A$2:$A$400,0))-1,""))</f>
        <v/>
      </c>
    </row>
    <row r="284">
      <c r="A284" s="116" t="n"/>
      <c r="B284" s="117" t="n"/>
      <c r="C284" s="114">
        <f>IF(OR(B284="",B283=""),"",B284/B283-1)</f>
        <v/>
      </c>
      <c r="D284" s="114">
        <f>IF(B284="","",IFERROR(B284/INDEX($B$2:$B$400,MATCH(DATE(YEAR(A284)-1,12,1),$A$2:$A$400,0))-1,""))</f>
        <v/>
      </c>
      <c r="E284" s="114">
        <f>IF(B284="","",IFERROR(B284/INDEX($B$2:$B$400,MATCH(DATE(YEAR(A284)-1,MONTH(A284),1),$A$2:$A$400,0))-1,""))</f>
        <v/>
      </c>
    </row>
    <row r="285">
      <c r="A285" s="116" t="n"/>
      <c r="B285" s="117" t="n"/>
      <c r="C285" s="114">
        <f>IF(OR(B285="",B284=""),"",B285/B284-1)</f>
        <v/>
      </c>
      <c r="D285" s="114">
        <f>IF(B285="","",IFERROR(B285/INDEX($B$2:$B$400,MATCH(DATE(YEAR(A285)-1,12,1),$A$2:$A$400,0))-1,""))</f>
        <v/>
      </c>
      <c r="E285" s="114">
        <f>IF(B285="","",IFERROR(B285/INDEX($B$2:$B$400,MATCH(DATE(YEAR(A285)-1,MONTH(A285),1),$A$2:$A$400,0))-1,""))</f>
        <v/>
      </c>
    </row>
    <row r="286">
      <c r="A286" s="116" t="n"/>
      <c r="B286" s="117" t="n"/>
      <c r="C286" s="114">
        <f>IF(OR(B286="",B285=""),"",B286/B285-1)</f>
        <v/>
      </c>
      <c r="D286" s="114">
        <f>IF(B286="","",IFERROR(B286/INDEX($B$2:$B$400,MATCH(DATE(YEAR(A286)-1,12,1),$A$2:$A$400,0))-1,""))</f>
        <v/>
      </c>
      <c r="E286" s="114">
        <f>IF(B286="","",IFERROR(B286/INDEX($B$2:$B$400,MATCH(DATE(YEAR(A286)-1,MONTH(A286),1),$A$2:$A$400,0))-1,""))</f>
        <v/>
      </c>
    </row>
    <row r="287">
      <c r="A287" s="116" t="n"/>
      <c r="B287" s="117" t="n"/>
      <c r="C287" s="114">
        <f>IF(OR(B287="",B286=""),"",B287/B286-1)</f>
        <v/>
      </c>
      <c r="D287" s="114">
        <f>IF(B287="","",IFERROR(B287/INDEX($B$2:$B$400,MATCH(DATE(YEAR(A287)-1,12,1),$A$2:$A$400,0))-1,""))</f>
        <v/>
      </c>
      <c r="E287" s="114">
        <f>IF(B287="","",IFERROR(B287/INDEX($B$2:$B$400,MATCH(DATE(YEAR(A287)-1,MONTH(A287),1),$A$2:$A$400,0))-1,""))</f>
        <v/>
      </c>
    </row>
    <row r="288">
      <c r="A288" s="116" t="n"/>
      <c r="B288" s="117" t="n"/>
      <c r="C288" s="114">
        <f>IF(OR(B288="",B287=""),"",B288/B287-1)</f>
        <v/>
      </c>
      <c r="D288" s="114">
        <f>IF(B288="","",IFERROR(B288/INDEX($B$2:$B$400,MATCH(DATE(YEAR(A288)-1,12,1),$A$2:$A$400,0))-1,""))</f>
        <v/>
      </c>
      <c r="E288" s="114">
        <f>IF(B288="","",IFERROR(B288/INDEX($B$2:$B$400,MATCH(DATE(YEAR(A288)-1,MONTH(A288),1),$A$2:$A$400,0))-1,""))</f>
        <v/>
      </c>
    </row>
    <row r="289">
      <c r="A289" s="116" t="n"/>
      <c r="B289" s="117" t="n"/>
      <c r="C289" s="114">
        <f>IF(OR(B289="",B288=""),"",B289/B288-1)</f>
        <v/>
      </c>
      <c r="D289" s="114">
        <f>IF(B289="","",IFERROR(B289/INDEX($B$2:$B$400,MATCH(DATE(YEAR(A289)-1,12,1),$A$2:$A$400,0))-1,""))</f>
        <v/>
      </c>
      <c r="E289" s="114">
        <f>IF(B289="","",IFERROR(B289/INDEX($B$2:$B$400,MATCH(DATE(YEAR(A289)-1,MONTH(A289),1),$A$2:$A$400,0))-1,""))</f>
        <v/>
      </c>
    </row>
    <row r="290">
      <c r="A290" s="116" t="n"/>
      <c r="B290" s="117" t="n"/>
      <c r="C290" s="114">
        <f>IF(OR(B290="",B289=""),"",B290/B289-1)</f>
        <v/>
      </c>
      <c r="D290" s="114">
        <f>IF(B290="","",IFERROR(B290/INDEX($B$2:$B$400,MATCH(DATE(YEAR(A290)-1,12,1),$A$2:$A$400,0))-1,""))</f>
        <v/>
      </c>
      <c r="E290" s="114">
        <f>IF(B290="","",IFERROR(B290/INDEX($B$2:$B$400,MATCH(DATE(YEAR(A290)-1,MONTH(A290),1),$A$2:$A$400,0))-1,""))</f>
        <v/>
      </c>
    </row>
    <row r="291">
      <c r="A291" s="116" t="n"/>
      <c r="B291" s="117" t="n"/>
      <c r="C291" s="114">
        <f>IF(OR(B291="",B290=""),"",B291/B290-1)</f>
        <v/>
      </c>
      <c r="D291" s="114">
        <f>IF(B291="","",IFERROR(B291/INDEX($B$2:$B$400,MATCH(DATE(YEAR(A291)-1,12,1),$A$2:$A$400,0))-1,""))</f>
        <v/>
      </c>
      <c r="E291" s="114">
        <f>IF(B291="","",IFERROR(B291/INDEX($B$2:$B$400,MATCH(DATE(YEAR(A291)-1,MONTH(A291),1),$A$2:$A$400,0))-1,""))</f>
        <v/>
      </c>
    </row>
    <row r="292">
      <c r="A292" s="116" t="n"/>
      <c r="B292" s="117" t="n"/>
      <c r="C292" s="114">
        <f>IF(OR(B292="",B291=""),"",B292/B291-1)</f>
        <v/>
      </c>
      <c r="D292" s="114">
        <f>IF(B292="","",IFERROR(B292/INDEX($B$2:$B$400,MATCH(DATE(YEAR(A292)-1,12,1),$A$2:$A$400,0))-1,""))</f>
        <v/>
      </c>
      <c r="E292" s="114">
        <f>IF(B292="","",IFERROR(B292/INDEX($B$2:$B$400,MATCH(DATE(YEAR(A292)-1,MONTH(A292),1),$A$2:$A$400,0))-1,""))</f>
        <v/>
      </c>
    </row>
    <row r="293">
      <c r="A293" s="116" t="n"/>
      <c r="B293" s="117" t="n"/>
      <c r="C293" s="114">
        <f>IF(OR(B293="",B292=""),"",B293/B292-1)</f>
        <v/>
      </c>
      <c r="D293" s="114">
        <f>IF(B293="","",IFERROR(B293/INDEX($B$2:$B$400,MATCH(DATE(YEAR(A293)-1,12,1),$A$2:$A$400,0))-1,""))</f>
        <v/>
      </c>
      <c r="E293" s="114">
        <f>IF(B293="","",IFERROR(B293/INDEX($B$2:$B$400,MATCH(DATE(YEAR(A293)-1,MONTH(A293),1),$A$2:$A$400,0))-1,""))</f>
        <v/>
      </c>
    </row>
    <row r="294">
      <c r="A294" s="116" t="n"/>
      <c r="B294" s="117" t="n"/>
      <c r="C294" s="114">
        <f>IF(OR(B294="",B293=""),"",B294/B293-1)</f>
        <v/>
      </c>
      <c r="D294" s="114">
        <f>IF(B294="","",IFERROR(B294/INDEX($B$2:$B$400,MATCH(DATE(YEAR(A294)-1,12,1),$A$2:$A$400,0))-1,""))</f>
        <v/>
      </c>
      <c r="E294" s="114">
        <f>IF(B294="","",IFERROR(B294/INDEX($B$2:$B$400,MATCH(DATE(YEAR(A294)-1,MONTH(A294),1),$A$2:$A$400,0))-1,""))</f>
        <v/>
      </c>
    </row>
    <row r="295">
      <c r="A295" s="116" t="n"/>
      <c r="B295" s="117" t="n"/>
      <c r="C295" s="114">
        <f>IF(OR(B295="",B294=""),"",B295/B294-1)</f>
        <v/>
      </c>
      <c r="D295" s="114">
        <f>IF(B295="","",IFERROR(B295/INDEX($B$2:$B$400,MATCH(DATE(YEAR(A295)-1,12,1),$A$2:$A$400,0))-1,""))</f>
        <v/>
      </c>
      <c r="E295" s="114">
        <f>IF(B295="","",IFERROR(B295/INDEX($B$2:$B$400,MATCH(DATE(YEAR(A295)-1,MONTH(A295),1),$A$2:$A$400,0))-1,""))</f>
        <v/>
      </c>
    </row>
    <row r="296">
      <c r="A296" s="116" t="n"/>
      <c r="B296" s="117" t="n"/>
      <c r="C296" s="114">
        <f>IF(OR(B296="",B295=""),"",B296/B295-1)</f>
        <v/>
      </c>
      <c r="D296" s="114">
        <f>IF(B296="","",IFERROR(B296/INDEX($B$2:$B$400,MATCH(DATE(YEAR(A296)-1,12,1),$A$2:$A$400,0))-1,""))</f>
        <v/>
      </c>
      <c r="E296" s="114">
        <f>IF(B296="","",IFERROR(B296/INDEX($B$2:$B$400,MATCH(DATE(YEAR(A296)-1,MONTH(A296),1),$A$2:$A$400,0))-1,""))</f>
        <v/>
      </c>
    </row>
    <row r="297">
      <c r="A297" s="116" t="n"/>
      <c r="B297" s="117" t="n"/>
      <c r="C297" s="114">
        <f>IF(OR(B297="",B296=""),"",B297/B296-1)</f>
        <v/>
      </c>
      <c r="D297" s="114">
        <f>IF(B297="","",IFERROR(B297/INDEX($B$2:$B$400,MATCH(DATE(YEAR(A297)-1,12,1),$A$2:$A$400,0))-1,""))</f>
        <v/>
      </c>
      <c r="E297" s="114">
        <f>IF(B297="","",IFERROR(B297/INDEX($B$2:$B$400,MATCH(DATE(YEAR(A297)-1,MONTH(A297),1),$A$2:$A$400,0))-1,""))</f>
        <v/>
      </c>
    </row>
    <row r="298">
      <c r="A298" s="116" t="n"/>
      <c r="B298" s="117" t="n"/>
      <c r="C298" s="114">
        <f>IF(OR(B298="",B297=""),"",B298/B297-1)</f>
        <v/>
      </c>
      <c r="D298" s="114">
        <f>IF(B298="","",IFERROR(B298/INDEX($B$2:$B$400,MATCH(DATE(YEAR(A298)-1,12,1),$A$2:$A$400,0))-1,""))</f>
        <v/>
      </c>
      <c r="E298" s="114">
        <f>IF(B298="","",IFERROR(B298/INDEX($B$2:$B$400,MATCH(DATE(YEAR(A298)-1,MONTH(A298),1),$A$2:$A$400,0))-1,""))</f>
        <v/>
      </c>
    </row>
    <row r="299">
      <c r="A299" s="116" t="n"/>
      <c r="B299" s="117" t="n"/>
      <c r="C299" s="114">
        <f>IF(OR(B299="",B298=""),"",B299/B298-1)</f>
        <v/>
      </c>
      <c r="D299" s="114">
        <f>IF(B299="","",IFERROR(B299/INDEX($B$2:$B$400,MATCH(DATE(YEAR(A299)-1,12,1),$A$2:$A$400,0))-1,""))</f>
        <v/>
      </c>
      <c r="E299" s="114">
        <f>IF(B299="","",IFERROR(B299/INDEX($B$2:$B$400,MATCH(DATE(YEAR(A299)-1,MONTH(A299),1),$A$2:$A$400,0))-1,""))</f>
        <v/>
      </c>
    </row>
    <row r="300">
      <c r="A300" s="116" t="n"/>
      <c r="B300" s="117" t="n"/>
      <c r="C300" s="114">
        <f>IF(OR(B300="",B299=""),"",B300/B299-1)</f>
        <v/>
      </c>
      <c r="D300" s="114">
        <f>IF(B300="","",IFERROR(B300/INDEX($B$2:$B$400,MATCH(DATE(YEAR(A300)-1,12,1),$A$2:$A$400,0))-1,""))</f>
        <v/>
      </c>
      <c r="E300" s="114">
        <f>IF(B300="","",IFERROR(B300/INDEX($B$2:$B$400,MATCH(DATE(YEAR(A300)-1,MONTH(A300),1),$A$2:$A$400,0))-1,""))</f>
        <v/>
      </c>
    </row>
    <row r="301">
      <c r="A301" s="116" t="n"/>
      <c r="B301" s="117" t="n"/>
      <c r="C301" s="114">
        <f>IF(OR(B301="",B300=""),"",B301/B300-1)</f>
        <v/>
      </c>
      <c r="D301" s="114">
        <f>IF(B301="","",IFERROR(B301/INDEX($B$2:$B$400,MATCH(DATE(YEAR(A301)-1,12,1),$A$2:$A$400,0))-1,""))</f>
        <v/>
      </c>
      <c r="E301" s="114">
        <f>IF(B301="","",IFERROR(B301/INDEX($B$2:$B$400,MATCH(DATE(YEAR(A301)-1,MONTH(A301),1),$A$2:$A$400,0))-1,""))</f>
        <v/>
      </c>
    </row>
    <row r="302">
      <c r="A302" s="116" t="n"/>
      <c r="B302" s="117" t="n"/>
      <c r="C302" s="114">
        <f>IF(OR(B302="",B301=""),"",B302/B301-1)</f>
        <v/>
      </c>
      <c r="D302" s="114">
        <f>IF(B302="","",IFERROR(B302/INDEX($B$2:$B$400,MATCH(DATE(YEAR(A302)-1,12,1),$A$2:$A$400,0))-1,""))</f>
        <v/>
      </c>
      <c r="E302" s="114">
        <f>IF(B302="","",IFERROR(B302/INDEX($B$2:$B$400,MATCH(DATE(YEAR(A302)-1,MONTH(A302),1),$A$2:$A$400,0))-1,""))</f>
        <v/>
      </c>
    </row>
    <row r="303">
      <c r="A303" s="116" t="n"/>
      <c r="B303" s="117" t="n"/>
      <c r="C303" s="114">
        <f>IF(OR(B303="",B302=""),"",B303/B302-1)</f>
        <v/>
      </c>
      <c r="D303" s="114">
        <f>IF(B303="","",IFERROR(B303/INDEX($B$2:$B$400,MATCH(DATE(YEAR(A303)-1,12,1),$A$2:$A$400,0))-1,""))</f>
        <v/>
      </c>
      <c r="E303" s="114">
        <f>IF(B303="","",IFERROR(B303/INDEX($B$2:$B$400,MATCH(DATE(YEAR(A303)-1,MONTH(A303),1),$A$2:$A$400,0))-1,""))</f>
        <v/>
      </c>
    </row>
    <row r="304">
      <c r="A304" s="116" t="n"/>
      <c r="B304" s="117" t="n"/>
      <c r="C304" s="114">
        <f>IF(OR(B304="",B303=""),"",B304/B303-1)</f>
        <v/>
      </c>
      <c r="D304" s="114">
        <f>IF(B304="","",IFERROR(B304/INDEX($B$2:$B$400,MATCH(DATE(YEAR(A304)-1,12,1),$A$2:$A$400,0))-1,""))</f>
        <v/>
      </c>
      <c r="E304" s="114">
        <f>IF(B304="","",IFERROR(B304/INDEX($B$2:$B$400,MATCH(DATE(YEAR(A304)-1,MONTH(A304),1),$A$2:$A$400,0))-1,""))</f>
        <v/>
      </c>
    </row>
    <row r="305">
      <c r="A305" s="116" t="n"/>
      <c r="B305" s="117" t="n"/>
      <c r="C305" s="114">
        <f>IF(OR(B305="",B304=""),"",B305/B304-1)</f>
        <v/>
      </c>
      <c r="D305" s="114">
        <f>IF(B305="","",IFERROR(B305/INDEX($B$2:$B$400,MATCH(DATE(YEAR(A305)-1,12,1),$A$2:$A$400,0))-1,""))</f>
        <v/>
      </c>
      <c r="E305" s="114">
        <f>IF(B305="","",IFERROR(B305/INDEX($B$2:$B$400,MATCH(DATE(YEAR(A305)-1,MONTH(A305),1),$A$2:$A$400,0))-1,""))</f>
        <v/>
      </c>
    </row>
    <row r="306">
      <c r="A306" s="116" t="n"/>
      <c r="B306" s="117" t="n"/>
      <c r="C306" s="114">
        <f>IF(OR(B306="",B305=""),"",B306/B305-1)</f>
        <v/>
      </c>
      <c r="D306" s="114">
        <f>IF(B306="","",IFERROR(B306/INDEX($B$2:$B$400,MATCH(DATE(YEAR(A306)-1,12,1),$A$2:$A$400,0))-1,""))</f>
        <v/>
      </c>
      <c r="E306" s="114">
        <f>IF(B306="","",IFERROR(B306/INDEX($B$2:$B$400,MATCH(DATE(YEAR(A306)-1,MONTH(A306),1),$A$2:$A$400,0))-1,""))</f>
        <v/>
      </c>
    </row>
    <row r="307">
      <c r="A307" s="116" t="n"/>
      <c r="B307" s="117" t="n"/>
      <c r="C307" s="114">
        <f>IF(OR(B307="",B306=""),"",B307/B306-1)</f>
        <v/>
      </c>
      <c r="D307" s="114">
        <f>IF(B307="","",IFERROR(B307/INDEX($B$2:$B$400,MATCH(DATE(YEAR(A307)-1,12,1),$A$2:$A$400,0))-1,""))</f>
        <v/>
      </c>
      <c r="E307" s="114">
        <f>IF(B307="","",IFERROR(B307/INDEX($B$2:$B$400,MATCH(DATE(YEAR(A307)-1,MONTH(A307),1),$A$2:$A$400,0))-1,""))</f>
        <v/>
      </c>
    </row>
    <row r="308">
      <c r="A308" s="116" t="n"/>
      <c r="B308" s="117" t="n"/>
      <c r="C308" s="114">
        <f>IF(OR(B308="",B307=""),"",B308/B307-1)</f>
        <v/>
      </c>
      <c r="D308" s="114">
        <f>IF(B308="","",IFERROR(B308/INDEX($B$2:$B$400,MATCH(DATE(YEAR(A308)-1,12,1),$A$2:$A$400,0))-1,""))</f>
        <v/>
      </c>
      <c r="E308" s="114">
        <f>IF(B308="","",IFERROR(B308/INDEX($B$2:$B$400,MATCH(DATE(YEAR(A308)-1,MONTH(A308),1),$A$2:$A$400,0))-1,""))</f>
        <v/>
      </c>
    </row>
    <row r="309">
      <c r="A309" s="116" t="n"/>
      <c r="B309" s="117" t="n"/>
      <c r="C309" s="114">
        <f>IF(OR(B309="",B308=""),"",B309/B308-1)</f>
        <v/>
      </c>
      <c r="D309" s="114">
        <f>IF(B309="","",IFERROR(B309/INDEX($B$2:$B$400,MATCH(DATE(YEAR(A309)-1,12,1),$A$2:$A$400,0))-1,""))</f>
        <v/>
      </c>
      <c r="E309" s="114">
        <f>IF(B309="","",IFERROR(B309/INDEX($B$2:$B$400,MATCH(DATE(YEAR(A309)-1,MONTH(A309),1),$A$2:$A$400,0))-1,""))</f>
        <v/>
      </c>
    </row>
    <row r="310">
      <c r="A310" s="116" t="n"/>
      <c r="B310" s="117" t="n"/>
      <c r="C310" s="114">
        <f>IF(OR(B310="",B309=""),"",B310/B309-1)</f>
        <v/>
      </c>
      <c r="D310" s="114">
        <f>IF(B310="","",IFERROR(B310/INDEX($B$2:$B$400,MATCH(DATE(YEAR(A310)-1,12,1),$A$2:$A$400,0))-1,""))</f>
        <v/>
      </c>
      <c r="E310" s="114">
        <f>IF(B310="","",IFERROR(B310/INDEX($B$2:$B$400,MATCH(DATE(YEAR(A310)-1,MONTH(A310),1),$A$2:$A$400,0))-1,""))</f>
        <v/>
      </c>
    </row>
    <row r="311">
      <c r="A311" s="116" t="n"/>
      <c r="B311" s="117" t="n"/>
      <c r="C311" s="114">
        <f>IF(OR(B311="",B310=""),"",B311/B310-1)</f>
        <v/>
      </c>
      <c r="D311" s="114">
        <f>IF(B311="","",IFERROR(B311/INDEX($B$2:$B$400,MATCH(DATE(YEAR(A311)-1,12,1),$A$2:$A$400,0))-1,""))</f>
        <v/>
      </c>
      <c r="E311" s="114">
        <f>IF(B311="","",IFERROR(B311/INDEX($B$2:$B$400,MATCH(DATE(YEAR(A311)-1,MONTH(A311),1),$A$2:$A$400,0))-1,""))</f>
        <v/>
      </c>
    </row>
    <row r="312">
      <c r="A312" s="116" t="n"/>
      <c r="B312" s="117" t="n"/>
      <c r="C312" s="114">
        <f>IF(OR(B312="",B311=""),"",B312/B311-1)</f>
        <v/>
      </c>
      <c r="D312" s="114">
        <f>IF(B312="","",IFERROR(B312/INDEX($B$2:$B$400,MATCH(DATE(YEAR(A312)-1,12,1),$A$2:$A$400,0))-1,""))</f>
        <v/>
      </c>
      <c r="E312" s="114">
        <f>IF(B312="","",IFERROR(B312/INDEX($B$2:$B$400,MATCH(DATE(YEAR(A312)-1,MONTH(A312),1),$A$2:$A$400,0))-1,""))</f>
        <v/>
      </c>
    </row>
    <row r="313">
      <c r="A313" s="116" t="n"/>
      <c r="B313" s="117" t="n"/>
      <c r="C313" s="114">
        <f>IF(OR(B313="",B312=""),"",B313/B312-1)</f>
        <v/>
      </c>
      <c r="D313" s="114">
        <f>IF(B313="","",IFERROR(B313/INDEX($B$2:$B$400,MATCH(DATE(YEAR(A313)-1,12,1),$A$2:$A$400,0))-1,""))</f>
        <v/>
      </c>
      <c r="E313" s="114">
        <f>IF(B313="","",IFERROR(B313/INDEX($B$2:$B$400,MATCH(DATE(YEAR(A313)-1,MONTH(A313),1),$A$2:$A$400,0))-1,""))</f>
        <v/>
      </c>
    </row>
    <row r="314">
      <c r="A314" s="116" t="n"/>
      <c r="B314" s="117" t="n"/>
      <c r="C314" s="114">
        <f>IF(OR(B314="",B313=""),"",B314/B313-1)</f>
        <v/>
      </c>
      <c r="D314" s="114">
        <f>IF(B314="","",IFERROR(B314/INDEX($B$2:$B$400,MATCH(DATE(YEAR(A314)-1,12,1),$A$2:$A$400,0))-1,""))</f>
        <v/>
      </c>
      <c r="E314" s="114">
        <f>IF(B314="","",IFERROR(B314/INDEX($B$2:$B$400,MATCH(DATE(YEAR(A314)-1,MONTH(A314),1),$A$2:$A$400,0))-1,""))</f>
        <v/>
      </c>
    </row>
    <row r="315">
      <c r="A315" s="116" t="n"/>
      <c r="B315" s="117" t="n"/>
      <c r="C315" s="114">
        <f>IF(OR(B315="",B314=""),"",B315/B314-1)</f>
        <v/>
      </c>
      <c r="D315" s="114">
        <f>IF(B315="","",IFERROR(B315/INDEX($B$2:$B$400,MATCH(DATE(YEAR(A315)-1,12,1),$A$2:$A$400,0))-1,""))</f>
        <v/>
      </c>
      <c r="E315" s="114">
        <f>IF(B315="","",IFERROR(B315/INDEX($B$2:$B$400,MATCH(DATE(YEAR(A315)-1,MONTH(A315),1),$A$2:$A$400,0))-1,""))</f>
        <v/>
      </c>
    </row>
    <row r="316">
      <c r="A316" s="116" t="n"/>
      <c r="B316" s="117" t="n"/>
      <c r="C316" s="114">
        <f>IF(OR(B316="",B315=""),"",B316/B315-1)</f>
        <v/>
      </c>
      <c r="D316" s="114">
        <f>IF(B316="","",IFERROR(B316/INDEX($B$2:$B$400,MATCH(DATE(YEAR(A316)-1,12,1),$A$2:$A$400,0))-1,""))</f>
        <v/>
      </c>
      <c r="E316" s="114">
        <f>IF(B316="","",IFERROR(B316/INDEX($B$2:$B$400,MATCH(DATE(YEAR(A316)-1,MONTH(A316),1),$A$2:$A$400,0))-1,""))</f>
        <v/>
      </c>
    </row>
    <row r="317">
      <c r="A317" s="116" t="n"/>
      <c r="B317" s="117" t="n"/>
      <c r="C317" s="114">
        <f>IF(OR(B317="",B316=""),"",B317/B316-1)</f>
        <v/>
      </c>
      <c r="D317" s="114">
        <f>IF(B317="","",IFERROR(B317/INDEX($B$2:$B$400,MATCH(DATE(YEAR(A317)-1,12,1),$A$2:$A$400,0))-1,""))</f>
        <v/>
      </c>
      <c r="E317" s="114">
        <f>IF(B317="","",IFERROR(B317/INDEX($B$2:$B$400,MATCH(DATE(YEAR(A317)-1,MONTH(A317),1),$A$2:$A$400,0))-1,""))</f>
        <v/>
      </c>
    </row>
    <row r="318">
      <c r="A318" s="116" t="n"/>
      <c r="B318" s="117" t="n"/>
      <c r="C318" s="114">
        <f>IF(OR(B318="",B317=""),"",B318/B317-1)</f>
        <v/>
      </c>
      <c r="D318" s="114">
        <f>IF(B318="","",IFERROR(B318/INDEX($B$2:$B$400,MATCH(DATE(YEAR(A318)-1,12,1),$A$2:$A$400,0))-1,""))</f>
        <v/>
      </c>
      <c r="E318" s="114">
        <f>IF(B318="","",IFERROR(B318/INDEX($B$2:$B$400,MATCH(DATE(YEAR(A318)-1,MONTH(A318),1),$A$2:$A$400,0))-1,""))</f>
        <v/>
      </c>
    </row>
    <row r="319">
      <c r="A319" s="116" t="n"/>
      <c r="B319" s="117" t="n"/>
      <c r="C319" s="114">
        <f>IF(OR(B319="",B318=""),"",B319/B318-1)</f>
        <v/>
      </c>
      <c r="D319" s="114">
        <f>IF(B319="","",IFERROR(B319/INDEX($B$2:$B$400,MATCH(DATE(YEAR(A319)-1,12,1),$A$2:$A$400,0))-1,""))</f>
        <v/>
      </c>
      <c r="E319" s="114">
        <f>IF(B319="","",IFERROR(B319/INDEX($B$2:$B$400,MATCH(DATE(YEAR(A319)-1,MONTH(A319),1),$A$2:$A$400,0))-1,""))</f>
        <v/>
      </c>
    </row>
    <row r="320">
      <c r="A320" s="116" t="n"/>
      <c r="B320" s="117" t="n"/>
      <c r="C320" s="114">
        <f>IF(OR(B320="",B319=""),"",B320/B319-1)</f>
        <v/>
      </c>
      <c r="D320" s="114">
        <f>IF(B320="","",IFERROR(B320/INDEX($B$2:$B$400,MATCH(DATE(YEAR(A320)-1,12,1),$A$2:$A$400,0))-1,""))</f>
        <v/>
      </c>
      <c r="E320" s="114">
        <f>IF(B320="","",IFERROR(B320/INDEX($B$2:$B$400,MATCH(DATE(YEAR(A320)-1,MONTH(A320),1),$A$2:$A$400,0))-1,""))</f>
        <v/>
      </c>
    </row>
    <row r="321">
      <c r="A321" s="116" t="n"/>
      <c r="B321" s="117" t="n"/>
      <c r="C321" s="114">
        <f>IF(OR(B321="",B320=""),"",B321/B320-1)</f>
        <v/>
      </c>
      <c r="D321" s="114">
        <f>IF(B321="","",IFERROR(B321/INDEX($B$2:$B$400,MATCH(DATE(YEAR(A321)-1,12,1),$A$2:$A$400,0))-1,""))</f>
        <v/>
      </c>
      <c r="E321" s="114">
        <f>IF(B321="","",IFERROR(B321/INDEX($B$2:$B$400,MATCH(DATE(YEAR(A321)-1,MONTH(A321),1),$A$2:$A$400,0))-1,""))</f>
        <v/>
      </c>
    </row>
    <row r="322">
      <c r="A322" s="116" t="n"/>
      <c r="B322" s="117" t="n"/>
      <c r="C322" s="114">
        <f>IF(OR(B322="",B321=""),"",B322/B321-1)</f>
        <v/>
      </c>
      <c r="D322" s="114">
        <f>IF(B322="","",IFERROR(B322/INDEX($B$2:$B$400,MATCH(DATE(YEAR(A322)-1,12,1),$A$2:$A$400,0))-1,""))</f>
        <v/>
      </c>
      <c r="E322" s="114">
        <f>IF(B322="","",IFERROR(B322/INDEX($B$2:$B$400,MATCH(DATE(YEAR(A322)-1,MONTH(A322),1),$A$2:$A$400,0))-1,""))</f>
        <v/>
      </c>
    </row>
    <row r="323">
      <c r="A323" s="116" t="n"/>
      <c r="B323" s="117" t="n"/>
      <c r="C323" s="114">
        <f>IF(OR(B323="",B322=""),"",B323/B322-1)</f>
        <v/>
      </c>
      <c r="D323" s="114">
        <f>IF(B323="","",IFERROR(B323/INDEX($B$2:$B$400,MATCH(DATE(YEAR(A323)-1,12,1),$A$2:$A$400,0))-1,""))</f>
        <v/>
      </c>
      <c r="E323" s="114">
        <f>IF(B323="","",IFERROR(B323/INDEX($B$2:$B$400,MATCH(DATE(YEAR(A323)-1,MONTH(A323),1),$A$2:$A$400,0))-1,""))</f>
        <v/>
      </c>
    </row>
    <row r="324">
      <c r="A324" s="116" t="n"/>
      <c r="B324" s="117" t="n"/>
      <c r="C324" s="114">
        <f>IF(OR(B324="",B323=""),"",B324/B323-1)</f>
        <v/>
      </c>
      <c r="D324" s="114">
        <f>IF(B324="","",IFERROR(B324/INDEX($B$2:$B$400,MATCH(DATE(YEAR(A324)-1,12,1),$A$2:$A$400,0))-1,""))</f>
        <v/>
      </c>
      <c r="E324" s="114">
        <f>IF(B324="","",IFERROR(B324/INDEX($B$2:$B$400,MATCH(DATE(YEAR(A324)-1,MONTH(A324),1),$A$2:$A$400,0))-1,""))</f>
        <v/>
      </c>
    </row>
    <row r="325">
      <c r="A325" s="116" t="n"/>
      <c r="B325" s="117" t="n"/>
      <c r="C325" s="114">
        <f>IF(OR(B325="",B324=""),"",B325/B324-1)</f>
        <v/>
      </c>
      <c r="D325" s="114">
        <f>IF(B325="","",IFERROR(B325/INDEX($B$2:$B$400,MATCH(DATE(YEAR(A325)-1,12,1),$A$2:$A$400,0))-1,""))</f>
        <v/>
      </c>
      <c r="E325" s="114">
        <f>IF(B325="","",IFERROR(B325/INDEX($B$2:$B$400,MATCH(DATE(YEAR(A325)-1,MONTH(A325),1),$A$2:$A$400,0))-1,""))</f>
        <v/>
      </c>
    </row>
    <row r="326">
      <c r="A326" s="116" t="n"/>
      <c r="B326" s="117" t="n"/>
      <c r="C326" s="114">
        <f>IF(OR(B326="",B325=""),"",B326/B325-1)</f>
        <v/>
      </c>
      <c r="D326" s="114">
        <f>IF(B326="","",IFERROR(B326/INDEX($B$2:$B$400,MATCH(DATE(YEAR(A326)-1,12,1),$A$2:$A$400,0))-1,""))</f>
        <v/>
      </c>
      <c r="E326" s="114">
        <f>IF(B326="","",IFERROR(B326/INDEX($B$2:$B$400,MATCH(DATE(YEAR(A326)-1,MONTH(A326),1),$A$2:$A$400,0))-1,""))</f>
        <v/>
      </c>
    </row>
    <row r="327">
      <c r="A327" s="116" t="n"/>
      <c r="B327" s="117" t="n"/>
      <c r="C327" s="114">
        <f>IF(OR(B327="",B326=""),"",B327/B326-1)</f>
        <v/>
      </c>
      <c r="D327" s="114">
        <f>IF(B327="","",IFERROR(B327/INDEX($B$2:$B$400,MATCH(DATE(YEAR(A327)-1,12,1),$A$2:$A$400,0))-1,""))</f>
        <v/>
      </c>
      <c r="E327" s="114">
        <f>IF(B327="","",IFERROR(B327/INDEX($B$2:$B$400,MATCH(DATE(YEAR(A327)-1,MONTH(A327),1),$A$2:$A$400,0))-1,""))</f>
        <v/>
      </c>
    </row>
    <row r="328">
      <c r="A328" s="116" t="n"/>
      <c r="B328" s="117" t="n"/>
      <c r="C328" s="114">
        <f>IF(OR(B328="",B327=""),"",B328/B327-1)</f>
        <v/>
      </c>
      <c r="D328" s="114">
        <f>IF(B328="","",IFERROR(B328/INDEX($B$2:$B$400,MATCH(DATE(YEAR(A328)-1,12,1),$A$2:$A$400,0))-1,""))</f>
        <v/>
      </c>
      <c r="E328" s="114">
        <f>IF(B328="","",IFERROR(B328/INDEX($B$2:$B$400,MATCH(DATE(YEAR(A328)-1,MONTH(A328),1),$A$2:$A$400,0))-1,""))</f>
        <v/>
      </c>
    </row>
    <row r="329">
      <c r="A329" s="116" t="n"/>
      <c r="B329" s="117" t="n"/>
      <c r="C329" s="114">
        <f>IF(OR(B329="",B328=""),"",B329/B328-1)</f>
        <v/>
      </c>
      <c r="D329" s="114">
        <f>IF(B329="","",IFERROR(B329/INDEX($B$2:$B$400,MATCH(DATE(YEAR(A329)-1,12,1),$A$2:$A$400,0))-1,""))</f>
        <v/>
      </c>
      <c r="E329" s="114">
        <f>IF(B329="","",IFERROR(B329/INDEX($B$2:$B$400,MATCH(DATE(YEAR(A329)-1,MONTH(A329),1),$A$2:$A$400,0))-1,""))</f>
        <v/>
      </c>
    </row>
    <row r="330">
      <c r="A330" s="116" t="n"/>
      <c r="B330" s="117" t="n"/>
      <c r="C330" s="114">
        <f>IF(OR(B330="",B329=""),"",B330/B329-1)</f>
        <v/>
      </c>
      <c r="D330" s="114">
        <f>IF(B330="","",IFERROR(B330/INDEX($B$2:$B$400,MATCH(DATE(YEAR(A330)-1,12,1),$A$2:$A$400,0))-1,""))</f>
        <v/>
      </c>
      <c r="E330" s="114">
        <f>IF(B330="","",IFERROR(B330/INDEX($B$2:$B$400,MATCH(DATE(YEAR(A330)-1,MONTH(A330),1),$A$2:$A$400,0))-1,""))</f>
        <v/>
      </c>
    </row>
    <row r="331">
      <c r="A331" s="116" t="n"/>
      <c r="B331" s="117" t="n"/>
      <c r="C331" s="114">
        <f>IF(OR(B331="",B330=""),"",B331/B330-1)</f>
        <v/>
      </c>
      <c r="D331" s="114">
        <f>IF(B331="","",IFERROR(B331/INDEX($B$2:$B$400,MATCH(DATE(YEAR(A331)-1,12,1),$A$2:$A$400,0))-1,""))</f>
        <v/>
      </c>
      <c r="E331" s="114">
        <f>IF(B331="","",IFERROR(B331/INDEX($B$2:$B$400,MATCH(DATE(YEAR(A331)-1,MONTH(A331),1),$A$2:$A$400,0))-1,""))</f>
        <v/>
      </c>
    </row>
    <row r="332">
      <c r="A332" s="116" t="n"/>
      <c r="B332" s="117" t="n"/>
      <c r="C332" s="114">
        <f>IF(OR(B332="",B331=""),"",B332/B331-1)</f>
        <v/>
      </c>
      <c r="D332" s="114">
        <f>IF(B332="","",IFERROR(B332/INDEX($B$2:$B$400,MATCH(DATE(YEAR(A332)-1,12,1),$A$2:$A$400,0))-1,""))</f>
        <v/>
      </c>
      <c r="E332" s="114">
        <f>IF(B332="","",IFERROR(B332/INDEX($B$2:$B$400,MATCH(DATE(YEAR(A332)-1,MONTH(A332),1),$A$2:$A$400,0))-1,""))</f>
        <v/>
      </c>
    </row>
    <row r="333">
      <c r="A333" s="116" t="n"/>
      <c r="B333" s="117" t="n"/>
      <c r="C333" s="114">
        <f>IF(OR(B333="",B332=""),"",B333/B332-1)</f>
        <v/>
      </c>
      <c r="D333" s="114">
        <f>IF(B333="","",IFERROR(B333/INDEX($B$2:$B$400,MATCH(DATE(YEAR(A333)-1,12,1),$A$2:$A$400,0))-1,""))</f>
        <v/>
      </c>
      <c r="E333" s="114">
        <f>IF(B333="","",IFERROR(B333/INDEX($B$2:$B$400,MATCH(DATE(YEAR(A333)-1,MONTH(A333),1),$A$2:$A$400,0))-1,""))</f>
        <v/>
      </c>
    </row>
    <row r="334">
      <c r="A334" s="116" t="n"/>
      <c r="B334" s="117" t="n"/>
      <c r="C334" s="114">
        <f>IF(OR(B334="",B333=""),"",B334/B333-1)</f>
        <v/>
      </c>
      <c r="D334" s="114">
        <f>IF(B334="","",IFERROR(B334/INDEX($B$2:$B$400,MATCH(DATE(YEAR(A334)-1,12,1),$A$2:$A$400,0))-1,""))</f>
        <v/>
      </c>
      <c r="E334" s="114">
        <f>IF(B334="","",IFERROR(B334/INDEX($B$2:$B$400,MATCH(DATE(YEAR(A334)-1,MONTH(A334),1),$A$2:$A$400,0))-1,""))</f>
        <v/>
      </c>
    </row>
    <row r="335">
      <c r="A335" s="116" t="n"/>
      <c r="B335" s="117" t="n"/>
      <c r="C335" s="114">
        <f>IF(OR(B335="",B334=""),"",B335/B334-1)</f>
        <v/>
      </c>
      <c r="D335" s="114">
        <f>IF(B335="","",IFERROR(B335/INDEX($B$2:$B$400,MATCH(DATE(YEAR(A335)-1,12,1),$A$2:$A$400,0))-1,""))</f>
        <v/>
      </c>
      <c r="E335" s="114">
        <f>IF(B335="","",IFERROR(B335/INDEX($B$2:$B$400,MATCH(DATE(YEAR(A335)-1,MONTH(A335),1),$A$2:$A$400,0))-1,""))</f>
        <v/>
      </c>
    </row>
    <row r="336">
      <c r="A336" s="116" t="n"/>
      <c r="B336" s="117" t="n"/>
      <c r="C336" s="114">
        <f>IF(OR(B336="",B335=""),"",B336/B335-1)</f>
        <v/>
      </c>
      <c r="D336" s="114">
        <f>IF(B336="","",IFERROR(B336/INDEX($B$2:$B$400,MATCH(DATE(YEAR(A336)-1,12,1),$A$2:$A$400,0))-1,""))</f>
        <v/>
      </c>
      <c r="E336" s="114">
        <f>IF(B336="","",IFERROR(B336/INDEX($B$2:$B$400,MATCH(DATE(YEAR(A336)-1,MONTH(A336),1),$A$2:$A$400,0))-1,""))</f>
        <v/>
      </c>
    </row>
    <row r="337">
      <c r="A337" s="116" t="n"/>
      <c r="B337" s="117" t="n"/>
      <c r="C337" s="114">
        <f>IF(OR(B337="",B336=""),"",B337/B336-1)</f>
        <v/>
      </c>
      <c r="D337" s="114">
        <f>IF(B337="","",IFERROR(B337/INDEX($B$2:$B$400,MATCH(DATE(YEAR(A337)-1,12,1),$A$2:$A$400,0))-1,""))</f>
        <v/>
      </c>
      <c r="E337" s="114">
        <f>IF(B337="","",IFERROR(B337/INDEX($B$2:$B$400,MATCH(DATE(YEAR(A337)-1,MONTH(A337),1),$A$2:$A$400,0))-1,""))</f>
        <v/>
      </c>
    </row>
    <row r="338">
      <c r="A338" s="116" t="n"/>
      <c r="B338" s="117" t="n"/>
      <c r="C338" s="114">
        <f>IF(OR(B338="",B337=""),"",B338/B337-1)</f>
        <v/>
      </c>
      <c r="D338" s="114">
        <f>IF(B338="","",IFERROR(B338/INDEX($B$2:$B$400,MATCH(DATE(YEAR(A338)-1,12,1),$A$2:$A$400,0))-1,""))</f>
        <v/>
      </c>
      <c r="E338" s="114">
        <f>IF(B338="","",IFERROR(B338/INDEX($B$2:$B$400,MATCH(DATE(YEAR(A338)-1,MONTH(A338),1),$A$2:$A$400,0))-1,""))</f>
        <v/>
      </c>
    </row>
    <row r="339">
      <c r="A339" s="116" t="n"/>
      <c r="B339" s="117" t="n"/>
      <c r="C339" s="114">
        <f>IF(OR(B339="",B338=""),"",B339/B338-1)</f>
        <v/>
      </c>
      <c r="D339" s="114">
        <f>IF(B339="","",IFERROR(B339/INDEX($B$2:$B$400,MATCH(DATE(YEAR(A339)-1,12,1),$A$2:$A$400,0))-1,""))</f>
        <v/>
      </c>
      <c r="E339" s="114">
        <f>IF(B339="","",IFERROR(B339/INDEX($B$2:$B$400,MATCH(DATE(YEAR(A339)-1,MONTH(A339),1),$A$2:$A$400,0))-1,""))</f>
        <v/>
      </c>
    </row>
    <row r="340">
      <c r="A340" s="116" t="n"/>
      <c r="B340" s="117" t="n"/>
      <c r="C340" s="114">
        <f>IF(OR(B340="",B339=""),"",B340/B339-1)</f>
        <v/>
      </c>
      <c r="D340" s="114">
        <f>IF(B340="","",IFERROR(B340/INDEX($B$2:$B$400,MATCH(DATE(YEAR(A340)-1,12,1),$A$2:$A$400,0))-1,""))</f>
        <v/>
      </c>
      <c r="E340" s="114">
        <f>IF(B340="","",IFERROR(B340/INDEX($B$2:$B$400,MATCH(DATE(YEAR(A340)-1,MONTH(A340),1),$A$2:$A$400,0))-1,""))</f>
        <v/>
      </c>
    </row>
    <row r="341">
      <c r="A341" s="116" t="n"/>
      <c r="B341" s="117" t="n"/>
      <c r="C341" s="114">
        <f>IF(OR(B341="",B340=""),"",B341/B340-1)</f>
        <v/>
      </c>
      <c r="D341" s="114">
        <f>IF(B341="","",IFERROR(B341/INDEX($B$2:$B$400,MATCH(DATE(YEAR(A341)-1,12,1),$A$2:$A$400,0))-1,""))</f>
        <v/>
      </c>
      <c r="E341" s="114">
        <f>IF(B341="","",IFERROR(B341/INDEX($B$2:$B$400,MATCH(DATE(YEAR(A341)-1,MONTH(A341),1),$A$2:$A$400,0))-1,""))</f>
        <v/>
      </c>
    </row>
    <row r="342">
      <c r="A342" s="116" t="n"/>
      <c r="B342" s="117" t="n"/>
      <c r="C342" s="114">
        <f>IF(OR(B342="",B341=""),"",B342/B341-1)</f>
        <v/>
      </c>
      <c r="D342" s="114">
        <f>IF(B342="","",IFERROR(B342/INDEX($B$2:$B$400,MATCH(DATE(YEAR(A342)-1,12,1),$A$2:$A$400,0))-1,""))</f>
        <v/>
      </c>
      <c r="E342" s="114">
        <f>IF(B342="","",IFERROR(B342/INDEX($B$2:$B$400,MATCH(DATE(YEAR(A342)-1,MONTH(A342),1),$A$2:$A$400,0))-1,""))</f>
        <v/>
      </c>
    </row>
    <row r="343">
      <c r="A343" s="116" t="n"/>
      <c r="B343" s="117" t="n"/>
      <c r="C343" s="114">
        <f>IF(OR(B343="",B342=""),"",B343/B342-1)</f>
        <v/>
      </c>
      <c r="D343" s="114">
        <f>IF(B343="","",IFERROR(B343/INDEX($B$2:$B$400,MATCH(DATE(YEAR(A343)-1,12,1),$A$2:$A$400,0))-1,""))</f>
        <v/>
      </c>
      <c r="E343" s="114">
        <f>IF(B343="","",IFERROR(B343/INDEX($B$2:$B$400,MATCH(DATE(YEAR(A343)-1,MONTH(A343),1),$A$2:$A$400,0))-1,""))</f>
        <v/>
      </c>
    </row>
    <row r="344">
      <c r="A344" s="116" t="n"/>
      <c r="B344" s="117" t="n"/>
      <c r="C344" s="114">
        <f>IF(OR(B344="",B343=""),"",B344/B343-1)</f>
        <v/>
      </c>
      <c r="D344" s="114">
        <f>IF(B344="","",IFERROR(B344/INDEX($B$2:$B$400,MATCH(DATE(YEAR(A344)-1,12,1),$A$2:$A$400,0))-1,""))</f>
        <v/>
      </c>
      <c r="E344" s="114">
        <f>IF(B344="","",IFERROR(B344/INDEX($B$2:$B$400,MATCH(DATE(YEAR(A344)-1,MONTH(A344),1),$A$2:$A$400,0))-1,""))</f>
        <v/>
      </c>
    </row>
    <row r="345">
      <c r="A345" s="116" t="n"/>
      <c r="B345" s="117" t="n"/>
      <c r="C345" s="114">
        <f>IF(OR(B345="",B344=""),"",B345/B344-1)</f>
        <v/>
      </c>
      <c r="D345" s="114">
        <f>IF(B345="","",IFERROR(B345/INDEX($B$2:$B$400,MATCH(DATE(YEAR(A345)-1,12,1),$A$2:$A$400,0))-1,""))</f>
        <v/>
      </c>
      <c r="E345" s="114">
        <f>IF(B345="","",IFERROR(B345/INDEX($B$2:$B$400,MATCH(DATE(YEAR(A345)-1,MONTH(A345),1),$A$2:$A$400,0))-1,""))</f>
        <v/>
      </c>
    </row>
    <row r="346">
      <c r="A346" s="116" t="n"/>
      <c r="B346" s="117" t="n"/>
      <c r="C346" s="114">
        <f>IF(OR(B346="",B345=""),"",B346/B345-1)</f>
        <v/>
      </c>
      <c r="D346" s="114">
        <f>IF(B346="","",IFERROR(B346/INDEX($B$2:$B$400,MATCH(DATE(YEAR(A346)-1,12,1),$A$2:$A$400,0))-1,""))</f>
        <v/>
      </c>
      <c r="E346" s="114">
        <f>IF(B346="","",IFERROR(B346/INDEX($B$2:$B$400,MATCH(DATE(YEAR(A346)-1,MONTH(A346),1),$A$2:$A$400,0))-1,""))</f>
        <v/>
      </c>
    </row>
    <row r="347">
      <c r="A347" s="116" t="n"/>
      <c r="B347" s="117" t="n"/>
      <c r="C347" s="114">
        <f>IF(OR(B347="",B346=""),"",B347/B346-1)</f>
        <v/>
      </c>
      <c r="D347" s="114">
        <f>IF(B347="","",IFERROR(B347/INDEX($B$2:$B$400,MATCH(DATE(YEAR(A347)-1,12,1),$A$2:$A$400,0))-1,""))</f>
        <v/>
      </c>
      <c r="E347" s="114">
        <f>IF(B347="","",IFERROR(B347/INDEX($B$2:$B$400,MATCH(DATE(YEAR(A347)-1,MONTH(A347),1),$A$2:$A$400,0))-1,""))</f>
        <v/>
      </c>
    </row>
    <row r="348">
      <c r="A348" s="116" t="n"/>
      <c r="B348" s="117" t="n"/>
      <c r="C348" s="114">
        <f>IF(OR(B348="",B347=""),"",B348/B347-1)</f>
        <v/>
      </c>
      <c r="D348" s="114">
        <f>IF(B348="","",IFERROR(B348/INDEX($B$2:$B$400,MATCH(DATE(YEAR(A348)-1,12,1),$A$2:$A$400,0))-1,""))</f>
        <v/>
      </c>
      <c r="E348" s="114">
        <f>IF(B348="","",IFERROR(B348/INDEX($B$2:$B$400,MATCH(DATE(YEAR(A348)-1,MONTH(A348),1),$A$2:$A$400,0))-1,""))</f>
        <v/>
      </c>
    </row>
    <row r="349">
      <c r="A349" s="116" t="n"/>
      <c r="B349" s="117" t="n"/>
      <c r="C349" s="114">
        <f>IF(OR(B349="",B348=""),"",B349/B348-1)</f>
        <v/>
      </c>
      <c r="D349" s="114">
        <f>IF(B349="","",IFERROR(B349/INDEX($B$2:$B$400,MATCH(DATE(YEAR(A349)-1,12,1),$A$2:$A$400,0))-1,""))</f>
        <v/>
      </c>
      <c r="E349" s="114">
        <f>IF(B349="","",IFERROR(B349/INDEX($B$2:$B$400,MATCH(DATE(YEAR(A349)-1,MONTH(A349),1),$A$2:$A$400,0))-1,""))</f>
        <v/>
      </c>
    </row>
    <row r="350">
      <c r="A350" s="116" t="n"/>
      <c r="B350" s="117" t="n"/>
      <c r="C350" s="114">
        <f>IF(OR(B350="",B349=""),"",B350/B349-1)</f>
        <v/>
      </c>
      <c r="D350" s="114">
        <f>IF(B350="","",IFERROR(B350/INDEX($B$2:$B$400,MATCH(DATE(YEAR(A350)-1,12,1),$A$2:$A$400,0))-1,""))</f>
        <v/>
      </c>
      <c r="E350" s="114">
        <f>IF(B350="","",IFERROR(B350/INDEX($B$2:$B$400,MATCH(DATE(YEAR(A350)-1,MONTH(A350),1),$A$2:$A$400,0))-1,""))</f>
        <v/>
      </c>
    </row>
    <row r="351">
      <c r="A351" s="116" t="n"/>
      <c r="B351" s="117" t="n"/>
      <c r="C351" s="114">
        <f>IF(OR(B351="",B350=""),"",B351/B350-1)</f>
        <v/>
      </c>
      <c r="D351" s="114">
        <f>IF(B351="","",IFERROR(B351/INDEX($B$2:$B$400,MATCH(DATE(YEAR(A351)-1,12,1),$A$2:$A$400,0))-1,""))</f>
        <v/>
      </c>
      <c r="E351" s="114">
        <f>IF(B351="","",IFERROR(B351/INDEX($B$2:$B$400,MATCH(DATE(YEAR(A351)-1,MONTH(A351),1),$A$2:$A$400,0))-1,""))</f>
        <v/>
      </c>
    </row>
    <row r="352">
      <c r="A352" s="116" t="n"/>
      <c r="B352" s="117" t="n"/>
      <c r="C352" s="114">
        <f>IF(OR(B352="",B351=""),"",B352/B351-1)</f>
        <v/>
      </c>
      <c r="D352" s="114">
        <f>IF(B352="","",IFERROR(B352/INDEX($B$2:$B$400,MATCH(DATE(YEAR(A352)-1,12,1),$A$2:$A$400,0))-1,""))</f>
        <v/>
      </c>
      <c r="E352" s="114">
        <f>IF(B352="","",IFERROR(B352/INDEX($B$2:$B$400,MATCH(DATE(YEAR(A352)-1,MONTH(A352),1),$A$2:$A$400,0))-1,""))</f>
        <v/>
      </c>
    </row>
    <row r="353">
      <c r="A353" s="116" t="n"/>
      <c r="B353" s="117" t="n"/>
      <c r="C353" s="114">
        <f>IF(OR(B353="",B352=""),"",B353/B352-1)</f>
        <v/>
      </c>
      <c r="D353" s="114">
        <f>IF(B353="","",IFERROR(B353/INDEX($B$2:$B$400,MATCH(DATE(YEAR(A353)-1,12,1),$A$2:$A$400,0))-1,""))</f>
        <v/>
      </c>
      <c r="E353" s="114">
        <f>IF(B353="","",IFERROR(B353/INDEX($B$2:$B$400,MATCH(DATE(YEAR(A353)-1,MONTH(A353),1),$A$2:$A$400,0))-1,""))</f>
        <v/>
      </c>
    </row>
    <row r="354">
      <c r="A354" s="116" t="n"/>
      <c r="B354" s="117" t="n"/>
      <c r="C354" s="114">
        <f>IF(OR(B354="",B353=""),"",B354/B353-1)</f>
        <v/>
      </c>
      <c r="D354" s="114">
        <f>IF(B354="","",IFERROR(B354/INDEX($B$2:$B$400,MATCH(DATE(YEAR(A354)-1,12,1),$A$2:$A$400,0))-1,""))</f>
        <v/>
      </c>
      <c r="E354" s="114">
        <f>IF(B354="","",IFERROR(B354/INDEX($B$2:$B$400,MATCH(DATE(YEAR(A354)-1,MONTH(A354),1),$A$2:$A$400,0))-1,""))</f>
        <v/>
      </c>
    </row>
    <row r="355">
      <c r="A355" s="116" t="n"/>
      <c r="B355" s="117" t="n"/>
      <c r="C355" s="114">
        <f>IF(OR(B355="",B354=""),"",B355/B354-1)</f>
        <v/>
      </c>
      <c r="D355" s="114">
        <f>IF(B355="","",IFERROR(B355/INDEX($B$2:$B$400,MATCH(DATE(YEAR(A355)-1,12,1),$A$2:$A$400,0))-1,""))</f>
        <v/>
      </c>
      <c r="E355" s="114">
        <f>IF(B355="","",IFERROR(B355/INDEX($B$2:$B$400,MATCH(DATE(YEAR(A355)-1,MONTH(A355),1),$A$2:$A$400,0))-1,""))</f>
        <v/>
      </c>
    </row>
    <row r="356">
      <c r="A356" s="116" t="n"/>
      <c r="B356" s="117" t="n"/>
      <c r="C356" s="114">
        <f>IF(OR(B356="",B355=""),"",B356/B355-1)</f>
        <v/>
      </c>
      <c r="D356" s="114">
        <f>IF(B356="","",IFERROR(B356/INDEX($B$2:$B$400,MATCH(DATE(YEAR(A356)-1,12,1),$A$2:$A$400,0))-1,""))</f>
        <v/>
      </c>
      <c r="E356" s="114">
        <f>IF(B356="","",IFERROR(B356/INDEX($B$2:$B$400,MATCH(DATE(YEAR(A356)-1,MONTH(A356),1),$A$2:$A$400,0))-1,""))</f>
        <v/>
      </c>
    </row>
    <row r="357">
      <c r="A357" s="116" t="n"/>
      <c r="B357" s="117" t="n"/>
      <c r="C357" s="114">
        <f>IF(OR(B357="",B356=""),"",B357/B356-1)</f>
        <v/>
      </c>
      <c r="D357" s="114">
        <f>IF(B357="","",IFERROR(B357/INDEX($B$2:$B$400,MATCH(DATE(YEAR(A357)-1,12,1),$A$2:$A$400,0))-1,""))</f>
        <v/>
      </c>
      <c r="E357" s="114">
        <f>IF(B357="","",IFERROR(B357/INDEX($B$2:$B$400,MATCH(DATE(YEAR(A357)-1,MONTH(A357),1),$A$2:$A$400,0))-1,""))</f>
        <v/>
      </c>
    </row>
    <row r="358">
      <c r="A358" s="116" t="n"/>
      <c r="B358" s="117" t="n"/>
      <c r="C358" s="114">
        <f>IF(OR(B358="",B357=""),"",B358/B357-1)</f>
        <v/>
      </c>
      <c r="D358" s="114">
        <f>IF(B358="","",IFERROR(B358/INDEX($B$2:$B$400,MATCH(DATE(YEAR(A358)-1,12,1),$A$2:$A$400,0))-1,""))</f>
        <v/>
      </c>
      <c r="E358" s="114">
        <f>IF(B358="","",IFERROR(B358/INDEX($B$2:$B$400,MATCH(DATE(YEAR(A358)-1,MONTH(A358),1),$A$2:$A$400,0))-1,""))</f>
        <v/>
      </c>
    </row>
    <row r="359">
      <c r="A359" s="116" t="n"/>
      <c r="B359" s="117" t="n"/>
      <c r="C359" s="114">
        <f>IF(OR(B359="",B358=""),"",B359/B358-1)</f>
        <v/>
      </c>
      <c r="D359" s="114">
        <f>IF(B359="","",IFERROR(B359/INDEX($B$2:$B$400,MATCH(DATE(YEAR(A359)-1,12,1),$A$2:$A$400,0))-1,""))</f>
        <v/>
      </c>
      <c r="E359" s="114">
        <f>IF(B359="","",IFERROR(B359/INDEX($B$2:$B$400,MATCH(DATE(YEAR(A359)-1,MONTH(A359),1),$A$2:$A$400,0))-1,""))</f>
        <v/>
      </c>
    </row>
    <row r="360">
      <c r="A360" s="116" t="n"/>
      <c r="B360" s="117" t="n"/>
      <c r="C360" s="114">
        <f>IF(OR(B360="",B359=""),"",B360/B359-1)</f>
        <v/>
      </c>
      <c r="D360" s="114">
        <f>IF(B360="","",IFERROR(B360/INDEX($B$2:$B$400,MATCH(DATE(YEAR(A360)-1,12,1),$A$2:$A$400,0))-1,""))</f>
        <v/>
      </c>
      <c r="E360" s="114">
        <f>IF(B360="","",IFERROR(B360/INDEX($B$2:$B$400,MATCH(DATE(YEAR(A360)-1,MONTH(A360),1),$A$2:$A$400,0))-1,""))</f>
        <v/>
      </c>
    </row>
    <row r="361">
      <c r="A361" s="116" t="n"/>
      <c r="B361" s="117" t="n"/>
      <c r="C361" s="114">
        <f>IF(OR(B361="",B360=""),"",B361/B360-1)</f>
        <v/>
      </c>
      <c r="D361" s="114">
        <f>IF(B361="","",IFERROR(B361/INDEX($B$2:$B$400,MATCH(DATE(YEAR(A361)-1,12,1),$A$2:$A$400,0))-1,""))</f>
        <v/>
      </c>
      <c r="E361" s="114">
        <f>IF(B361="","",IFERROR(B361/INDEX($B$2:$B$400,MATCH(DATE(YEAR(A361)-1,MONTH(A361),1),$A$2:$A$400,0))-1,""))</f>
        <v/>
      </c>
    </row>
    <row r="362">
      <c r="A362" s="116" t="n"/>
      <c r="B362" s="117" t="n"/>
      <c r="C362" s="114">
        <f>IF(OR(B362="",B361=""),"",B362/B361-1)</f>
        <v/>
      </c>
      <c r="D362" s="114">
        <f>IF(B362="","",IFERROR(B362/INDEX($B$2:$B$400,MATCH(DATE(YEAR(A362)-1,12,1),$A$2:$A$400,0))-1,""))</f>
        <v/>
      </c>
      <c r="E362" s="114">
        <f>IF(B362="","",IFERROR(B362/INDEX($B$2:$B$400,MATCH(DATE(YEAR(A362)-1,MONTH(A362),1),$A$2:$A$400,0))-1,""))</f>
        <v/>
      </c>
    </row>
    <row r="363">
      <c r="A363" s="116" t="n"/>
      <c r="B363" s="117" t="n"/>
      <c r="C363" s="114">
        <f>IF(OR(B363="",B362=""),"",B363/B362-1)</f>
        <v/>
      </c>
      <c r="D363" s="114">
        <f>IF(B363="","",IFERROR(B363/INDEX($B$2:$B$400,MATCH(DATE(YEAR(A363)-1,12,1),$A$2:$A$400,0))-1,""))</f>
        <v/>
      </c>
      <c r="E363" s="114">
        <f>IF(B363="","",IFERROR(B363/INDEX($B$2:$B$400,MATCH(DATE(YEAR(A363)-1,MONTH(A363),1),$A$2:$A$400,0))-1,""))</f>
        <v/>
      </c>
    </row>
    <row r="364">
      <c r="A364" s="116" t="n"/>
      <c r="B364" s="117" t="n"/>
      <c r="C364" s="114">
        <f>IF(OR(B364="",B363=""),"",B364/B363-1)</f>
        <v/>
      </c>
      <c r="D364" s="114">
        <f>IF(B364="","",IFERROR(B364/INDEX($B$2:$B$400,MATCH(DATE(YEAR(A364)-1,12,1),$A$2:$A$400,0))-1,""))</f>
        <v/>
      </c>
      <c r="E364" s="114">
        <f>IF(B364="","",IFERROR(B364/INDEX($B$2:$B$400,MATCH(DATE(YEAR(A364)-1,MONTH(A364),1),$A$2:$A$400,0))-1,""))</f>
        <v/>
      </c>
    </row>
    <row r="365">
      <c r="A365" s="116" t="n"/>
      <c r="B365" s="117" t="n"/>
      <c r="C365" s="114">
        <f>IF(OR(B365="",B364=""),"",B365/B364-1)</f>
        <v/>
      </c>
      <c r="D365" s="114">
        <f>IF(B365="","",IFERROR(B365/INDEX($B$2:$B$400,MATCH(DATE(YEAR(A365)-1,12,1),$A$2:$A$400,0))-1,""))</f>
        <v/>
      </c>
      <c r="E365" s="114">
        <f>IF(B365="","",IFERROR(B365/INDEX($B$2:$B$400,MATCH(DATE(YEAR(A365)-1,MONTH(A365),1),$A$2:$A$400,0))-1,""))</f>
        <v/>
      </c>
    </row>
    <row r="366">
      <c r="A366" s="116" t="n"/>
      <c r="B366" s="117" t="n"/>
      <c r="C366" s="114">
        <f>IF(OR(B366="",B365=""),"",B366/B365-1)</f>
        <v/>
      </c>
      <c r="D366" s="114">
        <f>IF(B366="","",IFERROR(B366/INDEX($B$2:$B$400,MATCH(DATE(YEAR(A366)-1,12,1),$A$2:$A$400,0))-1,""))</f>
        <v/>
      </c>
      <c r="E366" s="114">
        <f>IF(B366="","",IFERROR(B366/INDEX($B$2:$B$400,MATCH(DATE(YEAR(A366)-1,MONTH(A366),1),$A$2:$A$400,0))-1,""))</f>
        <v/>
      </c>
    </row>
    <row r="367">
      <c r="A367" s="116" t="n"/>
      <c r="B367" s="117" t="n"/>
      <c r="C367" s="114">
        <f>IF(OR(B367="",B366=""),"",B367/B366-1)</f>
        <v/>
      </c>
      <c r="D367" s="114">
        <f>IF(B367="","",IFERROR(B367/INDEX($B$2:$B$400,MATCH(DATE(YEAR(A367)-1,12,1),$A$2:$A$400,0))-1,""))</f>
        <v/>
      </c>
      <c r="E367" s="114">
        <f>IF(B367="","",IFERROR(B367/INDEX($B$2:$B$400,MATCH(DATE(YEAR(A367)-1,MONTH(A367),1),$A$2:$A$400,0))-1,""))</f>
        <v/>
      </c>
    </row>
    <row r="368">
      <c r="A368" s="116" t="n"/>
      <c r="B368" s="117" t="n"/>
      <c r="C368" s="114">
        <f>IF(OR(B368="",B367=""),"",B368/B367-1)</f>
        <v/>
      </c>
      <c r="D368" s="114">
        <f>IF(B368="","",IFERROR(B368/INDEX($B$2:$B$400,MATCH(DATE(YEAR(A368)-1,12,1),$A$2:$A$400,0))-1,""))</f>
        <v/>
      </c>
      <c r="E368" s="114">
        <f>IF(B368="","",IFERROR(B368/INDEX($B$2:$B$400,MATCH(DATE(YEAR(A368)-1,MONTH(A368),1),$A$2:$A$400,0))-1,""))</f>
        <v/>
      </c>
    </row>
    <row r="369">
      <c r="A369" s="116" t="n"/>
      <c r="B369" s="117" t="n"/>
      <c r="C369" s="114">
        <f>IF(OR(B369="",B368=""),"",B369/B368-1)</f>
        <v/>
      </c>
      <c r="D369" s="114">
        <f>IF(B369="","",IFERROR(B369/INDEX($B$2:$B$400,MATCH(DATE(YEAR(A369)-1,12,1),$A$2:$A$400,0))-1,""))</f>
        <v/>
      </c>
      <c r="E369" s="114">
        <f>IF(B369="","",IFERROR(B369/INDEX($B$2:$B$400,MATCH(DATE(YEAR(A369)-1,MONTH(A369),1),$A$2:$A$400,0))-1,""))</f>
        <v/>
      </c>
    </row>
    <row r="370">
      <c r="A370" s="116" t="n"/>
      <c r="B370" s="117" t="n"/>
      <c r="C370" s="114">
        <f>IF(OR(B370="",B369=""),"",B370/B369-1)</f>
        <v/>
      </c>
      <c r="D370" s="114">
        <f>IF(B370="","",IFERROR(B370/INDEX($B$2:$B$400,MATCH(DATE(YEAR(A370)-1,12,1),$A$2:$A$400,0))-1,""))</f>
        <v/>
      </c>
      <c r="E370" s="114">
        <f>IF(B370="","",IFERROR(B370/INDEX($B$2:$B$400,MATCH(DATE(YEAR(A370)-1,MONTH(A370),1),$A$2:$A$400,0))-1,""))</f>
        <v/>
      </c>
    </row>
    <row r="371">
      <c r="A371" s="116" t="n"/>
      <c r="B371" s="117" t="n"/>
      <c r="C371" s="114">
        <f>IF(OR(B371="",B370=""),"",B371/B370-1)</f>
        <v/>
      </c>
      <c r="D371" s="114">
        <f>IF(B371="","",IFERROR(B371/INDEX($B$2:$B$400,MATCH(DATE(YEAR(A371)-1,12,1),$A$2:$A$400,0))-1,""))</f>
        <v/>
      </c>
      <c r="E371" s="114">
        <f>IF(B371="","",IFERROR(B371/INDEX($B$2:$B$400,MATCH(DATE(YEAR(A371)-1,MONTH(A371),1),$A$2:$A$400,0))-1,""))</f>
        <v/>
      </c>
    </row>
    <row r="372">
      <c r="A372" s="116" t="n"/>
      <c r="B372" s="117" t="n"/>
      <c r="C372" s="114">
        <f>IF(OR(B372="",B371=""),"",B372/B371-1)</f>
        <v/>
      </c>
      <c r="D372" s="114">
        <f>IF(B372="","",IFERROR(B372/INDEX($B$2:$B$400,MATCH(DATE(YEAR(A372)-1,12,1),$A$2:$A$400,0))-1,""))</f>
        <v/>
      </c>
      <c r="E372" s="114">
        <f>IF(B372="","",IFERROR(B372/INDEX($B$2:$B$400,MATCH(DATE(YEAR(A372)-1,MONTH(A372),1),$A$2:$A$400,0))-1,""))</f>
        <v/>
      </c>
    </row>
    <row r="373">
      <c r="A373" s="116" t="n"/>
      <c r="B373" s="117" t="n"/>
      <c r="C373" s="114">
        <f>IF(OR(B373="",B372=""),"",B373/B372-1)</f>
        <v/>
      </c>
      <c r="D373" s="114">
        <f>IF(B373="","",IFERROR(B373/INDEX($B$2:$B$400,MATCH(DATE(YEAR(A373)-1,12,1),$A$2:$A$400,0))-1,""))</f>
        <v/>
      </c>
      <c r="E373" s="114">
        <f>IF(B373="","",IFERROR(B373/INDEX($B$2:$B$400,MATCH(DATE(YEAR(A373)-1,MONTH(A373),1),$A$2:$A$400,0))-1,""))</f>
        <v/>
      </c>
    </row>
    <row r="374">
      <c r="A374" s="116" t="n"/>
      <c r="B374" s="117" t="n"/>
      <c r="C374" s="114">
        <f>IF(OR(B374="",B373=""),"",B374/B373-1)</f>
        <v/>
      </c>
      <c r="D374" s="114">
        <f>IF(B374="","",IFERROR(B374/INDEX($B$2:$B$400,MATCH(DATE(YEAR(A374)-1,12,1),$A$2:$A$400,0))-1,""))</f>
        <v/>
      </c>
      <c r="E374" s="114">
        <f>IF(B374="","",IFERROR(B374/INDEX($B$2:$B$400,MATCH(DATE(YEAR(A374)-1,MONTH(A374),1),$A$2:$A$400,0))-1,""))</f>
        <v/>
      </c>
    </row>
    <row r="375">
      <c r="A375" s="116" t="n"/>
      <c r="B375" s="117" t="n"/>
      <c r="C375" s="114">
        <f>IF(OR(B375="",B374=""),"",B375/B374-1)</f>
        <v/>
      </c>
      <c r="D375" s="114">
        <f>IF(B375="","",IFERROR(B375/INDEX($B$2:$B$400,MATCH(DATE(YEAR(A375)-1,12,1),$A$2:$A$400,0))-1,""))</f>
        <v/>
      </c>
      <c r="E375" s="114">
        <f>IF(B375="","",IFERROR(B375/INDEX($B$2:$B$400,MATCH(DATE(YEAR(A375)-1,MONTH(A375),1),$A$2:$A$400,0))-1,""))</f>
        <v/>
      </c>
    </row>
    <row r="376">
      <c r="A376" s="116" t="n"/>
      <c r="B376" s="117" t="n"/>
      <c r="C376" s="114">
        <f>IF(OR(B376="",B375=""),"",B376/B375-1)</f>
        <v/>
      </c>
      <c r="D376" s="114">
        <f>IF(B376="","",IFERROR(B376/INDEX($B$2:$B$400,MATCH(DATE(YEAR(A376)-1,12,1),$A$2:$A$400,0))-1,""))</f>
        <v/>
      </c>
      <c r="E376" s="114">
        <f>IF(B376="","",IFERROR(B376/INDEX($B$2:$B$400,MATCH(DATE(YEAR(A376)-1,MONTH(A376),1),$A$2:$A$400,0))-1,""))</f>
        <v/>
      </c>
    </row>
    <row r="377">
      <c r="A377" s="116" t="n"/>
      <c r="B377" s="117" t="n"/>
      <c r="C377" s="114">
        <f>IF(OR(B377="",B376=""),"",B377/B376-1)</f>
        <v/>
      </c>
      <c r="D377" s="114">
        <f>IF(B377="","",IFERROR(B377/INDEX($B$2:$B$400,MATCH(DATE(YEAR(A377)-1,12,1),$A$2:$A$400,0))-1,""))</f>
        <v/>
      </c>
      <c r="E377" s="114">
        <f>IF(B377="","",IFERROR(B377/INDEX($B$2:$B$400,MATCH(DATE(YEAR(A377)-1,MONTH(A377),1),$A$2:$A$400,0))-1,""))</f>
        <v/>
      </c>
    </row>
    <row r="378">
      <c r="A378" s="116" t="n"/>
      <c r="B378" s="117" t="n"/>
      <c r="C378" s="114">
        <f>IF(OR(B378="",B377=""),"",B378/B377-1)</f>
        <v/>
      </c>
      <c r="D378" s="114">
        <f>IF(B378="","",IFERROR(B378/INDEX($B$2:$B$400,MATCH(DATE(YEAR(A378)-1,12,1),$A$2:$A$400,0))-1,""))</f>
        <v/>
      </c>
      <c r="E378" s="114">
        <f>IF(B378="","",IFERROR(B378/INDEX($B$2:$B$400,MATCH(DATE(YEAR(A378)-1,MONTH(A378),1),$A$2:$A$400,0))-1,""))</f>
        <v/>
      </c>
    </row>
    <row r="379">
      <c r="A379" s="116" t="n"/>
      <c r="B379" s="117" t="n"/>
      <c r="C379" s="114">
        <f>IF(OR(B379="",B378=""),"",B379/B378-1)</f>
        <v/>
      </c>
      <c r="D379" s="114">
        <f>IF(B379="","",IFERROR(B379/INDEX($B$2:$B$400,MATCH(DATE(YEAR(A379)-1,12,1),$A$2:$A$400,0))-1,""))</f>
        <v/>
      </c>
      <c r="E379" s="114">
        <f>IF(B379="","",IFERROR(B379/INDEX($B$2:$B$400,MATCH(DATE(YEAR(A379)-1,MONTH(A379),1),$A$2:$A$400,0))-1,""))</f>
        <v/>
      </c>
    </row>
    <row r="380">
      <c r="A380" s="116" t="n"/>
      <c r="B380" s="117" t="n"/>
      <c r="C380" s="114">
        <f>IF(OR(B380="",B379=""),"",B380/B379-1)</f>
        <v/>
      </c>
      <c r="D380" s="114">
        <f>IF(B380="","",IFERROR(B380/INDEX($B$2:$B$400,MATCH(DATE(YEAR(A380)-1,12,1),$A$2:$A$400,0))-1,""))</f>
        <v/>
      </c>
      <c r="E380" s="114">
        <f>IF(B380="","",IFERROR(B380/INDEX($B$2:$B$400,MATCH(DATE(YEAR(A380)-1,MONTH(A380),1),$A$2:$A$400,0))-1,""))</f>
        <v/>
      </c>
    </row>
    <row r="381">
      <c r="A381" s="116" t="n"/>
      <c r="B381" s="117" t="n"/>
      <c r="C381" s="114">
        <f>IF(OR(B381="",B380=""),"",B381/B380-1)</f>
        <v/>
      </c>
      <c r="D381" s="114">
        <f>IF(B381="","",IFERROR(B381/INDEX($B$2:$B$400,MATCH(DATE(YEAR(A381)-1,12,1),$A$2:$A$400,0))-1,""))</f>
        <v/>
      </c>
      <c r="E381" s="114">
        <f>IF(B381="","",IFERROR(B381/INDEX($B$2:$B$400,MATCH(DATE(YEAR(A381)-1,MONTH(A381),1),$A$2:$A$400,0))-1,""))</f>
        <v/>
      </c>
    </row>
    <row r="382">
      <c r="A382" s="116" t="n"/>
      <c r="B382" s="117" t="n"/>
      <c r="C382" s="114">
        <f>IF(OR(B382="",B381=""),"",B382/B381-1)</f>
        <v/>
      </c>
      <c r="D382" s="114">
        <f>IF(B382="","",IFERROR(B382/INDEX($B$2:$B$400,MATCH(DATE(YEAR(A382)-1,12,1),$A$2:$A$400,0))-1,""))</f>
        <v/>
      </c>
      <c r="E382" s="114">
        <f>IF(B382="","",IFERROR(B382/INDEX($B$2:$B$400,MATCH(DATE(YEAR(A382)-1,MONTH(A382),1),$A$2:$A$400,0))-1,""))</f>
        <v/>
      </c>
    </row>
    <row r="383">
      <c r="A383" s="116" t="n"/>
      <c r="B383" s="117" t="n"/>
      <c r="C383" s="114">
        <f>IF(OR(B383="",B382=""),"",B383/B382-1)</f>
        <v/>
      </c>
      <c r="D383" s="114">
        <f>IF(B383="","",IFERROR(B383/INDEX($B$2:$B$400,MATCH(DATE(YEAR(A383)-1,12,1),$A$2:$A$400,0))-1,""))</f>
        <v/>
      </c>
      <c r="E383" s="114">
        <f>IF(B383="","",IFERROR(B383/INDEX($B$2:$B$400,MATCH(DATE(YEAR(A383)-1,MONTH(A383),1),$A$2:$A$400,0))-1,""))</f>
        <v/>
      </c>
    </row>
    <row r="384">
      <c r="A384" s="116" t="n"/>
      <c r="B384" s="117" t="n"/>
      <c r="C384" s="114">
        <f>IF(OR(B384="",B383=""),"",B384/B383-1)</f>
        <v/>
      </c>
      <c r="D384" s="114">
        <f>IF(B384="","",IFERROR(B384/INDEX($B$2:$B$400,MATCH(DATE(YEAR(A384)-1,12,1),$A$2:$A$400,0))-1,""))</f>
        <v/>
      </c>
      <c r="E384" s="114">
        <f>IF(B384="","",IFERROR(B384/INDEX($B$2:$B$400,MATCH(DATE(YEAR(A384)-1,MONTH(A384),1),$A$2:$A$400,0))-1,""))</f>
        <v/>
      </c>
    </row>
    <row r="385">
      <c r="A385" s="116" t="n"/>
      <c r="B385" s="117" t="n"/>
      <c r="C385" s="114">
        <f>IF(OR(B385="",B384=""),"",B385/B384-1)</f>
        <v/>
      </c>
      <c r="D385" s="114">
        <f>IF(B385="","",IFERROR(B385/INDEX($B$2:$B$400,MATCH(DATE(YEAR(A385)-1,12,1),$A$2:$A$400,0))-1,""))</f>
        <v/>
      </c>
      <c r="E385" s="114">
        <f>IF(B385="","",IFERROR(B385/INDEX($B$2:$B$400,MATCH(DATE(YEAR(A385)-1,MONTH(A385),1),$A$2:$A$400,0))-1,""))</f>
        <v/>
      </c>
    </row>
    <row r="386">
      <c r="A386" s="116" t="n"/>
      <c r="B386" s="117" t="n"/>
      <c r="C386" s="114">
        <f>IF(OR(B386="",B385=""),"",B386/B385-1)</f>
        <v/>
      </c>
      <c r="D386" s="114">
        <f>IF(B386="","",IFERROR(B386/INDEX($B$2:$B$400,MATCH(DATE(YEAR(A386)-1,12,1),$A$2:$A$400,0))-1,""))</f>
        <v/>
      </c>
      <c r="E386" s="114">
        <f>IF(B386="","",IFERROR(B386/INDEX($B$2:$B$400,MATCH(DATE(YEAR(A386)-1,MONTH(A386),1),$A$2:$A$400,0))-1,""))</f>
        <v/>
      </c>
    </row>
    <row r="387">
      <c r="A387" s="116" t="n"/>
      <c r="B387" s="117" t="n"/>
      <c r="C387" s="114">
        <f>IF(OR(B387="",B386=""),"",B387/B386-1)</f>
        <v/>
      </c>
      <c r="D387" s="114">
        <f>IF(B387="","",IFERROR(B387/INDEX($B$2:$B$400,MATCH(DATE(YEAR(A387)-1,12,1),$A$2:$A$400,0))-1,""))</f>
        <v/>
      </c>
      <c r="E387" s="114">
        <f>IF(B387="","",IFERROR(B387/INDEX($B$2:$B$400,MATCH(DATE(YEAR(A387)-1,MONTH(A387),1),$A$2:$A$400,0))-1,""))</f>
        <v/>
      </c>
    </row>
    <row r="388">
      <c r="A388" s="116" t="n"/>
      <c r="B388" s="117" t="n"/>
      <c r="C388" s="114">
        <f>IF(OR(B388="",B387=""),"",B388/B387-1)</f>
        <v/>
      </c>
      <c r="D388" s="114">
        <f>IF(B388="","",IFERROR(B388/INDEX($B$2:$B$400,MATCH(DATE(YEAR(A388)-1,12,1),$A$2:$A$400,0))-1,""))</f>
        <v/>
      </c>
      <c r="E388" s="114">
        <f>IF(B388="","",IFERROR(B388/INDEX($B$2:$B$400,MATCH(DATE(YEAR(A388)-1,MONTH(A388),1),$A$2:$A$400,0))-1,""))</f>
        <v/>
      </c>
    </row>
    <row r="389">
      <c r="A389" s="116" t="n"/>
      <c r="B389" s="117" t="n"/>
      <c r="C389" s="114">
        <f>IF(OR(B389="",B388=""),"",B389/B388-1)</f>
        <v/>
      </c>
      <c r="D389" s="114">
        <f>IF(B389="","",IFERROR(B389/INDEX($B$2:$B$400,MATCH(DATE(YEAR(A389)-1,12,1),$A$2:$A$400,0))-1,""))</f>
        <v/>
      </c>
      <c r="E389" s="114">
        <f>IF(B389="","",IFERROR(B389/INDEX($B$2:$B$400,MATCH(DATE(YEAR(A389)-1,MONTH(A389),1),$A$2:$A$400,0))-1,""))</f>
        <v/>
      </c>
    </row>
    <row r="390">
      <c r="A390" s="116" t="n"/>
      <c r="B390" s="117" t="n"/>
      <c r="C390" s="114">
        <f>IF(OR(B390="",B389=""),"",B390/B389-1)</f>
        <v/>
      </c>
      <c r="D390" s="114">
        <f>IF(B390="","",IFERROR(B390/INDEX($B$2:$B$400,MATCH(DATE(YEAR(A390)-1,12,1),$A$2:$A$400,0))-1,""))</f>
        <v/>
      </c>
      <c r="E390" s="114">
        <f>IF(B390="","",IFERROR(B390/INDEX($B$2:$B$400,MATCH(DATE(YEAR(A390)-1,MONTH(A390),1),$A$2:$A$400,0))-1,""))</f>
        <v/>
      </c>
    </row>
    <row r="391">
      <c r="A391" s="116" t="n"/>
      <c r="B391" s="117" t="n"/>
      <c r="C391" s="114">
        <f>IF(OR(B391="",B390=""),"",B391/B390-1)</f>
        <v/>
      </c>
      <c r="D391" s="114">
        <f>IF(B391="","",IFERROR(B391/INDEX($B$2:$B$400,MATCH(DATE(YEAR(A391)-1,12,1),$A$2:$A$400,0))-1,""))</f>
        <v/>
      </c>
      <c r="E391" s="114">
        <f>IF(B391="","",IFERROR(B391/INDEX($B$2:$B$400,MATCH(DATE(YEAR(A391)-1,MONTH(A391),1),$A$2:$A$400,0))-1,""))</f>
        <v/>
      </c>
    </row>
    <row r="392">
      <c r="A392" s="116" t="n"/>
      <c r="B392" s="117" t="n"/>
      <c r="C392" s="114">
        <f>IF(OR(B392="",B391=""),"",B392/B391-1)</f>
        <v/>
      </c>
      <c r="D392" s="114">
        <f>IF(B392="","",IFERROR(B392/INDEX($B$2:$B$400,MATCH(DATE(YEAR(A392)-1,12,1),$A$2:$A$400,0))-1,""))</f>
        <v/>
      </c>
      <c r="E392" s="114">
        <f>IF(B392="","",IFERROR(B392/INDEX($B$2:$B$400,MATCH(DATE(YEAR(A392)-1,MONTH(A392),1),$A$2:$A$400,0))-1,""))</f>
        <v/>
      </c>
    </row>
    <row r="393">
      <c r="A393" s="116" t="n"/>
      <c r="B393" s="117" t="n"/>
      <c r="C393" s="114">
        <f>IF(OR(B393="",B392=""),"",B393/B392-1)</f>
        <v/>
      </c>
      <c r="D393" s="114">
        <f>IF(B393="","",IFERROR(B393/INDEX($B$2:$B$400,MATCH(DATE(YEAR(A393)-1,12,1),$A$2:$A$400,0))-1,""))</f>
        <v/>
      </c>
      <c r="E393" s="114">
        <f>IF(B393="","",IFERROR(B393/INDEX($B$2:$B$400,MATCH(DATE(YEAR(A393)-1,MONTH(A393),1),$A$2:$A$400,0))-1,""))</f>
        <v/>
      </c>
    </row>
    <row r="394">
      <c r="A394" s="116" t="n"/>
      <c r="B394" s="117" t="n"/>
      <c r="C394" s="114">
        <f>IF(OR(B394="",B393=""),"",B394/B393-1)</f>
        <v/>
      </c>
      <c r="D394" s="114">
        <f>IF(B394="","",IFERROR(B394/INDEX($B$2:$B$400,MATCH(DATE(YEAR(A394)-1,12,1),$A$2:$A$400,0))-1,""))</f>
        <v/>
      </c>
      <c r="E394" s="114">
        <f>IF(B394="","",IFERROR(B394/INDEX($B$2:$B$400,MATCH(DATE(YEAR(A394)-1,MONTH(A394),1),$A$2:$A$400,0))-1,""))</f>
        <v/>
      </c>
    </row>
    <row r="395">
      <c r="A395" s="116" t="n"/>
      <c r="B395" s="117" t="n"/>
      <c r="C395" s="114">
        <f>IF(OR(B395="",B394=""),"",B395/B394-1)</f>
        <v/>
      </c>
      <c r="D395" s="114">
        <f>IF(B395="","",IFERROR(B395/INDEX($B$2:$B$400,MATCH(DATE(YEAR(A395)-1,12,1),$A$2:$A$400,0))-1,""))</f>
        <v/>
      </c>
      <c r="E395" s="114">
        <f>IF(B395="","",IFERROR(B395/INDEX($B$2:$B$400,MATCH(DATE(YEAR(A395)-1,MONTH(A395),1),$A$2:$A$400,0))-1,""))</f>
        <v/>
      </c>
    </row>
    <row r="396">
      <c r="A396" s="116" t="n"/>
      <c r="B396" s="117" t="n"/>
      <c r="C396" s="114">
        <f>IF(OR(B396="",B395=""),"",B396/B395-1)</f>
        <v/>
      </c>
      <c r="D396" s="114">
        <f>IF(B396="","",IFERROR(B396/INDEX($B$2:$B$400,MATCH(DATE(YEAR(A396)-1,12,1),$A$2:$A$400,0))-1,""))</f>
        <v/>
      </c>
      <c r="E396" s="114">
        <f>IF(B396="","",IFERROR(B396/INDEX($B$2:$B$400,MATCH(DATE(YEAR(A396)-1,MONTH(A396),1),$A$2:$A$400,0))-1,""))</f>
        <v/>
      </c>
    </row>
    <row r="397">
      <c r="A397" s="116" t="n"/>
      <c r="B397" s="117" t="n"/>
      <c r="C397" s="114">
        <f>IF(OR(B397="",B396=""),"",B397/B396-1)</f>
        <v/>
      </c>
      <c r="D397" s="114">
        <f>IF(B397="","",IFERROR(B397/INDEX($B$2:$B$400,MATCH(DATE(YEAR(A397)-1,12,1),$A$2:$A$400,0))-1,""))</f>
        <v/>
      </c>
      <c r="E397" s="114">
        <f>IF(B397="","",IFERROR(B397/INDEX($B$2:$B$400,MATCH(DATE(YEAR(A397)-1,MONTH(A397),1),$A$2:$A$400,0))-1,""))</f>
        <v/>
      </c>
    </row>
    <row r="398">
      <c r="A398" s="116" t="n"/>
      <c r="B398" s="117" t="n"/>
      <c r="C398" s="114">
        <f>IF(OR(B398="",B397=""),"",B398/B397-1)</f>
        <v/>
      </c>
      <c r="D398" s="114">
        <f>IF(B398="","",IFERROR(B398/INDEX($B$2:$B$400,MATCH(DATE(YEAR(A398)-1,12,1),$A$2:$A$400,0))-1,""))</f>
        <v/>
      </c>
      <c r="E398" s="114">
        <f>IF(B398="","",IFERROR(B398/INDEX($B$2:$B$400,MATCH(DATE(YEAR(A398)-1,MONTH(A398),1),$A$2:$A$400,0))-1,""))</f>
        <v/>
      </c>
    </row>
    <row r="399">
      <c r="A399" s="116" t="n"/>
      <c r="B399" s="117" t="n"/>
      <c r="C399" s="114">
        <f>IF(OR(B399="",B398=""),"",B399/B398-1)</f>
        <v/>
      </c>
      <c r="D399" s="114">
        <f>IF(B399="","",IFERROR(B399/INDEX($B$2:$B$400,MATCH(DATE(YEAR(A399)-1,12,1),$A$2:$A$400,0))-1,""))</f>
        <v/>
      </c>
      <c r="E399" s="114">
        <f>IF(B399="","",IFERROR(B399/INDEX($B$2:$B$400,MATCH(DATE(YEAR(A399)-1,MONTH(A399),1),$A$2:$A$400,0))-1,""))</f>
        <v/>
      </c>
    </row>
    <row r="400">
      <c r="A400" s="116" t="n"/>
      <c r="B400" s="117" t="n"/>
      <c r="C400" s="114">
        <f>IF(OR(B400="",B399=""),"",B400/B399-1)</f>
        <v/>
      </c>
      <c r="D400" s="114">
        <f>IF(B400="","",IFERROR(B400/INDEX($B$2:$B$400,MATCH(DATE(YEAR(A400)-1,12,1),$A$2:$A$400,0))-1,""))</f>
        <v/>
      </c>
      <c r="E400" s="114">
        <f>IF(B400="","",IFERROR(B400/INDEX($B$2:$B$400,MATCH(DATE(YEAR(A400)-1,MONTH(A400),1),$A$2:$A$400,0))-1,""))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ES946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Botânico exportado em 25/09/2026</t>
        </is>
      </c>
    </row>
    <row r="2">
      <c r="J2" s="2" t="inlineStr">
        <is>
          <t>30/06/2025</t>
        </is>
      </c>
      <c r="M2" s="2" t="inlineStr">
        <is>
          <t>31/07/2025</t>
        </is>
      </c>
      <c r="P2" s="2" t="inlineStr">
        <is>
          <t>31/08/2025</t>
        </is>
      </c>
      <c r="S2" s="2" t="inlineStr">
        <is>
          <t>30/09/2025</t>
        </is>
      </c>
      <c r="V2" s="2" t="inlineStr">
        <is>
          <t>31/10/2025</t>
        </is>
      </c>
      <c r="Y2" s="2" t="inlineStr">
        <is>
          <t>30/11/2025</t>
        </is>
      </c>
      <c r="AB2" s="2" t="inlineStr">
        <is>
          <t>31/12/2025</t>
        </is>
      </c>
      <c r="AE2" s="2" t="inlineStr">
        <is>
          <t>31/01/2026</t>
        </is>
      </c>
      <c r="AH2" s="2" t="inlineStr">
        <is>
          <t>28/02/2026</t>
        </is>
      </c>
      <c r="AK2" s="2" t="inlineStr">
        <is>
          <t>31/03/2026</t>
        </is>
      </c>
      <c r="AN2" s="2" t="inlineStr">
        <is>
          <t>30/04/2026</t>
        </is>
      </c>
      <c r="AQ2" s="2" t="inlineStr">
        <is>
          <t>31/05/2026</t>
        </is>
      </c>
      <c r="AT2" s="2" t="inlineStr">
        <is>
          <t>30/06/2026</t>
        </is>
      </c>
      <c r="AW2" s="2" t="inlineStr">
        <is>
          <t>31/07/2026</t>
        </is>
      </c>
      <c r="AZ2" s="2" t="inlineStr">
        <is>
          <t>31/08/2026</t>
        </is>
      </c>
      <c r="BC2" s="2" t="inlineStr">
        <is>
          <t>30/09/2026</t>
        </is>
      </c>
      <c r="BF2" s="2" t="inlineStr">
        <is>
          <t>31/10/2026</t>
        </is>
      </c>
      <c r="BI2" s="2" t="inlineStr">
        <is>
          <t>30/11/2026</t>
        </is>
      </c>
      <c r="BL2" s="2" t="inlineStr">
        <is>
          <t>31/12/2026</t>
        </is>
      </c>
      <c r="BO2" s="2" t="inlineStr">
        <is>
          <t>31/01/2027</t>
        </is>
      </c>
      <c r="BR2" s="2" t="inlineStr">
        <is>
          <t>28/02/2027</t>
        </is>
      </c>
      <c r="BU2" s="2" t="inlineStr">
        <is>
          <t>31/03/2027</t>
        </is>
      </c>
      <c r="BX2" s="2" t="inlineStr">
        <is>
          <t>30/04/2027</t>
        </is>
      </c>
      <c r="CA2" s="2" t="inlineStr">
        <is>
          <t>31/05/2027</t>
        </is>
      </c>
      <c r="CD2" s="2" t="inlineStr">
        <is>
          <t>30/06/2027</t>
        </is>
      </c>
      <c r="CG2" s="2" t="inlineStr">
        <is>
          <t>31/07/2027</t>
        </is>
      </c>
      <c r="CJ2" s="2" t="inlineStr">
        <is>
          <t>31/08/2027</t>
        </is>
      </c>
      <c r="CM2" s="2" t="inlineStr">
        <is>
          <t>30/09/2027</t>
        </is>
      </c>
      <c r="CP2" s="2" t="inlineStr">
        <is>
          <t>31/10/2027</t>
        </is>
      </c>
      <c r="CS2" s="2" t="inlineStr">
        <is>
          <t>30/11/2027</t>
        </is>
      </c>
      <c r="CV2" s="2" t="inlineStr">
        <is>
          <t>31/12/2027</t>
        </is>
      </c>
      <c r="CY2" s="2" t="inlineStr">
        <is>
          <t>31/01/2028</t>
        </is>
      </c>
      <c r="DB2" s="2" t="inlineStr">
        <is>
          <t>29/02/2028</t>
        </is>
      </c>
      <c r="DE2" s="2" t="inlineStr">
        <is>
          <t>31/03/2028</t>
        </is>
      </c>
      <c r="DH2" s="2" t="inlineStr">
        <is>
          <t>30/04/2028</t>
        </is>
      </c>
      <c r="DK2" s="2" t="inlineStr">
        <is>
          <t>31/05/2028</t>
        </is>
      </c>
      <c r="DN2" s="2" t="inlineStr">
        <is>
          <t>30/06/2028</t>
        </is>
      </c>
      <c r="DQ2" s="2" t="inlineStr">
        <is>
          <t>31/07/2028</t>
        </is>
      </c>
      <c r="DT2" s="2" t="inlineStr">
        <is>
          <t>31/08/2028</t>
        </is>
      </c>
      <c r="DW2" s="2" t="inlineStr">
        <is>
          <t>30/09/2028</t>
        </is>
      </c>
      <c r="DZ2" s="2" t="inlineStr">
        <is>
          <t>31/10/2028</t>
        </is>
      </c>
      <c r="EC2" s="2" t="inlineStr">
        <is>
          <t>30/11/2028</t>
        </is>
      </c>
      <c r="EF2" s="2" t="inlineStr">
        <is>
          <t>31/12/2028</t>
        </is>
      </c>
      <c r="EI2" s="2" t="inlineStr">
        <is>
          <t>31/01/2029</t>
        </is>
      </c>
      <c r="EL2" s="2" t="inlineStr">
        <is>
          <t>28/02/2029</t>
        </is>
      </c>
      <c r="EO2" s="2" t="inlineStr">
        <is>
          <t>31/03/2029</t>
        </is>
      </c>
      <c r="ER2" s="2" t="inlineStr">
        <is>
          <t>30/04/2029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</row>
    <row r="4">
      <c r="A4" s="2" t="n">
        <v>1</v>
      </c>
      <c r="B4" s="2" t="inlineStr">
        <is>
          <t>01</t>
        </is>
      </c>
      <c r="C4" s="2" t="inlineStr">
        <is>
          <t>PROJETOS</t>
        </is>
      </c>
      <c r="D4" s="2" t="inlineStr">
        <is>
          <t>-</t>
        </is>
      </c>
      <c r="E4" s="2" t="inlineStr">
        <is>
          <t>-</t>
        </is>
      </c>
      <c r="F4" s="2" t="n">
        <v>2400000</v>
      </c>
      <c r="G4" s="2" t="n">
        <v>0</v>
      </c>
      <c r="H4" s="2" t="n">
        <v>2400000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</row>
    <row r="5">
      <c r="A5" s="2" t="n">
        <v>2</v>
      </c>
      <c r="B5" s="2" t="inlineStr">
        <is>
          <t>01.01</t>
        </is>
      </c>
      <c r="C5" s="2" t="inlineStr">
        <is>
          <t>Elaboração de Básicos e Executivos</t>
        </is>
      </c>
      <c r="D5" s="2" t="inlineStr">
        <is>
          <t>-</t>
        </is>
      </c>
      <c r="E5" s="2" t="inlineStr">
        <is>
          <t>-</t>
        </is>
      </c>
      <c r="F5" s="2" t="n">
        <v>2400000</v>
      </c>
      <c r="G5" s="2" t="n">
        <v>0</v>
      </c>
      <c r="H5" s="2" t="n">
        <v>2400000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</row>
    <row r="6">
      <c r="A6" s="2" t="n">
        <v>1</v>
      </c>
      <c r="B6" s="2" t="inlineStr">
        <is>
          <t>02</t>
        </is>
      </c>
      <c r="C6" s="2" t="inlineStr">
        <is>
          <t>SEGURO DE OBRA</t>
        </is>
      </c>
      <c r="D6" s="2" t="inlineStr">
        <is>
          <t>-</t>
        </is>
      </c>
      <c r="E6" s="2" t="inlineStr">
        <is>
          <t>-</t>
        </is>
      </c>
      <c r="F6" s="2" t="n">
        <v>126154.98</v>
      </c>
      <c r="G6" s="2" t="n">
        <v>0</v>
      </c>
      <c r="H6" s="2" t="n">
        <v>126154.98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</row>
    <row r="7">
      <c r="A7" s="2" t="n">
        <v>2</v>
      </c>
      <c r="B7" s="2" t="inlineStr">
        <is>
          <t>02.01</t>
        </is>
      </c>
      <c r="C7" s="2" t="inlineStr">
        <is>
          <t>Seguro de obra</t>
        </is>
      </c>
      <c r="D7" s="2" t="inlineStr">
        <is>
          <t>-</t>
        </is>
      </c>
      <c r="E7" s="2" t="inlineStr">
        <is>
          <t>-</t>
        </is>
      </c>
      <c r="F7" s="2" t="n">
        <v>126154.98</v>
      </c>
      <c r="G7" s="2" t="n">
        <v>0</v>
      </c>
      <c r="H7" s="2" t="n">
        <v>126154.98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</row>
    <row r="8">
      <c r="A8" s="2" t="n">
        <v>1</v>
      </c>
      <c r="B8" s="2" t="inlineStr">
        <is>
          <t>03</t>
        </is>
      </c>
      <c r="C8" s="2" t="inlineStr">
        <is>
          <t>TAXAS DIVERSAS</t>
        </is>
      </c>
      <c r="D8" s="2" t="inlineStr">
        <is>
          <t>-</t>
        </is>
      </c>
      <c r="E8" s="2" t="inlineStr">
        <is>
          <t>-</t>
        </is>
      </c>
      <c r="F8" s="2" t="n">
        <v>150000</v>
      </c>
      <c r="G8" s="2" t="n">
        <v>0</v>
      </c>
      <c r="H8" s="2" t="n">
        <v>150000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</row>
    <row r="9">
      <c r="A9" s="2" t="n">
        <v>2</v>
      </c>
      <c r="B9" s="2" t="inlineStr">
        <is>
          <t>03.01</t>
        </is>
      </c>
      <c r="C9" s="2" t="inlineStr">
        <is>
          <t>Despesas legais</t>
        </is>
      </c>
      <c r="D9" s="2" t="inlineStr">
        <is>
          <t>-</t>
        </is>
      </c>
      <c r="E9" s="2" t="inlineStr">
        <is>
          <t>-</t>
        </is>
      </c>
      <c r="F9" s="2" t="n">
        <v>100000</v>
      </c>
      <c r="G9" s="2" t="n">
        <v>0</v>
      </c>
      <c r="H9" s="2" t="n">
        <v>100000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</row>
    <row r="10">
      <c r="A10" s="2" t="n">
        <v>2</v>
      </c>
      <c r="B10" s="2" t="inlineStr">
        <is>
          <t>03.02</t>
        </is>
      </c>
      <c r="C10" s="2" t="inlineStr">
        <is>
          <t>Custos com vizinhos proveniente de danos causados pela execução da obra</t>
        </is>
      </c>
      <c r="D10" s="2" t="inlineStr">
        <is>
          <t>-</t>
        </is>
      </c>
      <c r="E10" s="2" t="inlineStr">
        <is>
          <t>-</t>
        </is>
      </c>
      <c r="F10" s="2" t="n">
        <v>50000</v>
      </c>
      <c r="G10" s="2" t="n">
        <v>0</v>
      </c>
      <c r="H10" s="2" t="n">
        <v>50000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</row>
    <row r="11">
      <c r="A11" s="2" t="n">
        <v>1</v>
      </c>
      <c r="B11" s="2" t="inlineStr">
        <is>
          <t>04</t>
        </is>
      </c>
      <c r="C11" s="2" t="inlineStr">
        <is>
          <t>BARRACAO DE OBRA</t>
        </is>
      </c>
      <c r="D11" s="2" t="inlineStr">
        <is>
          <t>-</t>
        </is>
      </c>
      <c r="E11" s="2" t="inlineStr">
        <is>
          <t>-</t>
        </is>
      </c>
      <c r="F11" s="2" t="n">
        <v>934513.1307375047</v>
      </c>
      <c r="G11" s="2" t="n">
        <v>0</v>
      </c>
      <c r="H11" s="2" t="n">
        <v>934513.1307375047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</row>
    <row r="12">
      <c r="A12" s="2" t="n">
        <v>2</v>
      </c>
      <c r="B12" s="2" t="inlineStr">
        <is>
          <t>04.01</t>
        </is>
      </c>
      <c r="C12" s="2" t="inlineStr">
        <is>
          <t>Fechamento Lateral</t>
        </is>
      </c>
      <c r="D12" s="2" t="inlineStr">
        <is>
          <t>-</t>
        </is>
      </c>
      <c r="E12" s="2" t="inlineStr">
        <is>
          <t>-</t>
        </is>
      </c>
      <c r="F12" s="2" t="n">
        <v>261239.6109999999</v>
      </c>
      <c r="G12" s="2" t="n">
        <v>0</v>
      </c>
      <c r="H12" s="2" t="n">
        <v>261239.6109999999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</row>
    <row r="13">
      <c r="A13" s="2" t="n">
        <v>3</v>
      </c>
      <c r="B13" s="2" t="inlineStr">
        <is>
          <t>04.01.01</t>
        </is>
      </c>
      <c r="C13" s="2" t="inlineStr">
        <is>
          <t>Tapumes de telha metálica, acabamento em plotagem vinílica</t>
        </is>
      </c>
      <c r="D13" s="2" t="inlineStr">
        <is>
          <t>-</t>
        </is>
      </c>
      <c r="E13" s="2" t="inlineStr">
        <is>
          <t>-</t>
        </is>
      </c>
      <c r="F13" s="2" t="n">
        <v>260739.6109999999</v>
      </c>
      <c r="G13" s="2" t="n">
        <v>0</v>
      </c>
      <c r="H13" s="2" t="n">
        <v>260739.6109999999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</row>
    <row r="14">
      <c r="A14" s="2" t="n">
        <v>3</v>
      </c>
      <c r="B14" s="2" t="inlineStr">
        <is>
          <t>04.01.02</t>
        </is>
      </c>
      <c r="C14" s="2" t="inlineStr">
        <is>
          <t>Placas de Obra - ART padrão CREA</t>
        </is>
      </c>
      <c r="D14" s="2" t="inlineStr">
        <is>
          <t>-</t>
        </is>
      </c>
      <c r="E14" s="2" t="inlineStr">
        <is>
          <t>-</t>
        </is>
      </c>
      <c r="F14" s="2" t="n">
        <v>500</v>
      </c>
      <c r="G14" s="2" t="n">
        <v>0</v>
      </c>
      <c r="H14" s="2" t="n">
        <v>500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</row>
    <row r="15">
      <c r="A15" s="2" t="n">
        <v>2</v>
      </c>
      <c r="B15" s="2" t="inlineStr">
        <is>
          <t>04.02</t>
        </is>
      </c>
      <c r="C15" s="2" t="inlineStr">
        <is>
          <t>Implantação do Canteiro de obras - Fase 1</t>
        </is>
      </c>
      <c r="D15" s="2" t="inlineStr">
        <is>
          <t>-</t>
        </is>
      </c>
      <c r="E15" s="2" t="inlineStr">
        <is>
          <t>-</t>
        </is>
      </c>
      <c r="F15" s="2" t="n">
        <v>252548.7544262426</v>
      </c>
      <c r="G15" s="2" t="n">
        <v>0</v>
      </c>
      <c r="H15" s="2" t="n">
        <v>252548.7544262426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</row>
    <row r="16">
      <c r="A16" s="2" t="n">
        <v>3</v>
      </c>
      <c r="B16" s="2" t="inlineStr">
        <is>
          <t>04.02.01</t>
        </is>
      </c>
      <c r="C16" s="2" t="inlineStr">
        <is>
          <t>Escritórios</t>
        </is>
      </c>
      <c r="D16" s="2" t="inlineStr">
        <is>
          <t>-</t>
        </is>
      </c>
      <c r="E16" s="2" t="inlineStr">
        <is>
          <t>-</t>
        </is>
      </c>
      <c r="F16" s="2" t="n">
        <v>70540.44030845036</v>
      </c>
      <c r="G16" s="2" t="n">
        <v>0</v>
      </c>
      <c r="H16" s="2" t="n">
        <v>70540.44030845036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</row>
    <row r="17">
      <c r="A17" s="2" t="n">
        <v>3</v>
      </c>
      <c r="B17" s="2" t="inlineStr">
        <is>
          <t>04.02.02</t>
        </is>
      </c>
      <c r="C17" s="2" t="inlineStr">
        <is>
          <t>Banheiro/vestiário</t>
        </is>
      </c>
      <c r="D17" s="2" t="inlineStr">
        <is>
          <t>-</t>
        </is>
      </c>
      <c r="E17" s="2" t="inlineStr">
        <is>
          <t>-</t>
        </is>
      </c>
      <c r="F17" s="2" t="n">
        <v>63432.61875832717</v>
      </c>
      <c r="G17" s="2" t="n">
        <v>0</v>
      </c>
      <c r="H17" s="2" t="n">
        <v>63432.61875832717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</row>
    <row r="18">
      <c r="A18" s="2" t="n">
        <v>3</v>
      </c>
      <c r="B18" s="2" t="inlineStr">
        <is>
          <t>04.02.03</t>
        </is>
      </c>
      <c r="C18" s="2" t="inlineStr">
        <is>
          <t>Portaria / Chapeira de ponto</t>
        </is>
      </c>
      <c r="D18" s="2" t="inlineStr">
        <is>
          <t>-</t>
        </is>
      </c>
      <c r="E18" s="2" t="inlineStr">
        <is>
          <t>-</t>
        </is>
      </c>
      <c r="F18" s="2" t="n">
        <v>1718.488338542972</v>
      </c>
      <c r="G18" s="2" t="n">
        <v>0</v>
      </c>
      <c r="H18" s="2" t="n">
        <v>1718.488338542972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</row>
    <row r="19">
      <c r="A19" s="2" t="n">
        <v>3</v>
      </c>
      <c r="B19" s="2" t="inlineStr">
        <is>
          <t>04.02.04</t>
        </is>
      </c>
      <c r="C19" s="2" t="inlineStr">
        <is>
          <t>Refeitório / Cozinha</t>
        </is>
      </c>
      <c r="D19" s="2" t="inlineStr">
        <is>
          <t>-</t>
        </is>
      </c>
      <c r="E19" s="2" t="inlineStr">
        <is>
          <t>-</t>
        </is>
      </c>
      <c r="F19" s="2" t="n">
        <v>51554.65015628916</v>
      </c>
      <c r="G19" s="2" t="n">
        <v>0</v>
      </c>
      <c r="H19" s="2" t="n">
        <v>51554.65015628916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</row>
    <row r="20">
      <c r="A20" s="2" t="n">
        <v>3</v>
      </c>
      <c r="B20" s="2" t="inlineStr">
        <is>
          <t>04.02.05</t>
        </is>
      </c>
      <c r="C20" s="2" t="inlineStr">
        <is>
          <t>Almoxarifado (depósito)</t>
        </is>
      </c>
      <c r="D20" s="2" t="inlineStr">
        <is>
          <t>-</t>
        </is>
      </c>
      <c r="E20" s="2" t="inlineStr">
        <is>
          <t>-</t>
        </is>
      </c>
      <c r="F20" s="2" t="n">
        <v>44680.69680211728</v>
      </c>
      <c r="G20" s="2" t="n">
        <v>0</v>
      </c>
      <c r="H20" s="2" t="n">
        <v>44680.69680211728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</row>
    <row r="21">
      <c r="A21" s="2" t="n">
        <v>3</v>
      </c>
      <c r="B21" s="2" t="inlineStr">
        <is>
          <t>04.02.06</t>
        </is>
      </c>
      <c r="C21" s="2" t="inlineStr">
        <is>
          <t>Almoxarifado (área coberta externa)</t>
        </is>
      </c>
      <c r="D21" s="2" t="inlineStr">
        <is>
          <t>-</t>
        </is>
      </c>
      <c r="E21" s="2" t="inlineStr">
        <is>
          <t>-</t>
        </is>
      </c>
      <c r="F21" s="2" t="n">
        <v>20621.86006251567</v>
      </c>
      <c r="G21" s="2" t="n">
        <v>0</v>
      </c>
      <c r="H21" s="2" t="n">
        <v>20621.86006251567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</row>
    <row r="22">
      <c r="A22" s="2" t="n">
        <v>2</v>
      </c>
      <c r="B22" s="2" t="inlineStr">
        <is>
          <t>04.03</t>
        </is>
      </c>
      <c r="C22" s="2" t="inlineStr">
        <is>
          <t>Implantação do Canteiro de obras - Fase 2 (Transferência para dentro do edifício)</t>
        </is>
      </c>
      <c r="D22" s="2" t="inlineStr">
        <is>
          <t>-</t>
        </is>
      </c>
      <c r="E22" s="2" t="inlineStr">
        <is>
          <t>-</t>
        </is>
      </c>
      <c r="F22" s="2" t="n">
        <v>174114.8111835668</v>
      </c>
      <c r="G22" s="2" t="n">
        <v>0</v>
      </c>
      <c r="H22" s="2" t="n">
        <v>174114.8111835668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</row>
    <row r="23">
      <c r="A23" s="2" t="n">
        <v>3</v>
      </c>
      <c r="B23" s="2" t="inlineStr">
        <is>
          <t>04.03.01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49479.8949797019</v>
      </c>
      <c r="G23" s="2" t="n">
        <v>0</v>
      </c>
      <c r="H23" s="2" t="n">
        <v>49479.8949797019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</row>
    <row r="24">
      <c r="A24" s="2" t="n">
        <v>3</v>
      </c>
      <c r="B24" s="2" t="inlineStr">
        <is>
          <t>04.03.02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45794.41204550034</v>
      </c>
      <c r="G24" s="2" t="n">
        <v>0</v>
      </c>
      <c r="H24" s="2" t="n">
        <v>45794.41204550034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</row>
    <row r="25">
      <c r="A25" s="2" t="n">
        <v>3</v>
      </c>
      <c r="B25" s="2" t="inlineStr">
        <is>
          <t>04.03.03</t>
        </is>
      </c>
      <c r="C25" s="2" t="inlineStr">
        <is>
          <t>Refeitório / Cozinha</t>
        </is>
      </c>
      <c r="D25" s="2" t="inlineStr">
        <is>
          <t>-</t>
        </is>
      </c>
      <c r="E25" s="2" t="inlineStr">
        <is>
          <t>-</t>
        </is>
      </c>
      <c r="F25" s="2" t="n">
        <v>42235.98437055242</v>
      </c>
      <c r="G25" s="2" t="n">
        <v>0</v>
      </c>
      <c r="H25" s="2" t="n">
        <v>42235.98437055242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</row>
    <row r="26">
      <c r="A26" s="2" t="n">
        <v>3</v>
      </c>
      <c r="B26" s="2" t="inlineStr">
        <is>
          <t>04.03.04</t>
        </is>
      </c>
      <c r="C26" s="2" t="inlineStr">
        <is>
          <t>Almoxarifado (depósito)</t>
        </is>
      </c>
      <c r="D26" s="2" t="inlineStr">
        <is>
          <t>-</t>
        </is>
      </c>
      <c r="E26" s="2" t="inlineStr">
        <is>
          <t>-</t>
        </is>
      </c>
      <c r="F26" s="2" t="n">
        <v>36604.5197878121</v>
      </c>
      <c r="G26" s="2" t="n">
        <v>0</v>
      </c>
      <c r="H26" s="2" t="n">
        <v>36604.5197878121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</row>
    <row r="27">
      <c r="A27" s="2" t="n">
        <v>2</v>
      </c>
      <c r="B27" s="2" t="inlineStr">
        <is>
          <t>04.04</t>
        </is>
      </c>
      <c r="C27" s="2" t="inlineStr">
        <is>
          <t>Instalações avancadas</t>
        </is>
      </c>
      <c r="D27" s="2" t="inlineStr">
        <is>
          <t>-</t>
        </is>
      </c>
      <c r="E27" s="2" t="inlineStr">
        <is>
          <t>-</t>
        </is>
      </c>
      <c r="F27" s="2" t="n">
        <v>25661.59062233145</v>
      </c>
      <c r="G27" s="2" t="n">
        <v>0</v>
      </c>
      <c r="H27" s="2" t="n">
        <v>25661.59062233145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</row>
    <row r="28">
      <c r="A28" s="2" t="n">
        <v>3</v>
      </c>
      <c r="B28" s="2" t="inlineStr">
        <is>
          <t>04.04.01</t>
        </is>
      </c>
      <c r="C28" s="2" t="inlineStr">
        <is>
          <t>Central de Armação</t>
        </is>
      </c>
      <c r="D28" s="2" t="inlineStr">
        <is>
          <t>-</t>
        </is>
      </c>
      <c r="E28" s="2" t="inlineStr">
        <is>
          <t>-</t>
        </is>
      </c>
      <c r="F28" s="2" t="n">
        <v>8447.196874110485</v>
      </c>
      <c r="G28" s="2" t="n">
        <v>0</v>
      </c>
      <c r="H28" s="2" t="n">
        <v>8447.196874110485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</row>
    <row r="29">
      <c r="A29" s="2" t="n">
        <v>3</v>
      </c>
      <c r="B29" s="2" t="inlineStr">
        <is>
          <t>04.04.02</t>
        </is>
      </c>
      <c r="C29" s="2" t="inlineStr">
        <is>
          <t>Central de Formas</t>
        </is>
      </c>
      <c r="D29" s="2" t="inlineStr">
        <is>
          <t>-</t>
        </is>
      </c>
      <c r="E29" s="2" t="inlineStr">
        <is>
          <t>-</t>
        </is>
      </c>
      <c r="F29" s="2" t="n">
        <v>8447.196874110485</v>
      </c>
      <c r="G29" s="2" t="n">
        <v>0</v>
      </c>
      <c r="H29" s="2" t="n">
        <v>8447.196874110485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</row>
    <row r="30">
      <c r="A30" s="2" t="n">
        <v>3</v>
      </c>
      <c r="B30" s="2" t="inlineStr">
        <is>
          <t>04.04.03</t>
        </is>
      </c>
      <c r="C30" s="2" t="inlineStr">
        <is>
          <t>Central de Argamassa</t>
        </is>
      </c>
      <c r="D30" s="2" t="inlineStr">
        <is>
          <t>-</t>
        </is>
      </c>
      <c r="E30" s="2" t="inlineStr">
        <is>
          <t>-</t>
        </is>
      </c>
      <c r="F30" s="2" t="n">
        <v>8447.196874110485</v>
      </c>
      <c r="G30" s="2" t="n">
        <v>0</v>
      </c>
      <c r="H30" s="2" t="n">
        <v>8447.196874110485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</row>
    <row r="31">
      <c r="A31" s="2" t="n">
        <v>3</v>
      </c>
      <c r="B31" s="2" t="inlineStr">
        <is>
          <t>04.04.04</t>
        </is>
      </c>
      <c r="C31" s="2" t="inlineStr">
        <is>
          <t>Extintores de Incêndio</t>
        </is>
      </c>
      <c r="D31" s="2" t="inlineStr">
        <is>
          <t>-</t>
        </is>
      </c>
      <c r="E31" s="2" t="inlineStr">
        <is>
          <t>-</t>
        </is>
      </c>
      <c r="F31" s="2" t="n">
        <v>320</v>
      </c>
      <c r="G31" s="2" t="n">
        <v>0</v>
      </c>
      <c r="H31" s="2" t="n">
        <v>320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</row>
    <row r="32">
      <c r="A32" s="2" t="n">
        <v>2</v>
      </c>
      <c r="B32" s="2" t="inlineStr">
        <is>
          <t>04.05</t>
        </is>
      </c>
      <c r="C32" s="2" t="inlineStr">
        <is>
          <t>Mobiliário para canteiro de obras</t>
        </is>
      </c>
      <c r="D32" s="2" t="inlineStr">
        <is>
          <t>-</t>
        </is>
      </c>
      <c r="E32" s="2" t="inlineStr">
        <is>
          <t>-</t>
        </is>
      </c>
      <c r="F32" s="2" t="n">
        <v>175664.5</v>
      </c>
      <c r="G32" s="2" t="n">
        <v>0</v>
      </c>
      <c r="H32" s="2" t="n">
        <v>175664.5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</row>
    <row r="33">
      <c r="A33" s="2" t="n">
        <v>3</v>
      </c>
      <c r="B33" s="2" t="inlineStr">
        <is>
          <t>04.05.01</t>
        </is>
      </c>
      <c r="C33" s="2" t="inlineStr">
        <is>
          <t>Escritório</t>
        </is>
      </c>
      <c r="D33" s="2" t="inlineStr">
        <is>
          <t>-</t>
        </is>
      </c>
      <c r="E33" s="2" t="inlineStr">
        <is>
          <t>-</t>
        </is>
      </c>
      <c r="F33" s="2" t="n">
        <v>62703</v>
      </c>
      <c r="G33" s="2" t="n">
        <v>0</v>
      </c>
      <c r="H33" s="2" t="n">
        <v>62703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</row>
    <row r="34">
      <c r="A34" s="2" t="n">
        <v>4</v>
      </c>
      <c r="B34" s="2" t="inlineStr">
        <is>
          <t>04.05.01.01</t>
        </is>
      </c>
      <c r="C34" s="2" t="inlineStr">
        <is>
          <t>Armário (arquivo)</t>
        </is>
      </c>
      <c r="D34" s="2" t="inlineStr">
        <is>
          <t>-</t>
        </is>
      </c>
      <c r="E34" s="2" t="inlineStr">
        <is>
          <t>-</t>
        </is>
      </c>
      <c r="F34" s="2" t="n">
        <v>2000</v>
      </c>
      <c r="G34" s="2" t="n">
        <v>0</v>
      </c>
      <c r="H34" s="2" t="n">
        <v>2000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</row>
    <row r="35">
      <c r="A35" s="2" t="n">
        <v>4</v>
      </c>
      <c r="B35" s="2" t="inlineStr">
        <is>
          <t>04.05.01.02</t>
        </is>
      </c>
      <c r="C35" s="2" t="inlineStr">
        <is>
          <t>Cadeira</t>
        </is>
      </c>
      <c r="D35" s="2" t="inlineStr">
        <is>
          <t>-</t>
        </is>
      </c>
      <c r="E35" s="2" t="inlineStr">
        <is>
          <t>-</t>
        </is>
      </c>
      <c r="F35" s="2" t="n">
        <v>3360</v>
      </c>
      <c r="G35" s="2" t="n">
        <v>0</v>
      </c>
      <c r="H35" s="2" t="n">
        <v>3360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</row>
    <row r="36">
      <c r="A36" s="2" t="n">
        <v>4</v>
      </c>
      <c r="B36" s="2" t="inlineStr">
        <is>
          <t>04.05.01.03</t>
        </is>
      </c>
      <c r="C36" s="2" t="inlineStr">
        <is>
          <t>Mesa</t>
        </is>
      </c>
      <c r="D36" s="2" t="inlineStr">
        <is>
          <t>-</t>
        </is>
      </c>
      <c r="E36" s="2" t="inlineStr">
        <is>
          <t>-</t>
        </is>
      </c>
      <c r="F36" s="2" t="n">
        <v>1650</v>
      </c>
      <c r="G36" s="2" t="n">
        <v>0</v>
      </c>
      <c r="H36" s="2" t="n">
        <v>1650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</row>
    <row r="37">
      <c r="A37" s="2" t="n">
        <v>4</v>
      </c>
      <c r="B37" s="2" t="inlineStr">
        <is>
          <t>04.05.01.04</t>
        </is>
      </c>
      <c r="C37" s="2" t="inlineStr">
        <is>
          <t>Mesa de reunião</t>
        </is>
      </c>
      <c r="D37" s="2" t="inlineStr">
        <is>
          <t>-</t>
        </is>
      </c>
      <c r="E37" s="2" t="inlineStr">
        <is>
          <t>-</t>
        </is>
      </c>
      <c r="F37" s="2" t="n">
        <v>500</v>
      </c>
      <c r="G37" s="2" t="n">
        <v>0</v>
      </c>
      <c r="H37" s="2" t="n">
        <v>500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</row>
    <row r="38">
      <c r="A38" s="2" t="n">
        <v>4</v>
      </c>
      <c r="B38" s="2" t="inlineStr">
        <is>
          <t>04.05.01.05</t>
        </is>
      </c>
      <c r="C38" s="2" t="inlineStr">
        <is>
          <t>Prateleira</t>
        </is>
      </c>
      <c r="D38" s="2" t="inlineStr">
        <is>
          <t>-</t>
        </is>
      </c>
      <c r="E38" s="2" t="inlineStr">
        <is>
          <t>-</t>
        </is>
      </c>
      <c r="F38" s="2" t="n">
        <v>700</v>
      </c>
      <c r="G38" s="2" t="n">
        <v>0</v>
      </c>
      <c r="H38" s="2" t="n">
        <v>700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</row>
    <row r="39">
      <c r="A39" s="2" t="n">
        <v>4</v>
      </c>
      <c r="B39" s="2" t="inlineStr">
        <is>
          <t>04.05.01.06</t>
        </is>
      </c>
      <c r="C39" s="2" t="inlineStr">
        <is>
          <t>Micro computador com impressora</t>
        </is>
      </c>
      <c r="D39" s="2" t="inlineStr">
        <is>
          <t>-</t>
        </is>
      </c>
      <c r="E39" s="2" t="inlineStr">
        <is>
          <t>-</t>
        </is>
      </c>
      <c r="F39" s="2" t="n">
        <v>32893</v>
      </c>
      <c r="G39" s="2" t="n">
        <v>0</v>
      </c>
      <c r="H39" s="2" t="n">
        <v>32893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</row>
    <row r="40">
      <c r="A40" s="2" t="n">
        <v>4</v>
      </c>
      <c r="B40" s="2" t="inlineStr">
        <is>
          <t>04.05.01.07</t>
        </is>
      </c>
      <c r="C40" s="2" t="inlineStr">
        <is>
          <t>Aparelho de ar condicionado</t>
        </is>
      </c>
      <c r="D40" s="2" t="inlineStr">
        <is>
          <t>-</t>
        </is>
      </c>
      <c r="E40" s="2" t="inlineStr">
        <is>
          <t>-</t>
        </is>
      </c>
      <c r="F40" s="2" t="n">
        <v>1500</v>
      </c>
      <c r="G40" s="2" t="n">
        <v>0</v>
      </c>
      <c r="H40" s="2" t="n">
        <v>1500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</row>
    <row r="41">
      <c r="A41" s="2" t="n">
        <v>4</v>
      </c>
      <c r="B41" s="2" t="inlineStr">
        <is>
          <t>04.05.01.08</t>
        </is>
      </c>
      <c r="C41" s="2" t="inlineStr">
        <is>
          <t>Tablet</t>
        </is>
      </c>
      <c r="D41" s="2" t="inlineStr">
        <is>
          <t>-</t>
        </is>
      </c>
      <c r="E41" s="2" t="inlineStr">
        <is>
          <t>-</t>
        </is>
      </c>
      <c r="F41" s="2" t="n">
        <v>12500</v>
      </c>
      <c r="G41" s="2" t="n">
        <v>0</v>
      </c>
      <c r="H41" s="2" t="n">
        <v>12500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</row>
    <row r="42">
      <c r="A42" s="2" t="n">
        <v>4</v>
      </c>
      <c r="B42" s="2" t="inlineStr">
        <is>
          <t>04.05.01.09</t>
        </is>
      </c>
      <c r="C42" s="2" t="inlineStr">
        <is>
          <t>Quadro Lean</t>
        </is>
      </c>
      <c r="D42" s="2" t="inlineStr">
        <is>
          <t>-</t>
        </is>
      </c>
      <c r="E42" s="2" t="inlineStr">
        <is>
          <t>-</t>
        </is>
      </c>
      <c r="F42" s="2" t="n">
        <v>5000</v>
      </c>
      <c r="G42" s="2" t="n">
        <v>0</v>
      </c>
      <c r="H42" s="2" t="n">
        <v>5000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</row>
    <row r="43">
      <c r="A43" s="2" t="n">
        <v>4</v>
      </c>
      <c r="B43" s="2" t="inlineStr">
        <is>
          <t>04.05.01.10</t>
        </is>
      </c>
      <c r="C43" s="2" t="inlineStr">
        <is>
          <t>TV 50 polegadas</t>
        </is>
      </c>
      <c r="D43" s="2" t="inlineStr">
        <is>
          <t>-</t>
        </is>
      </c>
      <c r="E43" s="2" t="inlineStr">
        <is>
          <t>-</t>
        </is>
      </c>
      <c r="F43" s="2" t="n">
        <v>2600</v>
      </c>
      <c r="G43" s="2" t="n">
        <v>0</v>
      </c>
      <c r="H43" s="2" t="n">
        <v>2600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</row>
    <row r="44">
      <c r="A44" s="2" t="n">
        <v>3</v>
      </c>
      <c r="B44" s="2" t="inlineStr">
        <is>
          <t>04.05.02</t>
        </is>
      </c>
      <c r="C44" s="2" t="inlineStr">
        <is>
          <t>Vestiário</t>
        </is>
      </c>
      <c r="D44" s="2" t="inlineStr">
        <is>
          <t>-</t>
        </is>
      </c>
      <c r="E44" s="2" t="inlineStr">
        <is>
          <t>-</t>
        </is>
      </c>
      <c r="F44" s="2" t="n">
        <v>18661.5</v>
      </c>
      <c r="G44" s="2" t="n">
        <v>0</v>
      </c>
      <c r="H44" s="2" t="n">
        <v>18661.5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</row>
    <row r="45">
      <c r="A45" s="2" t="n">
        <v>4</v>
      </c>
      <c r="B45" s="2" t="inlineStr">
        <is>
          <t>04.05.02.01</t>
        </is>
      </c>
      <c r="C45" s="2" t="inlineStr">
        <is>
          <t>Bancos</t>
        </is>
      </c>
      <c r="D45" s="2" t="inlineStr">
        <is>
          <t>-</t>
        </is>
      </c>
      <c r="E45" s="2" t="inlineStr">
        <is>
          <t>-</t>
        </is>
      </c>
      <c r="F45" s="2" t="n">
        <v>2349</v>
      </c>
      <c r="G45" s="2" t="n">
        <v>0</v>
      </c>
      <c r="H45" s="2" t="n">
        <v>2349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</row>
    <row r="46">
      <c r="A46" s="2" t="n">
        <v>4</v>
      </c>
      <c r="B46" s="2" t="inlineStr">
        <is>
          <t>04.05.02.02</t>
        </is>
      </c>
      <c r="C46" s="2" t="inlineStr">
        <is>
          <t>Armário tipo escaninho com cadeado</t>
        </is>
      </c>
      <c r="D46" s="2" t="inlineStr">
        <is>
          <t>-</t>
        </is>
      </c>
      <c r="E46" s="2" t="inlineStr">
        <is>
          <t>-</t>
        </is>
      </c>
      <c r="F46" s="2" t="n">
        <v>16312.5</v>
      </c>
      <c r="G46" s="2" t="n">
        <v>0</v>
      </c>
      <c r="H46" s="2" t="n">
        <v>16312.5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</row>
    <row r="47">
      <c r="A47" s="2" t="n">
        <v>3</v>
      </c>
      <c r="B47" s="2" t="inlineStr">
        <is>
          <t>04.05.03</t>
        </is>
      </c>
      <c r="C47" s="2" t="inlineStr">
        <is>
          <t>Chapeira de ponto</t>
        </is>
      </c>
      <c r="D47" s="2" t="inlineStr">
        <is>
          <t>-</t>
        </is>
      </c>
      <c r="E47" s="2" t="inlineStr">
        <is>
          <t>-</t>
        </is>
      </c>
      <c r="F47" s="2" t="n">
        <v>65755</v>
      </c>
      <c r="G47" s="2" t="n">
        <v>0</v>
      </c>
      <c r="H47" s="2" t="n">
        <v>65755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</row>
    <row r="48">
      <c r="A48" s="2" t="n">
        <v>4</v>
      </c>
      <c r="B48" s="2" t="inlineStr">
        <is>
          <t>04.05.03.01</t>
        </is>
      </c>
      <c r="C48" s="2" t="inlineStr">
        <is>
          <t>Cadeira</t>
        </is>
      </c>
      <c r="D48" s="2" t="inlineStr">
        <is>
          <t>-</t>
        </is>
      </c>
      <c r="E48" s="2" t="inlineStr">
        <is>
          <t>-</t>
        </is>
      </c>
      <c r="F48" s="2" t="n">
        <v>160</v>
      </c>
      <c r="G48" s="2" t="n">
        <v>0</v>
      </c>
      <c r="H48" s="2" t="n">
        <v>160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</row>
    <row r="49">
      <c r="A49" s="2" t="n">
        <v>4</v>
      </c>
      <c r="B49" s="2" t="inlineStr">
        <is>
          <t>04.05.03.02</t>
        </is>
      </c>
      <c r="C49" s="2" t="inlineStr">
        <is>
          <t>Mesa</t>
        </is>
      </c>
      <c r="D49" s="2" t="inlineStr">
        <is>
          <t>-</t>
        </is>
      </c>
      <c r="E49" s="2" t="inlineStr">
        <is>
          <t>-</t>
        </is>
      </c>
      <c r="F49" s="2" t="n">
        <v>150</v>
      </c>
      <c r="G49" s="2" t="n">
        <v>0</v>
      </c>
      <c r="H49" s="2" t="n">
        <v>150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</row>
    <row r="50">
      <c r="A50" s="2" t="n">
        <v>4</v>
      </c>
      <c r="B50" s="2" t="inlineStr">
        <is>
          <t>04.05.03.03</t>
        </is>
      </c>
      <c r="C50" s="2" t="inlineStr">
        <is>
          <t>Máquina de Ponto</t>
        </is>
      </c>
      <c r="D50" s="2" t="inlineStr">
        <is>
          <t>-</t>
        </is>
      </c>
      <c r="E50" s="2" t="inlineStr">
        <is>
          <t>-</t>
        </is>
      </c>
      <c r="F50" s="2" t="n">
        <v>1500</v>
      </c>
      <c r="G50" s="2" t="n">
        <v>0</v>
      </c>
      <c r="H50" s="2" t="n">
        <v>1500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</row>
    <row r="51">
      <c r="A51" s="2" t="n">
        <v>4</v>
      </c>
      <c r="B51" s="2" t="inlineStr">
        <is>
          <t>04.05.03.04</t>
        </is>
      </c>
      <c r="C51" s="2" t="inlineStr">
        <is>
          <t>Instalação de catracas de identificação</t>
        </is>
      </c>
      <c r="D51" s="2" t="inlineStr">
        <is>
          <t>-</t>
        </is>
      </c>
      <c r="E51" s="2" t="inlineStr">
        <is>
          <t>-</t>
        </is>
      </c>
      <c r="F51" s="2" t="n">
        <v>6470</v>
      </c>
      <c r="G51" s="2" t="n">
        <v>0</v>
      </c>
      <c r="H51" s="2" t="n">
        <v>6470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</row>
    <row r="52">
      <c r="A52" s="2" t="n">
        <v>4</v>
      </c>
      <c r="B52" s="2" t="inlineStr">
        <is>
          <t>04.05.03.05</t>
        </is>
      </c>
      <c r="C52" s="2" t="inlineStr">
        <is>
          <t>Locação mensal catracas de identificação</t>
        </is>
      </c>
      <c r="D52" s="2" t="inlineStr">
        <is>
          <t>-</t>
        </is>
      </c>
      <c r="E52" s="2" t="inlineStr">
        <is>
          <t>-</t>
        </is>
      </c>
      <c r="F52" s="2" t="n">
        <v>57475</v>
      </c>
      <c r="G52" s="2" t="n">
        <v>0</v>
      </c>
      <c r="H52" s="2" t="n">
        <v>57475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</row>
    <row r="53">
      <c r="A53" s="2" t="n">
        <v>3</v>
      </c>
      <c r="B53" s="2" t="inlineStr">
        <is>
          <t>04.05.04</t>
        </is>
      </c>
      <c r="C53" s="2" t="inlineStr">
        <is>
          <t>Refeitório/cozinha</t>
        </is>
      </c>
      <c r="D53" s="2" t="inlineStr">
        <is>
          <t>-</t>
        </is>
      </c>
      <c r="E53" s="2" t="inlineStr">
        <is>
          <t>-</t>
        </is>
      </c>
      <c r="F53" s="2" t="n">
        <v>17587</v>
      </c>
      <c r="G53" s="2" t="n">
        <v>0</v>
      </c>
      <c r="H53" s="2" t="n">
        <v>17587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</row>
    <row r="54">
      <c r="A54" s="2" t="n">
        <v>4</v>
      </c>
      <c r="B54" s="2" t="inlineStr">
        <is>
          <t>04.05.04.01</t>
        </is>
      </c>
      <c r="C54" s="2" t="inlineStr">
        <is>
          <t>Mesas com bancos fixos</t>
        </is>
      </c>
      <c r="D54" s="2" t="inlineStr">
        <is>
          <t>-</t>
        </is>
      </c>
      <c r="E54" s="2" t="inlineStr">
        <is>
          <t>-</t>
        </is>
      </c>
      <c r="F54" s="2" t="n">
        <v>4437</v>
      </c>
      <c r="G54" s="2" t="n">
        <v>0</v>
      </c>
      <c r="H54" s="2" t="n">
        <v>4437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</row>
    <row r="55">
      <c r="A55" s="2" t="n">
        <v>4</v>
      </c>
      <c r="B55" s="2" t="inlineStr">
        <is>
          <t>04.05.04.02</t>
        </is>
      </c>
      <c r="C55" s="2" t="inlineStr">
        <is>
          <t>Estufa</t>
        </is>
      </c>
      <c r="D55" s="2" t="inlineStr">
        <is>
          <t>-</t>
        </is>
      </c>
      <c r="E55" s="2" t="inlineStr">
        <is>
          <t>-</t>
        </is>
      </c>
      <c r="F55" s="2" t="n">
        <v>7499.999999999999</v>
      </c>
      <c r="G55" s="2" t="n">
        <v>0</v>
      </c>
      <c r="H55" s="2" t="n">
        <v>7499.999999999999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</row>
    <row r="56">
      <c r="A56" s="2" t="n">
        <v>4</v>
      </c>
      <c r="B56" s="2" t="inlineStr">
        <is>
          <t>04.05.04.03</t>
        </is>
      </c>
      <c r="C56" s="2" t="inlineStr">
        <is>
          <t>Fogao</t>
        </is>
      </c>
      <c r="D56" s="2" t="inlineStr">
        <is>
          <t>-</t>
        </is>
      </c>
      <c r="E56" s="2" t="inlineStr">
        <is>
          <t>-</t>
        </is>
      </c>
      <c r="F56" s="2" t="n">
        <v>500</v>
      </c>
      <c r="G56" s="2" t="n">
        <v>0</v>
      </c>
      <c r="H56" s="2" t="n">
        <v>500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</row>
    <row r="57">
      <c r="A57" s="2" t="n">
        <v>4</v>
      </c>
      <c r="B57" s="2" t="inlineStr">
        <is>
          <t>04.05.04.04</t>
        </is>
      </c>
      <c r="C57" s="2" t="inlineStr">
        <is>
          <t>Geladeira</t>
        </is>
      </c>
      <c r="D57" s="2" t="inlineStr">
        <is>
          <t>-</t>
        </is>
      </c>
      <c r="E57" s="2" t="inlineStr">
        <is>
          <t>-</t>
        </is>
      </c>
      <c r="F57" s="2" t="n">
        <v>1000</v>
      </c>
      <c r="G57" s="2" t="n">
        <v>0</v>
      </c>
      <c r="H57" s="2" t="n">
        <v>1000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</row>
    <row r="58">
      <c r="A58" s="2" t="n">
        <v>4</v>
      </c>
      <c r="B58" s="2" t="inlineStr">
        <is>
          <t>04.05.04.05</t>
        </is>
      </c>
      <c r="C58" s="2" t="inlineStr">
        <is>
          <t>Botijão de Gás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</row>
    <row r="59">
      <c r="A59" s="2" t="n">
        <v>4</v>
      </c>
      <c r="B59" s="2" t="inlineStr">
        <is>
          <t>04.05.04.06</t>
        </is>
      </c>
      <c r="C59" s="2" t="inlineStr">
        <is>
          <t>Bebedouro tipo ponto de água fria com filtro de carvão ativado</t>
        </is>
      </c>
      <c r="D59" s="2" t="inlineStr">
        <is>
          <t>-</t>
        </is>
      </c>
      <c r="E59" s="2" t="inlineStr">
        <is>
          <t>-</t>
        </is>
      </c>
      <c r="F59" s="2" t="n">
        <v>4000</v>
      </c>
      <c r="G59" s="2" t="n">
        <v>0</v>
      </c>
      <c r="H59" s="2" t="n">
        <v>4000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</row>
    <row r="60">
      <c r="A60" s="2" t="n">
        <v>3</v>
      </c>
      <c r="B60" s="2" t="inlineStr">
        <is>
          <t>04.05.05</t>
        </is>
      </c>
      <c r="C60" s="2" t="inlineStr">
        <is>
          <t>Almoxarifado</t>
        </is>
      </c>
      <c r="D60" s="2" t="inlineStr">
        <is>
          <t>-</t>
        </is>
      </c>
      <c r="E60" s="2" t="inlineStr">
        <is>
          <t>-</t>
        </is>
      </c>
      <c r="F60" s="2" t="n">
        <v>10958</v>
      </c>
      <c r="G60" s="2" t="n">
        <v>0</v>
      </c>
      <c r="H60" s="2" t="n">
        <v>10958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</row>
    <row r="61">
      <c r="A61" s="2" t="n">
        <v>4</v>
      </c>
      <c r="B61" s="2" t="inlineStr">
        <is>
          <t>04.05.05.01</t>
        </is>
      </c>
      <c r="C61" s="2" t="inlineStr">
        <is>
          <t>Armário (arquivo)</t>
        </is>
      </c>
      <c r="D61" s="2" t="inlineStr">
        <is>
          <t>-</t>
        </is>
      </c>
      <c r="E61" s="2" t="inlineStr">
        <is>
          <t>-</t>
        </is>
      </c>
      <c r="F61" s="2" t="n">
        <v>800</v>
      </c>
      <c r="G61" s="2" t="n">
        <v>0</v>
      </c>
      <c r="H61" s="2" t="n">
        <v>800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</row>
    <row r="62">
      <c r="A62" s="2" t="n">
        <v>4</v>
      </c>
      <c r="B62" s="2" t="inlineStr">
        <is>
          <t>04.05.05.02</t>
        </is>
      </c>
      <c r="C62" s="2" t="inlineStr">
        <is>
          <t>Cadeira</t>
        </is>
      </c>
      <c r="D62" s="2" t="inlineStr">
        <is>
          <t>-</t>
        </is>
      </c>
      <c r="E62" s="2" t="inlineStr">
        <is>
          <t>-</t>
        </is>
      </c>
      <c r="F62" s="2" t="n">
        <v>320</v>
      </c>
      <c r="G62" s="2" t="n">
        <v>0</v>
      </c>
      <c r="H62" s="2" t="n">
        <v>320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</row>
    <row r="63">
      <c r="A63" s="2" t="n">
        <v>4</v>
      </c>
      <c r="B63" s="2" t="inlineStr">
        <is>
          <t>04.05.05.03</t>
        </is>
      </c>
      <c r="C63" s="2" t="inlineStr">
        <is>
          <t>Mesa</t>
        </is>
      </c>
      <c r="D63" s="2" t="inlineStr">
        <is>
          <t>-</t>
        </is>
      </c>
      <c r="E63" s="2" t="inlineStr">
        <is>
          <t>-</t>
        </is>
      </c>
      <c r="F63" s="2" t="n">
        <v>300</v>
      </c>
      <c r="G63" s="2" t="n">
        <v>0</v>
      </c>
      <c r="H63" s="2" t="n">
        <v>300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</row>
    <row r="64">
      <c r="A64" s="2" t="n">
        <v>4</v>
      </c>
      <c r="B64" s="2" t="inlineStr">
        <is>
          <t>04.05.05.04</t>
        </is>
      </c>
      <c r="C64" s="2" t="inlineStr">
        <is>
          <t>Prateleira</t>
        </is>
      </c>
      <c r="D64" s="2" t="inlineStr">
        <is>
          <t>-</t>
        </is>
      </c>
      <c r="E64" s="2" t="inlineStr">
        <is>
          <t>-</t>
        </is>
      </c>
      <c r="F64" s="2" t="n">
        <v>140</v>
      </c>
      <c r="G64" s="2" t="n">
        <v>0</v>
      </c>
      <c r="H64" s="2" t="n">
        <v>140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</row>
    <row r="65">
      <c r="A65" s="2" t="n">
        <v>4</v>
      </c>
      <c r="B65" s="2" t="inlineStr">
        <is>
          <t>04.05.05.05</t>
        </is>
      </c>
      <c r="C65" s="2" t="inlineStr">
        <is>
          <t>Micro computador com impressora</t>
        </is>
      </c>
      <c r="D65" s="2" t="inlineStr">
        <is>
          <t>-</t>
        </is>
      </c>
      <c r="E65" s="2" t="inlineStr">
        <is>
          <t>-</t>
        </is>
      </c>
      <c r="F65" s="2" t="n">
        <v>9398</v>
      </c>
      <c r="G65" s="2" t="n">
        <v>0</v>
      </c>
      <c r="H65" s="2" t="n">
        <v>9398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</row>
    <row r="66">
      <c r="A66" s="2" t="n">
        <v>2</v>
      </c>
      <c r="B66" s="2" t="inlineStr">
        <is>
          <t>04.06</t>
        </is>
      </c>
      <c r="C66" s="2" t="inlineStr">
        <is>
          <t>Mobilização e desmobilização de canteiro de obras</t>
        </is>
      </c>
      <c r="D66" s="2" t="inlineStr">
        <is>
          <t>-</t>
        </is>
      </c>
      <c r="E66" s="2" t="inlineStr">
        <is>
          <t>-</t>
        </is>
      </c>
      <c r="F66" s="2" t="n">
        <v>45283.86350536388</v>
      </c>
      <c r="G66" s="2" t="n">
        <v>0</v>
      </c>
      <c r="H66" s="2" t="n">
        <v>45283.86350536388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</row>
    <row r="67">
      <c r="A67" s="2" t="n">
        <v>3</v>
      </c>
      <c r="B67" s="2" t="inlineStr">
        <is>
          <t>04.06.01</t>
        </is>
      </c>
      <c r="C67" s="2" t="inlineStr">
        <is>
          <t>Desmobilização de canteiro de obras</t>
        </is>
      </c>
      <c r="D67" s="2" t="inlineStr">
        <is>
          <t>-</t>
        </is>
      </c>
      <c r="E67" s="2" t="inlineStr">
        <is>
          <t>-</t>
        </is>
      </c>
      <c r="F67" s="2" t="n">
        <v>15000</v>
      </c>
      <c r="G67" s="2" t="n">
        <v>0</v>
      </c>
      <c r="H67" s="2" t="n">
        <v>15000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</row>
    <row r="68">
      <c r="A68" s="2" t="n">
        <v>3</v>
      </c>
      <c r="B68" s="2" t="inlineStr">
        <is>
          <t>04.06.02</t>
        </is>
      </c>
      <c r="C68" s="2" t="inlineStr">
        <is>
          <t>Repintura periodica de canteiro e tapumes</t>
        </is>
      </c>
      <c r="D68" s="2" t="inlineStr">
        <is>
          <t>-</t>
        </is>
      </c>
      <c r="E68" s="2" t="inlineStr">
        <is>
          <t>-</t>
        </is>
      </c>
      <c r="F68" s="2" t="n">
        <v>30283.86350536388</v>
      </c>
      <c r="G68" s="2" t="n">
        <v>0</v>
      </c>
      <c r="H68" s="2" t="n">
        <v>30283.86350536388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</row>
    <row r="69">
      <c r="A69" s="2" t="n">
        <v>1</v>
      </c>
      <c r="B69" s="2" t="inlineStr">
        <is>
          <t>05</t>
        </is>
      </c>
      <c r="C69" s="2" t="inlineStr">
        <is>
          <t>LIGAÇÕES PROVISÓRIAS AGUA, ESGOTO, ENERGIA,TELEFONE, INTERNET</t>
        </is>
      </c>
      <c r="D69" s="2" t="inlineStr">
        <is>
          <t>-</t>
        </is>
      </c>
      <c r="E69" s="2" t="inlineStr">
        <is>
          <t>-</t>
        </is>
      </c>
      <c r="F69" s="2" t="n">
        <v>50000</v>
      </c>
      <c r="G69" s="2" t="n">
        <v>0</v>
      </c>
      <c r="H69" s="2" t="n">
        <v>50000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</row>
    <row r="70">
      <c r="A70" s="2" t="n">
        <v>2</v>
      </c>
      <c r="B70" s="2" t="inlineStr">
        <is>
          <t>05.01</t>
        </is>
      </c>
      <c r="C70" s="2" t="inlineStr">
        <is>
          <t>Ligação provisória de água</t>
        </is>
      </c>
      <c r="D70" s="2" t="inlineStr">
        <is>
          <t>-</t>
        </is>
      </c>
      <c r="E70" s="2" t="inlineStr">
        <is>
          <t>-</t>
        </is>
      </c>
      <c r="F70" s="2" t="n">
        <v>10000</v>
      </c>
      <c r="G70" s="2" t="n">
        <v>0</v>
      </c>
      <c r="H70" s="2" t="n">
        <v>10000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</row>
    <row r="71">
      <c r="A71" s="2" t="n">
        <v>2</v>
      </c>
      <c r="B71" s="2" t="inlineStr">
        <is>
          <t>05.02</t>
        </is>
      </c>
      <c r="C71" s="2" t="inlineStr">
        <is>
          <t>Ligação provisória de energia elétrica</t>
        </is>
      </c>
      <c r="D71" s="2" t="inlineStr">
        <is>
          <t>-</t>
        </is>
      </c>
      <c r="E71" s="2" t="inlineStr">
        <is>
          <t>-</t>
        </is>
      </c>
      <c r="F71" s="2" t="n">
        <v>15000</v>
      </c>
      <c r="G71" s="2" t="n">
        <v>0</v>
      </c>
      <c r="H71" s="2" t="n">
        <v>15000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</row>
    <row r="72">
      <c r="A72" s="2" t="n">
        <v>2</v>
      </c>
      <c r="B72" s="2" t="inlineStr">
        <is>
          <t>05.03</t>
        </is>
      </c>
      <c r="C72" s="2" t="inlineStr">
        <is>
          <t>Distribuição eletrica provisoria</t>
        </is>
      </c>
      <c r="D72" s="2" t="inlineStr">
        <is>
          <t>-</t>
        </is>
      </c>
      <c r="E72" s="2" t="inlineStr">
        <is>
          <t>-</t>
        </is>
      </c>
      <c r="F72" s="2" t="n">
        <v>25000</v>
      </c>
      <c r="G72" s="2" t="n">
        <v>0</v>
      </c>
      <c r="H72" s="2" t="n">
        <v>25000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</row>
    <row r="73">
      <c r="A73" s="2" t="n">
        <v>1</v>
      </c>
      <c r="B73" s="2" t="inlineStr">
        <is>
          <t>06</t>
        </is>
      </c>
      <c r="C73" s="2" t="inlineStr">
        <is>
          <t>CONSUMO DE ÁGUA, ENERGIA, TELEFONE, INTERNET</t>
        </is>
      </c>
      <c r="D73" s="2" t="inlineStr">
        <is>
          <t>-</t>
        </is>
      </c>
      <c r="E73" s="2" t="inlineStr">
        <is>
          <t>-</t>
        </is>
      </c>
      <c r="F73" s="2" t="n">
        <v>521400</v>
      </c>
      <c r="G73" s="2" t="n">
        <v>0</v>
      </c>
      <c r="H73" s="2" t="n">
        <v>521400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</row>
    <row r="74">
      <c r="A74" s="2" t="n">
        <v>2</v>
      </c>
      <c r="B74" s="2" t="inlineStr">
        <is>
          <t>06.01</t>
        </is>
      </c>
      <c r="C74" s="2" t="inlineStr">
        <is>
          <t>Conta de Água</t>
        </is>
      </c>
      <c r="D74" s="2" t="inlineStr">
        <is>
          <t>-</t>
        </is>
      </c>
      <c r="E74" s="2" t="inlineStr">
        <is>
          <t>-</t>
        </is>
      </c>
      <c r="F74" s="2" t="n">
        <v>125400</v>
      </c>
      <c r="G74" s="2" t="n">
        <v>0</v>
      </c>
      <c r="H74" s="2" t="n">
        <v>125400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</row>
    <row r="75">
      <c r="A75" s="2" t="n">
        <v>2</v>
      </c>
      <c r="B75" s="2" t="inlineStr">
        <is>
          <t>06.02</t>
        </is>
      </c>
      <c r="C75" s="2" t="inlineStr">
        <is>
          <t>Conta de Energia Elétrica</t>
        </is>
      </c>
      <c r="D75" s="2" t="inlineStr">
        <is>
          <t>-</t>
        </is>
      </c>
      <c r="E75" s="2" t="inlineStr">
        <is>
          <t>-</t>
        </is>
      </c>
      <c r="F75" s="2" t="n">
        <v>374000</v>
      </c>
      <c r="G75" s="2" t="n">
        <v>0</v>
      </c>
      <c r="H75" s="2" t="n">
        <v>374000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</row>
    <row r="76">
      <c r="A76" s="2" t="n">
        <v>2</v>
      </c>
      <c r="B76" s="2" t="inlineStr">
        <is>
          <t>06.03</t>
        </is>
      </c>
      <c r="C76" s="2" t="inlineStr">
        <is>
          <t>Celular</t>
        </is>
      </c>
      <c r="D76" s="2" t="inlineStr">
        <is>
          <t>-</t>
        </is>
      </c>
      <c r="E76" s="2" t="inlineStr">
        <is>
          <t>-</t>
        </is>
      </c>
      <c r="F76" s="2" t="n">
        <v>11000</v>
      </c>
      <c r="G76" s="2" t="n">
        <v>0</v>
      </c>
      <c r="H76" s="2" t="n">
        <v>11000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</row>
    <row r="77">
      <c r="A77" s="2" t="n">
        <v>2</v>
      </c>
      <c r="B77" s="2" t="inlineStr">
        <is>
          <t>06.04</t>
        </is>
      </c>
      <c r="C77" s="2" t="inlineStr">
        <is>
          <t>Internet</t>
        </is>
      </c>
      <c r="D77" s="2" t="inlineStr">
        <is>
          <t>-</t>
        </is>
      </c>
      <c r="E77" s="2" t="inlineStr">
        <is>
          <t>-</t>
        </is>
      </c>
      <c r="F77" s="2" t="n">
        <v>11000</v>
      </c>
      <c r="G77" s="2" t="n">
        <v>0</v>
      </c>
      <c r="H77" s="2" t="n">
        <v>11000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</row>
    <row r="78">
      <c r="A78" s="2" t="n">
        <v>1</v>
      </c>
      <c r="B78" s="2" t="inlineStr">
        <is>
          <t>07</t>
        </is>
      </c>
      <c r="C78" s="2" t="inlineStr">
        <is>
          <t>DIVERSOS</t>
        </is>
      </c>
      <c r="D78" s="2" t="inlineStr">
        <is>
          <t>-</t>
        </is>
      </c>
      <c r="E78" s="2" t="inlineStr">
        <is>
          <t>-</t>
        </is>
      </c>
      <c r="F78" s="2" t="n">
        <v>158400</v>
      </c>
      <c r="G78" s="2" t="n">
        <v>0</v>
      </c>
      <c r="H78" s="2" t="n">
        <v>158400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</row>
    <row r="79">
      <c r="A79" s="2" t="n">
        <v>2</v>
      </c>
      <c r="B79" s="2" t="inlineStr">
        <is>
          <t>07.01</t>
        </is>
      </c>
      <c r="C79" s="2" t="inlineStr">
        <is>
          <t>Caixa de obra</t>
        </is>
      </c>
      <c r="D79" s="2" t="inlineStr">
        <is>
          <t>-</t>
        </is>
      </c>
      <c r="E79" s="2" t="inlineStr">
        <is>
          <t>-</t>
        </is>
      </c>
      <c r="F79" s="2" t="n">
        <v>44000</v>
      </c>
      <c r="G79" s="2" t="n">
        <v>0</v>
      </c>
      <c r="H79" s="2" t="n">
        <v>44000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</row>
    <row r="80">
      <c r="A80" s="2" t="n">
        <v>2</v>
      </c>
      <c r="B80" s="2" t="inlineStr">
        <is>
          <t>07.02</t>
        </is>
      </c>
      <c r="C80" s="2" t="inlineStr">
        <is>
          <t>Cópias Heliográficas - Plotagens</t>
        </is>
      </c>
      <c r="D80" s="2" t="inlineStr">
        <is>
          <t>-</t>
        </is>
      </c>
      <c r="E80" s="2" t="inlineStr">
        <is>
          <t>-</t>
        </is>
      </c>
      <c r="F80" s="2" t="n">
        <v>33000</v>
      </c>
      <c r="G80" s="2" t="n">
        <v>0</v>
      </c>
      <c r="H80" s="2" t="n">
        <v>33000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</row>
    <row r="81">
      <c r="A81" s="2" t="n">
        <v>2</v>
      </c>
      <c r="B81" s="2" t="inlineStr">
        <is>
          <t>07.03</t>
        </is>
      </c>
      <c r="C81" s="2" t="inlineStr">
        <is>
          <t>Despesas Com Materiais de Escritório</t>
        </is>
      </c>
      <c r="D81" s="2" t="inlineStr">
        <is>
          <t>-</t>
        </is>
      </c>
      <c r="E81" s="2" t="inlineStr">
        <is>
          <t>-</t>
        </is>
      </c>
      <c r="F81" s="2" t="n">
        <v>15400</v>
      </c>
      <c r="G81" s="2" t="n">
        <v>0</v>
      </c>
      <c r="H81" s="2" t="n">
        <v>15400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</row>
    <row r="82">
      <c r="A82" s="2" t="n">
        <v>2</v>
      </c>
      <c r="B82" s="2" t="inlineStr">
        <is>
          <t>07.04</t>
        </is>
      </c>
      <c r="C82" s="2" t="inlineStr">
        <is>
          <t>Aquisicao de licensas de softwares</t>
        </is>
      </c>
      <c r="D82" s="2" t="inlineStr">
        <is>
          <t>-</t>
        </is>
      </c>
      <c r="E82" s="2" t="inlineStr">
        <is>
          <t>-</t>
        </is>
      </c>
      <c r="F82" s="2" t="n">
        <v>44000</v>
      </c>
      <c r="G82" s="2" t="n">
        <v>0</v>
      </c>
      <c r="H82" s="2" t="n">
        <v>44000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</row>
    <row r="83">
      <c r="A83" s="2" t="n">
        <v>2</v>
      </c>
      <c r="B83" s="2" t="inlineStr">
        <is>
          <t>07.05</t>
        </is>
      </c>
      <c r="C83" s="2" t="inlineStr">
        <is>
          <t>Material de limpeza</t>
        </is>
      </c>
      <c r="D83" s="2" t="inlineStr">
        <is>
          <t>-</t>
        </is>
      </c>
      <c r="E83" s="2" t="inlineStr">
        <is>
          <t>-</t>
        </is>
      </c>
      <c r="F83" s="2" t="n">
        <v>22000</v>
      </c>
      <c r="G83" s="2" t="n">
        <v>0</v>
      </c>
      <c r="H83" s="2" t="n">
        <v>22000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</row>
    <row r="84">
      <c r="A84" s="2" t="n">
        <v>1</v>
      </c>
      <c r="B84" s="2" t="inlineStr">
        <is>
          <t>08</t>
        </is>
      </c>
      <c r="C84" s="2" t="inlineStr">
        <is>
          <t>FRETES E TRANSPORTES</t>
        </is>
      </c>
      <c r="D84" s="2" t="inlineStr">
        <is>
          <t>-</t>
        </is>
      </c>
      <c r="E84" s="2" t="inlineStr">
        <is>
          <t>-</t>
        </is>
      </c>
      <c r="F84" s="2" t="n">
        <v>779592</v>
      </c>
      <c r="G84" s="2" t="n">
        <v>0</v>
      </c>
      <c r="H84" s="2" t="n">
        <v>779592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</row>
    <row r="85">
      <c r="A85" s="2" t="n">
        <v>2</v>
      </c>
      <c r="B85" s="2" t="inlineStr">
        <is>
          <t>08.01</t>
        </is>
      </c>
      <c r="C85" s="2" t="inlineStr">
        <is>
          <t>Serviços de Entregas (motoboy)</t>
        </is>
      </c>
      <c r="D85" s="2" t="inlineStr">
        <is>
          <t>-</t>
        </is>
      </c>
      <c r="E85" s="2" t="inlineStr">
        <is>
          <t>-</t>
        </is>
      </c>
      <c r="F85" s="2" t="n">
        <v>11000</v>
      </c>
      <c r="G85" s="2" t="n">
        <v>0</v>
      </c>
      <c r="H85" s="2" t="n">
        <v>11000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</row>
    <row r="86">
      <c r="A86" s="2" t="n">
        <v>2</v>
      </c>
      <c r="B86" s="2" t="inlineStr">
        <is>
          <t>08.02</t>
        </is>
      </c>
      <c r="C86" s="2" t="inlineStr">
        <is>
          <t>Fretes Diversos</t>
        </is>
      </c>
      <c r="D86" s="2" t="inlineStr">
        <is>
          <t>-</t>
        </is>
      </c>
      <c r="E86" s="2" t="inlineStr">
        <is>
          <t>-</t>
        </is>
      </c>
      <c r="F86" s="2" t="n">
        <v>132000</v>
      </c>
      <c r="G86" s="2" t="n">
        <v>0</v>
      </c>
      <c r="H86" s="2" t="n">
        <v>132000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</row>
    <row r="87">
      <c r="A87" s="2" t="n">
        <v>2</v>
      </c>
      <c r="B87" s="2" t="inlineStr">
        <is>
          <t>08.03</t>
        </is>
      </c>
      <c r="C87" s="2" t="inlineStr">
        <is>
          <t>Limpeza de ruas com caminhão pipa</t>
        </is>
      </c>
      <c r="D87" s="2" t="inlineStr">
        <is>
          <t>-</t>
        </is>
      </c>
      <c r="E87" s="2" t="inlineStr">
        <is>
          <t>-</t>
        </is>
      </c>
      <c r="F87" s="2" t="n">
        <v>158400</v>
      </c>
      <c r="G87" s="2" t="n">
        <v>0</v>
      </c>
      <c r="H87" s="2" t="n">
        <v>158400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</row>
    <row r="88">
      <c r="A88" s="2" t="n">
        <v>2</v>
      </c>
      <c r="B88" s="2" t="inlineStr">
        <is>
          <t>08.04</t>
        </is>
      </c>
      <c r="C88" s="2" t="inlineStr">
        <is>
          <t>Caçamba para limpeza permanente de obra</t>
        </is>
      </c>
      <c r="D88" s="2" t="inlineStr">
        <is>
          <t>-</t>
        </is>
      </c>
      <c r="E88" s="2" t="inlineStr">
        <is>
          <t>-</t>
        </is>
      </c>
      <c r="F88" s="2" t="n">
        <v>478192</v>
      </c>
      <c r="G88" s="2" t="n">
        <v>0</v>
      </c>
      <c r="H88" s="2" t="n">
        <v>478192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</row>
    <row r="89">
      <c r="A89" s="2" t="n">
        <v>1</v>
      </c>
      <c r="B89" s="2" t="inlineStr">
        <is>
          <t>09</t>
        </is>
      </c>
      <c r="C89" s="2" t="inlineStr">
        <is>
          <t>CONSULTORIAS (OBRAS)</t>
        </is>
      </c>
      <c r="D89" s="2" t="inlineStr">
        <is>
          <t>-</t>
        </is>
      </c>
      <c r="E89" s="2" t="inlineStr">
        <is>
          <t>-</t>
        </is>
      </c>
      <c r="F89" s="2" t="n">
        <v>1322660.98</v>
      </c>
      <c r="G89" s="2" t="n">
        <v>0</v>
      </c>
      <c r="H89" s="2" t="n">
        <v>1322660.98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</row>
    <row r="90">
      <c r="A90" s="2" t="n">
        <v>2</v>
      </c>
      <c r="B90" s="2" t="inlineStr">
        <is>
          <t>09.01</t>
        </is>
      </c>
      <c r="C90" s="2" t="inlineStr">
        <is>
          <t>Orçamento e acompanhamento de obra</t>
        </is>
      </c>
      <c r="D90" s="2" t="inlineStr">
        <is>
          <t>-</t>
        </is>
      </c>
      <c r="E90" s="2" t="inlineStr">
        <is>
          <t>-</t>
        </is>
      </c>
      <c r="F90" s="2" t="n">
        <v>126976.18</v>
      </c>
      <c r="G90" s="2" t="n">
        <v>0</v>
      </c>
      <c r="H90" s="2" t="n">
        <v>126976.18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</row>
    <row r="91">
      <c r="A91" s="2" t="n">
        <v>3</v>
      </c>
      <c r="B91" s="2" t="inlineStr">
        <is>
          <t>09.01.01</t>
        </is>
      </c>
      <c r="C91" s="2" t="inlineStr">
        <is>
          <t>Acompanhamento de obra VIA APLICATIVO - PREVISION</t>
        </is>
      </c>
      <c r="D91" s="2" t="inlineStr">
        <is>
          <t>-</t>
        </is>
      </c>
      <c r="E91" s="2" t="inlineStr">
        <is>
          <t>-</t>
        </is>
      </c>
      <c r="F91" s="2" t="n">
        <v>69000</v>
      </c>
      <c r="G91" s="2" t="n">
        <v>0</v>
      </c>
      <c r="H91" s="2" t="n">
        <v>69000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</row>
    <row r="92">
      <c r="A92" s="2" t="n">
        <v>3</v>
      </c>
      <c r="B92" s="2" t="inlineStr">
        <is>
          <t>09.01.02</t>
        </is>
      </c>
      <c r="C92" s="2" t="inlineStr">
        <is>
          <t>Orçamento preliminar e executivo</t>
        </is>
      </c>
      <c r="D92" s="2" t="inlineStr">
        <is>
          <t>-</t>
        </is>
      </c>
      <c r="E92" s="2" t="inlineStr">
        <is>
          <t>-</t>
        </is>
      </c>
      <c r="F92" s="2" t="n">
        <v>57976.18</v>
      </c>
      <c r="G92" s="2" t="n">
        <v>0</v>
      </c>
      <c r="H92" s="2" t="n">
        <v>57976.18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</row>
    <row r="93">
      <c r="A93" s="2" t="n">
        <v>2</v>
      </c>
      <c r="B93" s="2" t="inlineStr">
        <is>
          <t>09.02</t>
        </is>
      </c>
      <c r="C93" s="2" t="inlineStr">
        <is>
          <t>Controle Tecnológico</t>
        </is>
      </c>
      <c r="D93" s="2" t="inlineStr">
        <is>
          <t>-</t>
        </is>
      </c>
      <c r="E93" s="2" t="inlineStr">
        <is>
          <t>-</t>
        </is>
      </c>
      <c r="F93" s="2" t="n">
        <v>723734.8</v>
      </c>
      <c r="G93" s="2" t="n">
        <v>0</v>
      </c>
      <c r="H93" s="2" t="n">
        <v>723734.8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</row>
    <row r="94">
      <c r="A94" s="2" t="n">
        <v>3</v>
      </c>
      <c r="B94" s="2" t="inlineStr">
        <is>
          <t>09.02.01</t>
        </is>
      </c>
      <c r="C94" s="2" t="inlineStr">
        <is>
          <t>Controle Tecnológico de Concreto</t>
        </is>
      </c>
      <c r="D94" s="2" t="inlineStr">
        <is>
          <t>-</t>
        </is>
      </c>
      <c r="E94" s="2" t="inlineStr">
        <is>
          <t>-</t>
        </is>
      </c>
      <c r="F94" s="2" t="n">
        <v>176584.8</v>
      </c>
      <c r="G94" s="2" t="n">
        <v>0</v>
      </c>
      <c r="H94" s="2" t="n">
        <v>176584.8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</row>
    <row r="95">
      <c r="A95" s="2" t="n">
        <v>3</v>
      </c>
      <c r="B95" s="2" t="inlineStr">
        <is>
          <t>09.02.02</t>
        </is>
      </c>
      <c r="C95" s="2" t="inlineStr">
        <is>
          <t>Norma de desempenho - certificação e teste de fachadas, revestimentos, desempenho termo-acústico do empreendimento</t>
        </is>
      </c>
      <c r="D95" s="2" t="inlineStr">
        <is>
          <t>-</t>
        </is>
      </c>
      <c r="E95" s="2" t="inlineStr">
        <is>
          <t>-</t>
        </is>
      </c>
      <c r="F95" s="2" t="n">
        <v>75000</v>
      </c>
      <c r="G95" s="2" t="n">
        <v>0</v>
      </c>
      <c r="H95" s="2" t="n">
        <v>75000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</row>
    <row r="96">
      <c r="A96" s="2" t="n">
        <v>3</v>
      </c>
      <c r="B96" s="2" t="inlineStr">
        <is>
          <t>09.02.03</t>
        </is>
      </c>
      <c r="C96" s="2" t="inlineStr">
        <is>
          <t>Prova de carga estática</t>
        </is>
      </c>
      <c r="D96" s="2" t="inlineStr">
        <is>
          <t>-</t>
        </is>
      </c>
      <c r="E96" s="2" t="inlineStr">
        <is>
          <t>-</t>
        </is>
      </c>
      <c r="F96" s="2" t="n">
        <v>258000</v>
      </c>
      <c r="G96" s="2" t="n">
        <v>0</v>
      </c>
      <c r="H96" s="2" t="n">
        <v>258000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</row>
    <row r="97">
      <c r="A97" s="2" t="n">
        <v>3</v>
      </c>
      <c r="B97" s="2" t="inlineStr">
        <is>
          <t>09.02.04</t>
        </is>
      </c>
      <c r="C97" s="2" t="inlineStr">
        <is>
          <t>Consultoria geotécnica</t>
        </is>
      </c>
      <c r="D97" s="2" t="inlineStr">
        <is>
          <t>-</t>
        </is>
      </c>
      <c r="E97" s="2" t="inlineStr">
        <is>
          <t>-</t>
        </is>
      </c>
      <c r="F97" s="2" t="n">
        <v>82350</v>
      </c>
      <c r="G97" s="2" t="n">
        <v>0</v>
      </c>
      <c r="H97" s="2" t="n">
        <v>82350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</row>
    <row r="98">
      <c r="A98" s="2" t="n">
        <v>3</v>
      </c>
      <c r="B98" s="2" t="inlineStr">
        <is>
          <t>09.02.05</t>
        </is>
      </c>
      <c r="C98" s="2" t="inlineStr">
        <is>
          <t>Controle de Recalque</t>
        </is>
      </c>
      <c r="D98" s="2" t="inlineStr">
        <is>
          <t>-</t>
        </is>
      </c>
      <c r="E98" s="2" t="inlineStr">
        <is>
          <t>-</t>
        </is>
      </c>
      <c r="F98" s="2" t="n">
        <v>50000</v>
      </c>
      <c r="G98" s="2" t="n">
        <v>0</v>
      </c>
      <c r="H98" s="2" t="n">
        <v>50000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</row>
    <row r="99">
      <c r="A99" s="2" t="n">
        <v>3</v>
      </c>
      <c r="B99" s="2" t="inlineStr">
        <is>
          <t>09.02.06</t>
        </is>
      </c>
      <c r="C99" s="2" t="inlineStr">
        <is>
          <t>Consultoria de concreto aparente na fachada</t>
        </is>
      </c>
      <c r="D99" s="2" t="inlineStr">
        <is>
          <t>-</t>
        </is>
      </c>
      <c r="E99" s="2" t="inlineStr">
        <is>
          <t>-</t>
        </is>
      </c>
      <c r="F99" s="2" t="n">
        <v>68000</v>
      </c>
      <c r="G99" s="2" t="n">
        <v>0</v>
      </c>
      <c r="H99" s="2" t="n">
        <v>68000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</row>
    <row r="100">
      <c r="A100" s="2" t="n">
        <v>3</v>
      </c>
      <c r="B100" s="2" t="inlineStr">
        <is>
          <t>09.02.07</t>
        </is>
      </c>
      <c r="C100" s="2" t="inlineStr">
        <is>
          <t>Consultoria de execução do concreto do bloco do elevador</t>
        </is>
      </c>
      <c r="D100" s="2" t="inlineStr">
        <is>
          <t>-</t>
        </is>
      </c>
      <c r="E100" s="2" t="inlineStr">
        <is>
          <t>-</t>
        </is>
      </c>
      <c r="F100" s="2" t="n">
        <v>13800</v>
      </c>
      <c r="G100" s="2" t="n">
        <v>0</v>
      </c>
      <c r="H100" s="2" t="n">
        <v>13800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</row>
    <row r="101">
      <c r="A101" s="2" t="n">
        <v>2</v>
      </c>
      <c r="B101" s="2" t="inlineStr">
        <is>
          <t>09.03</t>
        </is>
      </c>
      <c r="C101" s="2" t="inlineStr">
        <is>
          <t>Controle Ambiental</t>
        </is>
      </c>
      <c r="D101" s="2" t="inlineStr">
        <is>
          <t>-</t>
        </is>
      </c>
      <c r="E101" s="2" t="inlineStr">
        <is>
          <t>-</t>
        </is>
      </c>
      <c r="F101" s="2" t="n">
        <v>471950</v>
      </c>
      <c r="G101" s="2" t="n">
        <v>0</v>
      </c>
      <c r="H101" s="2" t="n">
        <v>471950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</row>
    <row r="102">
      <c r="A102" s="2" t="n">
        <v>3</v>
      </c>
      <c r="B102" s="2" t="inlineStr">
        <is>
          <t>09.03.01</t>
        </is>
      </c>
      <c r="C102" s="2" t="inlineStr">
        <is>
          <t>Controle de Ruído</t>
        </is>
      </c>
      <c r="D102" s="2" t="inlineStr">
        <is>
          <t>-</t>
        </is>
      </c>
      <c r="E102" s="2" t="inlineStr">
        <is>
          <t>-</t>
        </is>
      </c>
      <c r="F102" s="2" t="n">
        <v>20000</v>
      </c>
      <c r="G102" s="2" t="n">
        <v>0</v>
      </c>
      <c r="H102" s="2" t="n">
        <v>20000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</row>
    <row r="103">
      <c r="A103" s="2" t="n">
        <v>3</v>
      </c>
      <c r="B103" s="2" t="inlineStr">
        <is>
          <t>09.03.02</t>
        </is>
      </c>
      <c r="C103" s="2" t="inlineStr">
        <is>
          <t>Atendimento as condicionantes conforme contrato</t>
        </is>
      </c>
      <c r="D103" s="2" t="inlineStr">
        <is>
          <t>-</t>
        </is>
      </c>
      <c r="E103" s="2" t="inlineStr">
        <is>
          <t>-</t>
        </is>
      </c>
      <c r="F103" s="2" t="n">
        <v>240000</v>
      </c>
      <c r="G103" s="2" t="n">
        <v>0</v>
      </c>
      <c r="H103" s="2" t="n">
        <v>240000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</row>
    <row r="104">
      <c r="A104" s="2" t="n">
        <v>3</v>
      </c>
      <c r="B104" s="2" t="inlineStr">
        <is>
          <t>09.03.03</t>
        </is>
      </c>
      <c r="C104" s="2" t="inlineStr">
        <is>
          <t>Comunicação Vizinhança - 6 Mil Diagnostico + Valor mensal</t>
        </is>
      </c>
      <c r="D104" s="2" t="inlineStr">
        <is>
          <t>-</t>
        </is>
      </c>
      <c r="E104" s="2" t="inlineStr">
        <is>
          <t>-</t>
        </is>
      </c>
      <c r="F104" s="2" t="n">
        <v>211950</v>
      </c>
      <c r="G104" s="2" t="n">
        <v>0</v>
      </c>
      <c r="H104" s="2" t="n">
        <v>211950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</row>
    <row r="105">
      <c r="A105" s="2" t="n">
        <v>1</v>
      </c>
      <c r="B105" s="2" t="inlineStr">
        <is>
          <t>10</t>
        </is>
      </c>
      <c r="C105" s="2" t="inlineStr">
        <is>
          <t>MÃO DE OBRA PRÓPRIA</t>
        </is>
      </c>
      <c r="D105" s="2" t="inlineStr">
        <is>
          <t>-</t>
        </is>
      </c>
      <c r="E105" s="2" t="inlineStr">
        <is>
          <t>-</t>
        </is>
      </c>
      <c r="F105" s="2" t="n">
        <v>20188024.55255007</v>
      </c>
      <c r="G105" s="2" t="n">
        <v>0</v>
      </c>
      <c r="H105" s="2" t="n">
        <v>20188024.55255007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</row>
    <row r="106">
      <c r="A106" s="2" t="n">
        <v>2</v>
      </c>
      <c r="B106" s="2" t="inlineStr">
        <is>
          <t>10.01</t>
        </is>
      </c>
      <c r="C106" s="2" t="inlineStr">
        <is>
          <t>Segurança do trabalho</t>
        </is>
      </c>
      <c r="D106" s="2" t="inlineStr">
        <is>
          <t>-</t>
        </is>
      </c>
      <c r="E106" s="2" t="inlineStr">
        <is>
          <t>-</t>
        </is>
      </c>
      <c r="F106" s="2" t="n">
        <v>80000</v>
      </c>
      <c r="G106" s="2" t="n">
        <v>0</v>
      </c>
      <c r="H106" s="2" t="n">
        <v>80000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</row>
    <row r="107">
      <c r="A107" s="2" t="n">
        <v>3</v>
      </c>
      <c r="B107" s="2" t="inlineStr">
        <is>
          <t>10.01.01</t>
        </is>
      </c>
      <c r="C107" s="2" t="inlineStr">
        <is>
          <t>PCMAT</t>
        </is>
      </c>
      <c r="D107" s="2" t="inlineStr">
        <is>
          <t>-</t>
        </is>
      </c>
      <c r="E107" s="2" t="inlineStr">
        <is>
          <t>-</t>
        </is>
      </c>
      <c r="F107" s="2" t="n">
        <v>34000</v>
      </c>
      <c r="G107" s="2" t="n">
        <v>0</v>
      </c>
      <c r="H107" s="2" t="n">
        <v>34000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</row>
    <row r="108">
      <c r="A108" s="2" t="n">
        <v>3</v>
      </c>
      <c r="B108" s="2" t="inlineStr">
        <is>
          <t>10.01.02</t>
        </is>
      </c>
      <c r="C108" s="2" t="inlineStr">
        <is>
          <t>PCMSO</t>
        </is>
      </c>
      <c r="D108" s="2" t="inlineStr">
        <is>
          <t>-</t>
        </is>
      </c>
      <c r="E108" s="2" t="inlineStr">
        <is>
          <t>-</t>
        </is>
      </c>
      <c r="F108" s="2" t="n">
        <v>18000</v>
      </c>
      <c r="G108" s="2" t="n">
        <v>0</v>
      </c>
      <c r="H108" s="2" t="n">
        <v>18000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</row>
    <row r="109">
      <c r="A109" s="2" t="n">
        <v>3</v>
      </c>
      <c r="B109" s="2" t="inlineStr">
        <is>
          <t>10.01.03</t>
        </is>
      </c>
      <c r="C109" s="2" t="inlineStr">
        <is>
          <t>SIPAT</t>
        </is>
      </c>
      <c r="D109" s="2" t="inlineStr">
        <is>
          <t>-</t>
        </is>
      </c>
      <c r="E109" s="2" t="inlineStr">
        <is>
          <t>-</t>
        </is>
      </c>
      <c r="F109" s="2" t="n">
        <v>28000</v>
      </c>
      <c r="G109" s="2" t="n">
        <v>0</v>
      </c>
      <c r="H109" s="2" t="n">
        <v>28000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</row>
    <row r="110">
      <c r="A110" s="2" t="n">
        <v>2</v>
      </c>
      <c r="B110" s="2" t="inlineStr">
        <is>
          <t>10.02</t>
        </is>
      </c>
      <c r="C110" s="2" t="inlineStr">
        <is>
          <t>Equipe técnica</t>
        </is>
      </c>
      <c r="D110" s="2" t="inlineStr">
        <is>
          <t>-</t>
        </is>
      </c>
      <c r="E110" s="2" t="inlineStr">
        <is>
          <t>-</t>
        </is>
      </c>
      <c r="F110" s="2" t="n">
        <v>7850880.917230051</v>
      </c>
      <c r="G110" s="2" t="n">
        <v>0</v>
      </c>
      <c r="H110" s="2" t="n">
        <v>7850880.917230051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</row>
    <row r="111">
      <c r="A111" s="2" t="n">
        <v>3</v>
      </c>
      <c r="B111" s="2" t="inlineStr">
        <is>
          <t>10.02.01</t>
        </is>
      </c>
      <c r="C111" s="2" t="inlineStr">
        <is>
          <t>Gerente de contrato</t>
        </is>
      </c>
      <c r="D111" s="2" t="inlineStr">
        <is>
          <t>-</t>
        </is>
      </c>
      <c r="E111" s="2" t="inlineStr">
        <is>
          <t>-</t>
        </is>
      </c>
      <c r="F111" s="2" t="n">
        <v>1534256</v>
      </c>
      <c r="G111" s="2" t="n">
        <v>0</v>
      </c>
      <c r="H111" s="2" t="n">
        <v>1534256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</row>
    <row r="112">
      <c r="A112" s="2" t="n">
        <v>3</v>
      </c>
      <c r="B112" s="2" t="inlineStr">
        <is>
          <t>10.02.02</t>
        </is>
      </c>
      <c r="C112" s="2" t="inlineStr">
        <is>
          <t>Engenheiro de produção PL</t>
        </is>
      </c>
      <c r="D112" s="2" t="inlineStr">
        <is>
          <t>-</t>
        </is>
      </c>
      <c r="E112" s="2" t="inlineStr">
        <is>
          <t>-</t>
        </is>
      </c>
      <c r="F112" s="2" t="n">
        <v>1246054.826719775</v>
      </c>
      <c r="G112" s="2" t="n">
        <v>0</v>
      </c>
      <c r="H112" s="2" t="n">
        <v>1246054.826719775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</row>
    <row r="113">
      <c r="A113" s="2" t="n">
        <v>3</v>
      </c>
      <c r="B113" s="2" t="inlineStr">
        <is>
          <t>10.02.03</t>
        </is>
      </c>
      <c r="C113" s="2" t="inlineStr">
        <is>
          <t>Engenheiro de produção JR</t>
        </is>
      </c>
      <c r="D113" s="2" t="inlineStr">
        <is>
          <t>-</t>
        </is>
      </c>
      <c r="E113" s="2" t="inlineStr">
        <is>
          <t>-</t>
        </is>
      </c>
      <c r="F113" s="2" t="n">
        <v>439660.8402083334</v>
      </c>
      <c r="G113" s="2" t="n">
        <v>0</v>
      </c>
      <c r="H113" s="2" t="n">
        <v>439660.8402083334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</row>
    <row r="114">
      <c r="A114" s="2" t="n">
        <v>3</v>
      </c>
      <c r="B114" s="2" t="inlineStr">
        <is>
          <t>10.02.04</t>
        </is>
      </c>
      <c r="C114" s="2" t="inlineStr">
        <is>
          <t>Engenheiro Traine</t>
        </is>
      </c>
      <c r="D114" s="2" t="inlineStr">
        <is>
          <t>-</t>
        </is>
      </c>
      <c r="E114" s="2" t="inlineStr">
        <is>
          <t>-</t>
        </is>
      </c>
      <c r="F114" s="2" t="n">
        <v>655575.5775427446</v>
      </c>
      <c r="G114" s="2" t="n">
        <v>0</v>
      </c>
      <c r="H114" s="2" t="n">
        <v>655575.5775427446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</row>
    <row r="115">
      <c r="A115" s="2" t="n">
        <v>3</v>
      </c>
      <c r="B115" s="2" t="inlineStr">
        <is>
          <t>10.02.05</t>
        </is>
      </c>
      <c r="C115" s="2" t="inlineStr">
        <is>
          <t>Apoio escritório central</t>
        </is>
      </c>
      <c r="D115" s="2" t="inlineStr">
        <is>
          <t>-</t>
        </is>
      </c>
      <c r="E115" s="2" t="inlineStr">
        <is>
          <t>-</t>
        </is>
      </c>
      <c r="F115" s="2" t="n">
        <v>2640000</v>
      </c>
      <c r="G115" s="2" t="n">
        <v>0</v>
      </c>
      <c r="H115" s="2" t="n">
        <v>2640000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</row>
    <row r="116">
      <c r="A116" s="2" t="n">
        <v>3</v>
      </c>
      <c r="B116" s="2" t="inlineStr">
        <is>
          <t>10.02.06</t>
        </is>
      </c>
      <c r="C116" s="2" t="inlineStr">
        <is>
          <t>Rateio de qualidade e segurança</t>
        </is>
      </c>
      <c r="D116" s="2" t="inlineStr">
        <is>
          <t>-</t>
        </is>
      </c>
      <c r="E116" s="2" t="inlineStr">
        <is>
          <t>-</t>
        </is>
      </c>
      <c r="F116" s="2" t="n">
        <v>660000</v>
      </c>
      <c r="G116" s="2" t="n">
        <v>0</v>
      </c>
      <c r="H116" s="2" t="n">
        <v>660000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</row>
    <row r="117">
      <c r="A117" s="2" t="n">
        <v>3</v>
      </c>
      <c r="B117" s="2" t="inlineStr">
        <is>
          <t>10.02.07</t>
        </is>
      </c>
      <c r="C117" s="2" t="inlineStr">
        <is>
          <t>Auxiliar de Engenharia</t>
        </is>
      </c>
      <c r="D117" s="2" t="inlineStr">
        <is>
          <t>-</t>
        </is>
      </c>
      <c r="E117" s="2" t="inlineStr">
        <is>
          <t>-</t>
        </is>
      </c>
      <c r="F117" s="2" t="n">
        <v>278609.9848425316</v>
      </c>
      <c r="G117" s="2" t="n">
        <v>0</v>
      </c>
      <c r="H117" s="2" t="n">
        <v>278609.9848425316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</row>
    <row r="118">
      <c r="A118" s="2" t="n">
        <v>3</v>
      </c>
      <c r="B118" s="2" t="inlineStr">
        <is>
          <t>10.02.08</t>
        </is>
      </c>
      <c r="C118" s="2" t="inlineStr">
        <is>
          <t>Estagiário</t>
        </is>
      </c>
      <c r="D118" s="2" t="inlineStr">
        <is>
          <t>-</t>
        </is>
      </c>
      <c r="E118" s="2" t="inlineStr">
        <is>
          <t>-</t>
        </is>
      </c>
      <c r="F118" s="2" t="n">
        <v>296723.6879166666</v>
      </c>
      <c r="G118" s="2" t="n">
        <v>0</v>
      </c>
      <c r="H118" s="2" t="n">
        <v>296723.6879166666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</row>
    <row r="119">
      <c r="A119" s="2" t="n">
        <v>3</v>
      </c>
      <c r="B119" s="2" t="inlineStr">
        <is>
          <t>10.02.09</t>
        </is>
      </c>
      <c r="C119" s="2" t="inlineStr">
        <is>
          <t>Equipe de topografia terceirizada</t>
        </is>
      </c>
      <c r="D119" s="2" t="inlineStr">
        <is>
          <t>-</t>
        </is>
      </c>
      <c r="E119" s="2" t="inlineStr">
        <is>
          <t>-</t>
        </is>
      </c>
      <c r="F119" s="2" t="n">
        <v>100000</v>
      </c>
      <c r="G119" s="2" t="n">
        <v>0</v>
      </c>
      <c r="H119" s="2" t="n">
        <v>100000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</row>
    <row r="120">
      <c r="A120" s="2" t="n">
        <v>2</v>
      </c>
      <c r="B120" s="2" t="inlineStr">
        <is>
          <t>10.03</t>
        </is>
      </c>
      <c r="C120" s="2" t="inlineStr">
        <is>
          <t>Equipe de segurança e medicina do trabalho</t>
        </is>
      </c>
      <c r="D120" s="2" t="inlineStr">
        <is>
          <t>-</t>
        </is>
      </c>
      <c r="E120" s="2" t="inlineStr">
        <is>
          <t>-</t>
        </is>
      </c>
      <c r="F120" s="2" t="n">
        <v>1075308.624227114</v>
      </c>
      <c r="G120" s="2" t="n">
        <v>0</v>
      </c>
      <c r="H120" s="2" t="n">
        <v>1075308.624227114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</row>
    <row r="121">
      <c r="A121" s="2" t="n">
        <v>3</v>
      </c>
      <c r="B121" s="2" t="inlineStr">
        <is>
          <t>10.03.01</t>
        </is>
      </c>
      <c r="C121" s="2" t="inlineStr">
        <is>
          <t>Técnico de Segurança do Trabalho</t>
        </is>
      </c>
      <c r="D121" s="2" t="inlineStr">
        <is>
          <t>-</t>
        </is>
      </c>
      <c r="E121" s="2" t="inlineStr">
        <is>
          <t>-</t>
        </is>
      </c>
      <c r="F121" s="2" t="n">
        <v>428010.4919273623</v>
      </c>
      <c r="G121" s="2" t="n">
        <v>0</v>
      </c>
      <c r="H121" s="2" t="n">
        <v>428010.4919273623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</row>
    <row r="122">
      <c r="A122" s="2" t="n">
        <v>3</v>
      </c>
      <c r="B122" s="2" t="inlineStr">
        <is>
          <t>10.03.02</t>
        </is>
      </c>
      <c r="C122" s="2" t="inlineStr">
        <is>
          <t>Estagiário</t>
        </is>
      </c>
      <c r="D122" s="2" t="inlineStr">
        <is>
          <t>-</t>
        </is>
      </c>
      <c r="E122" s="2" t="inlineStr">
        <is>
          <t>-</t>
        </is>
      </c>
      <c r="F122" s="2" t="n">
        <v>70462.42385416667</v>
      </c>
      <c r="G122" s="2" t="n">
        <v>0</v>
      </c>
      <c r="H122" s="2" t="n">
        <v>70462.42385416667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</row>
    <row r="123">
      <c r="A123" s="2" t="n">
        <v>3</v>
      </c>
      <c r="B123" s="2" t="inlineStr">
        <is>
          <t>10.03.03</t>
        </is>
      </c>
      <c r="C123" s="2" t="inlineStr">
        <is>
          <t>Carpinteiro de apoio</t>
        </is>
      </c>
      <c r="D123" s="2" t="inlineStr">
        <is>
          <t>-</t>
        </is>
      </c>
      <c r="E123" s="2" t="inlineStr">
        <is>
          <t>-</t>
        </is>
      </c>
      <c r="F123" s="2" t="n">
        <v>576835.7084455849</v>
      </c>
      <c r="G123" s="2" t="n">
        <v>0</v>
      </c>
      <c r="H123" s="2" t="n">
        <v>576835.7084455849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</row>
    <row r="124">
      <c r="A124" s="2" t="n">
        <v>2</v>
      </c>
      <c r="B124" s="2" t="inlineStr">
        <is>
          <t>10.04</t>
        </is>
      </c>
      <c r="C124" s="2" t="inlineStr">
        <is>
          <t>Equipe administrativa</t>
        </is>
      </c>
      <c r="D124" s="2" t="inlineStr">
        <is>
          <t>-</t>
        </is>
      </c>
      <c r="E124" s="2" t="inlineStr">
        <is>
          <t>-</t>
        </is>
      </c>
      <c r="F124" s="2" t="n">
        <v>1742630.061221556</v>
      </c>
      <c r="G124" s="2" t="n">
        <v>0</v>
      </c>
      <c r="H124" s="2" t="n">
        <v>1742630.061221556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</row>
    <row r="125">
      <c r="A125" s="2" t="n">
        <v>3</v>
      </c>
      <c r="B125" s="2" t="inlineStr">
        <is>
          <t>10.04.01</t>
        </is>
      </c>
      <c r="C125" s="2" t="inlineStr">
        <is>
          <t>Encarregado Administrativo</t>
        </is>
      </c>
      <c r="D125" s="2" t="inlineStr">
        <is>
          <t>-</t>
        </is>
      </c>
      <c r="E125" s="2" t="inlineStr">
        <is>
          <t>-</t>
        </is>
      </c>
      <c r="F125" s="2" t="n">
        <v>470876.0689263832</v>
      </c>
      <c r="G125" s="2" t="n">
        <v>0</v>
      </c>
      <c r="H125" s="2" t="n">
        <v>470876.0689263832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</row>
    <row r="126">
      <c r="A126" s="2" t="n">
        <v>3</v>
      </c>
      <c r="B126" s="2" t="inlineStr">
        <is>
          <t>10.04.02</t>
        </is>
      </c>
      <c r="C126" s="2" t="inlineStr">
        <is>
          <t>Almoxarife</t>
        </is>
      </c>
      <c r="D126" s="2" t="inlineStr">
        <is>
          <t>-</t>
        </is>
      </c>
      <c r="E126" s="2" t="inlineStr">
        <is>
          <t>-</t>
        </is>
      </c>
      <c r="F126" s="2" t="n">
        <v>238709.8227711492</v>
      </c>
      <c r="G126" s="2" t="n">
        <v>0</v>
      </c>
      <c r="H126" s="2" t="n">
        <v>238709.8227711492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</row>
    <row r="127">
      <c r="A127" s="2" t="n">
        <v>3</v>
      </c>
      <c r="B127" s="2" t="inlineStr">
        <is>
          <t>10.04.03</t>
        </is>
      </c>
      <c r="C127" s="2" t="inlineStr">
        <is>
          <t>Auxiliar de Almoxarife</t>
        </is>
      </c>
      <c r="D127" s="2" t="inlineStr">
        <is>
          <t>-</t>
        </is>
      </c>
      <c r="E127" s="2" t="inlineStr">
        <is>
          <t>-</t>
        </is>
      </c>
      <c r="F127" s="2" t="n">
        <v>134216.2597999483</v>
      </c>
      <c r="G127" s="2" t="n">
        <v>0</v>
      </c>
      <c r="H127" s="2" t="n">
        <v>134216.2597999483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</row>
    <row r="128">
      <c r="A128" s="2" t="n">
        <v>3</v>
      </c>
      <c r="B128" s="2" t="inlineStr">
        <is>
          <t>10.04.04</t>
        </is>
      </c>
      <c r="C128" s="2" t="inlineStr">
        <is>
          <t>Porteiro</t>
        </is>
      </c>
      <c r="D128" s="2" t="inlineStr">
        <is>
          <t>-</t>
        </is>
      </c>
      <c r="E128" s="2" t="inlineStr">
        <is>
          <t>-</t>
        </is>
      </c>
      <c r="F128" s="2" t="n">
        <v>240827.9097240753</v>
      </c>
      <c r="G128" s="2" t="n">
        <v>0</v>
      </c>
      <c r="H128" s="2" t="n">
        <v>240827.9097240753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</row>
    <row r="129">
      <c r="A129" s="2" t="n">
        <v>3</v>
      </c>
      <c r="B129" s="2" t="inlineStr">
        <is>
          <t>10.04.05</t>
        </is>
      </c>
      <c r="C129" s="2" t="inlineStr">
        <is>
          <t>Vigilancia terceirizada</t>
        </is>
      </c>
      <c r="D129" s="2" t="inlineStr">
        <is>
          <t>-</t>
        </is>
      </c>
      <c r="E129" s="2" t="inlineStr">
        <is>
          <t>-</t>
        </is>
      </c>
      <c r="F129" s="2" t="n">
        <v>658000</v>
      </c>
      <c r="G129" s="2" t="n">
        <v>0</v>
      </c>
      <c r="H129" s="2" t="n">
        <v>658000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</row>
    <row r="130">
      <c r="A130" s="2" t="n">
        <v>2</v>
      </c>
      <c r="B130" s="2" t="inlineStr">
        <is>
          <t>10.05</t>
        </is>
      </c>
      <c r="C130" s="2" t="inlineStr">
        <is>
          <t>Equipe produtiva</t>
        </is>
      </c>
      <c r="D130" s="2" t="inlineStr">
        <is>
          <t>-</t>
        </is>
      </c>
      <c r="E130" s="2" t="inlineStr">
        <is>
          <t>-</t>
        </is>
      </c>
      <c r="F130" s="2" t="n">
        <v>6902830.091160746</v>
      </c>
      <c r="G130" s="2" t="n">
        <v>0</v>
      </c>
      <c r="H130" s="2" t="n">
        <v>6902830.091160746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</row>
    <row r="131">
      <c r="A131" s="2" t="n">
        <v>3</v>
      </c>
      <c r="B131" s="2" t="inlineStr">
        <is>
          <t>10.05.01</t>
        </is>
      </c>
      <c r="C131" s="2" t="inlineStr">
        <is>
          <t>Mestre de Obra</t>
        </is>
      </c>
      <c r="D131" s="2" t="inlineStr">
        <is>
          <t>-</t>
        </is>
      </c>
      <c r="E131" s="2" t="inlineStr">
        <is>
          <t>-</t>
        </is>
      </c>
      <c r="F131" s="2" t="n">
        <v>930383.8830099406</v>
      </c>
      <c r="G131" s="2" t="n">
        <v>0</v>
      </c>
      <c r="H131" s="2" t="n">
        <v>930383.8830099406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</row>
    <row r="132">
      <c r="A132" s="2" t="n">
        <v>3</v>
      </c>
      <c r="B132" s="2" t="inlineStr">
        <is>
          <t>10.05.02</t>
        </is>
      </c>
      <c r="C132" s="2" t="inlineStr">
        <is>
          <t>Encarregado de estrutura</t>
        </is>
      </c>
      <c r="D132" s="2" t="inlineStr">
        <is>
          <t>-</t>
        </is>
      </c>
      <c r="E132" s="2" t="inlineStr">
        <is>
          <t>-</t>
        </is>
      </c>
      <c r="F132" s="2" t="n">
        <v>353504.3115571085</v>
      </c>
      <c r="G132" s="2" t="n">
        <v>0</v>
      </c>
      <c r="H132" s="2" t="n">
        <v>353504.3115571085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</row>
    <row r="133">
      <c r="A133" s="2" t="n">
        <v>3</v>
      </c>
      <c r="B133" s="2" t="inlineStr">
        <is>
          <t>10.05.03</t>
        </is>
      </c>
      <c r="C133" s="2" t="inlineStr">
        <is>
          <t>Encarregado de acabamento área comum</t>
        </is>
      </c>
      <c r="D133" s="2" t="inlineStr">
        <is>
          <t>-</t>
        </is>
      </c>
      <c r="E133" s="2" t="inlineStr">
        <is>
          <t>-</t>
        </is>
      </c>
      <c r="F133" s="2" t="n">
        <v>244014.8391813249</v>
      </c>
      <c r="G133" s="2" t="n">
        <v>0</v>
      </c>
      <c r="H133" s="2" t="n">
        <v>244014.8391813249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</row>
    <row r="134">
      <c r="A134" s="2" t="n">
        <v>3</v>
      </c>
      <c r="B134" s="2" t="inlineStr">
        <is>
          <t>10.05.04</t>
        </is>
      </c>
      <c r="C134" s="2" t="inlineStr">
        <is>
          <t>Encarregado acabamento Torre</t>
        </is>
      </c>
      <c r="D134" s="2" t="inlineStr">
        <is>
          <t>-</t>
        </is>
      </c>
      <c r="E134" s="2" t="inlineStr">
        <is>
          <t>-</t>
        </is>
      </c>
      <c r="F134" s="2" t="n">
        <v>325353.1189084332</v>
      </c>
      <c r="G134" s="2" t="n">
        <v>0</v>
      </c>
      <c r="H134" s="2" t="n">
        <v>325353.1189084332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</row>
    <row r="135">
      <c r="A135" s="2" t="n">
        <v>3</v>
      </c>
      <c r="B135" s="2" t="inlineStr">
        <is>
          <t>10.05.05</t>
        </is>
      </c>
      <c r="C135" s="2" t="inlineStr">
        <is>
          <t>Encarregado de Turma / Logistica</t>
        </is>
      </c>
      <c r="D135" s="2" t="inlineStr">
        <is>
          <t>-</t>
        </is>
      </c>
      <c r="E135" s="2" t="inlineStr">
        <is>
          <t>-</t>
        </is>
      </c>
      <c r="F135" s="2" t="n">
        <v>376189.5437378759</v>
      </c>
      <c r="G135" s="2" t="n">
        <v>0</v>
      </c>
      <c r="H135" s="2" t="n">
        <v>376189.5437378759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</row>
    <row r="136">
      <c r="A136" s="2" t="n">
        <v>3</v>
      </c>
      <c r="B136" s="2" t="inlineStr">
        <is>
          <t>10.05.06</t>
        </is>
      </c>
      <c r="C136" s="2" t="inlineStr">
        <is>
          <t>Encarregado de instalações</t>
        </is>
      </c>
      <c r="D136" s="2" t="inlineStr">
        <is>
          <t>-</t>
        </is>
      </c>
      <c r="E136" s="2" t="inlineStr">
        <is>
          <t>-</t>
        </is>
      </c>
      <c r="F136" s="2" t="n">
        <v>396524.113669653</v>
      </c>
      <c r="G136" s="2" t="n">
        <v>0</v>
      </c>
      <c r="H136" s="2" t="n">
        <v>396524.113669653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</row>
    <row r="137">
      <c r="A137" s="2" t="n">
        <v>3</v>
      </c>
      <c r="B137" s="2" t="inlineStr">
        <is>
          <t>10.05.07</t>
        </is>
      </c>
      <c r="C137" s="2" t="inlineStr">
        <is>
          <t>Supervisor - Eletrica - Marlei</t>
        </is>
      </c>
      <c r="D137" s="2" t="inlineStr">
        <is>
          <t>-</t>
        </is>
      </c>
      <c r="E137" s="2" t="inlineStr">
        <is>
          <t>-</t>
        </is>
      </c>
      <c r="F137" s="2" t="n">
        <v>198000</v>
      </c>
      <c r="G137" s="2" t="n">
        <v>0</v>
      </c>
      <c r="H137" s="2" t="n">
        <v>198000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</row>
    <row r="138">
      <c r="A138" s="2" t="n">
        <v>3</v>
      </c>
      <c r="B138" s="2" t="inlineStr">
        <is>
          <t>10.05.08</t>
        </is>
      </c>
      <c r="C138" s="2" t="inlineStr">
        <is>
          <t>Oficial superior - Eletricista</t>
        </is>
      </c>
      <c r="D138" s="2" t="inlineStr">
        <is>
          <t>-</t>
        </is>
      </c>
      <c r="E138" s="2" t="inlineStr">
        <is>
          <t>-</t>
        </is>
      </c>
      <c r="F138" s="2" t="n">
        <v>356478.5988612202</v>
      </c>
      <c r="G138" s="2" t="n">
        <v>0</v>
      </c>
      <c r="H138" s="2" t="n">
        <v>356478.5988612202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</row>
    <row r="139">
      <c r="A139" s="2" t="n">
        <v>3</v>
      </c>
      <c r="B139" s="2" t="inlineStr">
        <is>
          <t>10.05.09</t>
        </is>
      </c>
      <c r="C139" s="2" t="inlineStr">
        <is>
          <t>Oficial - Pedreiro</t>
        </is>
      </c>
      <c r="D139" s="2" t="inlineStr">
        <is>
          <t>-</t>
        </is>
      </c>
      <c r="E139" s="2" t="inlineStr">
        <is>
          <t>-</t>
        </is>
      </c>
      <c r="F139" s="2" t="n">
        <v>971512.7721188797</v>
      </c>
      <c r="G139" s="2" t="n">
        <v>0</v>
      </c>
      <c r="H139" s="2" t="n">
        <v>971512.7721188797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</row>
    <row r="140">
      <c r="A140" s="2" t="n">
        <v>3</v>
      </c>
      <c r="B140" s="2" t="inlineStr">
        <is>
          <t>10.05.10</t>
        </is>
      </c>
      <c r="C140" s="2" t="inlineStr">
        <is>
          <t>Meio-oficial - Ajudante</t>
        </is>
      </c>
      <c r="D140" s="2" t="inlineStr">
        <is>
          <t>-</t>
        </is>
      </c>
      <c r="E140" s="2" t="inlineStr">
        <is>
          <t>-</t>
        </is>
      </c>
      <c r="F140" s="2" t="n">
        <v>490370.5756607858</v>
      </c>
      <c r="G140" s="2" t="n">
        <v>0</v>
      </c>
      <c r="H140" s="2" t="n">
        <v>490370.5756607858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</row>
    <row r="141">
      <c r="A141" s="2" t="n">
        <v>3</v>
      </c>
      <c r="B141" s="2" t="inlineStr">
        <is>
          <t>10.05.11</t>
        </is>
      </c>
      <c r="C141" s="2" t="inlineStr">
        <is>
          <t>Servente carga e descarga</t>
        </is>
      </c>
      <c r="D141" s="2" t="inlineStr">
        <is>
          <t>-</t>
        </is>
      </c>
      <c r="E141" s="2" t="inlineStr">
        <is>
          <t>-</t>
        </is>
      </c>
      <c r="F141" s="2" t="n">
        <v>623963.2206487405</v>
      </c>
      <c r="G141" s="2" t="n">
        <v>0</v>
      </c>
      <c r="H141" s="2" t="n">
        <v>623963.2206487405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</row>
    <row r="142">
      <c r="A142" s="2" t="n">
        <v>3</v>
      </c>
      <c r="B142" s="2" t="inlineStr">
        <is>
          <t>10.05.12</t>
        </is>
      </c>
      <c r="C142" s="2" t="inlineStr">
        <is>
          <t>Servente separador de entulho</t>
        </is>
      </c>
      <c r="D142" s="2" t="inlineStr">
        <is>
          <t>-</t>
        </is>
      </c>
      <c r="E142" s="2" t="inlineStr">
        <is>
          <t>-</t>
        </is>
      </c>
      <c r="F142" s="2" t="n">
        <v>618489.8590641025</v>
      </c>
      <c r="G142" s="2" t="n">
        <v>0</v>
      </c>
      <c r="H142" s="2" t="n">
        <v>618489.8590641025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</row>
    <row r="143">
      <c r="A143" s="2" t="n">
        <v>3</v>
      </c>
      <c r="B143" s="2" t="inlineStr">
        <is>
          <t>10.05.13</t>
        </is>
      </c>
      <c r="C143" s="2" t="inlineStr">
        <is>
          <t>Servente serviços gerais</t>
        </is>
      </c>
      <c r="D143" s="2" t="inlineStr">
        <is>
          <t>-</t>
        </is>
      </c>
      <c r="E143" s="2" t="inlineStr">
        <is>
          <t>-</t>
        </is>
      </c>
      <c r="F143" s="2" t="n">
        <v>1018045.254742682</v>
      </c>
      <c r="G143" s="2" t="n">
        <v>0</v>
      </c>
      <c r="H143" s="2" t="n">
        <v>1018045.254742682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</row>
    <row r="144">
      <c r="A144" s="2" t="n">
        <v>2</v>
      </c>
      <c r="B144" s="2" t="inlineStr">
        <is>
          <t>10.06</t>
        </is>
      </c>
      <c r="C144" s="2" t="inlineStr">
        <is>
          <t>Operadores</t>
        </is>
      </c>
      <c r="D144" s="2" t="inlineStr">
        <is>
          <t>-</t>
        </is>
      </c>
      <c r="E144" s="2" t="inlineStr">
        <is>
          <t>-</t>
        </is>
      </c>
      <c r="F144" s="2" t="n">
        <v>1088419.679324698</v>
      </c>
      <c r="G144" s="2" t="n">
        <v>0</v>
      </c>
      <c r="H144" s="2" t="n">
        <v>1088419.679324698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</row>
    <row r="145">
      <c r="A145" s="2" t="n">
        <v>3</v>
      </c>
      <c r="B145" s="2" t="inlineStr">
        <is>
          <t>10.06.01</t>
        </is>
      </c>
      <c r="C145" s="2" t="inlineStr">
        <is>
          <t>Operador de Betoneira</t>
        </is>
      </c>
      <c r="D145" s="2" t="inlineStr">
        <is>
          <t>-</t>
        </is>
      </c>
      <c r="E145" s="2" t="inlineStr">
        <is>
          <t>-</t>
        </is>
      </c>
      <c r="F145" s="2" t="n">
        <v>250468.1365618987</v>
      </c>
      <c r="G145" s="2" t="n">
        <v>0</v>
      </c>
      <c r="H145" s="2" t="n">
        <v>250468.1365618987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</row>
    <row r="146">
      <c r="A146" s="2" t="n">
        <v>3</v>
      </c>
      <c r="B146" s="2" t="inlineStr">
        <is>
          <t>10.06.02</t>
        </is>
      </c>
      <c r="C146" s="2" t="inlineStr">
        <is>
          <t>Servente para abastecimento de betoneira</t>
        </is>
      </c>
      <c r="D146" s="2" t="inlineStr">
        <is>
          <t>-</t>
        </is>
      </c>
      <c r="E146" s="2" t="inlineStr">
        <is>
          <t>-</t>
        </is>
      </c>
      <c r="F146" s="2" t="n">
        <v>131360.6780313138</v>
      </c>
      <c r="G146" s="2" t="n">
        <v>0</v>
      </c>
      <c r="H146" s="2" t="n">
        <v>131360.6780313138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</row>
    <row r="147">
      <c r="A147" s="2" t="n">
        <v>3</v>
      </c>
      <c r="B147" s="2" t="inlineStr">
        <is>
          <t>10.06.03</t>
        </is>
      </c>
      <c r="C147" s="2" t="inlineStr">
        <is>
          <t>Operador de elevador de obra</t>
        </is>
      </c>
      <c r="D147" s="2" t="inlineStr">
        <is>
          <t>-</t>
        </is>
      </c>
      <c r="E147" s="2" t="inlineStr">
        <is>
          <t>-</t>
        </is>
      </c>
      <c r="F147" s="2" t="n">
        <v>440216.7248663674</v>
      </c>
      <c r="G147" s="2" t="n">
        <v>0</v>
      </c>
      <c r="H147" s="2" t="n">
        <v>440216.7248663674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</row>
    <row r="148">
      <c r="A148" s="2" t="n">
        <v>3</v>
      </c>
      <c r="B148" s="2" t="inlineStr">
        <is>
          <t>10.06.04</t>
        </is>
      </c>
      <c r="C148" s="2" t="inlineStr">
        <is>
          <t>Sinaleiro para operações com Grua</t>
        </is>
      </c>
      <c r="D148" s="2" t="inlineStr">
        <is>
          <t>-</t>
        </is>
      </c>
      <c r="E148" s="2" t="inlineStr">
        <is>
          <t>-</t>
        </is>
      </c>
      <c r="F148" s="2" t="n">
        <v>266374.1398651182</v>
      </c>
      <c r="G148" s="2" t="n">
        <v>0</v>
      </c>
      <c r="H148" s="2" t="n">
        <v>266374.1398651182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</row>
    <row r="149">
      <c r="A149" s="2" t="n">
        <v>2</v>
      </c>
      <c r="B149" s="2" t="inlineStr">
        <is>
          <t>10.07</t>
        </is>
      </c>
      <c r="C149" s="2" t="inlineStr">
        <is>
          <t>Distribuição de lucros (PPLR)</t>
        </is>
      </c>
      <c r="D149" s="2" t="inlineStr">
        <is>
          <t>-</t>
        </is>
      </c>
      <c r="E149" s="2" t="inlineStr">
        <is>
          <t>-</t>
        </is>
      </c>
      <c r="F149" s="2" t="n">
        <v>1447955.179385902</v>
      </c>
      <c r="G149" s="2" t="n">
        <v>0</v>
      </c>
      <c r="H149" s="2" t="n">
        <v>1447955.179385902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</row>
    <row r="150">
      <c r="A150" s="2" t="n">
        <v>3</v>
      </c>
      <c r="B150" s="2" t="inlineStr">
        <is>
          <t>10.07.01</t>
        </is>
      </c>
      <c r="C150" s="2" t="inlineStr">
        <is>
          <t>Participação de lucros</t>
        </is>
      </c>
      <c r="D150" s="2" t="inlineStr">
        <is>
          <t>-</t>
        </is>
      </c>
      <c r="E150" s="2" t="inlineStr">
        <is>
          <t>-</t>
        </is>
      </c>
      <c r="F150" s="2" t="n">
        <v>1447955.179385902</v>
      </c>
      <c r="G150" s="2" t="n">
        <v>0</v>
      </c>
      <c r="H150" s="2" t="n">
        <v>1447955.179385902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</row>
    <row r="151">
      <c r="A151" s="2" t="n">
        <v>1</v>
      </c>
      <c r="B151" s="2" t="inlineStr">
        <is>
          <t>11</t>
        </is>
      </c>
      <c r="C151" s="2" t="inlineStr">
        <is>
          <t>EQUIPAMENTOS E FERRAMENTAS</t>
        </is>
      </c>
      <c r="D151" s="2" t="inlineStr">
        <is>
          <t>-</t>
        </is>
      </c>
      <c r="E151" s="2" t="inlineStr">
        <is>
          <t>-</t>
        </is>
      </c>
      <c r="F151" s="2" t="n">
        <v>6467911.663050408</v>
      </c>
      <c r="G151" s="2" t="n">
        <v>0</v>
      </c>
      <c r="H151" s="2" t="n">
        <v>6467911.663050408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</row>
    <row r="152">
      <c r="A152" s="2" t="n">
        <v>2</v>
      </c>
      <c r="B152" s="2" t="inlineStr">
        <is>
          <t>11.01</t>
        </is>
      </c>
      <c r="C152" s="2" t="inlineStr">
        <is>
          <t>Ferramentas manuais</t>
        </is>
      </c>
      <c r="D152" s="2" t="inlineStr">
        <is>
          <t>-</t>
        </is>
      </c>
      <c r="E152" s="2" t="inlineStr">
        <is>
          <t>-</t>
        </is>
      </c>
      <c r="F152" s="2" t="n">
        <v>44000</v>
      </c>
      <c r="G152" s="2" t="n">
        <v>0</v>
      </c>
      <c r="H152" s="2" t="n">
        <v>44000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</row>
    <row r="153">
      <c r="A153" s="2" t="n">
        <v>3</v>
      </c>
      <c r="B153" s="2" t="inlineStr">
        <is>
          <t>11.01.01</t>
        </is>
      </c>
      <c r="C153" s="2" t="inlineStr">
        <is>
          <t>Aquisição de ferramentas manuais</t>
        </is>
      </c>
      <c r="D153" s="2" t="inlineStr">
        <is>
          <t>-</t>
        </is>
      </c>
      <c r="E153" s="2" t="inlineStr">
        <is>
          <t>-</t>
        </is>
      </c>
      <c r="F153" s="2" t="n">
        <v>44000</v>
      </c>
      <c r="G153" s="2" t="n">
        <v>0</v>
      </c>
      <c r="H153" s="2" t="n">
        <v>44000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</row>
    <row r="154">
      <c r="A154" s="2" t="n">
        <v>2</v>
      </c>
      <c r="B154" s="2" t="inlineStr">
        <is>
          <t>11.02</t>
        </is>
      </c>
      <c r="C154" s="2" t="inlineStr">
        <is>
          <t>Equipamentos para movimento de terra</t>
        </is>
      </c>
      <c r="D154" s="2" t="inlineStr">
        <is>
          <t>-</t>
        </is>
      </c>
      <c r="E154" s="2" t="inlineStr">
        <is>
          <t>-</t>
        </is>
      </c>
      <c r="F154" s="2" t="n">
        <v>974130</v>
      </c>
      <c r="G154" s="2" t="n">
        <v>0</v>
      </c>
      <c r="H154" s="2" t="n">
        <v>974130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</row>
    <row r="155">
      <c r="A155" s="2" t="n">
        <v>3</v>
      </c>
      <c r="B155" s="2" t="inlineStr">
        <is>
          <t>11.02.01</t>
        </is>
      </c>
      <c r="C155" s="2" t="inlineStr">
        <is>
          <t>Compactador manual tipo sapo</t>
        </is>
      </c>
      <c r="D155" s="2" t="inlineStr">
        <is>
          <t>-</t>
        </is>
      </c>
      <c r="E155" s="2" t="inlineStr">
        <is>
          <t>-</t>
        </is>
      </c>
      <c r="F155" s="2" t="n">
        <v>18630</v>
      </c>
      <c r="G155" s="2" t="n">
        <v>0</v>
      </c>
      <c r="H155" s="2" t="n">
        <v>18630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</row>
    <row r="156">
      <c r="A156" s="2" t="n">
        <v>3</v>
      </c>
      <c r="B156" s="2" t="inlineStr">
        <is>
          <t>11.02.02</t>
        </is>
      </c>
      <c r="C156" s="2" t="inlineStr">
        <is>
          <t>Trator Bob cat</t>
        </is>
      </c>
      <c r="D156" s="2" t="inlineStr">
        <is>
          <t>-</t>
        </is>
      </c>
      <c r="E156" s="2" t="inlineStr">
        <is>
          <t>-</t>
        </is>
      </c>
      <c r="F156" s="2" t="n">
        <v>495000</v>
      </c>
      <c r="G156" s="2" t="n">
        <v>0</v>
      </c>
      <c r="H156" s="2" t="n">
        <v>495000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</row>
    <row r="157">
      <c r="A157" s="2" t="n">
        <v>3</v>
      </c>
      <c r="B157" s="2" t="inlineStr">
        <is>
          <t>11.02.03</t>
        </is>
      </c>
      <c r="C157" s="2" t="inlineStr">
        <is>
          <t>Retroescavadeira</t>
        </is>
      </c>
      <c r="D157" s="2" t="inlineStr">
        <is>
          <t>-</t>
        </is>
      </c>
      <c r="E157" s="2" t="inlineStr">
        <is>
          <t>-</t>
        </is>
      </c>
      <c r="F157" s="2" t="n">
        <v>108000</v>
      </c>
      <c r="G157" s="2" t="n">
        <v>0</v>
      </c>
      <c r="H157" s="2" t="n">
        <v>108000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</row>
    <row r="158">
      <c r="A158" s="2" t="n">
        <v>3</v>
      </c>
      <c r="B158" s="2" t="inlineStr">
        <is>
          <t>11.02.04</t>
        </is>
      </c>
      <c r="C158" s="2" t="inlineStr">
        <is>
          <t>Locação de Escavadeira Hidraulica - Considerando H.E aos sábados</t>
        </is>
      </c>
      <c r="D158" s="2" t="inlineStr">
        <is>
          <t>-</t>
        </is>
      </c>
      <c r="E158" s="2" t="inlineStr">
        <is>
          <t>-</t>
        </is>
      </c>
      <c r="F158" s="2" t="n">
        <v>245500</v>
      </c>
      <c r="G158" s="2" t="n">
        <v>0</v>
      </c>
      <c r="H158" s="2" t="n">
        <v>245500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</row>
    <row r="159">
      <c r="A159" s="2" t="n">
        <v>3</v>
      </c>
      <c r="B159" s="2" t="inlineStr">
        <is>
          <t>11.02.05</t>
        </is>
      </c>
      <c r="C159" s="2" t="inlineStr">
        <is>
          <t>Locação de mini escavadeira</t>
        </is>
      </c>
      <c r="D159" s="2" t="inlineStr">
        <is>
          <t>-</t>
        </is>
      </c>
      <c r="E159" s="2" t="inlineStr">
        <is>
          <t>-</t>
        </is>
      </c>
      <c r="F159" s="2" t="n">
        <v>58500</v>
      </c>
      <c r="G159" s="2" t="n">
        <v>0</v>
      </c>
      <c r="H159" s="2" t="n">
        <v>58500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</row>
    <row r="160">
      <c r="A160" s="2" t="n">
        <v>3</v>
      </c>
      <c r="B160" s="2" t="inlineStr">
        <is>
          <t>11.02.06</t>
        </is>
      </c>
      <c r="C160" s="2" t="inlineStr">
        <is>
          <t>Locação de mini carregadeira</t>
        </is>
      </c>
      <c r="D160" s="2" t="inlineStr">
        <is>
          <t>-</t>
        </is>
      </c>
      <c r="E160" s="2" t="inlineStr">
        <is>
          <t>-</t>
        </is>
      </c>
      <c r="F160" s="2" t="n">
        <v>48500</v>
      </c>
      <c r="G160" s="2" t="n">
        <v>0</v>
      </c>
      <c r="H160" s="2" t="n">
        <v>48500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</row>
    <row r="161">
      <c r="A161" s="2" t="n">
        <v>2</v>
      </c>
      <c r="B161" s="2" t="inlineStr">
        <is>
          <t>11.03</t>
        </is>
      </c>
      <c r="C161" s="2" t="inlineStr">
        <is>
          <t>Equipamentos para produção civil e cumprimento da NR-18</t>
        </is>
      </c>
      <c r="D161" s="2" t="inlineStr">
        <is>
          <t>-</t>
        </is>
      </c>
      <c r="E161" s="2" t="inlineStr">
        <is>
          <t>-</t>
        </is>
      </c>
      <c r="F161" s="2" t="n">
        <v>1337503.264675879</v>
      </c>
      <c r="G161" s="2" t="n">
        <v>0</v>
      </c>
      <c r="H161" s="2" t="n">
        <v>1337503.264675879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</row>
    <row r="162">
      <c r="A162" s="2" t="n">
        <v>3</v>
      </c>
      <c r="B162" s="2" t="inlineStr">
        <is>
          <t>11.03.01</t>
        </is>
      </c>
      <c r="C162" s="2" t="inlineStr">
        <is>
          <t>Concreto armado moldado in loco</t>
        </is>
      </c>
      <c r="D162" s="2" t="inlineStr">
        <is>
          <t>-</t>
        </is>
      </c>
      <c r="E162" s="2" t="inlineStr">
        <is>
          <t>-</t>
        </is>
      </c>
      <c r="F162" s="2" t="n">
        <v>127608</v>
      </c>
      <c r="G162" s="2" t="n">
        <v>0</v>
      </c>
      <c r="H162" s="2" t="n">
        <v>127608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</row>
    <row r="163">
      <c r="A163" s="2" t="n">
        <v>4</v>
      </c>
      <c r="B163" s="2" t="inlineStr">
        <is>
          <t>11.03.01.01</t>
        </is>
      </c>
      <c r="C163" s="2" t="inlineStr">
        <is>
          <t>Vibrador - Mangote Vibrador</t>
        </is>
      </c>
      <c r="D163" s="2" t="inlineStr">
        <is>
          <t>-</t>
        </is>
      </c>
      <c r="E163" s="2" t="inlineStr">
        <is>
          <t>-</t>
        </is>
      </c>
      <c r="F163" s="2" t="n">
        <v>44063.99999999999</v>
      </c>
      <c r="G163" s="2" t="n">
        <v>0</v>
      </c>
      <c r="H163" s="2" t="n">
        <v>44063.99999999999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</row>
    <row r="164">
      <c r="A164" s="2" t="n">
        <v>4</v>
      </c>
      <c r="B164" s="2" t="inlineStr">
        <is>
          <t>11.03.01.02</t>
        </is>
      </c>
      <c r="C164" s="2" t="inlineStr">
        <is>
          <t>Vibrador - Motor</t>
        </is>
      </c>
      <c r="D164" s="2" t="inlineStr">
        <is>
          <t>-</t>
        </is>
      </c>
      <c r="E164" s="2" t="inlineStr">
        <is>
          <t>-</t>
        </is>
      </c>
      <c r="F164" s="2" t="n">
        <v>54528</v>
      </c>
      <c r="G164" s="2" t="n">
        <v>0</v>
      </c>
      <c r="H164" s="2" t="n">
        <v>54528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</row>
    <row r="165">
      <c r="A165" s="2" t="n">
        <v>4</v>
      </c>
      <c r="B165" s="2" t="inlineStr">
        <is>
          <t>11.03.01.03</t>
        </is>
      </c>
      <c r="C165" s="2" t="inlineStr">
        <is>
          <t>Serra Policorte para central de armação</t>
        </is>
      </c>
      <c r="D165" s="2" t="inlineStr">
        <is>
          <t>-</t>
        </is>
      </c>
      <c r="E165" s="2" t="inlineStr">
        <is>
          <t>-</t>
        </is>
      </c>
      <c r="F165" s="2" t="n">
        <v>13200</v>
      </c>
      <c r="G165" s="2" t="n">
        <v>0</v>
      </c>
      <c r="H165" s="2" t="n">
        <v>13200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</row>
    <row r="166">
      <c r="A166" s="2" t="n">
        <v>4</v>
      </c>
      <c r="B166" s="2" t="inlineStr">
        <is>
          <t>11.03.01.04</t>
        </is>
      </c>
      <c r="C166" s="2" t="inlineStr">
        <is>
          <t>Serra de bancada para central de formas</t>
        </is>
      </c>
      <c r="D166" s="2" t="inlineStr">
        <is>
          <t>-</t>
        </is>
      </c>
      <c r="E166" s="2" t="inlineStr">
        <is>
          <t>-</t>
        </is>
      </c>
      <c r="F166" s="2" t="n">
        <v>13200</v>
      </c>
      <c r="G166" s="2" t="n">
        <v>0</v>
      </c>
      <c r="H166" s="2" t="n">
        <v>13200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</row>
    <row r="167">
      <c r="A167" s="2" t="n">
        <v>4</v>
      </c>
      <c r="B167" s="2" t="inlineStr">
        <is>
          <t>11.03.01.05</t>
        </is>
      </c>
      <c r="C167" s="2" t="inlineStr">
        <is>
          <t>Serra manual para ajuste local de formas</t>
        </is>
      </c>
      <c r="D167" s="2" t="inlineStr">
        <is>
          <t>-</t>
        </is>
      </c>
      <c r="E167" s="2" t="inlineStr">
        <is>
          <t>-</t>
        </is>
      </c>
      <c r="F167" s="2" t="n">
        <v>2616</v>
      </c>
      <c r="G167" s="2" t="n">
        <v>0</v>
      </c>
      <c r="H167" s="2" t="n">
        <v>2616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</row>
    <row r="168">
      <c r="A168" s="2" t="n">
        <v>3</v>
      </c>
      <c r="B168" s="2" t="inlineStr">
        <is>
          <t>11.03.02</t>
        </is>
      </c>
      <c r="C168" s="2" t="inlineStr">
        <is>
          <t>Demolições</t>
        </is>
      </c>
      <c r="D168" s="2" t="inlineStr">
        <is>
          <t>-</t>
        </is>
      </c>
      <c r="E168" s="2" t="inlineStr">
        <is>
          <t>-</t>
        </is>
      </c>
      <c r="F168" s="2" t="n">
        <v>186700</v>
      </c>
      <c r="G168" s="2" t="n">
        <v>0</v>
      </c>
      <c r="H168" s="2" t="n">
        <v>186700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</row>
    <row r="169">
      <c r="A169" s="2" t="n">
        <v>4</v>
      </c>
      <c r="B169" s="2" t="inlineStr">
        <is>
          <t>11.03.02.01</t>
        </is>
      </c>
      <c r="C169" s="2" t="inlineStr">
        <is>
          <t>Martelete Elétrico 30Kg</t>
        </is>
      </c>
      <c r="D169" s="2" t="inlineStr">
        <is>
          <t>-</t>
        </is>
      </c>
      <c r="E169" s="2" t="inlineStr">
        <is>
          <t>-</t>
        </is>
      </c>
      <c r="F169" s="2" t="n">
        <v>167200</v>
      </c>
      <c r="G169" s="2" t="n">
        <v>0</v>
      </c>
      <c r="H169" s="2" t="n">
        <v>167200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</row>
    <row r="170">
      <c r="A170" s="2" t="n">
        <v>4</v>
      </c>
      <c r="B170" s="2" t="inlineStr">
        <is>
          <t>11.03.02.02</t>
        </is>
      </c>
      <c r="C170" s="2" t="inlineStr">
        <is>
          <t>Perfuratriz elétrica de impacto para concreto</t>
        </is>
      </c>
      <c r="D170" s="2" t="inlineStr">
        <is>
          <t>-</t>
        </is>
      </c>
      <c r="E170" s="2" t="inlineStr">
        <is>
          <t>-</t>
        </is>
      </c>
      <c r="F170" s="2" t="n">
        <v>19500</v>
      </c>
      <c r="G170" s="2" t="n">
        <v>0</v>
      </c>
      <c r="H170" s="2" t="n">
        <v>19500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</row>
    <row r="171">
      <c r="A171" s="2" t="n">
        <v>3</v>
      </c>
      <c r="B171" s="2" t="inlineStr">
        <is>
          <t>11.03.03</t>
        </is>
      </c>
      <c r="C171" s="2" t="inlineStr">
        <is>
          <t>Alvenaria e acabamentos</t>
        </is>
      </c>
      <c r="D171" s="2" t="inlineStr">
        <is>
          <t>-</t>
        </is>
      </c>
      <c r="E171" s="2" t="inlineStr">
        <is>
          <t>-</t>
        </is>
      </c>
      <c r="F171" s="2" t="n">
        <v>226672</v>
      </c>
      <c r="G171" s="2" t="n">
        <v>0</v>
      </c>
      <c r="H171" s="2" t="n">
        <v>226672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</row>
    <row r="172">
      <c r="A172" s="2" t="n">
        <v>4</v>
      </c>
      <c r="B172" s="2" t="inlineStr">
        <is>
          <t>11.03.03.01</t>
        </is>
      </c>
      <c r="C172" s="2" t="inlineStr">
        <is>
          <t>Argamassadeira elétrica</t>
        </is>
      </c>
      <c r="D172" s="2" t="inlineStr">
        <is>
          <t>-</t>
        </is>
      </c>
      <c r="E172" s="2" t="inlineStr">
        <is>
          <t>-</t>
        </is>
      </c>
      <c r="F172" s="2" t="n">
        <v>42000</v>
      </c>
      <c r="G172" s="2" t="n">
        <v>0</v>
      </c>
      <c r="H172" s="2" t="n">
        <v>42000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</row>
    <row r="173">
      <c r="A173" s="2" t="n">
        <v>4</v>
      </c>
      <c r="B173" s="2" t="inlineStr">
        <is>
          <t>11.03.03.02</t>
        </is>
      </c>
      <c r="C173" s="2" t="inlineStr">
        <is>
          <t>Betoneira elétrica cap. 580L com carregador</t>
        </is>
      </c>
      <c r="D173" s="2" t="inlineStr">
        <is>
          <t>-</t>
        </is>
      </c>
      <c r="E173" s="2" t="inlineStr">
        <is>
          <t>-</t>
        </is>
      </c>
      <c r="F173" s="2" t="n">
        <v>31200</v>
      </c>
      <c r="G173" s="2" t="n">
        <v>0</v>
      </c>
      <c r="H173" s="2" t="n">
        <v>31200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</row>
    <row r="174">
      <c r="A174" s="2" t="n">
        <v>4</v>
      </c>
      <c r="B174" s="2" t="inlineStr">
        <is>
          <t>11.03.03.03</t>
        </is>
      </c>
      <c r="C174" s="2" t="inlineStr">
        <is>
          <t>Lixadeira manual</t>
        </is>
      </c>
      <c r="D174" s="2" t="inlineStr">
        <is>
          <t>-</t>
        </is>
      </c>
      <c r="E174" s="2" t="inlineStr">
        <is>
          <t>-</t>
        </is>
      </c>
      <c r="F174" s="2" t="n">
        <v>38368</v>
      </c>
      <c r="G174" s="2" t="n">
        <v>0</v>
      </c>
      <c r="H174" s="2" t="n">
        <v>38368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</row>
    <row r="175">
      <c r="A175" s="2" t="n">
        <v>4</v>
      </c>
      <c r="B175" s="2" t="inlineStr">
        <is>
          <t>11.03.03.04</t>
        </is>
      </c>
      <c r="C175" s="2" t="inlineStr">
        <is>
          <t>Furadeira  de impacto 550W/110v com mandril Ø1/2" Makita, Bosh ou similar</t>
        </is>
      </c>
      <c r="D175" s="2" t="inlineStr">
        <is>
          <t>-</t>
        </is>
      </c>
      <c r="E175" s="2" t="inlineStr">
        <is>
          <t>-</t>
        </is>
      </c>
      <c r="F175" s="2" t="n">
        <v>76736</v>
      </c>
      <c r="G175" s="2" t="n">
        <v>0</v>
      </c>
      <c r="H175" s="2" t="n">
        <v>76736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</row>
    <row r="176">
      <c r="A176" s="2" t="n">
        <v>4</v>
      </c>
      <c r="B176" s="2" t="inlineStr">
        <is>
          <t>11.03.03.05</t>
        </is>
      </c>
      <c r="C176" s="2" t="inlineStr">
        <is>
          <t>Serra mármore 1400w/220v Makita, Bosh ou similar</t>
        </is>
      </c>
      <c r="D176" s="2" t="inlineStr">
        <is>
          <t>-</t>
        </is>
      </c>
      <c r="E176" s="2" t="inlineStr">
        <is>
          <t>-</t>
        </is>
      </c>
      <c r="F176" s="2" t="n">
        <v>38368</v>
      </c>
      <c r="G176" s="2" t="n">
        <v>0</v>
      </c>
      <c r="H176" s="2" t="n">
        <v>38368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</row>
    <row r="177">
      <c r="A177" s="2" t="n">
        <v>3</v>
      </c>
      <c r="B177" s="2" t="inlineStr">
        <is>
          <t>11.03.04</t>
        </is>
      </c>
      <c r="C177" s="2" t="inlineStr">
        <is>
          <t>Bandeja primária largura 330cm - embasamento</t>
        </is>
      </c>
      <c r="D177" s="2" t="inlineStr">
        <is>
          <t>-</t>
        </is>
      </c>
      <c r="E177" s="2" t="inlineStr">
        <is>
          <t>-</t>
        </is>
      </c>
      <c r="F177" s="2" t="n">
        <v>343247.3722205239</v>
      </c>
      <c r="G177" s="2" t="n">
        <v>0</v>
      </c>
      <c r="H177" s="2" t="n">
        <v>343247.3722205239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</row>
    <row r="178">
      <c r="A178" s="2" t="n">
        <v>4</v>
      </c>
      <c r="B178" s="2" t="inlineStr">
        <is>
          <t>11.03.04.01</t>
        </is>
      </c>
      <c r="C178" s="2" t="inlineStr">
        <is>
          <t>Locação mensal de mão francesa primária</t>
        </is>
      </c>
      <c r="D178" s="2" t="inlineStr">
        <is>
          <t>-</t>
        </is>
      </c>
      <c r="E178" s="2" t="inlineStr">
        <is>
          <t>-</t>
        </is>
      </c>
      <c r="F178" s="2" t="n">
        <v>102712.5</v>
      </c>
      <c r="G178" s="2" t="n">
        <v>0</v>
      </c>
      <c r="H178" s="2" t="n">
        <v>102712.5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</row>
    <row r="179">
      <c r="A179" s="2" t="n">
        <v>4</v>
      </c>
      <c r="B179" s="2" t="inlineStr">
        <is>
          <t>11.03.04.02</t>
        </is>
      </c>
      <c r="C179" s="2" t="inlineStr">
        <is>
          <t>Mão-de-obra de montagem</t>
        </is>
      </c>
      <c r="D179" s="2" t="inlineStr">
        <is>
          <t>-</t>
        </is>
      </c>
      <c r="E179" s="2" t="inlineStr">
        <is>
          <t>-</t>
        </is>
      </c>
      <c r="F179" s="2" t="n">
        <v>33664.32861026197</v>
      </c>
      <c r="G179" s="2" t="n">
        <v>0</v>
      </c>
      <c r="H179" s="2" t="n">
        <v>33664.32861026197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</row>
    <row r="180">
      <c r="A180" s="2" t="n">
        <v>4</v>
      </c>
      <c r="B180" s="2" t="inlineStr">
        <is>
          <t>11.03.04.03</t>
        </is>
      </c>
      <c r="C180" s="2" t="inlineStr">
        <is>
          <t>Mão-de-obra de desmontagem</t>
        </is>
      </c>
      <c r="D180" s="2" t="inlineStr">
        <is>
          <t>-</t>
        </is>
      </c>
      <c r="E180" s="2" t="inlineStr">
        <is>
          <t>-</t>
        </is>
      </c>
      <c r="F180" s="2" t="n">
        <v>33664.32861026197</v>
      </c>
      <c r="G180" s="2" t="n">
        <v>0</v>
      </c>
      <c r="H180" s="2" t="n">
        <v>33664.32861026197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</row>
    <row r="181">
      <c r="A181" s="2" t="n">
        <v>4</v>
      </c>
      <c r="B181" s="2" t="inlineStr">
        <is>
          <t>11.03.04.04</t>
        </is>
      </c>
      <c r="C181" s="2" t="inlineStr">
        <is>
          <t>Madeiramento</t>
        </is>
      </c>
      <c r="D181" s="2" t="inlineStr">
        <is>
          <t>-</t>
        </is>
      </c>
      <c r="E181" s="2" t="inlineStr">
        <is>
          <t>-</t>
        </is>
      </c>
      <c r="F181" s="2" t="n">
        <v>173206.215</v>
      </c>
      <c r="G181" s="2" t="n">
        <v>0</v>
      </c>
      <c r="H181" s="2" t="n">
        <v>173206.215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</row>
    <row r="182">
      <c r="A182" s="2" t="n">
        <v>3</v>
      </c>
      <c r="B182" s="2" t="inlineStr">
        <is>
          <t>11.03.05</t>
        </is>
      </c>
      <c r="C182" s="2" t="inlineStr">
        <is>
          <t>Bandeja primária largura 330cm - torre</t>
        </is>
      </c>
      <c r="D182" s="2" t="inlineStr">
        <is>
          <t>-</t>
        </is>
      </c>
      <c r="E182" s="2" t="inlineStr">
        <is>
          <t>-</t>
        </is>
      </c>
      <c r="F182" s="2" t="n">
        <v>174875.8924553551</v>
      </c>
      <c r="G182" s="2" t="n">
        <v>0</v>
      </c>
      <c r="H182" s="2" t="n">
        <v>174875.8924553551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</row>
    <row r="183">
      <c r="A183" s="2" t="n">
        <v>4</v>
      </c>
      <c r="B183" s="2" t="inlineStr">
        <is>
          <t>11.03.05.01</t>
        </is>
      </c>
      <c r="C183" s="2" t="inlineStr">
        <is>
          <t>Locação mensal de mão francesa secundária</t>
        </is>
      </c>
      <c r="D183" s="2" t="inlineStr">
        <is>
          <t>-</t>
        </is>
      </c>
      <c r="E183" s="2" t="inlineStr">
        <is>
          <t>-</t>
        </is>
      </c>
      <c r="F183" s="2" t="n">
        <v>48150</v>
      </c>
      <c r="G183" s="2" t="n">
        <v>0</v>
      </c>
      <c r="H183" s="2" t="n">
        <v>48150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</row>
    <row r="184">
      <c r="A184" s="2" t="n">
        <v>4</v>
      </c>
      <c r="B184" s="2" t="inlineStr">
        <is>
          <t>11.03.05.02</t>
        </is>
      </c>
      <c r="C184" s="2" t="inlineStr">
        <is>
          <t>Mão-de-obra de montagem</t>
        </is>
      </c>
      <c r="D184" s="2" t="inlineStr">
        <is>
          <t>-</t>
        </is>
      </c>
      <c r="E184" s="2" t="inlineStr">
        <is>
          <t>-</t>
        </is>
      </c>
      <c r="F184" s="2" t="n">
        <v>29258.78602904705</v>
      </c>
      <c r="G184" s="2" t="n">
        <v>0</v>
      </c>
      <c r="H184" s="2" t="n">
        <v>29258.78602904705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</row>
    <row r="185">
      <c r="A185" s="2" t="n">
        <v>4</v>
      </c>
      <c r="B185" s="2" t="inlineStr">
        <is>
          <t>11.03.05.03</t>
        </is>
      </c>
      <c r="C185" s="2" t="inlineStr">
        <is>
          <t>Mão-de-obra de desmontagem</t>
        </is>
      </c>
      <c r="D185" s="2" t="inlineStr">
        <is>
          <t>-</t>
        </is>
      </c>
      <c r="E185" s="2" t="inlineStr">
        <is>
          <t>-</t>
        </is>
      </c>
      <c r="F185" s="2" t="n">
        <v>29258.78602904705</v>
      </c>
      <c r="G185" s="2" t="n">
        <v>0</v>
      </c>
      <c r="H185" s="2" t="n">
        <v>29258.78602904705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</row>
    <row r="186">
      <c r="A186" s="2" t="n">
        <v>4</v>
      </c>
      <c r="B186" s="2" t="inlineStr">
        <is>
          <t>11.03.05.04</t>
        </is>
      </c>
      <c r="C186" s="2" t="inlineStr">
        <is>
          <t>Madeiramento</t>
        </is>
      </c>
      <c r="D186" s="2" t="inlineStr">
        <is>
          <t>-</t>
        </is>
      </c>
      <c r="E186" s="2" t="inlineStr">
        <is>
          <t>-</t>
        </is>
      </c>
      <c r="F186" s="2" t="n">
        <v>68208.32039726099</v>
      </c>
      <c r="G186" s="2" t="n">
        <v>0</v>
      </c>
      <c r="H186" s="2" t="n">
        <v>68208.32039726099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</row>
    <row r="187">
      <c r="A187" s="2" t="n">
        <v>3</v>
      </c>
      <c r="B187" s="2" t="inlineStr">
        <is>
          <t>11.03.06</t>
        </is>
      </c>
      <c r="C187" s="2" t="inlineStr">
        <is>
          <t>Andaime para serviços internos</t>
        </is>
      </c>
      <c r="D187" s="2" t="inlineStr">
        <is>
          <t>-</t>
        </is>
      </c>
      <c r="E187" s="2" t="inlineStr">
        <is>
          <t>-</t>
        </is>
      </c>
      <c r="F187" s="2" t="n">
        <v>278400</v>
      </c>
      <c r="G187" s="2" t="n">
        <v>0</v>
      </c>
      <c r="H187" s="2" t="n">
        <v>278400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</row>
    <row r="188">
      <c r="A188" s="2" t="n">
        <v>4</v>
      </c>
      <c r="B188" s="2" t="inlineStr">
        <is>
          <t>11.03.06.01</t>
        </is>
      </c>
      <c r="C188" s="2" t="inlineStr">
        <is>
          <t>Locação mensal de andaimes para serviços internos</t>
        </is>
      </c>
      <c r="D188" s="2" t="inlineStr">
        <is>
          <t>-</t>
        </is>
      </c>
      <c r="E188" s="2" t="inlineStr">
        <is>
          <t>-</t>
        </is>
      </c>
      <c r="F188" s="2" t="n">
        <v>278400</v>
      </c>
      <c r="G188" s="2" t="n">
        <v>0</v>
      </c>
      <c r="H188" s="2" t="n">
        <v>278400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</row>
    <row r="189">
      <c r="A189" s="2" t="n">
        <v>2</v>
      </c>
      <c r="B189" s="2" t="inlineStr">
        <is>
          <t>11.04</t>
        </is>
      </c>
      <c r="C189" s="2" t="inlineStr">
        <is>
          <t>Equipamentos para apoio logístico</t>
        </is>
      </c>
      <c r="D189" s="2" t="inlineStr">
        <is>
          <t>-</t>
        </is>
      </c>
      <c r="E189" s="2" t="inlineStr">
        <is>
          <t>-</t>
        </is>
      </c>
      <c r="F189" s="2" t="n">
        <v>2180921.6387053</v>
      </c>
      <c r="G189" s="2" t="n">
        <v>0</v>
      </c>
      <c r="H189" s="2" t="n">
        <v>2180921.6387053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</row>
    <row r="190">
      <c r="A190" s="2" t="n">
        <v>3</v>
      </c>
      <c r="B190" s="2" t="inlineStr">
        <is>
          <t>11.04.01</t>
        </is>
      </c>
      <c r="C190" s="2" t="inlineStr">
        <is>
          <t>Elevador provisório - Tração por cremalheira</t>
        </is>
      </c>
      <c r="D190" s="2" t="inlineStr">
        <is>
          <t>-</t>
        </is>
      </c>
      <c r="E190" s="2" t="inlineStr">
        <is>
          <t>-</t>
        </is>
      </c>
      <c r="F190" s="2" t="n">
        <v>854725.0387053002</v>
      </c>
      <c r="G190" s="2" t="n">
        <v>0</v>
      </c>
      <c r="H190" s="2" t="n">
        <v>854725.0387053002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</row>
    <row r="191">
      <c r="A191" s="2" t="n">
        <v>4</v>
      </c>
      <c r="B191" s="2" t="inlineStr">
        <is>
          <t>11.04.01.01</t>
        </is>
      </c>
      <c r="C191" s="2" t="inlineStr">
        <is>
          <t>Locação mensal - Dupla</t>
        </is>
      </c>
      <c r="D191" s="2" t="inlineStr">
        <is>
          <t>-</t>
        </is>
      </c>
      <c r="E191" s="2" t="inlineStr">
        <is>
          <t>-</t>
        </is>
      </c>
      <c r="F191" s="2" t="n">
        <v>720000</v>
      </c>
      <c r="G191" s="2" t="n">
        <v>0</v>
      </c>
      <c r="H191" s="2" t="n">
        <v>720000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</row>
    <row r="192">
      <c r="A192" s="2" t="n">
        <v>4</v>
      </c>
      <c r="B192" s="2" t="inlineStr">
        <is>
          <t>11.04.01.02</t>
        </is>
      </c>
      <c r="C192" s="2" t="inlineStr">
        <is>
          <t>Locacao de cancelas</t>
        </is>
      </c>
      <c r="D192" s="2" t="inlineStr">
        <is>
          <t>-</t>
        </is>
      </c>
      <c r="E192" s="2" t="inlineStr">
        <is>
          <t>-</t>
        </is>
      </c>
      <c r="F192" s="2" t="n">
        <v>40200</v>
      </c>
      <c r="G192" s="2" t="n">
        <v>0</v>
      </c>
      <c r="H192" s="2" t="n">
        <v>40200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</row>
    <row r="193">
      <c r="A193" s="2" t="n">
        <v>4</v>
      </c>
      <c r="B193" s="2" t="inlineStr">
        <is>
          <t>11.04.01.03</t>
        </is>
      </c>
      <c r="C193" s="2" t="inlineStr">
        <is>
          <t>Mão-de-obra de montagem</t>
        </is>
      </c>
      <c r="D193" s="2" t="inlineStr">
        <is>
          <t>-</t>
        </is>
      </c>
      <c r="E193" s="2" t="inlineStr">
        <is>
          <t>-</t>
        </is>
      </c>
      <c r="F193" s="2" t="n">
        <v>14500</v>
      </c>
      <c r="G193" s="2" t="n">
        <v>0</v>
      </c>
      <c r="H193" s="2" t="n">
        <v>14500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</row>
    <row r="194">
      <c r="A194" s="2" t="n">
        <v>4</v>
      </c>
      <c r="B194" s="2" t="inlineStr">
        <is>
          <t>11.04.01.04</t>
        </is>
      </c>
      <c r="C194" s="2" t="inlineStr">
        <is>
          <t>Mão-de-obra de desmontagem</t>
        </is>
      </c>
      <c r="D194" s="2" t="inlineStr">
        <is>
          <t>-</t>
        </is>
      </c>
      <c r="E194" s="2" t="inlineStr">
        <is>
          <t>-</t>
        </is>
      </c>
      <c r="F194" s="2" t="n">
        <v>26000</v>
      </c>
      <c r="G194" s="2" t="n">
        <v>0</v>
      </c>
      <c r="H194" s="2" t="n">
        <v>26000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</row>
    <row r="195">
      <c r="A195" s="2" t="n">
        <v>4</v>
      </c>
      <c r="B195" s="2" t="inlineStr">
        <is>
          <t>11.04.01.05</t>
        </is>
      </c>
      <c r="C195" s="2" t="inlineStr">
        <is>
          <t>Protecao do fosso do elevador e varandas</t>
        </is>
      </c>
      <c r="D195" s="2" t="inlineStr">
        <is>
          <t>-</t>
        </is>
      </c>
      <c r="E195" s="2" t="inlineStr">
        <is>
          <t>-</t>
        </is>
      </c>
      <c r="F195" s="2" t="n">
        <v>33500</v>
      </c>
      <c r="G195" s="2" t="n">
        <v>0</v>
      </c>
      <c r="H195" s="2" t="n">
        <v>33500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</row>
    <row r="196">
      <c r="A196" s="2" t="n">
        <v>4</v>
      </c>
      <c r="B196" s="2" t="inlineStr">
        <is>
          <t>11.04.01.06</t>
        </is>
      </c>
      <c r="C196" s="2" t="inlineStr">
        <is>
          <t>Bases de concreto para instalação da torre e motor</t>
        </is>
      </c>
      <c r="D196" s="2" t="inlineStr">
        <is>
          <t>-</t>
        </is>
      </c>
      <c r="E196" s="2" t="inlineStr">
        <is>
          <t>-</t>
        </is>
      </c>
      <c r="F196" s="2" t="n">
        <v>4825.038705300182</v>
      </c>
      <c r="G196" s="2" t="n">
        <v>0</v>
      </c>
      <c r="H196" s="2" t="n">
        <v>4825.038705300182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</row>
    <row r="197">
      <c r="A197" s="2" t="n">
        <v>4</v>
      </c>
      <c r="B197" s="2" t="inlineStr">
        <is>
          <t>11.04.01.07</t>
        </is>
      </c>
      <c r="C197" s="2" t="inlineStr">
        <is>
          <t>Frete</t>
        </is>
      </c>
      <c r="D197" s="2" t="inlineStr">
        <is>
          <t>-</t>
        </is>
      </c>
      <c r="E197" s="2" t="inlineStr">
        <is>
          <t>-</t>
        </is>
      </c>
      <c r="F197" s="2" t="n">
        <v>7000</v>
      </c>
      <c r="G197" s="2" t="n">
        <v>0</v>
      </c>
      <c r="H197" s="2" t="n">
        <v>7000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</row>
    <row r="198">
      <c r="A198" s="2" t="n">
        <v>4</v>
      </c>
      <c r="B198" s="2" t="inlineStr">
        <is>
          <t>11.04.01.08</t>
        </is>
      </c>
      <c r="C198" s="2" t="inlineStr">
        <is>
          <t>Manutenção preventiva/projetos</t>
        </is>
      </c>
      <c r="D198" s="2" t="inlineStr">
        <is>
          <t>-</t>
        </is>
      </c>
      <c r="E198" s="2" t="inlineStr">
        <is>
          <t>-</t>
        </is>
      </c>
      <c r="F198" s="2" t="n">
        <v>8700</v>
      </c>
      <c r="G198" s="2" t="n">
        <v>0</v>
      </c>
      <c r="H198" s="2" t="n">
        <v>8700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</row>
    <row r="199">
      <c r="A199" s="2" t="n">
        <v>3</v>
      </c>
      <c r="B199" s="2" t="inlineStr">
        <is>
          <t>11.04.02</t>
        </is>
      </c>
      <c r="C199" s="2" t="inlineStr">
        <is>
          <t>Gruas</t>
        </is>
      </c>
      <c r="D199" s="2" t="inlineStr">
        <is>
          <t>-</t>
        </is>
      </c>
      <c r="E199" s="2" t="inlineStr">
        <is>
          <t>-</t>
        </is>
      </c>
      <c r="F199" s="2" t="n">
        <v>1326196.6</v>
      </c>
      <c r="G199" s="2" t="n">
        <v>0</v>
      </c>
      <c r="H199" s="2" t="n">
        <v>1326196.6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</row>
    <row r="200">
      <c r="A200" s="2" t="n">
        <v>4</v>
      </c>
      <c r="B200" s="2" t="inlineStr">
        <is>
          <t>11.04.02.01</t>
        </is>
      </c>
      <c r="C200" s="2" t="inlineStr">
        <is>
          <t>Locação grua de grande porte - 44 horas semanais de uso</t>
        </is>
      </c>
      <c r="D200" s="2" t="inlineStr">
        <is>
          <t>-</t>
        </is>
      </c>
      <c r="E200" s="2" t="inlineStr">
        <is>
          <t>-</t>
        </is>
      </c>
      <c r="F200" s="2" t="n">
        <v>550000</v>
      </c>
      <c r="G200" s="2" t="n">
        <v>0</v>
      </c>
      <c r="H200" s="2" t="n">
        <v>550000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</row>
    <row r="201">
      <c r="A201" s="2" t="n">
        <v>4</v>
      </c>
      <c r="B201" s="2" t="inlineStr">
        <is>
          <t>11.04.02.02</t>
        </is>
      </c>
      <c r="C201" s="2" t="inlineStr">
        <is>
          <t>Operador da Grua - Mensal</t>
        </is>
      </c>
      <c r="D201" s="2" t="inlineStr">
        <is>
          <t>-</t>
        </is>
      </c>
      <c r="E201" s="2" t="inlineStr">
        <is>
          <t>-</t>
        </is>
      </c>
      <c r="F201" s="2" t="n">
        <v>224400</v>
      </c>
      <c r="G201" s="2" t="n">
        <v>0</v>
      </c>
      <c r="H201" s="2" t="n">
        <v>224400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</row>
    <row r="202">
      <c r="A202" s="2" t="n">
        <v>4</v>
      </c>
      <c r="B202" s="2" t="inlineStr">
        <is>
          <t>11.04.02.03</t>
        </is>
      </c>
      <c r="C202" s="2" t="inlineStr">
        <is>
          <t>Operador da Grua - Hora extra</t>
        </is>
      </c>
      <c r="D202" s="2" t="inlineStr">
        <is>
          <t>-</t>
        </is>
      </c>
      <c r="E202" s="2" t="inlineStr">
        <is>
          <t>-</t>
        </is>
      </c>
      <c r="F202" s="2" t="n">
        <v>38946.6</v>
      </c>
      <c r="G202" s="2" t="n">
        <v>0</v>
      </c>
      <c r="H202" s="2" t="n">
        <v>38946.6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</row>
    <row r="203">
      <c r="A203" s="2" t="n">
        <v>4</v>
      </c>
      <c r="B203" s="2" t="inlineStr">
        <is>
          <t>11.04.02.04</t>
        </is>
      </c>
      <c r="C203" s="2" t="inlineStr">
        <is>
          <t>Fundação</t>
        </is>
      </c>
      <c r="D203" s="2" t="inlineStr">
        <is>
          <t>-</t>
        </is>
      </c>
      <c r="E203" s="2" t="inlineStr">
        <is>
          <t>-</t>
        </is>
      </c>
      <c r="F203" s="2" t="n">
        <v>150000</v>
      </c>
      <c r="G203" s="2" t="n">
        <v>0</v>
      </c>
      <c r="H203" s="2" t="n">
        <v>150000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</row>
    <row r="204">
      <c r="A204" s="2" t="n">
        <v>4</v>
      </c>
      <c r="B204" s="2" t="inlineStr">
        <is>
          <t>11.04.02.05</t>
        </is>
      </c>
      <c r="C204" s="2" t="inlineStr">
        <is>
          <t>Acessórios para montagem  - Grua</t>
        </is>
      </c>
      <c r="D204" s="2" t="inlineStr">
        <is>
          <t>-</t>
        </is>
      </c>
      <c r="E204" s="2" t="inlineStr">
        <is>
          <t>-</t>
        </is>
      </c>
      <c r="F204" s="2" t="n">
        <v>12000</v>
      </c>
      <c r="G204" s="2" t="n">
        <v>0</v>
      </c>
      <c r="H204" s="2" t="n">
        <v>12000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</row>
    <row r="205">
      <c r="A205" s="2" t="n">
        <v>4</v>
      </c>
      <c r="B205" s="2" t="inlineStr">
        <is>
          <t>11.04.02.06</t>
        </is>
      </c>
      <c r="C205" s="2" t="inlineStr">
        <is>
          <t>Quadro eletrico - Grua</t>
        </is>
      </c>
      <c r="D205" s="2" t="inlineStr">
        <is>
          <t>-</t>
        </is>
      </c>
      <c r="E205" s="2" t="inlineStr">
        <is>
          <t>-</t>
        </is>
      </c>
      <c r="F205" s="2" t="n">
        <v>58150</v>
      </c>
      <c r="G205" s="2" t="n">
        <v>0</v>
      </c>
      <c r="H205" s="2" t="n">
        <v>58150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</row>
    <row r="206">
      <c r="A206" s="2" t="n">
        <v>4</v>
      </c>
      <c r="B206" s="2" t="inlineStr">
        <is>
          <t>11.04.02.07</t>
        </is>
      </c>
      <c r="C206" s="2" t="inlineStr">
        <is>
          <t>Chumbador - Grua</t>
        </is>
      </c>
      <c r="D206" s="2" t="inlineStr">
        <is>
          <t>-</t>
        </is>
      </c>
      <c r="E206" s="2" t="inlineStr">
        <is>
          <t>-</t>
        </is>
      </c>
      <c r="F206" s="2" t="n">
        <v>10000</v>
      </c>
      <c r="G206" s="2" t="n">
        <v>0</v>
      </c>
      <c r="H206" s="2" t="n">
        <v>10000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</row>
    <row r="207">
      <c r="A207" s="2" t="n">
        <v>4</v>
      </c>
      <c r="B207" s="2" t="inlineStr">
        <is>
          <t>11.04.02.08</t>
        </is>
      </c>
      <c r="C207" s="2" t="inlineStr">
        <is>
          <t>Porta paletes 2500 Kg - Grua</t>
        </is>
      </c>
      <c r="D207" s="2" t="inlineStr">
        <is>
          <t>-</t>
        </is>
      </c>
      <c r="E207" s="2" t="inlineStr">
        <is>
          <t>-</t>
        </is>
      </c>
      <c r="F207" s="2" t="n">
        <v>4000</v>
      </c>
      <c r="G207" s="2" t="n">
        <v>0</v>
      </c>
      <c r="H207" s="2" t="n">
        <v>4000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</row>
    <row r="208">
      <c r="A208" s="2" t="n">
        <v>4</v>
      </c>
      <c r="B208" s="2" t="inlineStr">
        <is>
          <t>11.04.02.09</t>
        </is>
      </c>
      <c r="C208" s="2" t="inlineStr">
        <is>
          <t>Plataforma de descarga 2000 Kg - Grua</t>
        </is>
      </c>
      <c r="D208" s="2" t="inlineStr">
        <is>
          <t>-</t>
        </is>
      </c>
      <c r="E208" s="2" t="inlineStr">
        <is>
          <t>-</t>
        </is>
      </c>
      <c r="F208" s="2" t="n">
        <v>4000</v>
      </c>
      <c r="G208" s="2" t="n">
        <v>0</v>
      </c>
      <c r="H208" s="2" t="n">
        <v>4000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</row>
    <row r="209">
      <c r="A209" s="2" t="n">
        <v>4</v>
      </c>
      <c r="B209" s="2" t="inlineStr">
        <is>
          <t>11.04.02.10</t>
        </is>
      </c>
      <c r="C209" s="2" t="inlineStr">
        <is>
          <t>Materiais para içamento de cargas - Grua</t>
        </is>
      </c>
      <c r="D209" s="2" t="inlineStr">
        <is>
          <t>-</t>
        </is>
      </c>
      <c r="E209" s="2" t="inlineStr">
        <is>
          <t>-</t>
        </is>
      </c>
      <c r="F209" s="2" t="n">
        <v>50000</v>
      </c>
      <c r="G209" s="2" t="n">
        <v>0</v>
      </c>
      <c r="H209" s="2" t="n">
        <v>50000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</row>
    <row r="210">
      <c r="A210" s="2" t="n">
        <v>4</v>
      </c>
      <c r="B210" s="2" t="inlineStr">
        <is>
          <t>11.04.02.11</t>
        </is>
      </c>
      <c r="C210" s="2" t="inlineStr">
        <is>
          <t>Frete - Grua</t>
        </is>
      </c>
      <c r="D210" s="2" t="inlineStr">
        <is>
          <t>-</t>
        </is>
      </c>
      <c r="E210" s="2" t="inlineStr">
        <is>
          <t>-</t>
        </is>
      </c>
      <c r="F210" s="2" t="n">
        <v>45000</v>
      </c>
      <c r="G210" s="2" t="n">
        <v>0</v>
      </c>
      <c r="H210" s="2" t="n">
        <v>45000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</row>
    <row r="211">
      <c r="A211" s="2" t="n">
        <v>4</v>
      </c>
      <c r="B211" s="2" t="inlineStr">
        <is>
          <t>11.04.02.12</t>
        </is>
      </c>
      <c r="C211" s="2" t="inlineStr">
        <is>
          <t>Mão-de-obra de montagem - Grua</t>
        </is>
      </c>
      <c r="D211" s="2" t="inlineStr">
        <is>
          <t>-</t>
        </is>
      </c>
      <c r="E211" s="2" t="inlineStr">
        <is>
          <t>-</t>
        </is>
      </c>
      <c r="F211" s="2" t="n">
        <v>15000</v>
      </c>
      <c r="G211" s="2" t="n">
        <v>0</v>
      </c>
      <c r="H211" s="2" t="n">
        <v>15000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</row>
    <row r="212">
      <c r="A212" s="2" t="n">
        <v>4</v>
      </c>
      <c r="B212" s="2" t="inlineStr">
        <is>
          <t>11.04.02.13</t>
        </is>
      </c>
      <c r="C212" s="2" t="inlineStr">
        <is>
          <t>Mão-de-obra de desmontagem - Grua</t>
        </is>
      </c>
      <c r="D212" s="2" t="inlineStr">
        <is>
          <t>-</t>
        </is>
      </c>
      <c r="E212" s="2" t="inlineStr">
        <is>
          <t>-</t>
        </is>
      </c>
      <c r="F212" s="2" t="n">
        <v>27000</v>
      </c>
      <c r="G212" s="2" t="n">
        <v>0</v>
      </c>
      <c r="H212" s="2" t="n">
        <v>27000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</row>
    <row r="213">
      <c r="A213" s="2" t="n">
        <v>4</v>
      </c>
      <c r="B213" s="2" t="inlineStr">
        <is>
          <t>11.04.02.14</t>
        </is>
      </c>
      <c r="C213" s="2" t="inlineStr">
        <is>
          <t>Telescopagem  - Grua</t>
        </is>
      </c>
      <c r="D213" s="2" t="inlineStr">
        <is>
          <t>-</t>
        </is>
      </c>
      <c r="E213" s="2" t="inlineStr">
        <is>
          <t>-</t>
        </is>
      </c>
      <c r="F213" s="2" t="n">
        <v>36000</v>
      </c>
      <c r="G213" s="2" t="n">
        <v>0</v>
      </c>
      <c r="H213" s="2" t="n">
        <v>36000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</row>
    <row r="214">
      <c r="A214" s="2" t="n">
        <v>4</v>
      </c>
      <c r="B214" s="2" t="inlineStr">
        <is>
          <t>11.04.02.15</t>
        </is>
      </c>
      <c r="C214" s="2" t="inlineStr">
        <is>
          <t>Indenização na entrega (limpeza geral, pintura pontual, ensaios não destrutivo no motor) - Grua</t>
        </is>
      </c>
      <c r="D214" s="2" t="inlineStr">
        <is>
          <t>-</t>
        </is>
      </c>
      <c r="E214" s="2" t="inlineStr">
        <is>
          <t>-</t>
        </is>
      </c>
      <c r="F214" s="2" t="n">
        <v>25000</v>
      </c>
      <c r="G214" s="2" t="n">
        <v>0</v>
      </c>
      <c r="H214" s="2" t="n">
        <v>25000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</row>
    <row r="215">
      <c r="A215" s="2" t="n">
        <v>4</v>
      </c>
      <c r="B215" s="2" t="inlineStr">
        <is>
          <t>11.04.02.16</t>
        </is>
      </c>
      <c r="C215" s="2" t="inlineStr">
        <is>
          <t>Manutenção preventiva -Grua</t>
        </is>
      </c>
      <c r="D215" s="2" t="inlineStr">
        <is>
          <t>-</t>
        </is>
      </c>
      <c r="E215" s="2" t="inlineStr">
        <is>
          <t>-</t>
        </is>
      </c>
      <c r="F215" s="2" t="n">
        <v>55000</v>
      </c>
      <c r="G215" s="2" t="n">
        <v>0</v>
      </c>
      <c r="H215" s="2" t="n">
        <v>55000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</row>
    <row r="216">
      <c r="A216" s="2" t="n">
        <v>4</v>
      </c>
      <c r="B216" s="2" t="inlineStr">
        <is>
          <t>11.04.02.17</t>
        </is>
      </c>
      <c r="C216" s="2" t="inlineStr">
        <is>
          <t>Manutenção corretiva -Grua</t>
        </is>
      </c>
      <c r="D216" s="2" t="inlineStr">
        <is>
          <t>-</t>
        </is>
      </c>
      <c r="E216" s="2" t="inlineStr">
        <is>
          <t>-</t>
        </is>
      </c>
      <c r="F216" s="2" t="n">
        <v>13200</v>
      </c>
      <c r="G216" s="2" t="n">
        <v>0</v>
      </c>
      <c r="H216" s="2" t="n">
        <v>13200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</row>
    <row r="217">
      <c r="A217" s="2" t="n">
        <v>4</v>
      </c>
      <c r="B217" s="2" t="inlineStr">
        <is>
          <t>11.04.02.18</t>
        </is>
      </c>
      <c r="C217" s="2" t="inlineStr">
        <is>
          <t>Treinamento de sinaleiros/amarradores de carga - Grua</t>
        </is>
      </c>
      <c r="D217" s="2" t="inlineStr">
        <is>
          <t>-</t>
        </is>
      </c>
      <c r="E217" s="2" t="inlineStr">
        <is>
          <t>-</t>
        </is>
      </c>
      <c r="F217" s="2" t="n">
        <v>2000</v>
      </c>
      <c r="G217" s="2" t="n">
        <v>0</v>
      </c>
      <c r="H217" s="2" t="n">
        <v>2000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</row>
    <row r="218">
      <c r="A218" s="2" t="n">
        <v>4</v>
      </c>
      <c r="B218" s="2" t="inlineStr">
        <is>
          <t>11.04.02.19</t>
        </is>
      </c>
      <c r="C218" s="2" t="inlineStr">
        <is>
          <t>Plano de cargas - consultoria calculista</t>
        </is>
      </c>
      <c r="D218" s="2" t="inlineStr">
        <is>
          <t>-</t>
        </is>
      </c>
      <c r="E218" s="2" t="inlineStr">
        <is>
          <t>-</t>
        </is>
      </c>
      <c r="F218" s="2" t="n">
        <v>2500</v>
      </c>
      <c r="G218" s="2" t="n">
        <v>0</v>
      </c>
      <c r="H218" s="2" t="n">
        <v>2500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</row>
    <row r="219">
      <c r="A219" s="2" t="n">
        <v>4</v>
      </c>
      <c r="B219" s="2" t="inlineStr">
        <is>
          <t>11.04.02.20</t>
        </is>
      </c>
      <c r="C219" s="2" t="inlineStr">
        <is>
          <t>Execução de aterramento com ART</t>
        </is>
      </c>
      <c r="D219" s="2" t="inlineStr">
        <is>
          <t>-</t>
        </is>
      </c>
      <c r="E219" s="2" t="inlineStr">
        <is>
          <t>-</t>
        </is>
      </c>
      <c r="F219" s="2" t="n">
        <v>4000</v>
      </c>
      <c r="G219" s="2" t="n">
        <v>0</v>
      </c>
      <c r="H219" s="2" t="n">
        <v>4000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</row>
    <row r="220">
      <c r="A220" s="2" t="n">
        <v>2</v>
      </c>
      <c r="B220" s="2" t="inlineStr">
        <is>
          <t>11.05</t>
        </is>
      </c>
      <c r="C220" s="2" t="inlineStr">
        <is>
          <t>Equipamentos para execução de fachadas</t>
        </is>
      </c>
      <c r="D220" s="2" t="inlineStr">
        <is>
          <t>-</t>
        </is>
      </c>
      <c r="E220" s="2" t="inlineStr">
        <is>
          <t>-</t>
        </is>
      </c>
      <c r="F220" s="2" t="n">
        <v>1622743.323512384</v>
      </c>
      <c r="G220" s="2" t="n">
        <v>0</v>
      </c>
      <c r="H220" s="2" t="n">
        <v>1622743.323512384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</row>
    <row r="221">
      <c r="A221" s="2" t="n">
        <v>3</v>
      </c>
      <c r="B221" s="2" t="inlineStr">
        <is>
          <t>11.05.01</t>
        </is>
      </c>
      <c r="C221" s="2" t="inlineStr">
        <is>
          <t>Sistema de telas</t>
        </is>
      </c>
      <c r="D221" s="2" t="inlineStr">
        <is>
          <t>-</t>
        </is>
      </c>
      <c r="E221" s="2" t="inlineStr">
        <is>
          <t>-</t>
        </is>
      </c>
      <c r="F221" s="2" t="n">
        <v>585210.168988365</v>
      </c>
      <c r="G221" s="2" t="n">
        <v>0</v>
      </c>
      <c r="H221" s="2" t="n">
        <v>585210.168988365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</row>
    <row r="222">
      <c r="A222" s="2" t="n">
        <v>4</v>
      </c>
      <c r="B222" s="2" t="inlineStr">
        <is>
          <t>11.05.01.01</t>
        </is>
      </c>
      <c r="C222" s="2" t="inlineStr">
        <is>
          <t>Sistema de telas - SLQA e rede piso a piso</t>
        </is>
      </c>
      <c r="D222" s="2" t="inlineStr">
        <is>
          <t>-</t>
        </is>
      </c>
      <c r="E222" s="2" t="inlineStr">
        <is>
          <t>-</t>
        </is>
      </c>
      <c r="F222" s="2" t="n">
        <v>490500</v>
      </c>
      <c r="G222" s="2" t="n">
        <v>0</v>
      </c>
      <c r="H222" s="2" t="n">
        <v>490500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</row>
    <row r="223">
      <c r="A223" s="2" t="n">
        <v>4</v>
      </c>
      <c r="B223" s="2" t="inlineStr">
        <is>
          <t>11.05.01.02</t>
        </is>
      </c>
      <c r="C223" s="2" t="inlineStr">
        <is>
          <t>Entelamento de fachada</t>
        </is>
      </c>
      <c r="D223" s="2" t="inlineStr">
        <is>
          <t>-</t>
        </is>
      </c>
      <c r="E223" s="2" t="inlineStr">
        <is>
          <t>-</t>
        </is>
      </c>
      <c r="F223" s="2" t="n">
        <v>94710.168988365</v>
      </c>
      <c r="G223" s="2" t="n">
        <v>0</v>
      </c>
      <c r="H223" s="2" t="n">
        <v>94710.168988365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614691.8750792982</v>
      </c>
      <c r="G224" s="2" t="n">
        <v>0</v>
      </c>
      <c r="H224" s="2" t="n">
        <v>614691.8750792982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513497.5121781588</v>
      </c>
      <c r="G225" s="2" t="n">
        <v>0</v>
      </c>
      <c r="H225" s="2" t="n">
        <v>513497.5121781588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50597.18145056971</v>
      </c>
      <c r="G226" s="2" t="n">
        <v>0</v>
      </c>
      <c r="H226" s="2" t="n">
        <v>50597.18145056971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50597.18145056971</v>
      </c>
      <c r="G227" s="2" t="n">
        <v>0</v>
      </c>
      <c r="H227" s="2" t="n">
        <v>50597.18145056971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422841.2794447206</v>
      </c>
      <c r="G228" s="2" t="n">
        <v>0</v>
      </c>
      <c r="H228" s="2" t="n">
        <v>422841.2794447206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389760</v>
      </c>
      <c r="G229" s="2" t="n">
        <v>0</v>
      </c>
      <c r="H229" s="2" t="n">
        <v>389760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13350.6397223603</v>
      </c>
      <c r="G230" s="2" t="n">
        <v>0</v>
      </c>
      <c r="H230" s="2" t="n">
        <v>13350.6397223603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13350.6397223603</v>
      </c>
      <c r="G231" s="2" t="n">
        <v>0</v>
      </c>
      <c r="H231" s="2" t="n">
        <v>13350.6397223603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6380</v>
      </c>
      <c r="G232" s="2" t="n">
        <v>0</v>
      </c>
      <c r="H232" s="2" t="n">
        <v>6380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</row>
    <row r="233">
      <c r="A233" s="2" t="n">
        <v>2</v>
      </c>
      <c r="B233" s="2" t="inlineStr">
        <is>
          <t>11.06</t>
        </is>
      </c>
      <c r="C233" s="2" t="inlineStr">
        <is>
          <t>Equipamentos de Proteção Coletiva</t>
        </is>
      </c>
      <c r="D233" s="2" t="inlineStr">
        <is>
          <t>-</t>
        </is>
      </c>
      <c r="E233" s="2" t="inlineStr">
        <is>
          <t>-</t>
        </is>
      </c>
      <c r="F233" s="2" t="n">
        <v>308613.4361568453</v>
      </c>
      <c r="G233" s="2" t="n">
        <v>0</v>
      </c>
      <c r="H233" s="2" t="n">
        <v>308613.4361568453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</row>
    <row r="234">
      <c r="A234" s="2" t="n">
        <v>3</v>
      </c>
      <c r="B234" s="2" t="inlineStr">
        <is>
          <t>11.06.01</t>
        </is>
      </c>
      <c r="C234" s="2" t="inlineStr">
        <is>
          <t>Guarda-corpo de madeira H=120cm para proteção perimetral de lajes</t>
        </is>
      </c>
      <c r="D234" s="2" t="inlineStr">
        <is>
          <t>-</t>
        </is>
      </c>
      <c r="E234" s="2" t="inlineStr">
        <is>
          <t>-</t>
        </is>
      </c>
      <c r="F234" s="2" t="n">
        <v>111518.9866666666</v>
      </c>
      <c r="G234" s="2" t="n">
        <v>0</v>
      </c>
      <c r="H234" s="2" t="n">
        <v>111518.9866666666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</row>
    <row r="235">
      <c r="A235" s="2" t="n">
        <v>3</v>
      </c>
      <c r="B235" s="2" t="inlineStr">
        <is>
          <t>11.06.02</t>
        </is>
      </c>
      <c r="C235" s="2" t="inlineStr">
        <is>
          <t>Guarda-corpo de madeira H=120cm para proteção provisória de escadarias</t>
        </is>
      </c>
      <c r="D235" s="2" t="inlineStr">
        <is>
          <t>-</t>
        </is>
      </c>
      <c r="E235" s="2" t="inlineStr">
        <is>
          <t>-</t>
        </is>
      </c>
      <c r="F235" s="2" t="n">
        <v>31626.61333333333</v>
      </c>
      <c r="G235" s="2" t="n">
        <v>0</v>
      </c>
      <c r="H235" s="2" t="n">
        <v>31626.61333333333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</row>
    <row r="236">
      <c r="A236" s="2" t="n">
        <v>3</v>
      </c>
      <c r="B236" s="2" t="inlineStr">
        <is>
          <t>11.06.03</t>
        </is>
      </c>
      <c r="C236" s="2" t="inlineStr">
        <is>
          <t>Linha de vida - cabo de aço</t>
        </is>
      </c>
      <c r="D236" s="2" t="inlineStr">
        <is>
          <t>-</t>
        </is>
      </c>
      <c r="E236" s="2" t="inlineStr">
        <is>
          <t>-</t>
        </is>
      </c>
      <c r="F236" s="2" t="n">
        <v>93019.83615684534</v>
      </c>
      <c r="G236" s="2" t="n">
        <v>0</v>
      </c>
      <c r="H236" s="2" t="n">
        <v>93019.83615684534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</row>
    <row r="237">
      <c r="A237" s="2" t="n">
        <v>3</v>
      </c>
      <c r="B237" s="2" t="inlineStr">
        <is>
          <t>11.06.04</t>
        </is>
      </c>
      <c r="C237" s="2" t="inlineStr">
        <is>
          <t>Linha de vida - Tubo</t>
        </is>
      </c>
      <c r="D237" s="2" t="inlineStr">
        <is>
          <t>-</t>
        </is>
      </c>
      <c r="E237" s="2" t="inlineStr">
        <is>
          <t>-</t>
        </is>
      </c>
      <c r="F237" s="2" t="n">
        <v>47448</v>
      </c>
      <c r="G237" s="2" t="n">
        <v>0</v>
      </c>
      <c r="H237" s="2" t="n">
        <v>47448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</row>
    <row r="238">
      <c r="A238" s="2" t="n">
        <v>3</v>
      </c>
      <c r="B238" s="2" t="inlineStr">
        <is>
          <t>11.06.05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20000</v>
      </c>
      <c r="G238" s="2" t="n">
        <v>0</v>
      </c>
      <c r="H238" s="2" t="n">
        <v>20000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</row>
    <row r="239">
      <c r="A239" s="2" t="n">
        <v>3</v>
      </c>
      <c r="B239" s="2" t="inlineStr">
        <is>
          <t>11.06.06</t>
        </is>
      </c>
      <c r="C239" s="2" t="inlineStr">
        <is>
          <t>Placas de Sinalização</t>
        </is>
      </c>
      <c r="D239" s="2" t="inlineStr">
        <is>
          <t>-</t>
        </is>
      </c>
      <c r="E239" s="2" t="inlineStr">
        <is>
          <t>-</t>
        </is>
      </c>
      <c r="F239" s="2" t="n">
        <v>5000</v>
      </c>
      <c r="G239" s="2" t="n">
        <v>0</v>
      </c>
      <c r="H239" s="2" t="n">
        <v>5000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23/06/2025</t>
        </is>
      </c>
      <c r="E240" s="2" t="inlineStr">
        <is>
          <t>25/07/2025</t>
        </is>
      </c>
      <c r="F240" s="2" t="n">
        <v>175350.9286625556</v>
      </c>
      <c r="G240" s="2" t="n">
        <v>0</v>
      </c>
      <c r="H240" s="2" t="n">
        <v>175350.9286625556</v>
      </c>
      <c r="I240" s="2" t="n">
        <v>15.31</v>
      </c>
      <c r="J240" s="2" t="n">
        <v>15.31</v>
      </c>
      <c r="K240" s="2" t="n">
        <v>0</v>
      </c>
      <c r="L240" s="2" t="n">
        <v>100</v>
      </c>
      <c r="M240" s="2" t="n">
        <v>100</v>
      </c>
      <c r="N240" s="2" t="n">
        <v>0</v>
      </c>
      <c r="O240" s="2" t="n">
        <v>100</v>
      </c>
      <c r="P240" s="2" t="n">
        <v>100</v>
      </c>
      <c r="Q240" s="2" t="n">
        <v>0</v>
      </c>
      <c r="R240" s="2" t="n">
        <v>100</v>
      </c>
      <c r="S240" s="2" t="n">
        <v>100</v>
      </c>
      <c r="T240" s="2" t="n">
        <v>100</v>
      </c>
      <c r="U240" s="2" t="n">
        <v>100</v>
      </c>
      <c r="V240" s="2" t="n">
        <v>100</v>
      </c>
      <c r="W240" s="2" t="n">
        <v>100</v>
      </c>
      <c r="X240" s="2" t="n">
        <v>100</v>
      </c>
      <c r="Y240" s="2" t="n">
        <v>100</v>
      </c>
      <c r="Z240" s="2" t="n">
        <v>100</v>
      </c>
      <c r="AA240" s="2" t="n">
        <v>100</v>
      </c>
      <c r="AB240" s="2" t="n">
        <v>100</v>
      </c>
      <c r="AC240" s="2" t="n">
        <v>100</v>
      </c>
      <c r="AD240" s="2" t="n">
        <v>100</v>
      </c>
      <c r="AE240" s="2" t="n">
        <v>100</v>
      </c>
      <c r="AF240" s="2" t="n">
        <v>100</v>
      </c>
      <c r="AG240" s="2" t="n">
        <v>100</v>
      </c>
      <c r="AH240" s="2" t="n">
        <v>100</v>
      </c>
      <c r="AI240" s="2" t="n">
        <v>100</v>
      </c>
      <c r="AJ240" s="2" t="n">
        <v>100</v>
      </c>
      <c r="AK240" s="2" t="n">
        <v>100</v>
      </c>
      <c r="AL240" s="2" t="n">
        <v>100</v>
      </c>
      <c r="AM240" s="2" t="n">
        <v>100</v>
      </c>
      <c r="AN240" s="2" t="n">
        <v>100</v>
      </c>
      <c r="AO240" s="2" t="n">
        <v>100</v>
      </c>
      <c r="AP240" s="2" t="n">
        <v>100</v>
      </c>
      <c r="AQ240" s="2" t="n">
        <v>100</v>
      </c>
      <c r="AR240" s="2" t="n">
        <v>100</v>
      </c>
      <c r="AS240" s="2" t="n">
        <v>100</v>
      </c>
      <c r="AT240" s="2" t="n">
        <v>100</v>
      </c>
      <c r="AU240" s="2" t="n">
        <v>100</v>
      </c>
      <c r="AV240" s="2" t="n">
        <v>100</v>
      </c>
      <c r="AW240" s="2" t="n">
        <v>100</v>
      </c>
      <c r="AX240" s="2" t="n">
        <v>100</v>
      </c>
      <c r="AY240" s="2" t="n">
        <v>100</v>
      </c>
      <c r="AZ240" s="2" t="n">
        <v>100</v>
      </c>
      <c r="BA240" s="2" t="n">
        <v>100</v>
      </c>
      <c r="BB240" s="2" t="n">
        <v>100</v>
      </c>
      <c r="BC240" s="2" t="n">
        <v>100</v>
      </c>
      <c r="BD240" s="2" t="n">
        <v>100</v>
      </c>
      <c r="BE240" s="2" t="n">
        <v>100</v>
      </c>
      <c r="BF240" s="2" t="n">
        <v>100</v>
      </c>
      <c r="BG240" s="2" t="n">
        <v>100</v>
      </c>
      <c r="BH240" s="2" t="n">
        <v>100</v>
      </c>
      <c r="BI240" s="2" t="n">
        <v>100</v>
      </c>
      <c r="BJ240" s="2" t="n">
        <v>100</v>
      </c>
      <c r="BK240" s="2" t="n">
        <v>100</v>
      </c>
      <c r="BL240" s="2" t="n">
        <v>100</v>
      </c>
      <c r="BM240" s="2" t="n">
        <v>100</v>
      </c>
      <c r="BN240" s="2" t="n">
        <v>100</v>
      </c>
      <c r="BO240" s="2" t="n">
        <v>100</v>
      </c>
      <c r="BP240" s="2" t="n">
        <v>100</v>
      </c>
      <c r="BQ240" s="2" t="n">
        <v>100</v>
      </c>
      <c r="BR240" s="2" t="n">
        <v>100</v>
      </c>
      <c r="BS240" s="2" t="n">
        <v>100</v>
      </c>
      <c r="BT240" s="2" t="n">
        <v>100</v>
      </c>
      <c r="BU240" s="2" t="n">
        <v>100</v>
      </c>
      <c r="BV240" s="2" t="n">
        <v>100</v>
      </c>
      <c r="BW240" s="2" t="n">
        <v>100</v>
      </c>
      <c r="BX240" s="2" t="n">
        <v>100</v>
      </c>
      <c r="BY240" s="2" t="n">
        <v>100</v>
      </c>
      <c r="BZ240" s="2" t="n">
        <v>100</v>
      </c>
      <c r="CA240" s="2" t="n">
        <v>100</v>
      </c>
      <c r="CB240" s="2" t="n">
        <v>100</v>
      </c>
      <c r="CC240" s="2" t="n">
        <v>100</v>
      </c>
      <c r="CD240" s="2" t="n">
        <v>100</v>
      </c>
      <c r="CE240" s="2" t="n">
        <v>100</v>
      </c>
      <c r="CF240" s="2" t="n">
        <v>100</v>
      </c>
      <c r="CG240" s="2" t="n">
        <v>100</v>
      </c>
      <c r="CH240" s="2" t="n">
        <v>100</v>
      </c>
      <c r="CI240" s="2" t="n">
        <v>100</v>
      </c>
      <c r="CJ240" s="2" t="n">
        <v>100</v>
      </c>
      <c r="CK240" s="2" t="n">
        <v>100</v>
      </c>
      <c r="CL240" s="2" t="n">
        <v>100</v>
      </c>
      <c r="CM240" s="2" t="n">
        <v>100</v>
      </c>
      <c r="CN240" s="2" t="n">
        <v>100</v>
      </c>
      <c r="CO240" s="2" t="n">
        <v>100</v>
      </c>
      <c r="CP240" s="2" t="n">
        <v>100</v>
      </c>
      <c r="CQ240" s="2" t="n">
        <v>100</v>
      </c>
      <c r="CR240" s="2" t="n">
        <v>100</v>
      </c>
      <c r="CS240" s="2" t="n">
        <v>100</v>
      </c>
      <c r="CT240" s="2" t="n">
        <v>100</v>
      </c>
      <c r="CU240" s="2" t="n">
        <v>100</v>
      </c>
      <c r="CV240" s="2" t="n">
        <v>100</v>
      </c>
      <c r="CW240" s="2" t="n">
        <v>100</v>
      </c>
      <c r="CX240" s="2" t="n">
        <v>100</v>
      </c>
      <c r="CY240" s="2" t="n">
        <v>100</v>
      </c>
      <c r="CZ240" s="2" t="n">
        <v>100</v>
      </c>
      <c r="DA240" s="2" t="n">
        <v>100</v>
      </c>
      <c r="DB240" s="2" t="n">
        <v>100</v>
      </c>
      <c r="DC240" s="2" t="n">
        <v>100</v>
      </c>
      <c r="DD240" s="2" t="n">
        <v>100</v>
      </c>
      <c r="DE240" s="2" t="n">
        <v>100</v>
      </c>
      <c r="DF240" s="2" t="n">
        <v>100</v>
      </c>
      <c r="DG240" s="2" t="n">
        <v>100</v>
      </c>
      <c r="DH240" s="2" t="n">
        <v>100</v>
      </c>
      <c r="DI240" s="2" t="n">
        <v>100</v>
      </c>
      <c r="DJ240" s="2" t="n">
        <v>100</v>
      </c>
      <c r="DK240" s="2" t="n">
        <v>100</v>
      </c>
      <c r="DL240" s="2" t="n">
        <v>100</v>
      </c>
      <c r="DM240" s="2" t="n">
        <v>100</v>
      </c>
      <c r="DN240" s="2" t="n">
        <v>100</v>
      </c>
      <c r="DO240" s="2" t="n">
        <v>100</v>
      </c>
      <c r="DP240" s="2" t="n">
        <v>100</v>
      </c>
      <c r="DQ240" s="2" t="n">
        <v>100</v>
      </c>
      <c r="DR240" s="2" t="n">
        <v>100</v>
      </c>
      <c r="DS240" s="2" t="n">
        <v>100</v>
      </c>
      <c r="DT240" s="2" t="n">
        <v>100</v>
      </c>
      <c r="DU240" s="2" t="n">
        <v>100</v>
      </c>
      <c r="DV240" s="2" t="n">
        <v>100</v>
      </c>
      <c r="DW240" s="2" t="n">
        <v>100</v>
      </c>
      <c r="DX240" s="2" t="n">
        <v>100</v>
      </c>
      <c r="DY240" s="2" t="n">
        <v>100</v>
      </c>
      <c r="DZ240" s="2" t="n">
        <v>100</v>
      </c>
      <c r="EA240" s="2" t="n">
        <v>100</v>
      </c>
      <c r="EB240" s="2" t="n">
        <v>100</v>
      </c>
      <c r="EC240" s="2" t="n">
        <v>100</v>
      </c>
      <c r="ED240" s="2" t="n">
        <v>100</v>
      </c>
      <c r="EE240" s="2" t="n">
        <v>100</v>
      </c>
      <c r="EF240" s="2" t="n">
        <v>100</v>
      </c>
      <c r="EG240" s="2" t="n">
        <v>100</v>
      </c>
      <c r="EH240" s="2" t="n">
        <v>100</v>
      </c>
      <c r="EI240" s="2" t="n">
        <v>100</v>
      </c>
      <c r="EJ240" s="2" t="n">
        <v>100</v>
      </c>
      <c r="EK240" s="2" t="n">
        <v>100</v>
      </c>
      <c r="EL240" s="2" t="n">
        <v>100</v>
      </c>
      <c r="EM240" s="2" t="n">
        <v>100</v>
      </c>
      <c r="EN240" s="2" t="n">
        <v>100</v>
      </c>
      <c r="EO240" s="2" t="n">
        <v>100</v>
      </c>
      <c r="EP240" s="2" t="n">
        <v>100</v>
      </c>
      <c r="EQ240" s="2" t="n">
        <v>100</v>
      </c>
      <c r="ER240" s="2" t="n">
        <v>100</v>
      </c>
      <c r="ES240" s="2" t="n">
        <v>100</v>
      </c>
    </row>
    <row r="241">
      <c r="A241" s="2" t="n">
        <v>2</v>
      </c>
      <c r="B241" s="2" t="inlineStr">
        <is>
          <t>12.01</t>
        </is>
      </c>
      <c r="C241" s="2" t="inlineStr">
        <is>
          <t>Locação da obra</t>
        </is>
      </c>
      <c r="D241" s="2" t="inlineStr">
        <is>
          <t>23/06/2025</t>
        </is>
      </c>
      <c r="E241" s="2" t="inlineStr">
        <is>
          <t>04/07/2025</t>
        </is>
      </c>
      <c r="F241" s="2" t="n">
        <v>44750.92866255562</v>
      </c>
      <c r="G241" s="2" t="n">
        <v>0</v>
      </c>
      <c r="H241" s="2" t="n">
        <v>44750.92866255562</v>
      </c>
      <c r="I241" s="2" t="n">
        <v>60</v>
      </c>
      <c r="J241" s="2" t="n">
        <v>60</v>
      </c>
      <c r="K241" s="2" t="n">
        <v>0</v>
      </c>
      <c r="L241" s="2" t="n">
        <v>100</v>
      </c>
      <c r="M241" s="2" t="n">
        <v>100</v>
      </c>
      <c r="N241" s="2" t="n">
        <v>0</v>
      </c>
      <c r="O241" s="2" t="n">
        <v>100</v>
      </c>
      <c r="P241" s="2" t="n">
        <v>100</v>
      </c>
      <c r="Q241" s="2" t="n">
        <v>0</v>
      </c>
      <c r="R241" s="2" t="n">
        <v>100</v>
      </c>
      <c r="S241" s="2" t="n">
        <v>100</v>
      </c>
      <c r="T241" s="2" t="n">
        <v>100</v>
      </c>
      <c r="U241" s="2" t="n">
        <v>100</v>
      </c>
      <c r="V241" s="2" t="n">
        <v>100</v>
      </c>
      <c r="W241" s="2" t="n">
        <v>100</v>
      </c>
      <c r="X241" s="2" t="n">
        <v>100</v>
      </c>
      <c r="Y241" s="2" t="n">
        <v>100</v>
      </c>
      <c r="Z241" s="2" t="n">
        <v>100</v>
      </c>
      <c r="AA241" s="2" t="n">
        <v>100</v>
      </c>
      <c r="AB241" s="2" t="n">
        <v>100</v>
      </c>
      <c r="AC241" s="2" t="n">
        <v>100</v>
      </c>
      <c r="AD241" s="2" t="n">
        <v>100</v>
      </c>
      <c r="AE241" s="2" t="n">
        <v>100</v>
      </c>
      <c r="AF241" s="2" t="n">
        <v>100</v>
      </c>
      <c r="AG241" s="2" t="n">
        <v>100</v>
      </c>
      <c r="AH241" s="2" t="n">
        <v>100</v>
      </c>
      <c r="AI241" s="2" t="n">
        <v>100</v>
      </c>
      <c r="AJ241" s="2" t="n">
        <v>100</v>
      </c>
      <c r="AK241" s="2" t="n">
        <v>100</v>
      </c>
      <c r="AL241" s="2" t="n">
        <v>100</v>
      </c>
      <c r="AM241" s="2" t="n">
        <v>100</v>
      </c>
      <c r="AN241" s="2" t="n">
        <v>100</v>
      </c>
      <c r="AO241" s="2" t="n">
        <v>100</v>
      </c>
      <c r="AP241" s="2" t="n">
        <v>100</v>
      </c>
      <c r="AQ241" s="2" t="n">
        <v>100</v>
      </c>
      <c r="AR241" s="2" t="n">
        <v>100</v>
      </c>
      <c r="AS241" s="2" t="n">
        <v>100</v>
      </c>
      <c r="AT241" s="2" t="n">
        <v>100</v>
      </c>
      <c r="AU241" s="2" t="n">
        <v>100</v>
      </c>
      <c r="AV241" s="2" t="n">
        <v>100</v>
      </c>
      <c r="AW241" s="2" t="n">
        <v>100</v>
      </c>
      <c r="AX241" s="2" t="n">
        <v>100</v>
      </c>
      <c r="AY241" s="2" t="n">
        <v>100</v>
      </c>
      <c r="AZ241" s="2" t="n">
        <v>100</v>
      </c>
      <c r="BA241" s="2" t="n">
        <v>100</v>
      </c>
      <c r="BB241" s="2" t="n">
        <v>100</v>
      </c>
      <c r="BC241" s="2" t="n">
        <v>100</v>
      </c>
      <c r="BD241" s="2" t="n">
        <v>100</v>
      </c>
      <c r="BE241" s="2" t="n">
        <v>100</v>
      </c>
      <c r="BF241" s="2" t="n">
        <v>100</v>
      </c>
      <c r="BG241" s="2" t="n">
        <v>100</v>
      </c>
      <c r="BH241" s="2" t="n">
        <v>100</v>
      </c>
      <c r="BI241" s="2" t="n">
        <v>100</v>
      </c>
      <c r="BJ241" s="2" t="n">
        <v>100</v>
      </c>
      <c r="BK241" s="2" t="n">
        <v>100</v>
      </c>
      <c r="BL241" s="2" t="n">
        <v>100</v>
      </c>
      <c r="BM241" s="2" t="n">
        <v>100</v>
      </c>
      <c r="BN241" s="2" t="n">
        <v>100</v>
      </c>
      <c r="BO241" s="2" t="n">
        <v>100</v>
      </c>
      <c r="BP241" s="2" t="n">
        <v>100</v>
      </c>
      <c r="BQ241" s="2" t="n">
        <v>100</v>
      </c>
      <c r="BR241" s="2" t="n">
        <v>100</v>
      </c>
      <c r="BS241" s="2" t="n">
        <v>100</v>
      </c>
      <c r="BT241" s="2" t="n">
        <v>100</v>
      </c>
      <c r="BU241" s="2" t="n">
        <v>100</v>
      </c>
      <c r="BV241" s="2" t="n">
        <v>100</v>
      </c>
      <c r="BW241" s="2" t="n">
        <v>100</v>
      </c>
      <c r="BX241" s="2" t="n">
        <v>100</v>
      </c>
      <c r="BY241" s="2" t="n">
        <v>100</v>
      </c>
      <c r="BZ241" s="2" t="n">
        <v>100</v>
      </c>
      <c r="CA241" s="2" t="n">
        <v>100</v>
      </c>
      <c r="CB241" s="2" t="n">
        <v>100</v>
      </c>
      <c r="CC241" s="2" t="n">
        <v>100</v>
      </c>
      <c r="CD241" s="2" t="n">
        <v>100</v>
      </c>
      <c r="CE241" s="2" t="n">
        <v>100</v>
      </c>
      <c r="CF241" s="2" t="n">
        <v>100</v>
      </c>
      <c r="CG241" s="2" t="n">
        <v>100</v>
      </c>
      <c r="CH241" s="2" t="n">
        <v>100</v>
      </c>
      <c r="CI241" s="2" t="n">
        <v>100</v>
      </c>
      <c r="CJ241" s="2" t="n">
        <v>100</v>
      </c>
      <c r="CK241" s="2" t="n">
        <v>100</v>
      </c>
      <c r="CL241" s="2" t="n">
        <v>100</v>
      </c>
      <c r="CM241" s="2" t="n">
        <v>100</v>
      </c>
      <c r="CN241" s="2" t="n">
        <v>100</v>
      </c>
      <c r="CO241" s="2" t="n">
        <v>100</v>
      </c>
      <c r="CP241" s="2" t="n">
        <v>100</v>
      </c>
      <c r="CQ241" s="2" t="n">
        <v>100</v>
      </c>
      <c r="CR241" s="2" t="n">
        <v>100</v>
      </c>
      <c r="CS241" s="2" t="n">
        <v>100</v>
      </c>
      <c r="CT241" s="2" t="n">
        <v>100</v>
      </c>
      <c r="CU241" s="2" t="n">
        <v>100</v>
      </c>
      <c r="CV241" s="2" t="n">
        <v>100</v>
      </c>
      <c r="CW241" s="2" t="n">
        <v>100</v>
      </c>
      <c r="CX241" s="2" t="n">
        <v>100</v>
      </c>
      <c r="CY241" s="2" t="n">
        <v>100</v>
      </c>
      <c r="CZ241" s="2" t="n">
        <v>100</v>
      </c>
      <c r="DA241" s="2" t="n">
        <v>100</v>
      </c>
      <c r="DB241" s="2" t="n">
        <v>100</v>
      </c>
      <c r="DC241" s="2" t="n">
        <v>100</v>
      </c>
      <c r="DD241" s="2" t="n">
        <v>100</v>
      </c>
      <c r="DE241" s="2" t="n">
        <v>100</v>
      </c>
      <c r="DF241" s="2" t="n">
        <v>100</v>
      </c>
      <c r="DG241" s="2" t="n">
        <v>100</v>
      </c>
      <c r="DH241" s="2" t="n">
        <v>100</v>
      </c>
      <c r="DI241" s="2" t="n">
        <v>100</v>
      </c>
      <c r="DJ241" s="2" t="n">
        <v>100</v>
      </c>
      <c r="DK241" s="2" t="n">
        <v>100</v>
      </c>
      <c r="DL241" s="2" t="n">
        <v>100</v>
      </c>
      <c r="DM241" s="2" t="n">
        <v>100</v>
      </c>
      <c r="DN241" s="2" t="n">
        <v>100</v>
      </c>
      <c r="DO241" s="2" t="n">
        <v>100</v>
      </c>
      <c r="DP241" s="2" t="n">
        <v>100</v>
      </c>
      <c r="DQ241" s="2" t="n">
        <v>100</v>
      </c>
      <c r="DR241" s="2" t="n">
        <v>100</v>
      </c>
      <c r="DS241" s="2" t="n">
        <v>100</v>
      </c>
      <c r="DT241" s="2" t="n">
        <v>100</v>
      </c>
      <c r="DU241" s="2" t="n">
        <v>100</v>
      </c>
      <c r="DV241" s="2" t="n">
        <v>100</v>
      </c>
      <c r="DW241" s="2" t="n">
        <v>100</v>
      </c>
      <c r="DX241" s="2" t="n">
        <v>100</v>
      </c>
      <c r="DY241" s="2" t="n">
        <v>100</v>
      </c>
      <c r="DZ241" s="2" t="n">
        <v>100</v>
      </c>
      <c r="EA241" s="2" t="n">
        <v>100</v>
      </c>
      <c r="EB241" s="2" t="n">
        <v>100</v>
      </c>
      <c r="EC241" s="2" t="n">
        <v>100</v>
      </c>
      <c r="ED241" s="2" t="n">
        <v>100</v>
      </c>
      <c r="EE241" s="2" t="n">
        <v>100</v>
      </c>
      <c r="EF241" s="2" t="n">
        <v>100</v>
      </c>
      <c r="EG241" s="2" t="n">
        <v>100</v>
      </c>
      <c r="EH241" s="2" t="n">
        <v>100</v>
      </c>
      <c r="EI241" s="2" t="n">
        <v>100</v>
      </c>
      <c r="EJ241" s="2" t="n">
        <v>100</v>
      </c>
      <c r="EK241" s="2" t="n">
        <v>100</v>
      </c>
      <c r="EL241" s="2" t="n">
        <v>100</v>
      </c>
      <c r="EM241" s="2" t="n">
        <v>100</v>
      </c>
      <c r="EN241" s="2" t="n">
        <v>100</v>
      </c>
      <c r="EO241" s="2" t="n">
        <v>100</v>
      </c>
      <c r="EP241" s="2" t="n">
        <v>100</v>
      </c>
      <c r="EQ241" s="2" t="n">
        <v>100</v>
      </c>
      <c r="ER241" s="2" t="n">
        <v>100</v>
      </c>
      <c r="ES241" s="2" t="n">
        <v>100</v>
      </c>
    </row>
    <row r="242">
      <c r="A242" s="2" t="n">
        <v>3</v>
      </c>
      <c r="B242" s="2" t="inlineStr">
        <is>
          <t>12.01.01</t>
        </is>
      </c>
      <c r="C242" s="2" t="inlineStr">
        <is>
          <t>Locação da obra</t>
        </is>
      </c>
      <c r="D242" s="2" t="inlineStr">
        <is>
          <t>23/06/2025</t>
        </is>
      </c>
      <c r="E242" s="2" t="inlineStr">
        <is>
          <t>04/07/2025</t>
        </is>
      </c>
      <c r="F242" s="2" t="n">
        <v>44750.92866255562</v>
      </c>
      <c r="G242" s="2" t="n">
        <v>0</v>
      </c>
      <c r="H242" s="2" t="n">
        <v>44750.92866255562</v>
      </c>
      <c r="I242" s="2" t="n">
        <v>60</v>
      </c>
      <c r="J242" s="2" t="n">
        <v>60</v>
      </c>
      <c r="K242" s="2" t="n">
        <v>0</v>
      </c>
      <c r="L242" s="2" t="n">
        <v>100</v>
      </c>
      <c r="M242" s="2" t="n">
        <v>100</v>
      </c>
      <c r="N242" s="2" t="n">
        <v>0</v>
      </c>
      <c r="O242" s="2" t="n">
        <v>100</v>
      </c>
      <c r="P242" s="2" t="n">
        <v>100</v>
      </c>
      <c r="Q242" s="2" t="n">
        <v>0</v>
      </c>
      <c r="R242" s="2" t="n">
        <v>100</v>
      </c>
      <c r="S242" s="2" t="n">
        <v>100</v>
      </c>
      <c r="T242" s="2" t="n">
        <v>100</v>
      </c>
      <c r="U242" s="2" t="n">
        <v>100</v>
      </c>
      <c r="V242" s="2" t="n">
        <v>100</v>
      </c>
      <c r="W242" s="2" t="n">
        <v>100</v>
      </c>
      <c r="X242" s="2" t="n">
        <v>100</v>
      </c>
      <c r="Y242" s="2" t="n">
        <v>100</v>
      </c>
      <c r="Z242" s="2" t="n">
        <v>100</v>
      </c>
      <c r="AA242" s="2" t="n">
        <v>100</v>
      </c>
      <c r="AB242" s="2" t="n">
        <v>100</v>
      </c>
      <c r="AC242" s="2" t="n">
        <v>100</v>
      </c>
      <c r="AD242" s="2" t="n">
        <v>100</v>
      </c>
      <c r="AE242" s="2" t="n">
        <v>100</v>
      </c>
      <c r="AF242" s="2" t="n">
        <v>100</v>
      </c>
      <c r="AG242" s="2" t="n">
        <v>100</v>
      </c>
      <c r="AH242" s="2" t="n">
        <v>100</v>
      </c>
      <c r="AI242" s="2" t="n">
        <v>100</v>
      </c>
      <c r="AJ242" s="2" t="n">
        <v>100</v>
      </c>
      <c r="AK242" s="2" t="n">
        <v>100</v>
      </c>
      <c r="AL242" s="2" t="n">
        <v>100</v>
      </c>
      <c r="AM242" s="2" t="n">
        <v>100</v>
      </c>
      <c r="AN242" s="2" t="n">
        <v>100</v>
      </c>
      <c r="AO242" s="2" t="n">
        <v>100</v>
      </c>
      <c r="AP242" s="2" t="n">
        <v>100</v>
      </c>
      <c r="AQ242" s="2" t="n">
        <v>100</v>
      </c>
      <c r="AR242" s="2" t="n">
        <v>100</v>
      </c>
      <c r="AS242" s="2" t="n">
        <v>100</v>
      </c>
      <c r="AT242" s="2" t="n">
        <v>100</v>
      </c>
      <c r="AU242" s="2" t="n">
        <v>100</v>
      </c>
      <c r="AV242" s="2" t="n">
        <v>100</v>
      </c>
      <c r="AW242" s="2" t="n">
        <v>100</v>
      </c>
      <c r="AX242" s="2" t="n">
        <v>100</v>
      </c>
      <c r="AY242" s="2" t="n">
        <v>100</v>
      </c>
      <c r="AZ242" s="2" t="n">
        <v>100</v>
      </c>
      <c r="BA242" s="2" t="n">
        <v>100</v>
      </c>
      <c r="BB242" s="2" t="n">
        <v>100</v>
      </c>
      <c r="BC242" s="2" t="n">
        <v>100</v>
      </c>
      <c r="BD242" s="2" t="n">
        <v>100</v>
      </c>
      <c r="BE242" s="2" t="n">
        <v>100</v>
      </c>
      <c r="BF242" s="2" t="n">
        <v>100</v>
      </c>
      <c r="BG242" s="2" t="n">
        <v>100</v>
      </c>
      <c r="BH242" s="2" t="n">
        <v>100</v>
      </c>
      <c r="BI242" s="2" t="n">
        <v>100</v>
      </c>
      <c r="BJ242" s="2" t="n">
        <v>100</v>
      </c>
      <c r="BK242" s="2" t="n">
        <v>100</v>
      </c>
      <c r="BL242" s="2" t="n">
        <v>100</v>
      </c>
      <c r="BM242" s="2" t="n">
        <v>100</v>
      </c>
      <c r="BN242" s="2" t="n">
        <v>100</v>
      </c>
      <c r="BO242" s="2" t="n">
        <v>100</v>
      </c>
      <c r="BP242" s="2" t="n">
        <v>100</v>
      </c>
      <c r="BQ242" s="2" t="n">
        <v>100</v>
      </c>
      <c r="BR242" s="2" t="n">
        <v>100</v>
      </c>
      <c r="BS242" s="2" t="n">
        <v>100</v>
      </c>
      <c r="BT242" s="2" t="n">
        <v>100</v>
      </c>
      <c r="BU242" s="2" t="n">
        <v>100</v>
      </c>
      <c r="BV242" s="2" t="n">
        <v>100</v>
      </c>
      <c r="BW242" s="2" t="n">
        <v>100</v>
      </c>
      <c r="BX242" s="2" t="n">
        <v>100</v>
      </c>
      <c r="BY242" s="2" t="n">
        <v>100</v>
      </c>
      <c r="BZ242" s="2" t="n">
        <v>100</v>
      </c>
      <c r="CA242" s="2" t="n">
        <v>100</v>
      </c>
      <c r="CB242" s="2" t="n">
        <v>100</v>
      </c>
      <c r="CC242" s="2" t="n">
        <v>100</v>
      </c>
      <c r="CD242" s="2" t="n">
        <v>100</v>
      </c>
      <c r="CE242" s="2" t="n">
        <v>100</v>
      </c>
      <c r="CF242" s="2" t="n">
        <v>100</v>
      </c>
      <c r="CG242" s="2" t="n">
        <v>100</v>
      </c>
      <c r="CH242" s="2" t="n">
        <v>100</v>
      </c>
      <c r="CI242" s="2" t="n">
        <v>100</v>
      </c>
      <c r="CJ242" s="2" t="n">
        <v>100</v>
      </c>
      <c r="CK242" s="2" t="n">
        <v>100</v>
      </c>
      <c r="CL242" s="2" t="n">
        <v>100</v>
      </c>
      <c r="CM242" s="2" t="n">
        <v>100</v>
      </c>
      <c r="CN242" s="2" t="n">
        <v>100</v>
      </c>
      <c r="CO242" s="2" t="n">
        <v>100</v>
      </c>
      <c r="CP242" s="2" t="n">
        <v>100</v>
      </c>
      <c r="CQ242" s="2" t="n">
        <v>100</v>
      </c>
      <c r="CR242" s="2" t="n">
        <v>100</v>
      </c>
      <c r="CS242" s="2" t="n">
        <v>100</v>
      </c>
      <c r="CT242" s="2" t="n">
        <v>100</v>
      </c>
      <c r="CU242" s="2" t="n">
        <v>100</v>
      </c>
      <c r="CV242" s="2" t="n">
        <v>100</v>
      </c>
      <c r="CW242" s="2" t="n">
        <v>100</v>
      </c>
      <c r="CX242" s="2" t="n">
        <v>100</v>
      </c>
      <c r="CY242" s="2" t="n">
        <v>100</v>
      </c>
      <c r="CZ242" s="2" t="n">
        <v>100</v>
      </c>
      <c r="DA242" s="2" t="n">
        <v>100</v>
      </c>
      <c r="DB242" s="2" t="n">
        <v>100</v>
      </c>
      <c r="DC242" s="2" t="n">
        <v>100</v>
      </c>
      <c r="DD242" s="2" t="n">
        <v>100</v>
      </c>
      <c r="DE242" s="2" t="n">
        <v>100</v>
      </c>
      <c r="DF242" s="2" t="n">
        <v>100</v>
      </c>
      <c r="DG242" s="2" t="n">
        <v>100</v>
      </c>
      <c r="DH242" s="2" t="n">
        <v>100</v>
      </c>
      <c r="DI242" s="2" t="n">
        <v>100</v>
      </c>
      <c r="DJ242" s="2" t="n">
        <v>100</v>
      </c>
      <c r="DK242" s="2" t="n">
        <v>100</v>
      </c>
      <c r="DL242" s="2" t="n">
        <v>100</v>
      </c>
      <c r="DM242" s="2" t="n">
        <v>100</v>
      </c>
      <c r="DN242" s="2" t="n">
        <v>100</v>
      </c>
      <c r="DO242" s="2" t="n">
        <v>100</v>
      </c>
      <c r="DP242" s="2" t="n">
        <v>100</v>
      </c>
      <c r="DQ242" s="2" t="n">
        <v>100</v>
      </c>
      <c r="DR242" s="2" t="n">
        <v>100</v>
      </c>
      <c r="DS242" s="2" t="n">
        <v>100</v>
      </c>
      <c r="DT242" s="2" t="n">
        <v>100</v>
      </c>
      <c r="DU242" s="2" t="n">
        <v>100</v>
      </c>
      <c r="DV242" s="2" t="n">
        <v>100</v>
      </c>
      <c r="DW242" s="2" t="n">
        <v>100</v>
      </c>
      <c r="DX242" s="2" t="n">
        <v>100</v>
      </c>
      <c r="DY242" s="2" t="n">
        <v>100</v>
      </c>
      <c r="DZ242" s="2" t="n">
        <v>100</v>
      </c>
      <c r="EA242" s="2" t="n">
        <v>100</v>
      </c>
      <c r="EB242" s="2" t="n">
        <v>100</v>
      </c>
      <c r="EC242" s="2" t="n">
        <v>100</v>
      </c>
      <c r="ED242" s="2" t="n">
        <v>100</v>
      </c>
      <c r="EE242" s="2" t="n">
        <v>100</v>
      </c>
      <c r="EF242" s="2" t="n">
        <v>100</v>
      </c>
      <c r="EG242" s="2" t="n">
        <v>100</v>
      </c>
      <c r="EH242" s="2" t="n">
        <v>100</v>
      </c>
      <c r="EI242" s="2" t="n">
        <v>100</v>
      </c>
      <c r="EJ242" s="2" t="n">
        <v>100</v>
      </c>
      <c r="EK242" s="2" t="n">
        <v>100</v>
      </c>
      <c r="EL242" s="2" t="n">
        <v>100</v>
      </c>
      <c r="EM242" s="2" t="n">
        <v>100</v>
      </c>
      <c r="EN242" s="2" t="n">
        <v>100</v>
      </c>
      <c r="EO242" s="2" t="n">
        <v>100</v>
      </c>
      <c r="EP242" s="2" t="n">
        <v>100</v>
      </c>
      <c r="EQ242" s="2" t="n">
        <v>100</v>
      </c>
      <c r="ER242" s="2" t="n">
        <v>100</v>
      </c>
      <c r="ES242" s="2" t="n">
        <v>100</v>
      </c>
    </row>
    <row r="243">
      <c r="A243" s="2" t="n">
        <v>2</v>
      </c>
      <c r="B243" s="2" t="inlineStr">
        <is>
          <t>12.02</t>
        </is>
      </c>
      <c r="C243" s="2" t="inlineStr">
        <is>
          <t>Demolições</t>
        </is>
      </c>
      <c r="D243" s="2" t="inlineStr">
        <is>
          <t>07/07/2025</t>
        </is>
      </c>
      <c r="E243" s="2" t="inlineStr">
        <is>
          <t>25/07/2025</t>
        </is>
      </c>
      <c r="F243" s="2" t="n">
        <v>130600</v>
      </c>
      <c r="G243" s="2" t="n">
        <v>0</v>
      </c>
      <c r="H243" s="2" t="n">
        <v>130600</v>
      </c>
      <c r="I243" s="2" t="n">
        <v>0</v>
      </c>
      <c r="J243" s="2" t="n">
        <v>0</v>
      </c>
      <c r="K243" s="2" t="n">
        <v>0</v>
      </c>
      <c r="L243" s="2" t="n">
        <v>100</v>
      </c>
      <c r="M243" s="2" t="n">
        <v>100</v>
      </c>
      <c r="N243" s="2" t="n">
        <v>0</v>
      </c>
      <c r="O243" s="2" t="n">
        <v>100</v>
      </c>
      <c r="P243" s="2" t="n">
        <v>100</v>
      </c>
      <c r="Q243" s="2" t="n">
        <v>0</v>
      </c>
      <c r="R243" s="2" t="n">
        <v>100</v>
      </c>
      <c r="S243" s="2" t="n">
        <v>100</v>
      </c>
      <c r="T243" s="2" t="n">
        <v>100</v>
      </c>
      <c r="U243" s="2" t="n">
        <v>100</v>
      </c>
      <c r="V243" s="2" t="n">
        <v>100</v>
      </c>
      <c r="W243" s="2" t="n">
        <v>100</v>
      </c>
      <c r="X243" s="2" t="n">
        <v>100</v>
      </c>
      <c r="Y243" s="2" t="n">
        <v>100</v>
      </c>
      <c r="Z243" s="2" t="n">
        <v>100</v>
      </c>
      <c r="AA243" s="2" t="n">
        <v>100</v>
      </c>
      <c r="AB243" s="2" t="n">
        <v>100</v>
      </c>
      <c r="AC243" s="2" t="n">
        <v>100</v>
      </c>
      <c r="AD243" s="2" t="n">
        <v>100</v>
      </c>
      <c r="AE243" s="2" t="n">
        <v>100</v>
      </c>
      <c r="AF243" s="2" t="n">
        <v>100</v>
      </c>
      <c r="AG243" s="2" t="n">
        <v>100</v>
      </c>
      <c r="AH243" s="2" t="n">
        <v>100</v>
      </c>
      <c r="AI243" s="2" t="n">
        <v>100</v>
      </c>
      <c r="AJ243" s="2" t="n">
        <v>100</v>
      </c>
      <c r="AK243" s="2" t="n">
        <v>100</v>
      </c>
      <c r="AL243" s="2" t="n">
        <v>100</v>
      </c>
      <c r="AM243" s="2" t="n">
        <v>100</v>
      </c>
      <c r="AN243" s="2" t="n">
        <v>100</v>
      </c>
      <c r="AO243" s="2" t="n">
        <v>100</v>
      </c>
      <c r="AP243" s="2" t="n">
        <v>100</v>
      </c>
      <c r="AQ243" s="2" t="n">
        <v>100</v>
      </c>
      <c r="AR243" s="2" t="n">
        <v>100</v>
      </c>
      <c r="AS243" s="2" t="n">
        <v>100</v>
      </c>
      <c r="AT243" s="2" t="n">
        <v>100</v>
      </c>
      <c r="AU243" s="2" t="n">
        <v>100</v>
      </c>
      <c r="AV243" s="2" t="n">
        <v>100</v>
      </c>
      <c r="AW243" s="2" t="n">
        <v>100</v>
      </c>
      <c r="AX243" s="2" t="n">
        <v>100</v>
      </c>
      <c r="AY243" s="2" t="n">
        <v>100</v>
      </c>
      <c r="AZ243" s="2" t="n">
        <v>100</v>
      </c>
      <c r="BA243" s="2" t="n">
        <v>100</v>
      </c>
      <c r="BB243" s="2" t="n">
        <v>100</v>
      </c>
      <c r="BC243" s="2" t="n">
        <v>100</v>
      </c>
      <c r="BD243" s="2" t="n">
        <v>100</v>
      </c>
      <c r="BE243" s="2" t="n">
        <v>100</v>
      </c>
      <c r="BF243" s="2" t="n">
        <v>100</v>
      </c>
      <c r="BG243" s="2" t="n">
        <v>100</v>
      </c>
      <c r="BH243" s="2" t="n">
        <v>100</v>
      </c>
      <c r="BI243" s="2" t="n">
        <v>100</v>
      </c>
      <c r="BJ243" s="2" t="n">
        <v>100</v>
      </c>
      <c r="BK243" s="2" t="n">
        <v>100</v>
      </c>
      <c r="BL243" s="2" t="n">
        <v>100</v>
      </c>
      <c r="BM243" s="2" t="n">
        <v>100</v>
      </c>
      <c r="BN243" s="2" t="n">
        <v>100</v>
      </c>
      <c r="BO243" s="2" t="n">
        <v>100</v>
      </c>
      <c r="BP243" s="2" t="n">
        <v>100</v>
      </c>
      <c r="BQ243" s="2" t="n">
        <v>100</v>
      </c>
      <c r="BR243" s="2" t="n">
        <v>100</v>
      </c>
      <c r="BS243" s="2" t="n">
        <v>100</v>
      </c>
      <c r="BT243" s="2" t="n">
        <v>100</v>
      </c>
      <c r="BU243" s="2" t="n">
        <v>100</v>
      </c>
      <c r="BV243" s="2" t="n">
        <v>100</v>
      </c>
      <c r="BW243" s="2" t="n">
        <v>100</v>
      </c>
      <c r="BX243" s="2" t="n">
        <v>100</v>
      </c>
      <c r="BY243" s="2" t="n">
        <v>100</v>
      </c>
      <c r="BZ243" s="2" t="n">
        <v>100</v>
      </c>
      <c r="CA243" s="2" t="n">
        <v>100</v>
      </c>
      <c r="CB243" s="2" t="n">
        <v>100</v>
      </c>
      <c r="CC243" s="2" t="n">
        <v>100</v>
      </c>
      <c r="CD243" s="2" t="n">
        <v>100</v>
      </c>
      <c r="CE243" s="2" t="n">
        <v>100</v>
      </c>
      <c r="CF243" s="2" t="n">
        <v>100</v>
      </c>
      <c r="CG243" s="2" t="n">
        <v>100</v>
      </c>
      <c r="CH243" s="2" t="n">
        <v>100</v>
      </c>
      <c r="CI243" s="2" t="n">
        <v>100</v>
      </c>
      <c r="CJ243" s="2" t="n">
        <v>100</v>
      </c>
      <c r="CK243" s="2" t="n">
        <v>100</v>
      </c>
      <c r="CL243" s="2" t="n">
        <v>100</v>
      </c>
      <c r="CM243" s="2" t="n">
        <v>100</v>
      </c>
      <c r="CN243" s="2" t="n">
        <v>100</v>
      </c>
      <c r="CO243" s="2" t="n">
        <v>100</v>
      </c>
      <c r="CP243" s="2" t="n">
        <v>100</v>
      </c>
      <c r="CQ243" s="2" t="n">
        <v>100</v>
      </c>
      <c r="CR243" s="2" t="n">
        <v>100</v>
      </c>
      <c r="CS243" s="2" t="n">
        <v>100</v>
      </c>
      <c r="CT243" s="2" t="n">
        <v>100</v>
      </c>
      <c r="CU243" s="2" t="n">
        <v>100</v>
      </c>
      <c r="CV243" s="2" t="n">
        <v>100</v>
      </c>
      <c r="CW243" s="2" t="n">
        <v>100</v>
      </c>
      <c r="CX243" s="2" t="n">
        <v>100</v>
      </c>
      <c r="CY243" s="2" t="n">
        <v>100</v>
      </c>
      <c r="CZ243" s="2" t="n">
        <v>100</v>
      </c>
      <c r="DA243" s="2" t="n">
        <v>100</v>
      </c>
      <c r="DB243" s="2" t="n">
        <v>100</v>
      </c>
      <c r="DC243" s="2" t="n">
        <v>100</v>
      </c>
      <c r="DD243" s="2" t="n">
        <v>100</v>
      </c>
      <c r="DE243" s="2" t="n">
        <v>100</v>
      </c>
      <c r="DF243" s="2" t="n">
        <v>100</v>
      </c>
      <c r="DG243" s="2" t="n">
        <v>100</v>
      </c>
      <c r="DH243" s="2" t="n">
        <v>100</v>
      </c>
      <c r="DI243" s="2" t="n">
        <v>100</v>
      </c>
      <c r="DJ243" s="2" t="n">
        <v>100</v>
      </c>
      <c r="DK243" s="2" t="n">
        <v>100</v>
      </c>
      <c r="DL243" s="2" t="n">
        <v>100</v>
      </c>
      <c r="DM243" s="2" t="n">
        <v>100</v>
      </c>
      <c r="DN243" s="2" t="n">
        <v>100</v>
      </c>
      <c r="DO243" s="2" t="n">
        <v>100</v>
      </c>
      <c r="DP243" s="2" t="n">
        <v>100</v>
      </c>
      <c r="DQ243" s="2" t="n">
        <v>100</v>
      </c>
      <c r="DR243" s="2" t="n">
        <v>100</v>
      </c>
      <c r="DS243" s="2" t="n">
        <v>100</v>
      </c>
      <c r="DT243" s="2" t="n">
        <v>100</v>
      </c>
      <c r="DU243" s="2" t="n">
        <v>100</v>
      </c>
      <c r="DV243" s="2" t="n">
        <v>100</v>
      </c>
      <c r="DW243" s="2" t="n">
        <v>100</v>
      </c>
      <c r="DX243" s="2" t="n">
        <v>100</v>
      </c>
      <c r="DY243" s="2" t="n">
        <v>100</v>
      </c>
      <c r="DZ243" s="2" t="n">
        <v>100</v>
      </c>
      <c r="EA243" s="2" t="n">
        <v>100</v>
      </c>
      <c r="EB243" s="2" t="n">
        <v>100</v>
      </c>
      <c r="EC243" s="2" t="n">
        <v>100</v>
      </c>
      <c r="ED243" s="2" t="n">
        <v>100</v>
      </c>
      <c r="EE243" s="2" t="n">
        <v>100</v>
      </c>
      <c r="EF243" s="2" t="n">
        <v>100</v>
      </c>
      <c r="EG243" s="2" t="n">
        <v>100</v>
      </c>
      <c r="EH243" s="2" t="n">
        <v>100</v>
      </c>
      <c r="EI243" s="2" t="n">
        <v>100</v>
      </c>
      <c r="EJ243" s="2" t="n">
        <v>100</v>
      </c>
      <c r="EK243" s="2" t="n">
        <v>100</v>
      </c>
      <c r="EL243" s="2" t="n">
        <v>100</v>
      </c>
      <c r="EM243" s="2" t="n">
        <v>100</v>
      </c>
      <c r="EN243" s="2" t="n">
        <v>100</v>
      </c>
      <c r="EO243" s="2" t="n">
        <v>100</v>
      </c>
      <c r="EP243" s="2" t="n">
        <v>100</v>
      </c>
      <c r="EQ243" s="2" t="n">
        <v>100</v>
      </c>
      <c r="ER243" s="2" t="n">
        <v>100</v>
      </c>
      <c r="ES243" s="2" t="n">
        <v>100</v>
      </c>
    </row>
    <row r="244">
      <c r="A244" s="2" t="n">
        <v>3</v>
      </c>
      <c r="B244" s="2" t="inlineStr">
        <is>
          <t>12.02.01</t>
        </is>
      </c>
      <c r="C244" s="2" t="inlineStr">
        <is>
          <t>Supressão Arborea</t>
        </is>
      </c>
      <c r="D244" s="2" t="inlineStr">
        <is>
          <t>07/07/2025</t>
        </is>
      </c>
      <c r="E244" s="2" t="inlineStr">
        <is>
          <t>25/07/2025</t>
        </is>
      </c>
      <c r="F244" s="2" t="n">
        <v>50600</v>
      </c>
      <c r="G244" s="2" t="n">
        <v>0</v>
      </c>
      <c r="H244" s="2" t="n">
        <v>50600</v>
      </c>
      <c r="I244" s="2" t="n">
        <v>0</v>
      </c>
      <c r="J244" s="2" t="n">
        <v>0</v>
      </c>
      <c r="K244" s="2" t="n">
        <v>0</v>
      </c>
      <c r="L244" s="2" t="n">
        <v>100</v>
      </c>
      <c r="M244" s="2" t="n">
        <v>100</v>
      </c>
      <c r="N244" s="2" t="n">
        <v>0</v>
      </c>
      <c r="O244" s="2" t="n">
        <v>100</v>
      </c>
      <c r="P244" s="2" t="n">
        <v>100</v>
      </c>
      <c r="Q244" s="2" t="n">
        <v>0</v>
      </c>
      <c r="R244" s="2" t="n">
        <v>100</v>
      </c>
      <c r="S244" s="2" t="n">
        <v>100</v>
      </c>
      <c r="T244" s="2" t="n">
        <v>100</v>
      </c>
      <c r="U244" s="2" t="n">
        <v>100</v>
      </c>
      <c r="V244" s="2" t="n">
        <v>100</v>
      </c>
      <c r="W244" s="2" t="n">
        <v>100</v>
      </c>
      <c r="X244" s="2" t="n">
        <v>100</v>
      </c>
      <c r="Y244" s="2" t="n">
        <v>100</v>
      </c>
      <c r="Z244" s="2" t="n">
        <v>100</v>
      </c>
      <c r="AA244" s="2" t="n">
        <v>100</v>
      </c>
      <c r="AB244" s="2" t="n">
        <v>100</v>
      </c>
      <c r="AC244" s="2" t="n">
        <v>100</v>
      </c>
      <c r="AD244" s="2" t="n">
        <v>100</v>
      </c>
      <c r="AE244" s="2" t="n">
        <v>100</v>
      </c>
      <c r="AF244" s="2" t="n">
        <v>100</v>
      </c>
      <c r="AG244" s="2" t="n">
        <v>100</v>
      </c>
      <c r="AH244" s="2" t="n">
        <v>100</v>
      </c>
      <c r="AI244" s="2" t="n">
        <v>100</v>
      </c>
      <c r="AJ244" s="2" t="n">
        <v>100</v>
      </c>
      <c r="AK244" s="2" t="n">
        <v>100</v>
      </c>
      <c r="AL244" s="2" t="n">
        <v>100</v>
      </c>
      <c r="AM244" s="2" t="n">
        <v>100</v>
      </c>
      <c r="AN244" s="2" t="n">
        <v>100</v>
      </c>
      <c r="AO244" s="2" t="n">
        <v>100</v>
      </c>
      <c r="AP244" s="2" t="n">
        <v>100</v>
      </c>
      <c r="AQ244" s="2" t="n">
        <v>100</v>
      </c>
      <c r="AR244" s="2" t="n">
        <v>100</v>
      </c>
      <c r="AS244" s="2" t="n">
        <v>100</v>
      </c>
      <c r="AT244" s="2" t="n">
        <v>100</v>
      </c>
      <c r="AU244" s="2" t="n">
        <v>100</v>
      </c>
      <c r="AV244" s="2" t="n">
        <v>100</v>
      </c>
      <c r="AW244" s="2" t="n">
        <v>100</v>
      </c>
      <c r="AX244" s="2" t="n">
        <v>100</v>
      </c>
      <c r="AY244" s="2" t="n">
        <v>100</v>
      </c>
      <c r="AZ244" s="2" t="n">
        <v>100</v>
      </c>
      <c r="BA244" s="2" t="n">
        <v>100</v>
      </c>
      <c r="BB244" s="2" t="n">
        <v>100</v>
      </c>
      <c r="BC244" s="2" t="n">
        <v>100</v>
      </c>
      <c r="BD244" s="2" t="n">
        <v>100</v>
      </c>
      <c r="BE244" s="2" t="n">
        <v>100</v>
      </c>
      <c r="BF244" s="2" t="n">
        <v>100</v>
      </c>
      <c r="BG244" s="2" t="n">
        <v>100</v>
      </c>
      <c r="BH244" s="2" t="n">
        <v>100</v>
      </c>
      <c r="BI244" s="2" t="n">
        <v>100</v>
      </c>
      <c r="BJ244" s="2" t="n">
        <v>100</v>
      </c>
      <c r="BK244" s="2" t="n">
        <v>100</v>
      </c>
      <c r="BL244" s="2" t="n">
        <v>100</v>
      </c>
      <c r="BM244" s="2" t="n">
        <v>100</v>
      </c>
      <c r="BN244" s="2" t="n">
        <v>100</v>
      </c>
      <c r="BO244" s="2" t="n">
        <v>100</v>
      </c>
      <c r="BP244" s="2" t="n">
        <v>100</v>
      </c>
      <c r="BQ244" s="2" t="n">
        <v>100</v>
      </c>
      <c r="BR244" s="2" t="n">
        <v>100</v>
      </c>
      <c r="BS244" s="2" t="n">
        <v>100</v>
      </c>
      <c r="BT244" s="2" t="n">
        <v>100</v>
      </c>
      <c r="BU244" s="2" t="n">
        <v>100</v>
      </c>
      <c r="BV244" s="2" t="n">
        <v>100</v>
      </c>
      <c r="BW244" s="2" t="n">
        <v>100</v>
      </c>
      <c r="BX244" s="2" t="n">
        <v>100</v>
      </c>
      <c r="BY244" s="2" t="n">
        <v>100</v>
      </c>
      <c r="BZ244" s="2" t="n">
        <v>100</v>
      </c>
      <c r="CA244" s="2" t="n">
        <v>100</v>
      </c>
      <c r="CB244" s="2" t="n">
        <v>100</v>
      </c>
      <c r="CC244" s="2" t="n">
        <v>100</v>
      </c>
      <c r="CD244" s="2" t="n">
        <v>100</v>
      </c>
      <c r="CE244" s="2" t="n">
        <v>100</v>
      </c>
      <c r="CF244" s="2" t="n">
        <v>100</v>
      </c>
      <c r="CG244" s="2" t="n">
        <v>100</v>
      </c>
      <c r="CH244" s="2" t="n">
        <v>100</v>
      </c>
      <c r="CI244" s="2" t="n">
        <v>100</v>
      </c>
      <c r="CJ244" s="2" t="n">
        <v>100</v>
      </c>
      <c r="CK244" s="2" t="n">
        <v>100</v>
      </c>
      <c r="CL244" s="2" t="n">
        <v>100</v>
      </c>
      <c r="CM244" s="2" t="n">
        <v>100</v>
      </c>
      <c r="CN244" s="2" t="n">
        <v>100</v>
      </c>
      <c r="CO244" s="2" t="n">
        <v>100</v>
      </c>
      <c r="CP244" s="2" t="n">
        <v>100</v>
      </c>
      <c r="CQ244" s="2" t="n">
        <v>100</v>
      </c>
      <c r="CR244" s="2" t="n">
        <v>100</v>
      </c>
      <c r="CS244" s="2" t="n">
        <v>100</v>
      </c>
      <c r="CT244" s="2" t="n">
        <v>100</v>
      </c>
      <c r="CU244" s="2" t="n">
        <v>100</v>
      </c>
      <c r="CV244" s="2" t="n">
        <v>100</v>
      </c>
      <c r="CW244" s="2" t="n">
        <v>100</v>
      </c>
      <c r="CX244" s="2" t="n">
        <v>100</v>
      </c>
      <c r="CY244" s="2" t="n">
        <v>100</v>
      </c>
      <c r="CZ244" s="2" t="n">
        <v>100</v>
      </c>
      <c r="DA244" s="2" t="n">
        <v>100</v>
      </c>
      <c r="DB244" s="2" t="n">
        <v>100</v>
      </c>
      <c r="DC244" s="2" t="n">
        <v>100</v>
      </c>
      <c r="DD244" s="2" t="n">
        <v>100</v>
      </c>
      <c r="DE244" s="2" t="n">
        <v>100</v>
      </c>
      <c r="DF244" s="2" t="n">
        <v>100</v>
      </c>
      <c r="DG244" s="2" t="n">
        <v>100</v>
      </c>
      <c r="DH244" s="2" t="n">
        <v>100</v>
      </c>
      <c r="DI244" s="2" t="n">
        <v>100</v>
      </c>
      <c r="DJ244" s="2" t="n">
        <v>100</v>
      </c>
      <c r="DK244" s="2" t="n">
        <v>100</v>
      </c>
      <c r="DL244" s="2" t="n">
        <v>100</v>
      </c>
      <c r="DM244" s="2" t="n">
        <v>100</v>
      </c>
      <c r="DN244" s="2" t="n">
        <v>100</v>
      </c>
      <c r="DO244" s="2" t="n">
        <v>100</v>
      </c>
      <c r="DP244" s="2" t="n">
        <v>100</v>
      </c>
      <c r="DQ244" s="2" t="n">
        <v>100</v>
      </c>
      <c r="DR244" s="2" t="n">
        <v>100</v>
      </c>
      <c r="DS244" s="2" t="n">
        <v>100</v>
      </c>
      <c r="DT244" s="2" t="n">
        <v>100</v>
      </c>
      <c r="DU244" s="2" t="n">
        <v>100</v>
      </c>
      <c r="DV244" s="2" t="n">
        <v>100</v>
      </c>
      <c r="DW244" s="2" t="n">
        <v>100</v>
      </c>
      <c r="DX244" s="2" t="n">
        <v>100</v>
      </c>
      <c r="DY244" s="2" t="n">
        <v>100</v>
      </c>
      <c r="DZ244" s="2" t="n">
        <v>100</v>
      </c>
      <c r="EA244" s="2" t="n">
        <v>100</v>
      </c>
      <c r="EB244" s="2" t="n">
        <v>100</v>
      </c>
      <c r="EC244" s="2" t="n">
        <v>100</v>
      </c>
      <c r="ED244" s="2" t="n">
        <v>100</v>
      </c>
      <c r="EE244" s="2" t="n">
        <v>100</v>
      </c>
      <c r="EF244" s="2" t="n">
        <v>100</v>
      </c>
      <c r="EG244" s="2" t="n">
        <v>100</v>
      </c>
      <c r="EH244" s="2" t="n">
        <v>100</v>
      </c>
      <c r="EI244" s="2" t="n">
        <v>100</v>
      </c>
      <c r="EJ244" s="2" t="n">
        <v>100</v>
      </c>
      <c r="EK244" s="2" t="n">
        <v>100</v>
      </c>
      <c r="EL244" s="2" t="n">
        <v>100</v>
      </c>
      <c r="EM244" s="2" t="n">
        <v>100</v>
      </c>
      <c r="EN244" s="2" t="n">
        <v>100</v>
      </c>
      <c r="EO244" s="2" t="n">
        <v>100</v>
      </c>
      <c r="EP244" s="2" t="n">
        <v>100</v>
      </c>
      <c r="EQ244" s="2" t="n">
        <v>100</v>
      </c>
      <c r="ER244" s="2" t="n">
        <v>100</v>
      </c>
      <c r="ES244" s="2" t="n">
        <v>100</v>
      </c>
    </row>
    <row r="245">
      <c r="A245" s="2" t="n">
        <v>3</v>
      </c>
      <c r="B245" s="2" t="inlineStr">
        <is>
          <t>12.02.02</t>
        </is>
      </c>
      <c r="C245" s="2" t="inlineStr">
        <is>
          <t>Custos de desmobilização pavilhão e igreja provisória</t>
        </is>
      </c>
      <c r="D245" s="2" t="inlineStr">
        <is>
          <t>07/07/2025</t>
        </is>
      </c>
      <c r="E245" s="2" t="inlineStr">
        <is>
          <t>25/07/2025</t>
        </is>
      </c>
      <c r="F245" s="2" t="n">
        <v>80000</v>
      </c>
      <c r="G245" s="2" t="n">
        <v>0</v>
      </c>
      <c r="H245" s="2" t="n">
        <v>80000</v>
      </c>
      <c r="I245" s="2" t="n">
        <v>0</v>
      </c>
      <c r="J245" s="2" t="n">
        <v>0</v>
      </c>
      <c r="K245" s="2" t="n">
        <v>0</v>
      </c>
      <c r="L245" s="2" t="n">
        <v>100</v>
      </c>
      <c r="M245" s="2" t="n">
        <v>100</v>
      </c>
      <c r="N245" s="2" t="n">
        <v>0</v>
      </c>
      <c r="O245" s="2" t="n">
        <v>100</v>
      </c>
      <c r="P245" s="2" t="n">
        <v>100</v>
      </c>
      <c r="Q245" s="2" t="n">
        <v>0</v>
      </c>
      <c r="R245" s="2" t="n">
        <v>100</v>
      </c>
      <c r="S245" s="2" t="n">
        <v>100</v>
      </c>
      <c r="T245" s="2" t="n">
        <v>100</v>
      </c>
      <c r="U245" s="2" t="n">
        <v>100</v>
      </c>
      <c r="V245" s="2" t="n">
        <v>100</v>
      </c>
      <c r="W245" s="2" t="n">
        <v>100</v>
      </c>
      <c r="X245" s="2" t="n">
        <v>100</v>
      </c>
      <c r="Y245" s="2" t="n">
        <v>100</v>
      </c>
      <c r="Z245" s="2" t="n">
        <v>100</v>
      </c>
      <c r="AA245" s="2" t="n">
        <v>100</v>
      </c>
      <c r="AB245" s="2" t="n">
        <v>100</v>
      </c>
      <c r="AC245" s="2" t="n">
        <v>100</v>
      </c>
      <c r="AD245" s="2" t="n">
        <v>100</v>
      </c>
      <c r="AE245" s="2" t="n">
        <v>100</v>
      </c>
      <c r="AF245" s="2" t="n">
        <v>100</v>
      </c>
      <c r="AG245" s="2" t="n">
        <v>100</v>
      </c>
      <c r="AH245" s="2" t="n">
        <v>100</v>
      </c>
      <c r="AI245" s="2" t="n">
        <v>100</v>
      </c>
      <c r="AJ245" s="2" t="n">
        <v>100</v>
      </c>
      <c r="AK245" s="2" t="n">
        <v>100</v>
      </c>
      <c r="AL245" s="2" t="n">
        <v>100</v>
      </c>
      <c r="AM245" s="2" t="n">
        <v>100</v>
      </c>
      <c r="AN245" s="2" t="n">
        <v>100</v>
      </c>
      <c r="AO245" s="2" t="n">
        <v>100</v>
      </c>
      <c r="AP245" s="2" t="n">
        <v>100</v>
      </c>
      <c r="AQ245" s="2" t="n">
        <v>100</v>
      </c>
      <c r="AR245" s="2" t="n">
        <v>100</v>
      </c>
      <c r="AS245" s="2" t="n">
        <v>100</v>
      </c>
      <c r="AT245" s="2" t="n">
        <v>100</v>
      </c>
      <c r="AU245" s="2" t="n">
        <v>100</v>
      </c>
      <c r="AV245" s="2" t="n">
        <v>100</v>
      </c>
      <c r="AW245" s="2" t="n">
        <v>100</v>
      </c>
      <c r="AX245" s="2" t="n">
        <v>100</v>
      </c>
      <c r="AY245" s="2" t="n">
        <v>100</v>
      </c>
      <c r="AZ245" s="2" t="n">
        <v>100</v>
      </c>
      <c r="BA245" s="2" t="n">
        <v>100</v>
      </c>
      <c r="BB245" s="2" t="n">
        <v>100</v>
      </c>
      <c r="BC245" s="2" t="n">
        <v>100</v>
      </c>
      <c r="BD245" s="2" t="n">
        <v>100</v>
      </c>
      <c r="BE245" s="2" t="n">
        <v>100</v>
      </c>
      <c r="BF245" s="2" t="n">
        <v>100</v>
      </c>
      <c r="BG245" s="2" t="n">
        <v>100</v>
      </c>
      <c r="BH245" s="2" t="n">
        <v>100</v>
      </c>
      <c r="BI245" s="2" t="n">
        <v>100</v>
      </c>
      <c r="BJ245" s="2" t="n">
        <v>100</v>
      </c>
      <c r="BK245" s="2" t="n">
        <v>100</v>
      </c>
      <c r="BL245" s="2" t="n">
        <v>100</v>
      </c>
      <c r="BM245" s="2" t="n">
        <v>100</v>
      </c>
      <c r="BN245" s="2" t="n">
        <v>100</v>
      </c>
      <c r="BO245" s="2" t="n">
        <v>100</v>
      </c>
      <c r="BP245" s="2" t="n">
        <v>100</v>
      </c>
      <c r="BQ245" s="2" t="n">
        <v>100</v>
      </c>
      <c r="BR245" s="2" t="n">
        <v>100</v>
      </c>
      <c r="BS245" s="2" t="n">
        <v>100</v>
      </c>
      <c r="BT245" s="2" t="n">
        <v>100</v>
      </c>
      <c r="BU245" s="2" t="n">
        <v>100</v>
      </c>
      <c r="BV245" s="2" t="n">
        <v>100</v>
      </c>
      <c r="BW245" s="2" t="n">
        <v>100</v>
      </c>
      <c r="BX245" s="2" t="n">
        <v>100</v>
      </c>
      <c r="BY245" s="2" t="n">
        <v>100</v>
      </c>
      <c r="BZ245" s="2" t="n">
        <v>100</v>
      </c>
      <c r="CA245" s="2" t="n">
        <v>100</v>
      </c>
      <c r="CB245" s="2" t="n">
        <v>100</v>
      </c>
      <c r="CC245" s="2" t="n">
        <v>100</v>
      </c>
      <c r="CD245" s="2" t="n">
        <v>100</v>
      </c>
      <c r="CE245" s="2" t="n">
        <v>100</v>
      </c>
      <c r="CF245" s="2" t="n">
        <v>100</v>
      </c>
      <c r="CG245" s="2" t="n">
        <v>100</v>
      </c>
      <c r="CH245" s="2" t="n">
        <v>100</v>
      </c>
      <c r="CI245" s="2" t="n">
        <v>100</v>
      </c>
      <c r="CJ245" s="2" t="n">
        <v>100</v>
      </c>
      <c r="CK245" s="2" t="n">
        <v>100</v>
      </c>
      <c r="CL245" s="2" t="n">
        <v>100</v>
      </c>
      <c r="CM245" s="2" t="n">
        <v>100</v>
      </c>
      <c r="CN245" s="2" t="n">
        <v>100</v>
      </c>
      <c r="CO245" s="2" t="n">
        <v>100</v>
      </c>
      <c r="CP245" s="2" t="n">
        <v>100</v>
      </c>
      <c r="CQ245" s="2" t="n">
        <v>100</v>
      </c>
      <c r="CR245" s="2" t="n">
        <v>100</v>
      </c>
      <c r="CS245" s="2" t="n">
        <v>100</v>
      </c>
      <c r="CT245" s="2" t="n">
        <v>100</v>
      </c>
      <c r="CU245" s="2" t="n">
        <v>100</v>
      </c>
      <c r="CV245" s="2" t="n">
        <v>100</v>
      </c>
      <c r="CW245" s="2" t="n">
        <v>100</v>
      </c>
      <c r="CX245" s="2" t="n">
        <v>100</v>
      </c>
      <c r="CY245" s="2" t="n">
        <v>100</v>
      </c>
      <c r="CZ245" s="2" t="n">
        <v>100</v>
      </c>
      <c r="DA245" s="2" t="n">
        <v>100</v>
      </c>
      <c r="DB245" s="2" t="n">
        <v>100</v>
      </c>
      <c r="DC245" s="2" t="n">
        <v>100</v>
      </c>
      <c r="DD245" s="2" t="n">
        <v>100</v>
      </c>
      <c r="DE245" s="2" t="n">
        <v>100</v>
      </c>
      <c r="DF245" s="2" t="n">
        <v>100</v>
      </c>
      <c r="DG245" s="2" t="n">
        <v>100</v>
      </c>
      <c r="DH245" s="2" t="n">
        <v>100</v>
      </c>
      <c r="DI245" s="2" t="n">
        <v>100</v>
      </c>
      <c r="DJ245" s="2" t="n">
        <v>100</v>
      </c>
      <c r="DK245" s="2" t="n">
        <v>100</v>
      </c>
      <c r="DL245" s="2" t="n">
        <v>100</v>
      </c>
      <c r="DM245" s="2" t="n">
        <v>100</v>
      </c>
      <c r="DN245" s="2" t="n">
        <v>100</v>
      </c>
      <c r="DO245" s="2" t="n">
        <v>100</v>
      </c>
      <c r="DP245" s="2" t="n">
        <v>100</v>
      </c>
      <c r="DQ245" s="2" t="n">
        <v>100</v>
      </c>
      <c r="DR245" s="2" t="n">
        <v>100</v>
      </c>
      <c r="DS245" s="2" t="n">
        <v>100</v>
      </c>
      <c r="DT245" s="2" t="n">
        <v>100</v>
      </c>
      <c r="DU245" s="2" t="n">
        <v>100</v>
      </c>
      <c r="DV245" s="2" t="n">
        <v>100</v>
      </c>
      <c r="DW245" s="2" t="n">
        <v>100</v>
      </c>
      <c r="DX245" s="2" t="n">
        <v>100</v>
      </c>
      <c r="DY245" s="2" t="n">
        <v>100</v>
      </c>
      <c r="DZ245" s="2" t="n">
        <v>100</v>
      </c>
      <c r="EA245" s="2" t="n">
        <v>100</v>
      </c>
      <c r="EB245" s="2" t="n">
        <v>100</v>
      </c>
      <c r="EC245" s="2" t="n">
        <v>100</v>
      </c>
      <c r="ED245" s="2" t="n">
        <v>100</v>
      </c>
      <c r="EE245" s="2" t="n">
        <v>100</v>
      </c>
      <c r="EF245" s="2" t="n">
        <v>100</v>
      </c>
      <c r="EG245" s="2" t="n">
        <v>100</v>
      </c>
      <c r="EH245" s="2" t="n">
        <v>100</v>
      </c>
      <c r="EI245" s="2" t="n">
        <v>100</v>
      </c>
      <c r="EJ245" s="2" t="n">
        <v>100</v>
      </c>
      <c r="EK245" s="2" t="n">
        <v>100</v>
      </c>
      <c r="EL245" s="2" t="n">
        <v>100</v>
      </c>
      <c r="EM245" s="2" t="n">
        <v>100</v>
      </c>
      <c r="EN245" s="2" t="n">
        <v>100</v>
      </c>
      <c r="EO245" s="2" t="n">
        <v>100</v>
      </c>
      <c r="EP245" s="2" t="n">
        <v>100</v>
      </c>
      <c r="EQ245" s="2" t="n">
        <v>100</v>
      </c>
      <c r="ER245" s="2" t="n">
        <v>100</v>
      </c>
      <c r="ES245" s="2" t="n">
        <v>100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21/07/2025</t>
        </is>
      </c>
      <c r="E246" s="2" t="inlineStr">
        <is>
          <t>11/05/2027</t>
        </is>
      </c>
      <c r="F246" s="2" t="n">
        <v>1644553.518869865</v>
      </c>
      <c r="G246" s="2" t="n">
        <v>0</v>
      </c>
      <c r="H246" s="2" t="n">
        <v>1644553.518869865</v>
      </c>
      <c r="I246" s="2" t="n">
        <v>0</v>
      </c>
      <c r="J246" s="2" t="n">
        <v>0</v>
      </c>
      <c r="K246" s="2" t="n">
        <v>0</v>
      </c>
      <c r="L246" s="2" t="n">
        <v>32.58</v>
      </c>
      <c r="M246" s="2" t="n">
        <v>32.58</v>
      </c>
      <c r="N246" s="2" t="n">
        <v>0</v>
      </c>
      <c r="O246" s="2" t="n">
        <v>68.78</v>
      </c>
      <c r="P246" s="2" t="n">
        <v>68.78</v>
      </c>
      <c r="Q246" s="2" t="n">
        <v>0</v>
      </c>
      <c r="R246" s="2" t="n">
        <v>72.62</v>
      </c>
      <c r="S246" s="2" t="n">
        <v>72.62</v>
      </c>
      <c r="T246" s="2" t="n">
        <v>52.95</v>
      </c>
      <c r="U246" s="2" t="n">
        <v>77.3</v>
      </c>
      <c r="V246" s="2" t="n">
        <v>77.3</v>
      </c>
      <c r="W246" s="2" t="n">
        <v>57.35</v>
      </c>
      <c r="X246" s="2" t="n">
        <v>77.3</v>
      </c>
      <c r="Y246" s="2" t="n">
        <v>77.3</v>
      </c>
      <c r="Z246" s="2" t="n">
        <v>57.35</v>
      </c>
      <c r="AA246" s="2" t="n">
        <v>77.3</v>
      </c>
      <c r="AB246" s="2" t="n">
        <v>77.3</v>
      </c>
      <c r="AC246" s="2" t="n">
        <v>57.35</v>
      </c>
      <c r="AD246" s="2" t="n">
        <v>77.3</v>
      </c>
      <c r="AE246" s="2" t="n">
        <v>77.3</v>
      </c>
      <c r="AF246" s="2" t="n">
        <v>57.35</v>
      </c>
      <c r="AG246" s="2" t="n">
        <v>77.3</v>
      </c>
      <c r="AH246" s="2" t="n">
        <v>77.3</v>
      </c>
      <c r="AI246" s="2" t="n">
        <v>57.35</v>
      </c>
      <c r="AJ246" s="2" t="n">
        <v>77.3</v>
      </c>
      <c r="AK246" s="2" t="n">
        <v>77.3</v>
      </c>
      <c r="AL246" s="2" t="n">
        <v>57.35</v>
      </c>
      <c r="AM246" s="2" t="n">
        <v>77.3</v>
      </c>
      <c r="AN246" s="2" t="n">
        <v>77.3</v>
      </c>
      <c r="AO246" s="2" t="n">
        <v>57.35</v>
      </c>
      <c r="AP246" s="2" t="n">
        <v>77.3</v>
      </c>
      <c r="AQ246" s="2" t="n">
        <v>77.3</v>
      </c>
      <c r="AR246" s="2" t="n">
        <v>72.08</v>
      </c>
      <c r="AS246" s="2" t="n">
        <v>77.3</v>
      </c>
      <c r="AT246" s="2" t="n">
        <v>77.3</v>
      </c>
      <c r="AU246" s="2" t="n">
        <v>75.43000000000001</v>
      </c>
      <c r="AV246" s="2" t="n">
        <v>77.3</v>
      </c>
      <c r="AW246" s="2" t="n">
        <v>77.3</v>
      </c>
      <c r="AX246" s="2" t="n">
        <v>75.23</v>
      </c>
      <c r="AY246" s="2" t="n">
        <v>77.3</v>
      </c>
      <c r="AZ246" s="2" t="n">
        <v>77.3</v>
      </c>
      <c r="BA246" s="2" t="n">
        <v>75.23</v>
      </c>
      <c r="BB246" s="2" t="n">
        <v>77.56999999999999</v>
      </c>
      <c r="BC246" s="2" t="n">
        <v>77.3</v>
      </c>
      <c r="BD246" s="2" t="n">
        <v>75.23</v>
      </c>
      <c r="BE246" s="2" t="n">
        <v>82.18000000000001</v>
      </c>
      <c r="BF246" s="2" t="n">
        <v>83.42</v>
      </c>
      <c r="BG246" s="2" t="n">
        <v>75.23</v>
      </c>
      <c r="BH246" s="2" t="n">
        <v>94.62</v>
      </c>
      <c r="BI246" s="2" t="n">
        <v>95.87</v>
      </c>
      <c r="BJ246" s="2" t="n">
        <v>75.23</v>
      </c>
      <c r="BK246" s="2" t="n">
        <v>97.06999999999999</v>
      </c>
      <c r="BL246" s="2" t="n">
        <v>97.06999999999999</v>
      </c>
      <c r="BM246" s="2" t="n">
        <v>75.23</v>
      </c>
      <c r="BN246" s="2" t="n">
        <v>97.06999999999999</v>
      </c>
      <c r="BO246" s="2" t="n">
        <v>97.06999999999999</v>
      </c>
      <c r="BP246" s="2" t="n">
        <v>75.23</v>
      </c>
      <c r="BQ246" s="2" t="n">
        <v>97.06999999999999</v>
      </c>
      <c r="BR246" s="2" t="n">
        <v>97.06999999999999</v>
      </c>
      <c r="BS246" s="2" t="n">
        <v>75.23</v>
      </c>
      <c r="BT246" s="2" t="n">
        <v>97.06999999999999</v>
      </c>
      <c r="BU246" s="2" t="n">
        <v>97.06999999999999</v>
      </c>
      <c r="BV246" s="2" t="n">
        <v>75.23</v>
      </c>
      <c r="BW246" s="2" t="n">
        <v>99.06999999999999</v>
      </c>
      <c r="BX246" s="2" t="n">
        <v>99.06999999999999</v>
      </c>
      <c r="BY246" s="2" t="n">
        <v>75.23</v>
      </c>
      <c r="BZ246" s="2" t="n">
        <v>100</v>
      </c>
      <c r="CA246" s="2" t="n">
        <v>100</v>
      </c>
      <c r="CB246" s="2" t="n">
        <v>75.23</v>
      </c>
      <c r="CC246" s="2" t="n">
        <v>100</v>
      </c>
      <c r="CD246" s="2" t="n">
        <v>100</v>
      </c>
      <c r="CE246" s="2" t="n">
        <v>75.23</v>
      </c>
      <c r="CF246" s="2" t="n">
        <v>100</v>
      </c>
      <c r="CG246" s="2" t="n">
        <v>100</v>
      </c>
      <c r="CH246" s="2" t="n">
        <v>75.23</v>
      </c>
      <c r="CI246" s="2" t="n">
        <v>100</v>
      </c>
      <c r="CJ246" s="2" t="n">
        <v>100</v>
      </c>
      <c r="CK246" s="2" t="n">
        <v>75.23</v>
      </c>
      <c r="CL246" s="2" t="n">
        <v>100</v>
      </c>
      <c r="CM246" s="2" t="n">
        <v>100</v>
      </c>
      <c r="CN246" s="2" t="n">
        <v>75.23</v>
      </c>
      <c r="CO246" s="2" t="n">
        <v>100</v>
      </c>
      <c r="CP246" s="2" t="n">
        <v>100</v>
      </c>
      <c r="CQ246" s="2" t="n">
        <v>75.23</v>
      </c>
      <c r="CR246" s="2" t="n">
        <v>100</v>
      </c>
      <c r="CS246" s="2" t="n">
        <v>100</v>
      </c>
      <c r="CT246" s="2" t="n">
        <v>75.23</v>
      </c>
      <c r="CU246" s="2" t="n">
        <v>100</v>
      </c>
      <c r="CV246" s="2" t="n">
        <v>100</v>
      </c>
      <c r="CW246" s="2" t="n">
        <v>75.23</v>
      </c>
      <c r="CX246" s="2" t="n">
        <v>100</v>
      </c>
      <c r="CY246" s="2" t="n">
        <v>100</v>
      </c>
      <c r="CZ246" s="2" t="n">
        <v>75.23</v>
      </c>
      <c r="DA246" s="2" t="n">
        <v>100</v>
      </c>
      <c r="DB246" s="2" t="n">
        <v>100</v>
      </c>
      <c r="DC246" s="2" t="n">
        <v>75.23</v>
      </c>
      <c r="DD246" s="2" t="n">
        <v>100</v>
      </c>
      <c r="DE246" s="2" t="n">
        <v>100</v>
      </c>
      <c r="DF246" s="2" t="n">
        <v>75.23</v>
      </c>
      <c r="DG246" s="2" t="n">
        <v>100</v>
      </c>
      <c r="DH246" s="2" t="n">
        <v>100</v>
      </c>
      <c r="DI246" s="2" t="n">
        <v>75.23</v>
      </c>
      <c r="DJ246" s="2" t="n">
        <v>100</v>
      </c>
      <c r="DK246" s="2" t="n">
        <v>100</v>
      </c>
      <c r="DL246" s="2" t="n">
        <v>75.23</v>
      </c>
      <c r="DM246" s="2" t="n">
        <v>100</v>
      </c>
      <c r="DN246" s="2" t="n">
        <v>100</v>
      </c>
      <c r="DO246" s="2" t="n">
        <v>75.23</v>
      </c>
      <c r="DP246" s="2" t="n">
        <v>100</v>
      </c>
      <c r="DQ246" s="2" t="n">
        <v>100</v>
      </c>
      <c r="DR246" s="2" t="n">
        <v>75.23</v>
      </c>
      <c r="DS246" s="2" t="n">
        <v>100</v>
      </c>
      <c r="DT246" s="2" t="n">
        <v>100</v>
      </c>
      <c r="DU246" s="2" t="n">
        <v>75.23</v>
      </c>
      <c r="DV246" s="2" t="n">
        <v>100</v>
      </c>
      <c r="DW246" s="2" t="n">
        <v>100</v>
      </c>
      <c r="DX246" s="2" t="n">
        <v>75.23</v>
      </c>
      <c r="DY246" s="2" t="n">
        <v>100</v>
      </c>
      <c r="DZ246" s="2" t="n">
        <v>100</v>
      </c>
      <c r="EA246" s="2" t="n">
        <v>75.23</v>
      </c>
      <c r="EB246" s="2" t="n">
        <v>100</v>
      </c>
      <c r="EC246" s="2" t="n">
        <v>100</v>
      </c>
      <c r="ED246" s="2" t="n">
        <v>75.23</v>
      </c>
      <c r="EE246" s="2" t="n">
        <v>100</v>
      </c>
      <c r="EF246" s="2" t="n">
        <v>100</v>
      </c>
      <c r="EG246" s="2" t="n">
        <v>75.23</v>
      </c>
      <c r="EH246" s="2" t="n">
        <v>100</v>
      </c>
      <c r="EI246" s="2" t="n">
        <v>100</v>
      </c>
      <c r="EJ246" s="2" t="n">
        <v>75.23</v>
      </c>
      <c r="EK246" s="2" t="n">
        <v>100</v>
      </c>
      <c r="EL246" s="2" t="n">
        <v>100</v>
      </c>
      <c r="EM246" s="2" t="n">
        <v>75.23</v>
      </c>
      <c r="EN246" s="2" t="n">
        <v>100</v>
      </c>
      <c r="EO246" s="2" t="n">
        <v>100</v>
      </c>
      <c r="EP246" s="2" t="n">
        <v>75.23</v>
      </c>
      <c r="EQ246" s="2" t="n">
        <v>100</v>
      </c>
      <c r="ER246" s="2" t="n">
        <v>100</v>
      </c>
      <c r="ES246" s="2" t="n">
        <v>75.23</v>
      </c>
    </row>
    <row r="247">
      <c r="A247" s="2" t="n">
        <v>2</v>
      </c>
      <c r="B247" s="2" t="inlineStr">
        <is>
          <t>13.01</t>
        </is>
      </c>
      <c r="C247" s="2" t="inlineStr">
        <is>
          <t>Estacas Escavadas - Estacas tipo Hélice Contínua Monitorada</t>
        </is>
      </c>
      <c r="D247" s="2" t="inlineStr">
        <is>
          <t>21/07/2025</t>
        </is>
      </c>
      <c r="E247" s="2" t="inlineStr">
        <is>
          <t>14/08/2025</t>
        </is>
      </c>
      <c r="F247" s="2" t="n">
        <v>1131182.268746388</v>
      </c>
      <c r="G247" s="2" t="n">
        <v>0</v>
      </c>
      <c r="H247" s="2" t="n">
        <v>1131182.268746388</v>
      </c>
      <c r="I247" s="2" t="n">
        <v>0</v>
      </c>
      <c r="J247" s="2" t="n">
        <v>0</v>
      </c>
      <c r="K247" s="2" t="n">
        <v>0</v>
      </c>
      <c r="L247" s="2" t="n">
        <v>47.37</v>
      </c>
      <c r="M247" s="2" t="n">
        <v>47.37</v>
      </c>
      <c r="N247" s="2" t="n">
        <v>0</v>
      </c>
      <c r="O247" s="2" t="n">
        <v>100</v>
      </c>
      <c r="P247" s="2" t="n">
        <v>100</v>
      </c>
      <c r="Q247" s="2" t="n">
        <v>0</v>
      </c>
      <c r="R247" s="2" t="n">
        <v>100</v>
      </c>
      <c r="S247" s="2" t="n">
        <v>100</v>
      </c>
      <c r="T247" s="2" t="n">
        <v>71</v>
      </c>
      <c r="U247" s="2" t="n">
        <v>100</v>
      </c>
      <c r="V247" s="2" t="n">
        <v>100</v>
      </c>
      <c r="W247" s="2" t="n">
        <v>71</v>
      </c>
      <c r="X247" s="2" t="n">
        <v>100</v>
      </c>
      <c r="Y247" s="2" t="n">
        <v>100</v>
      </c>
      <c r="Z247" s="2" t="n">
        <v>71</v>
      </c>
      <c r="AA247" s="2" t="n">
        <v>100</v>
      </c>
      <c r="AB247" s="2" t="n">
        <v>100</v>
      </c>
      <c r="AC247" s="2" t="n">
        <v>71</v>
      </c>
      <c r="AD247" s="2" t="n">
        <v>100</v>
      </c>
      <c r="AE247" s="2" t="n">
        <v>100</v>
      </c>
      <c r="AF247" s="2" t="n">
        <v>71</v>
      </c>
      <c r="AG247" s="2" t="n">
        <v>100</v>
      </c>
      <c r="AH247" s="2" t="n">
        <v>100</v>
      </c>
      <c r="AI247" s="2" t="n">
        <v>71</v>
      </c>
      <c r="AJ247" s="2" t="n">
        <v>100</v>
      </c>
      <c r="AK247" s="2" t="n">
        <v>100</v>
      </c>
      <c r="AL247" s="2" t="n">
        <v>71</v>
      </c>
      <c r="AM247" s="2" t="n">
        <v>100</v>
      </c>
      <c r="AN247" s="2" t="n">
        <v>100</v>
      </c>
      <c r="AO247" s="2" t="n">
        <v>71</v>
      </c>
      <c r="AP247" s="2" t="n">
        <v>100</v>
      </c>
      <c r="AQ247" s="2" t="n">
        <v>100</v>
      </c>
      <c r="AR247" s="2" t="n">
        <v>92.41</v>
      </c>
      <c r="AS247" s="2" t="n">
        <v>100</v>
      </c>
      <c r="AT247" s="2" t="n">
        <v>100</v>
      </c>
      <c r="AU247" s="2" t="n">
        <v>97.29000000000001</v>
      </c>
      <c r="AV247" s="2" t="n">
        <v>100</v>
      </c>
      <c r="AW247" s="2" t="n">
        <v>100</v>
      </c>
      <c r="AX247" s="2" t="n">
        <v>97</v>
      </c>
      <c r="AY247" s="2" t="n">
        <v>100</v>
      </c>
      <c r="AZ247" s="2" t="n">
        <v>100</v>
      </c>
      <c r="BA247" s="2" t="n">
        <v>97</v>
      </c>
      <c r="BB247" s="2" t="n">
        <v>100</v>
      </c>
      <c r="BC247" s="2" t="n">
        <v>100</v>
      </c>
      <c r="BD247" s="2" t="n">
        <v>97</v>
      </c>
      <c r="BE247" s="2" t="n">
        <v>100</v>
      </c>
      <c r="BF247" s="2" t="n">
        <v>100</v>
      </c>
      <c r="BG247" s="2" t="n">
        <v>97</v>
      </c>
      <c r="BH247" s="2" t="n">
        <v>100</v>
      </c>
      <c r="BI247" s="2" t="n">
        <v>100</v>
      </c>
      <c r="BJ247" s="2" t="n">
        <v>97</v>
      </c>
      <c r="BK247" s="2" t="n">
        <v>100</v>
      </c>
      <c r="BL247" s="2" t="n">
        <v>100</v>
      </c>
      <c r="BM247" s="2" t="n">
        <v>97</v>
      </c>
      <c r="BN247" s="2" t="n">
        <v>100</v>
      </c>
      <c r="BO247" s="2" t="n">
        <v>100</v>
      </c>
      <c r="BP247" s="2" t="n">
        <v>97</v>
      </c>
      <c r="BQ247" s="2" t="n">
        <v>100</v>
      </c>
      <c r="BR247" s="2" t="n">
        <v>100</v>
      </c>
      <c r="BS247" s="2" t="n">
        <v>97</v>
      </c>
      <c r="BT247" s="2" t="n">
        <v>100</v>
      </c>
      <c r="BU247" s="2" t="n">
        <v>100</v>
      </c>
      <c r="BV247" s="2" t="n">
        <v>97</v>
      </c>
      <c r="BW247" s="2" t="n">
        <v>100</v>
      </c>
      <c r="BX247" s="2" t="n">
        <v>100</v>
      </c>
      <c r="BY247" s="2" t="n">
        <v>97</v>
      </c>
      <c r="BZ247" s="2" t="n">
        <v>100</v>
      </c>
      <c r="CA247" s="2" t="n">
        <v>100</v>
      </c>
      <c r="CB247" s="2" t="n">
        <v>97</v>
      </c>
      <c r="CC247" s="2" t="n">
        <v>100</v>
      </c>
      <c r="CD247" s="2" t="n">
        <v>100</v>
      </c>
      <c r="CE247" s="2" t="n">
        <v>97</v>
      </c>
      <c r="CF247" s="2" t="n">
        <v>100</v>
      </c>
      <c r="CG247" s="2" t="n">
        <v>100</v>
      </c>
      <c r="CH247" s="2" t="n">
        <v>97</v>
      </c>
      <c r="CI247" s="2" t="n">
        <v>100</v>
      </c>
      <c r="CJ247" s="2" t="n">
        <v>100</v>
      </c>
      <c r="CK247" s="2" t="n">
        <v>97</v>
      </c>
      <c r="CL247" s="2" t="n">
        <v>100</v>
      </c>
      <c r="CM247" s="2" t="n">
        <v>100</v>
      </c>
      <c r="CN247" s="2" t="n">
        <v>97</v>
      </c>
      <c r="CO247" s="2" t="n">
        <v>100</v>
      </c>
      <c r="CP247" s="2" t="n">
        <v>100</v>
      </c>
      <c r="CQ247" s="2" t="n">
        <v>97</v>
      </c>
      <c r="CR247" s="2" t="n">
        <v>100</v>
      </c>
      <c r="CS247" s="2" t="n">
        <v>100</v>
      </c>
      <c r="CT247" s="2" t="n">
        <v>97</v>
      </c>
      <c r="CU247" s="2" t="n">
        <v>100</v>
      </c>
      <c r="CV247" s="2" t="n">
        <v>100</v>
      </c>
      <c r="CW247" s="2" t="n">
        <v>97</v>
      </c>
      <c r="CX247" s="2" t="n">
        <v>100</v>
      </c>
      <c r="CY247" s="2" t="n">
        <v>100</v>
      </c>
      <c r="CZ247" s="2" t="n">
        <v>97</v>
      </c>
      <c r="DA247" s="2" t="n">
        <v>100</v>
      </c>
      <c r="DB247" s="2" t="n">
        <v>100</v>
      </c>
      <c r="DC247" s="2" t="n">
        <v>97</v>
      </c>
      <c r="DD247" s="2" t="n">
        <v>100</v>
      </c>
      <c r="DE247" s="2" t="n">
        <v>100</v>
      </c>
      <c r="DF247" s="2" t="n">
        <v>97</v>
      </c>
      <c r="DG247" s="2" t="n">
        <v>100</v>
      </c>
      <c r="DH247" s="2" t="n">
        <v>100</v>
      </c>
      <c r="DI247" s="2" t="n">
        <v>97</v>
      </c>
      <c r="DJ247" s="2" t="n">
        <v>100</v>
      </c>
      <c r="DK247" s="2" t="n">
        <v>100</v>
      </c>
      <c r="DL247" s="2" t="n">
        <v>97</v>
      </c>
      <c r="DM247" s="2" t="n">
        <v>100</v>
      </c>
      <c r="DN247" s="2" t="n">
        <v>100</v>
      </c>
      <c r="DO247" s="2" t="n">
        <v>97</v>
      </c>
      <c r="DP247" s="2" t="n">
        <v>100</v>
      </c>
      <c r="DQ247" s="2" t="n">
        <v>100</v>
      </c>
      <c r="DR247" s="2" t="n">
        <v>97</v>
      </c>
      <c r="DS247" s="2" t="n">
        <v>100</v>
      </c>
      <c r="DT247" s="2" t="n">
        <v>100</v>
      </c>
      <c r="DU247" s="2" t="n">
        <v>97</v>
      </c>
      <c r="DV247" s="2" t="n">
        <v>100</v>
      </c>
      <c r="DW247" s="2" t="n">
        <v>100</v>
      </c>
      <c r="DX247" s="2" t="n">
        <v>97</v>
      </c>
      <c r="DY247" s="2" t="n">
        <v>100</v>
      </c>
      <c r="DZ247" s="2" t="n">
        <v>100</v>
      </c>
      <c r="EA247" s="2" t="n">
        <v>97</v>
      </c>
      <c r="EB247" s="2" t="n">
        <v>100</v>
      </c>
      <c r="EC247" s="2" t="n">
        <v>100</v>
      </c>
      <c r="ED247" s="2" t="n">
        <v>97</v>
      </c>
      <c r="EE247" s="2" t="n">
        <v>100</v>
      </c>
      <c r="EF247" s="2" t="n">
        <v>100</v>
      </c>
      <c r="EG247" s="2" t="n">
        <v>97</v>
      </c>
      <c r="EH247" s="2" t="n">
        <v>100</v>
      </c>
      <c r="EI247" s="2" t="n">
        <v>100</v>
      </c>
      <c r="EJ247" s="2" t="n">
        <v>97</v>
      </c>
      <c r="EK247" s="2" t="n">
        <v>100</v>
      </c>
      <c r="EL247" s="2" t="n">
        <v>100</v>
      </c>
      <c r="EM247" s="2" t="n">
        <v>97</v>
      </c>
      <c r="EN247" s="2" t="n">
        <v>100</v>
      </c>
      <c r="EO247" s="2" t="n">
        <v>100</v>
      </c>
      <c r="EP247" s="2" t="n">
        <v>97</v>
      </c>
      <c r="EQ247" s="2" t="n">
        <v>100</v>
      </c>
      <c r="ER247" s="2" t="n">
        <v>100</v>
      </c>
      <c r="ES247" s="2" t="n">
        <v>97</v>
      </c>
    </row>
    <row r="248">
      <c r="A248" s="2" t="n">
        <v>3</v>
      </c>
      <c r="B248" s="2" t="inlineStr">
        <is>
          <t>13.01.01</t>
        </is>
      </c>
      <c r="C248" s="2" t="inlineStr">
        <is>
          <t>Taxa de mobilização e desmobilização do empreiteiro</t>
        </is>
      </c>
      <c r="D248" s="2" t="inlineStr">
        <is>
          <t>21/07/2025</t>
        </is>
      </c>
      <c r="E248" s="2" t="inlineStr">
        <is>
          <t>14/08/2025</t>
        </is>
      </c>
      <c r="F248" s="2" t="n">
        <v>46000</v>
      </c>
      <c r="G248" s="2" t="n">
        <v>0</v>
      </c>
      <c r="H248" s="2" t="n">
        <v>46000</v>
      </c>
      <c r="I248" s="2" t="n">
        <v>0</v>
      </c>
      <c r="J248" s="2" t="n">
        <v>0</v>
      </c>
      <c r="K248" s="2" t="n">
        <v>0</v>
      </c>
      <c r="L248" s="2" t="n">
        <v>47.37</v>
      </c>
      <c r="M248" s="2" t="n">
        <v>47.37</v>
      </c>
      <c r="N248" s="2" t="n">
        <v>0</v>
      </c>
      <c r="O248" s="2" t="n">
        <v>100</v>
      </c>
      <c r="P248" s="2" t="n">
        <v>100</v>
      </c>
      <c r="Q248" s="2" t="n">
        <v>0</v>
      </c>
      <c r="R248" s="2" t="n">
        <v>100</v>
      </c>
      <c r="S248" s="2" t="n">
        <v>100</v>
      </c>
      <c r="T248" s="2" t="n">
        <v>71</v>
      </c>
      <c r="U248" s="2" t="n">
        <v>100</v>
      </c>
      <c r="V248" s="2" t="n">
        <v>100</v>
      </c>
      <c r="W248" s="2" t="n">
        <v>71</v>
      </c>
      <c r="X248" s="2" t="n">
        <v>100</v>
      </c>
      <c r="Y248" s="2" t="n">
        <v>100</v>
      </c>
      <c r="Z248" s="2" t="n">
        <v>71</v>
      </c>
      <c r="AA248" s="2" t="n">
        <v>100</v>
      </c>
      <c r="AB248" s="2" t="n">
        <v>100</v>
      </c>
      <c r="AC248" s="2" t="n">
        <v>71</v>
      </c>
      <c r="AD248" s="2" t="n">
        <v>100</v>
      </c>
      <c r="AE248" s="2" t="n">
        <v>100</v>
      </c>
      <c r="AF248" s="2" t="n">
        <v>71</v>
      </c>
      <c r="AG248" s="2" t="n">
        <v>100</v>
      </c>
      <c r="AH248" s="2" t="n">
        <v>100</v>
      </c>
      <c r="AI248" s="2" t="n">
        <v>71</v>
      </c>
      <c r="AJ248" s="2" t="n">
        <v>100</v>
      </c>
      <c r="AK248" s="2" t="n">
        <v>100</v>
      </c>
      <c r="AL248" s="2" t="n">
        <v>71</v>
      </c>
      <c r="AM248" s="2" t="n">
        <v>100</v>
      </c>
      <c r="AN248" s="2" t="n">
        <v>100</v>
      </c>
      <c r="AO248" s="2" t="n">
        <v>71</v>
      </c>
      <c r="AP248" s="2" t="n">
        <v>100</v>
      </c>
      <c r="AQ248" s="2" t="n">
        <v>100</v>
      </c>
      <c r="AR248" s="2" t="n">
        <v>92.41</v>
      </c>
      <c r="AS248" s="2" t="n">
        <v>100</v>
      </c>
      <c r="AT248" s="2" t="n">
        <v>100</v>
      </c>
      <c r="AU248" s="2" t="n">
        <v>97.29000000000001</v>
      </c>
      <c r="AV248" s="2" t="n">
        <v>100</v>
      </c>
      <c r="AW248" s="2" t="n">
        <v>100</v>
      </c>
      <c r="AX248" s="2" t="n">
        <v>97</v>
      </c>
      <c r="AY248" s="2" t="n">
        <v>100</v>
      </c>
      <c r="AZ248" s="2" t="n">
        <v>100</v>
      </c>
      <c r="BA248" s="2" t="n">
        <v>97</v>
      </c>
      <c r="BB248" s="2" t="n">
        <v>100</v>
      </c>
      <c r="BC248" s="2" t="n">
        <v>100</v>
      </c>
      <c r="BD248" s="2" t="n">
        <v>97</v>
      </c>
      <c r="BE248" s="2" t="n">
        <v>100</v>
      </c>
      <c r="BF248" s="2" t="n">
        <v>100</v>
      </c>
      <c r="BG248" s="2" t="n">
        <v>97</v>
      </c>
      <c r="BH248" s="2" t="n">
        <v>100</v>
      </c>
      <c r="BI248" s="2" t="n">
        <v>100</v>
      </c>
      <c r="BJ248" s="2" t="n">
        <v>97</v>
      </c>
      <c r="BK248" s="2" t="n">
        <v>100</v>
      </c>
      <c r="BL248" s="2" t="n">
        <v>100</v>
      </c>
      <c r="BM248" s="2" t="n">
        <v>97</v>
      </c>
      <c r="BN248" s="2" t="n">
        <v>100</v>
      </c>
      <c r="BO248" s="2" t="n">
        <v>100</v>
      </c>
      <c r="BP248" s="2" t="n">
        <v>97</v>
      </c>
      <c r="BQ248" s="2" t="n">
        <v>100</v>
      </c>
      <c r="BR248" s="2" t="n">
        <v>100</v>
      </c>
      <c r="BS248" s="2" t="n">
        <v>97</v>
      </c>
      <c r="BT248" s="2" t="n">
        <v>100</v>
      </c>
      <c r="BU248" s="2" t="n">
        <v>100</v>
      </c>
      <c r="BV248" s="2" t="n">
        <v>97</v>
      </c>
      <c r="BW248" s="2" t="n">
        <v>100</v>
      </c>
      <c r="BX248" s="2" t="n">
        <v>100</v>
      </c>
      <c r="BY248" s="2" t="n">
        <v>97</v>
      </c>
      <c r="BZ248" s="2" t="n">
        <v>100</v>
      </c>
      <c r="CA248" s="2" t="n">
        <v>100</v>
      </c>
      <c r="CB248" s="2" t="n">
        <v>97</v>
      </c>
      <c r="CC248" s="2" t="n">
        <v>100</v>
      </c>
      <c r="CD248" s="2" t="n">
        <v>100</v>
      </c>
      <c r="CE248" s="2" t="n">
        <v>97</v>
      </c>
      <c r="CF248" s="2" t="n">
        <v>100</v>
      </c>
      <c r="CG248" s="2" t="n">
        <v>100</v>
      </c>
      <c r="CH248" s="2" t="n">
        <v>97</v>
      </c>
      <c r="CI248" s="2" t="n">
        <v>100</v>
      </c>
      <c r="CJ248" s="2" t="n">
        <v>100</v>
      </c>
      <c r="CK248" s="2" t="n">
        <v>97</v>
      </c>
      <c r="CL248" s="2" t="n">
        <v>100</v>
      </c>
      <c r="CM248" s="2" t="n">
        <v>100</v>
      </c>
      <c r="CN248" s="2" t="n">
        <v>97</v>
      </c>
      <c r="CO248" s="2" t="n">
        <v>100</v>
      </c>
      <c r="CP248" s="2" t="n">
        <v>100</v>
      </c>
      <c r="CQ248" s="2" t="n">
        <v>97</v>
      </c>
      <c r="CR248" s="2" t="n">
        <v>100</v>
      </c>
      <c r="CS248" s="2" t="n">
        <v>100</v>
      </c>
      <c r="CT248" s="2" t="n">
        <v>97</v>
      </c>
      <c r="CU248" s="2" t="n">
        <v>100</v>
      </c>
      <c r="CV248" s="2" t="n">
        <v>100</v>
      </c>
      <c r="CW248" s="2" t="n">
        <v>97</v>
      </c>
      <c r="CX248" s="2" t="n">
        <v>100</v>
      </c>
      <c r="CY248" s="2" t="n">
        <v>100</v>
      </c>
      <c r="CZ248" s="2" t="n">
        <v>97</v>
      </c>
      <c r="DA248" s="2" t="n">
        <v>100</v>
      </c>
      <c r="DB248" s="2" t="n">
        <v>100</v>
      </c>
      <c r="DC248" s="2" t="n">
        <v>97</v>
      </c>
      <c r="DD248" s="2" t="n">
        <v>100</v>
      </c>
      <c r="DE248" s="2" t="n">
        <v>100</v>
      </c>
      <c r="DF248" s="2" t="n">
        <v>97</v>
      </c>
      <c r="DG248" s="2" t="n">
        <v>100</v>
      </c>
      <c r="DH248" s="2" t="n">
        <v>100</v>
      </c>
      <c r="DI248" s="2" t="n">
        <v>97</v>
      </c>
      <c r="DJ248" s="2" t="n">
        <v>100</v>
      </c>
      <c r="DK248" s="2" t="n">
        <v>100</v>
      </c>
      <c r="DL248" s="2" t="n">
        <v>97</v>
      </c>
      <c r="DM248" s="2" t="n">
        <v>100</v>
      </c>
      <c r="DN248" s="2" t="n">
        <v>100</v>
      </c>
      <c r="DO248" s="2" t="n">
        <v>97</v>
      </c>
      <c r="DP248" s="2" t="n">
        <v>100</v>
      </c>
      <c r="DQ248" s="2" t="n">
        <v>100</v>
      </c>
      <c r="DR248" s="2" t="n">
        <v>97</v>
      </c>
      <c r="DS248" s="2" t="n">
        <v>100</v>
      </c>
      <c r="DT248" s="2" t="n">
        <v>100</v>
      </c>
      <c r="DU248" s="2" t="n">
        <v>97</v>
      </c>
      <c r="DV248" s="2" t="n">
        <v>100</v>
      </c>
      <c r="DW248" s="2" t="n">
        <v>100</v>
      </c>
      <c r="DX248" s="2" t="n">
        <v>97</v>
      </c>
      <c r="DY248" s="2" t="n">
        <v>100</v>
      </c>
      <c r="DZ248" s="2" t="n">
        <v>100</v>
      </c>
      <c r="EA248" s="2" t="n">
        <v>97</v>
      </c>
      <c r="EB248" s="2" t="n">
        <v>100</v>
      </c>
      <c r="EC248" s="2" t="n">
        <v>100</v>
      </c>
      <c r="ED248" s="2" t="n">
        <v>97</v>
      </c>
      <c r="EE248" s="2" t="n">
        <v>100</v>
      </c>
      <c r="EF248" s="2" t="n">
        <v>100</v>
      </c>
      <c r="EG248" s="2" t="n">
        <v>97</v>
      </c>
      <c r="EH248" s="2" t="n">
        <v>100</v>
      </c>
      <c r="EI248" s="2" t="n">
        <v>100</v>
      </c>
      <c r="EJ248" s="2" t="n">
        <v>97</v>
      </c>
      <c r="EK248" s="2" t="n">
        <v>100</v>
      </c>
      <c r="EL248" s="2" t="n">
        <v>100</v>
      </c>
      <c r="EM248" s="2" t="n">
        <v>97</v>
      </c>
      <c r="EN248" s="2" t="n">
        <v>100</v>
      </c>
      <c r="EO248" s="2" t="n">
        <v>100</v>
      </c>
      <c r="EP248" s="2" t="n">
        <v>97</v>
      </c>
      <c r="EQ248" s="2" t="n">
        <v>100</v>
      </c>
      <c r="ER248" s="2" t="n">
        <v>100</v>
      </c>
      <c r="ES248" s="2" t="n">
        <v>97</v>
      </c>
    </row>
    <row r="249">
      <c r="A249" s="2" t="n">
        <v>3</v>
      </c>
      <c r="B249" s="2" t="inlineStr">
        <is>
          <t>13.01.02</t>
        </is>
      </c>
      <c r="C249" s="2" t="inlineStr">
        <is>
          <t>Estaca Hélice - Perfuração com Ø 0,50m</t>
        </is>
      </c>
      <c r="D249" s="2" t="inlineStr">
        <is>
          <t>21/07/2025</t>
        </is>
      </c>
      <c r="E249" s="2" t="inlineStr">
        <is>
          <t>14/08/2025</t>
        </is>
      </c>
      <c r="F249" s="2" t="n">
        <v>74998.39999999999</v>
      </c>
      <c r="G249" s="2" t="n">
        <v>0</v>
      </c>
      <c r="H249" s="2" t="n">
        <v>74998.39999999999</v>
      </c>
      <c r="I249" s="2" t="n">
        <v>0</v>
      </c>
      <c r="J249" s="2" t="n">
        <v>0</v>
      </c>
      <c r="K249" s="2" t="n">
        <v>0</v>
      </c>
      <c r="L249" s="2" t="n">
        <v>47.37</v>
      </c>
      <c r="M249" s="2" t="n">
        <v>47.37</v>
      </c>
      <c r="N249" s="2" t="n">
        <v>0</v>
      </c>
      <c r="O249" s="2" t="n">
        <v>100</v>
      </c>
      <c r="P249" s="2" t="n">
        <v>100</v>
      </c>
      <c r="Q249" s="2" t="n">
        <v>0</v>
      </c>
      <c r="R249" s="2" t="n">
        <v>100</v>
      </c>
      <c r="S249" s="2" t="n">
        <v>100</v>
      </c>
      <c r="T249" s="2" t="n">
        <v>71</v>
      </c>
      <c r="U249" s="2" t="n">
        <v>100</v>
      </c>
      <c r="V249" s="2" t="n">
        <v>100</v>
      </c>
      <c r="W249" s="2" t="n">
        <v>71</v>
      </c>
      <c r="X249" s="2" t="n">
        <v>100</v>
      </c>
      <c r="Y249" s="2" t="n">
        <v>100</v>
      </c>
      <c r="Z249" s="2" t="n">
        <v>71</v>
      </c>
      <c r="AA249" s="2" t="n">
        <v>100</v>
      </c>
      <c r="AB249" s="2" t="n">
        <v>100</v>
      </c>
      <c r="AC249" s="2" t="n">
        <v>71</v>
      </c>
      <c r="AD249" s="2" t="n">
        <v>100</v>
      </c>
      <c r="AE249" s="2" t="n">
        <v>100</v>
      </c>
      <c r="AF249" s="2" t="n">
        <v>71</v>
      </c>
      <c r="AG249" s="2" t="n">
        <v>100</v>
      </c>
      <c r="AH249" s="2" t="n">
        <v>100</v>
      </c>
      <c r="AI249" s="2" t="n">
        <v>71</v>
      </c>
      <c r="AJ249" s="2" t="n">
        <v>100</v>
      </c>
      <c r="AK249" s="2" t="n">
        <v>100</v>
      </c>
      <c r="AL249" s="2" t="n">
        <v>71</v>
      </c>
      <c r="AM249" s="2" t="n">
        <v>100</v>
      </c>
      <c r="AN249" s="2" t="n">
        <v>100</v>
      </c>
      <c r="AO249" s="2" t="n">
        <v>71</v>
      </c>
      <c r="AP249" s="2" t="n">
        <v>100</v>
      </c>
      <c r="AQ249" s="2" t="n">
        <v>100</v>
      </c>
      <c r="AR249" s="2" t="n">
        <v>92.41</v>
      </c>
      <c r="AS249" s="2" t="n">
        <v>100</v>
      </c>
      <c r="AT249" s="2" t="n">
        <v>100</v>
      </c>
      <c r="AU249" s="2" t="n">
        <v>97.29000000000001</v>
      </c>
      <c r="AV249" s="2" t="n">
        <v>100</v>
      </c>
      <c r="AW249" s="2" t="n">
        <v>100</v>
      </c>
      <c r="AX249" s="2" t="n">
        <v>97</v>
      </c>
      <c r="AY249" s="2" t="n">
        <v>100</v>
      </c>
      <c r="AZ249" s="2" t="n">
        <v>100</v>
      </c>
      <c r="BA249" s="2" t="n">
        <v>97</v>
      </c>
      <c r="BB249" s="2" t="n">
        <v>100</v>
      </c>
      <c r="BC249" s="2" t="n">
        <v>100</v>
      </c>
      <c r="BD249" s="2" t="n">
        <v>97</v>
      </c>
      <c r="BE249" s="2" t="n">
        <v>100</v>
      </c>
      <c r="BF249" s="2" t="n">
        <v>100</v>
      </c>
      <c r="BG249" s="2" t="n">
        <v>97</v>
      </c>
      <c r="BH249" s="2" t="n">
        <v>100</v>
      </c>
      <c r="BI249" s="2" t="n">
        <v>100</v>
      </c>
      <c r="BJ249" s="2" t="n">
        <v>97</v>
      </c>
      <c r="BK249" s="2" t="n">
        <v>100</v>
      </c>
      <c r="BL249" s="2" t="n">
        <v>100</v>
      </c>
      <c r="BM249" s="2" t="n">
        <v>97</v>
      </c>
      <c r="BN249" s="2" t="n">
        <v>100</v>
      </c>
      <c r="BO249" s="2" t="n">
        <v>100</v>
      </c>
      <c r="BP249" s="2" t="n">
        <v>97</v>
      </c>
      <c r="BQ249" s="2" t="n">
        <v>100</v>
      </c>
      <c r="BR249" s="2" t="n">
        <v>100</v>
      </c>
      <c r="BS249" s="2" t="n">
        <v>97</v>
      </c>
      <c r="BT249" s="2" t="n">
        <v>100</v>
      </c>
      <c r="BU249" s="2" t="n">
        <v>100</v>
      </c>
      <c r="BV249" s="2" t="n">
        <v>97</v>
      </c>
      <c r="BW249" s="2" t="n">
        <v>100</v>
      </c>
      <c r="BX249" s="2" t="n">
        <v>100</v>
      </c>
      <c r="BY249" s="2" t="n">
        <v>97</v>
      </c>
      <c r="BZ249" s="2" t="n">
        <v>100</v>
      </c>
      <c r="CA249" s="2" t="n">
        <v>100</v>
      </c>
      <c r="CB249" s="2" t="n">
        <v>97</v>
      </c>
      <c r="CC249" s="2" t="n">
        <v>100</v>
      </c>
      <c r="CD249" s="2" t="n">
        <v>100</v>
      </c>
      <c r="CE249" s="2" t="n">
        <v>97</v>
      </c>
      <c r="CF249" s="2" t="n">
        <v>100</v>
      </c>
      <c r="CG249" s="2" t="n">
        <v>100</v>
      </c>
      <c r="CH249" s="2" t="n">
        <v>97</v>
      </c>
      <c r="CI249" s="2" t="n">
        <v>100</v>
      </c>
      <c r="CJ249" s="2" t="n">
        <v>100</v>
      </c>
      <c r="CK249" s="2" t="n">
        <v>97</v>
      </c>
      <c r="CL249" s="2" t="n">
        <v>100</v>
      </c>
      <c r="CM249" s="2" t="n">
        <v>100</v>
      </c>
      <c r="CN249" s="2" t="n">
        <v>97</v>
      </c>
      <c r="CO249" s="2" t="n">
        <v>100</v>
      </c>
      <c r="CP249" s="2" t="n">
        <v>100</v>
      </c>
      <c r="CQ249" s="2" t="n">
        <v>97</v>
      </c>
      <c r="CR249" s="2" t="n">
        <v>100</v>
      </c>
      <c r="CS249" s="2" t="n">
        <v>100</v>
      </c>
      <c r="CT249" s="2" t="n">
        <v>97</v>
      </c>
      <c r="CU249" s="2" t="n">
        <v>100</v>
      </c>
      <c r="CV249" s="2" t="n">
        <v>100</v>
      </c>
      <c r="CW249" s="2" t="n">
        <v>97</v>
      </c>
      <c r="CX249" s="2" t="n">
        <v>100</v>
      </c>
      <c r="CY249" s="2" t="n">
        <v>100</v>
      </c>
      <c r="CZ249" s="2" t="n">
        <v>97</v>
      </c>
      <c r="DA249" s="2" t="n">
        <v>100</v>
      </c>
      <c r="DB249" s="2" t="n">
        <v>100</v>
      </c>
      <c r="DC249" s="2" t="n">
        <v>97</v>
      </c>
      <c r="DD249" s="2" t="n">
        <v>100</v>
      </c>
      <c r="DE249" s="2" t="n">
        <v>100</v>
      </c>
      <c r="DF249" s="2" t="n">
        <v>97</v>
      </c>
      <c r="DG249" s="2" t="n">
        <v>100</v>
      </c>
      <c r="DH249" s="2" t="n">
        <v>100</v>
      </c>
      <c r="DI249" s="2" t="n">
        <v>97</v>
      </c>
      <c r="DJ249" s="2" t="n">
        <v>100</v>
      </c>
      <c r="DK249" s="2" t="n">
        <v>100</v>
      </c>
      <c r="DL249" s="2" t="n">
        <v>97</v>
      </c>
      <c r="DM249" s="2" t="n">
        <v>100</v>
      </c>
      <c r="DN249" s="2" t="n">
        <v>100</v>
      </c>
      <c r="DO249" s="2" t="n">
        <v>97</v>
      </c>
      <c r="DP249" s="2" t="n">
        <v>100</v>
      </c>
      <c r="DQ249" s="2" t="n">
        <v>100</v>
      </c>
      <c r="DR249" s="2" t="n">
        <v>97</v>
      </c>
      <c r="DS249" s="2" t="n">
        <v>100</v>
      </c>
      <c r="DT249" s="2" t="n">
        <v>100</v>
      </c>
      <c r="DU249" s="2" t="n">
        <v>97</v>
      </c>
      <c r="DV249" s="2" t="n">
        <v>100</v>
      </c>
      <c r="DW249" s="2" t="n">
        <v>100</v>
      </c>
      <c r="DX249" s="2" t="n">
        <v>97</v>
      </c>
      <c r="DY249" s="2" t="n">
        <v>100</v>
      </c>
      <c r="DZ249" s="2" t="n">
        <v>100</v>
      </c>
      <c r="EA249" s="2" t="n">
        <v>97</v>
      </c>
      <c r="EB249" s="2" t="n">
        <v>100</v>
      </c>
      <c r="EC249" s="2" t="n">
        <v>100</v>
      </c>
      <c r="ED249" s="2" t="n">
        <v>97</v>
      </c>
      <c r="EE249" s="2" t="n">
        <v>100</v>
      </c>
      <c r="EF249" s="2" t="n">
        <v>100</v>
      </c>
      <c r="EG249" s="2" t="n">
        <v>97</v>
      </c>
      <c r="EH249" s="2" t="n">
        <v>100</v>
      </c>
      <c r="EI249" s="2" t="n">
        <v>100</v>
      </c>
      <c r="EJ249" s="2" t="n">
        <v>97</v>
      </c>
      <c r="EK249" s="2" t="n">
        <v>100</v>
      </c>
      <c r="EL249" s="2" t="n">
        <v>100</v>
      </c>
      <c r="EM249" s="2" t="n">
        <v>97</v>
      </c>
      <c r="EN249" s="2" t="n">
        <v>100</v>
      </c>
      <c r="EO249" s="2" t="n">
        <v>100</v>
      </c>
      <c r="EP249" s="2" t="n">
        <v>97</v>
      </c>
      <c r="EQ249" s="2" t="n">
        <v>100</v>
      </c>
      <c r="ER249" s="2" t="n">
        <v>100</v>
      </c>
      <c r="ES249" s="2" t="n">
        <v>97</v>
      </c>
    </row>
    <row r="250">
      <c r="A250" s="2" t="n">
        <v>3</v>
      </c>
      <c r="B250" s="2" t="inlineStr">
        <is>
          <t>13.01.03</t>
        </is>
      </c>
      <c r="C250" s="2" t="inlineStr">
        <is>
          <t>Estaca Hélice - Perfuração com Ø 0,60m</t>
        </is>
      </c>
      <c r="D250" s="2" t="inlineStr">
        <is>
          <t>21/07/2025</t>
        </is>
      </c>
      <c r="E250" s="2" t="inlineStr">
        <is>
          <t>14/08/2025</t>
        </is>
      </c>
      <c r="F250" s="2" t="n">
        <v>87216</v>
      </c>
      <c r="G250" s="2" t="n">
        <v>0</v>
      </c>
      <c r="H250" s="2" t="n">
        <v>87216</v>
      </c>
      <c r="I250" s="2" t="n">
        <v>0</v>
      </c>
      <c r="J250" s="2" t="n">
        <v>0</v>
      </c>
      <c r="K250" s="2" t="n">
        <v>0</v>
      </c>
      <c r="L250" s="2" t="n">
        <v>47.37</v>
      </c>
      <c r="M250" s="2" t="n">
        <v>47.37</v>
      </c>
      <c r="N250" s="2" t="n">
        <v>0</v>
      </c>
      <c r="O250" s="2" t="n">
        <v>100</v>
      </c>
      <c r="P250" s="2" t="n">
        <v>100</v>
      </c>
      <c r="Q250" s="2" t="n">
        <v>0</v>
      </c>
      <c r="R250" s="2" t="n">
        <v>100</v>
      </c>
      <c r="S250" s="2" t="n">
        <v>100</v>
      </c>
      <c r="T250" s="2" t="n">
        <v>71</v>
      </c>
      <c r="U250" s="2" t="n">
        <v>100</v>
      </c>
      <c r="V250" s="2" t="n">
        <v>100</v>
      </c>
      <c r="W250" s="2" t="n">
        <v>71</v>
      </c>
      <c r="X250" s="2" t="n">
        <v>100</v>
      </c>
      <c r="Y250" s="2" t="n">
        <v>100</v>
      </c>
      <c r="Z250" s="2" t="n">
        <v>71</v>
      </c>
      <c r="AA250" s="2" t="n">
        <v>100</v>
      </c>
      <c r="AB250" s="2" t="n">
        <v>100</v>
      </c>
      <c r="AC250" s="2" t="n">
        <v>71</v>
      </c>
      <c r="AD250" s="2" t="n">
        <v>100</v>
      </c>
      <c r="AE250" s="2" t="n">
        <v>100</v>
      </c>
      <c r="AF250" s="2" t="n">
        <v>71</v>
      </c>
      <c r="AG250" s="2" t="n">
        <v>100</v>
      </c>
      <c r="AH250" s="2" t="n">
        <v>100</v>
      </c>
      <c r="AI250" s="2" t="n">
        <v>71</v>
      </c>
      <c r="AJ250" s="2" t="n">
        <v>100</v>
      </c>
      <c r="AK250" s="2" t="n">
        <v>100</v>
      </c>
      <c r="AL250" s="2" t="n">
        <v>71</v>
      </c>
      <c r="AM250" s="2" t="n">
        <v>100</v>
      </c>
      <c r="AN250" s="2" t="n">
        <v>100</v>
      </c>
      <c r="AO250" s="2" t="n">
        <v>71</v>
      </c>
      <c r="AP250" s="2" t="n">
        <v>100</v>
      </c>
      <c r="AQ250" s="2" t="n">
        <v>100</v>
      </c>
      <c r="AR250" s="2" t="n">
        <v>92.41</v>
      </c>
      <c r="AS250" s="2" t="n">
        <v>100</v>
      </c>
      <c r="AT250" s="2" t="n">
        <v>100</v>
      </c>
      <c r="AU250" s="2" t="n">
        <v>97.29000000000001</v>
      </c>
      <c r="AV250" s="2" t="n">
        <v>100</v>
      </c>
      <c r="AW250" s="2" t="n">
        <v>100</v>
      </c>
      <c r="AX250" s="2" t="n">
        <v>97</v>
      </c>
      <c r="AY250" s="2" t="n">
        <v>100</v>
      </c>
      <c r="AZ250" s="2" t="n">
        <v>100</v>
      </c>
      <c r="BA250" s="2" t="n">
        <v>97</v>
      </c>
      <c r="BB250" s="2" t="n">
        <v>100</v>
      </c>
      <c r="BC250" s="2" t="n">
        <v>100</v>
      </c>
      <c r="BD250" s="2" t="n">
        <v>97</v>
      </c>
      <c r="BE250" s="2" t="n">
        <v>100</v>
      </c>
      <c r="BF250" s="2" t="n">
        <v>100</v>
      </c>
      <c r="BG250" s="2" t="n">
        <v>97</v>
      </c>
      <c r="BH250" s="2" t="n">
        <v>100</v>
      </c>
      <c r="BI250" s="2" t="n">
        <v>100</v>
      </c>
      <c r="BJ250" s="2" t="n">
        <v>97</v>
      </c>
      <c r="BK250" s="2" t="n">
        <v>100</v>
      </c>
      <c r="BL250" s="2" t="n">
        <v>100</v>
      </c>
      <c r="BM250" s="2" t="n">
        <v>97</v>
      </c>
      <c r="BN250" s="2" t="n">
        <v>100</v>
      </c>
      <c r="BO250" s="2" t="n">
        <v>100</v>
      </c>
      <c r="BP250" s="2" t="n">
        <v>97</v>
      </c>
      <c r="BQ250" s="2" t="n">
        <v>100</v>
      </c>
      <c r="BR250" s="2" t="n">
        <v>100</v>
      </c>
      <c r="BS250" s="2" t="n">
        <v>97</v>
      </c>
      <c r="BT250" s="2" t="n">
        <v>100</v>
      </c>
      <c r="BU250" s="2" t="n">
        <v>100</v>
      </c>
      <c r="BV250" s="2" t="n">
        <v>97</v>
      </c>
      <c r="BW250" s="2" t="n">
        <v>100</v>
      </c>
      <c r="BX250" s="2" t="n">
        <v>100</v>
      </c>
      <c r="BY250" s="2" t="n">
        <v>97</v>
      </c>
      <c r="BZ250" s="2" t="n">
        <v>100</v>
      </c>
      <c r="CA250" s="2" t="n">
        <v>100</v>
      </c>
      <c r="CB250" s="2" t="n">
        <v>97</v>
      </c>
      <c r="CC250" s="2" t="n">
        <v>100</v>
      </c>
      <c r="CD250" s="2" t="n">
        <v>100</v>
      </c>
      <c r="CE250" s="2" t="n">
        <v>97</v>
      </c>
      <c r="CF250" s="2" t="n">
        <v>100</v>
      </c>
      <c r="CG250" s="2" t="n">
        <v>100</v>
      </c>
      <c r="CH250" s="2" t="n">
        <v>97</v>
      </c>
      <c r="CI250" s="2" t="n">
        <v>100</v>
      </c>
      <c r="CJ250" s="2" t="n">
        <v>100</v>
      </c>
      <c r="CK250" s="2" t="n">
        <v>97</v>
      </c>
      <c r="CL250" s="2" t="n">
        <v>100</v>
      </c>
      <c r="CM250" s="2" t="n">
        <v>100</v>
      </c>
      <c r="CN250" s="2" t="n">
        <v>97</v>
      </c>
      <c r="CO250" s="2" t="n">
        <v>100</v>
      </c>
      <c r="CP250" s="2" t="n">
        <v>100</v>
      </c>
      <c r="CQ250" s="2" t="n">
        <v>97</v>
      </c>
      <c r="CR250" s="2" t="n">
        <v>100</v>
      </c>
      <c r="CS250" s="2" t="n">
        <v>100</v>
      </c>
      <c r="CT250" s="2" t="n">
        <v>97</v>
      </c>
      <c r="CU250" s="2" t="n">
        <v>100</v>
      </c>
      <c r="CV250" s="2" t="n">
        <v>100</v>
      </c>
      <c r="CW250" s="2" t="n">
        <v>97</v>
      </c>
      <c r="CX250" s="2" t="n">
        <v>100</v>
      </c>
      <c r="CY250" s="2" t="n">
        <v>100</v>
      </c>
      <c r="CZ250" s="2" t="n">
        <v>97</v>
      </c>
      <c r="DA250" s="2" t="n">
        <v>100</v>
      </c>
      <c r="DB250" s="2" t="n">
        <v>100</v>
      </c>
      <c r="DC250" s="2" t="n">
        <v>97</v>
      </c>
      <c r="DD250" s="2" t="n">
        <v>100</v>
      </c>
      <c r="DE250" s="2" t="n">
        <v>100</v>
      </c>
      <c r="DF250" s="2" t="n">
        <v>97</v>
      </c>
      <c r="DG250" s="2" t="n">
        <v>100</v>
      </c>
      <c r="DH250" s="2" t="n">
        <v>100</v>
      </c>
      <c r="DI250" s="2" t="n">
        <v>97</v>
      </c>
      <c r="DJ250" s="2" t="n">
        <v>100</v>
      </c>
      <c r="DK250" s="2" t="n">
        <v>100</v>
      </c>
      <c r="DL250" s="2" t="n">
        <v>97</v>
      </c>
      <c r="DM250" s="2" t="n">
        <v>100</v>
      </c>
      <c r="DN250" s="2" t="n">
        <v>100</v>
      </c>
      <c r="DO250" s="2" t="n">
        <v>97</v>
      </c>
      <c r="DP250" s="2" t="n">
        <v>100</v>
      </c>
      <c r="DQ250" s="2" t="n">
        <v>100</v>
      </c>
      <c r="DR250" s="2" t="n">
        <v>97</v>
      </c>
      <c r="DS250" s="2" t="n">
        <v>100</v>
      </c>
      <c r="DT250" s="2" t="n">
        <v>100</v>
      </c>
      <c r="DU250" s="2" t="n">
        <v>97</v>
      </c>
      <c r="DV250" s="2" t="n">
        <v>100</v>
      </c>
      <c r="DW250" s="2" t="n">
        <v>100</v>
      </c>
      <c r="DX250" s="2" t="n">
        <v>97</v>
      </c>
      <c r="DY250" s="2" t="n">
        <v>100</v>
      </c>
      <c r="DZ250" s="2" t="n">
        <v>100</v>
      </c>
      <c r="EA250" s="2" t="n">
        <v>97</v>
      </c>
      <c r="EB250" s="2" t="n">
        <v>100</v>
      </c>
      <c r="EC250" s="2" t="n">
        <v>100</v>
      </c>
      <c r="ED250" s="2" t="n">
        <v>97</v>
      </c>
      <c r="EE250" s="2" t="n">
        <v>100</v>
      </c>
      <c r="EF250" s="2" t="n">
        <v>100</v>
      </c>
      <c r="EG250" s="2" t="n">
        <v>97</v>
      </c>
      <c r="EH250" s="2" t="n">
        <v>100</v>
      </c>
      <c r="EI250" s="2" t="n">
        <v>100</v>
      </c>
      <c r="EJ250" s="2" t="n">
        <v>97</v>
      </c>
      <c r="EK250" s="2" t="n">
        <v>100</v>
      </c>
      <c r="EL250" s="2" t="n">
        <v>100</v>
      </c>
      <c r="EM250" s="2" t="n">
        <v>97</v>
      </c>
      <c r="EN250" s="2" t="n">
        <v>100</v>
      </c>
      <c r="EO250" s="2" t="n">
        <v>100</v>
      </c>
      <c r="EP250" s="2" t="n">
        <v>97</v>
      </c>
      <c r="EQ250" s="2" t="n">
        <v>100</v>
      </c>
      <c r="ER250" s="2" t="n">
        <v>100</v>
      </c>
      <c r="ES250" s="2" t="n">
        <v>97</v>
      </c>
    </row>
    <row r="251">
      <c r="A251" s="2" t="n">
        <v>3</v>
      </c>
      <c r="B251" s="2" t="inlineStr">
        <is>
          <t>13.01.04</t>
        </is>
      </c>
      <c r="C251" s="2" t="inlineStr">
        <is>
          <t>Concreto bombeável fluido especial para estaca hélice</t>
        </is>
      </c>
      <c r="D251" s="2" t="inlineStr">
        <is>
          <t>21/07/2025</t>
        </is>
      </c>
      <c r="E251" s="2" t="inlineStr">
        <is>
          <t>14/08/2025</t>
        </is>
      </c>
      <c r="F251" s="2" t="n">
        <v>300153.49</v>
      </c>
      <c r="G251" s="2" t="n">
        <v>0</v>
      </c>
      <c r="H251" s="2" t="n">
        <v>300153.49</v>
      </c>
      <c r="I251" s="2" t="n">
        <v>0</v>
      </c>
      <c r="J251" s="2" t="n">
        <v>0</v>
      </c>
      <c r="K251" s="2" t="n">
        <v>0</v>
      </c>
      <c r="L251" s="2" t="n">
        <v>47.37</v>
      </c>
      <c r="M251" s="2" t="n">
        <v>47.37</v>
      </c>
      <c r="N251" s="2" t="n">
        <v>0</v>
      </c>
      <c r="O251" s="2" t="n">
        <v>100</v>
      </c>
      <c r="P251" s="2" t="n">
        <v>100</v>
      </c>
      <c r="Q251" s="2" t="n">
        <v>0</v>
      </c>
      <c r="R251" s="2" t="n">
        <v>100</v>
      </c>
      <c r="S251" s="2" t="n">
        <v>100</v>
      </c>
      <c r="T251" s="2" t="n">
        <v>71</v>
      </c>
      <c r="U251" s="2" t="n">
        <v>100</v>
      </c>
      <c r="V251" s="2" t="n">
        <v>100</v>
      </c>
      <c r="W251" s="2" t="n">
        <v>71</v>
      </c>
      <c r="X251" s="2" t="n">
        <v>100</v>
      </c>
      <c r="Y251" s="2" t="n">
        <v>100</v>
      </c>
      <c r="Z251" s="2" t="n">
        <v>71</v>
      </c>
      <c r="AA251" s="2" t="n">
        <v>100</v>
      </c>
      <c r="AB251" s="2" t="n">
        <v>100</v>
      </c>
      <c r="AC251" s="2" t="n">
        <v>71</v>
      </c>
      <c r="AD251" s="2" t="n">
        <v>100</v>
      </c>
      <c r="AE251" s="2" t="n">
        <v>100</v>
      </c>
      <c r="AF251" s="2" t="n">
        <v>71</v>
      </c>
      <c r="AG251" s="2" t="n">
        <v>100</v>
      </c>
      <c r="AH251" s="2" t="n">
        <v>100</v>
      </c>
      <c r="AI251" s="2" t="n">
        <v>71</v>
      </c>
      <c r="AJ251" s="2" t="n">
        <v>100</v>
      </c>
      <c r="AK251" s="2" t="n">
        <v>100</v>
      </c>
      <c r="AL251" s="2" t="n">
        <v>71</v>
      </c>
      <c r="AM251" s="2" t="n">
        <v>100</v>
      </c>
      <c r="AN251" s="2" t="n">
        <v>100</v>
      </c>
      <c r="AO251" s="2" t="n">
        <v>71</v>
      </c>
      <c r="AP251" s="2" t="n">
        <v>100</v>
      </c>
      <c r="AQ251" s="2" t="n">
        <v>100</v>
      </c>
      <c r="AR251" s="2" t="n">
        <v>92.41</v>
      </c>
      <c r="AS251" s="2" t="n">
        <v>100</v>
      </c>
      <c r="AT251" s="2" t="n">
        <v>100</v>
      </c>
      <c r="AU251" s="2" t="n">
        <v>97.29000000000001</v>
      </c>
      <c r="AV251" s="2" t="n">
        <v>100</v>
      </c>
      <c r="AW251" s="2" t="n">
        <v>100</v>
      </c>
      <c r="AX251" s="2" t="n">
        <v>97</v>
      </c>
      <c r="AY251" s="2" t="n">
        <v>100</v>
      </c>
      <c r="AZ251" s="2" t="n">
        <v>100</v>
      </c>
      <c r="BA251" s="2" t="n">
        <v>97</v>
      </c>
      <c r="BB251" s="2" t="n">
        <v>100</v>
      </c>
      <c r="BC251" s="2" t="n">
        <v>100</v>
      </c>
      <c r="BD251" s="2" t="n">
        <v>97</v>
      </c>
      <c r="BE251" s="2" t="n">
        <v>100</v>
      </c>
      <c r="BF251" s="2" t="n">
        <v>100</v>
      </c>
      <c r="BG251" s="2" t="n">
        <v>97</v>
      </c>
      <c r="BH251" s="2" t="n">
        <v>100</v>
      </c>
      <c r="BI251" s="2" t="n">
        <v>100</v>
      </c>
      <c r="BJ251" s="2" t="n">
        <v>97</v>
      </c>
      <c r="BK251" s="2" t="n">
        <v>100</v>
      </c>
      <c r="BL251" s="2" t="n">
        <v>100</v>
      </c>
      <c r="BM251" s="2" t="n">
        <v>97</v>
      </c>
      <c r="BN251" s="2" t="n">
        <v>100</v>
      </c>
      <c r="BO251" s="2" t="n">
        <v>100</v>
      </c>
      <c r="BP251" s="2" t="n">
        <v>97</v>
      </c>
      <c r="BQ251" s="2" t="n">
        <v>100</v>
      </c>
      <c r="BR251" s="2" t="n">
        <v>100</v>
      </c>
      <c r="BS251" s="2" t="n">
        <v>97</v>
      </c>
      <c r="BT251" s="2" t="n">
        <v>100</v>
      </c>
      <c r="BU251" s="2" t="n">
        <v>100</v>
      </c>
      <c r="BV251" s="2" t="n">
        <v>97</v>
      </c>
      <c r="BW251" s="2" t="n">
        <v>100</v>
      </c>
      <c r="BX251" s="2" t="n">
        <v>100</v>
      </c>
      <c r="BY251" s="2" t="n">
        <v>97</v>
      </c>
      <c r="BZ251" s="2" t="n">
        <v>100</v>
      </c>
      <c r="CA251" s="2" t="n">
        <v>100</v>
      </c>
      <c r="CB251" s="2" t="n">
        <v>97</v>
      </c>
      <c r="CC251" s="2" t="n">
        <v>100</v>
      </c>
      <c r="CD251" s="2" t="n">
        <v>100</v>
      </c>
      <c r="CE251" s="2" t="n">
        <v>97</v>
      </c>
      <c r="CF251" s="2" t="n">
        <v>100</v>
      </c>
      <c r="CG251" s="2" t="n">
        <v>100</v>
      </c>
      <c r="CH251" s="2" t="n">
        <v>97</v>
      </c>
      <c r="CI251" s="2" t="n">
        <v>100</v>
      </c>
      <c r="CJ251" s="2" t="n">
        <v>100</v>
      </c>
      <c r="CK251" s="2" t="n">
        <v>97</v>
      </c>
      <c r="CL251" s="2" t="n">
        <v>100</v>
      </c>
      <c r="CM251" s="2" t="n">
        <v>100</v>
      </c>
      <c r="CN251" s="2" t="n">
        <v>97</v>
      </c>
      <c r="CO251" s="2" t="n">
        <v>100</v>
      </c>
      <c r="CP251" s="2" t="n">
        <v>100</v>
      </c>
      <c r="CQ251" s="2" t="n">
        <v>97</v>
      </c>
      <c r="CR251" s="2" t="n">
        <v>100</v>
      </c>
      <c r="CS251" s="2" t="n">
        <v>100</v>
      </c>
      <c r="CT251" s="2" t="n">
        <v>97</v>
      </c>
      <c r="CU251" s="2" t="n">
        <v>100</v>
      </c>
      <c r="CV251" s="2" t="n">
        <v>100</v>
      </c>
      <c r="CW251" s="2" t="n">
        <v>97</v>
      </c>
      <c r="CX251" s="2" t="n">
        <v>100</v>
      </c>
      <c r="CY251" s="2" t="n">
        <v>100</v>
      </c>
      <c r="CZ251" s="2" t="n">
        <v>97</v>
      </c>
      <c r="DA251" s="2" t="n">
        <v>100</v>
      </c>
      <c r="DB251" s="2" t="n">
        <v>100</v>
      </c>
      <c r="DC251" s="2" t="n">
        <v>97</v>
      </c>
      <c r="DD251" s="2" t="n">
        <v>100</v>
      </c>
      <c r="DE251" s="2" t="n">
        <v>100</v>
      </c>
      <c r="DF251" s="2" t="n">
        <v>97</v>
      </c>
      <c r="DG251" s="2" t="n">
        <v>100</v>
      </c>
      <c r="DH251" s="2" t="n">
        <v>100</v>
      </c>
      <c r="DI251" s="2" t="n">
        <v>97</v>
      </c>
      <c r="DJ251" s="2" t="n">
        <v>100</v>
      </c>
      <c r="DK251" s="2" t="n">
        <v>100</v>
      </c>
      <c r="DL251" s="2" t="n">
        <v>97</v>
      </c>
      <c r="DM251" s="2" t="n">
        <v>100</v>
      </c>
      <c r="DN251" s="2" t="n">
        <v>100</v>
      </c>
      <c r="DO251" s="2" t="n">
        <v>97</v>
      </c>
      <c r="DP251" s="2" t="n">
        <v>100</v>
      </c>
      <c r="DQ251" s="2" t="n">
        <v>100</v>
      </c>
      <c r="DR251" s="2" t="n">
        <v>97</v>
      </c>
      <c r="DS251" s="2" t="n">
        <v>100</v>
      </c>
      <c r="DT251" s="2" t="n">
        <v>100</v>
      </c>
      <c r="DU251" s="2" t="n">
        <v>97</v>
      </c>
      <c r="DV251" s="2" t="n">
        <v>100</v>
      </c>
      <c r="DW251" s="2" t="n">
        <v>100</v>
      </c>
      <c r="DX251" s="2" t="n">
        <v>97</v>
      </c>
      <c r="DY251" s="2" t="n">
        <v>100</v>
      </c>
      <c r="DZ251" s="2" t="n">
        <v>100</v>
      </c>
      <c r="EA251" s="2" t="n">
        <v>97</v>
      </c>
      <c r="EB251" s="2" t="n">
        <v>100</v>
      </c>
      <c r="EC251" s="2" t="n">
        <v>100</v>
      </c>
      <c r="ED251" s="2" t="n">
        <v>97</v>
      </c>
      <c r="EE251" s="2" t="n">
        <v>100</v>
      </c>
      <c r="EF251" s="2" t="n">
        <v>100</v>
      </c>
      <c r="EG251" s="2" t="n">
        <v>97</v>
      </c>
      <c r="EH251" s="2" t="n">
        <v>100</v>
      </c>
      <c r="EI251" s="2" t="n">
        <v>100</v>
      </c>
      <c r="EJ251" s="2" t="n">
        <v>97</v>
      </c>
      <c r="EK251" s="2" t="n">
        <v>100</v>
      </c>
      <c r="EL251" s="2" t="n">
        <v>100</v>
      </c>
      <c r="EM251" s="2" t="n">
        <v>97</v>
      </c>
      <c r="EN251" s="2" t="n">
        <v>100</v>
      </c>
      <c r="EO251" s="2" t="n">
        <v>100</v>
      </c>
      <c r="EP251" s="2" t="n">
        <v>97</v>
      </c>
      <c r="EQ251" s="2" t="n">
        <v>100</v>
      </c>
      <c r="ER251" s="2" t="n">
        <v>100</v>
      </c>
      <c r="ES251" s="2" t="n">
        <v>97</v>
      </c>
    </row>
    <row r="252">
      <c r="A252" s="2" t="n">
        <v>3</v>
      </c>
      <c r="B252" s="2" t="inlineStr">
        <is>
          <t>13.01.05</t>
        </is>
      </c>
      <c r="C252" s="2" t="inlineStr">
        <is>
          <t>Locação de bomba de concreto estacionária para concretagens de estaca</t>
        </is>
      </c>
      <c r="D252" s="2" t="inlineStr">
        <is>
          <t>21/07/2025</t>
        </is>
      </c>
      <c r="E252" s="2" t="inlineStr">
        <is>
          <t>14/08/2025</t>
        </is>
      </c>
      <c r="F252" s="2" t="n">
        <v>54000</v>
      </c>
      <c r="G252" s="2" t="n">
        <v>0</v>
      </c>
      <c r="H252" s="2" t="n">
        <v>54000</v>
      </c>
      <c r="I252" s="2" t="n">
        <v>0</v>
      </c>
      <c r="J252" s="2" t="n">
        <v>0</v>
      </c>
      <c r="K252" s="2" t="n">
        <v>0</v>
      </c>
      <c r="L252" s="2" t="n">
        <v>47.37</v>
      </c>
      <c r="M252" s="2" t="n">
        <v>47.37</v>
      </c>
      <c r="N252" s="2" t="n">
        <v>0</v>
      </c>
      <c r="O252" s="2" t="n">
        <v>100</v>
      </c>
      <c r="P252" s="2" t="n">
        <v>100</v>
      </c>
      <c r="Q252" s="2" t="n">
        <v>0</v>
      </c>
      <c r="R252" s="2" t="n">
        <v>100</v>
      </c>
      <c r="S252" s="2" t="n">
        <v>100</v>
      </c>
      <c r="T252" s="2" t="n">
        <v>71</v>
      </c>
      <c r="U252" s="2" t="n">
        <v>100</v>
      </c>
      <c r="V252" s="2" t="n">
        <v>100</v>
      </c>
      <c r="W252" s="2" t="n">
        <v>71</v>
      </c>
      <c r="X252" s="2" t="n">
        <v>100</v>
      </c>
      <c r="Y252" s="2" t="n">
        <v>100</v>
      </c>
      <c r="Z252" s="2" t="n">
        <v>71</v>
      </c>
      <c r="AA252" s="2" t="n">
        <v>100</v>
      </c>
      <c r="AB252" s="2" t="n">
        <v>100</v>
      </c>
      <c r="AC252" s="2" t="n">
        <v>71</v>
      </c>
      <c r="AD252" s="2" t="n">
        <v>100</v>
      </c>
      <c r="AE252" s="2" t="n">
        <v>100</v>
      </c>
      <c r="AF252" s="2" t="n">
        <v>71</v>
      </c>
      <c r="AG252" s="2" t="n">
        <v>100</v>
      </c>
      <c r="AH252" s="2" t="n">
        <v>100</v>
      </c>
      <c r="AI252" s="2" t="n">
        <v>71</v>
      </c>
      <c r="AJ252" s="2" t="n">
        <v>100</v>
      </c>
      <c r="AK252" s="2" t="n">
        <v>100</v>
      </c>
      <c r="AL252" s="2" t="n">
        <v>71</v>
      </c>
      <c r="AM252" s="2" t="n">
        <v>100</v>
      </c>
      <c r="AN252" s="2" t="n">
        <v>100</v>
      </c>
      <c r="AO252" s="2" t="n">
        <v>71</v>
      </c>
      <c r="AP252" s="2" t="n">
        <v>100</v>
      </c>
      <c r="AQ252" s="2" t="n">
        <v>100</v>
      </c>
      <c r="AR252" s="2" t="n">
        <v>92.41</v>
      </c>
      <c r="AS252" s="2" t="n">
        <v>100</v>
      </c>
      <c r="AT252" s="2" t="n">
        <v>100</v>
      </c>
      <c r="AU252" s="2" t="n">
        <v>97.29000000000001</v>
      </c>
      <c r="AV252" s="2" t="n">
        <v>100</v>
      </c>
      <c r="AW252" s="2" t="n">
        <v>100</v>
      </c>
      <c r="AX252" s="2" t="n">
        <v>97</v>
      </c>
      <c r="AY252" s="2" t="n">
        <v>100</v>
      </c>
      <c r="AZ252" s="2" t="n">
        <v>100</v>
      </c>
      <c r="BA252" s="2" t="n">
        <v>97</v>
      </c>
      <c r="BB252" s="2" t="n">
        <v>100</v>
      </c>
      <c r="BC252" s="2" t="n">
        <v>100</v>
      </c>
      <c r="BD252" s="2" t="n">
        <v>97</v>
      </c>
      <c r="BE252" s="2" t="n">
        <v>100</v>
      </c>
      <c r="BF252" s="2" t="n">
        <v>100</v>
      </c>
      <c r="BG252" s="2" t="n">
        <v>97</v>
      </c>
      <c r="BH252" s="2" t="n">
        <v>100</v>
      </c>
      <c r="BI252" s="2" t="n">
        <v>100</v>
      </c>
      <c r="BJ252" s="2" t="n">
        <v>97</v>
      </c>
      <c r="BK252" s="2" t="n">
        <v>100</v>
      </c>
      <c r="BL252" s="2" t="n">
        <v>100</v>
      </c>
      <c r="BM252" s="2" t="n">
        <v>97</v>
      </c>
      <c r="BN252" s="2" t="n">
        <v>100</v>
      </c>
      <c r="BO252" s="2" t="n">
        <v>100</v>
      </c>
      <c r="BP252" s="2" t="n">
        <v>97</v>
      </c>
      <c r="BQ252" s="2" t="n">
        <v>100</v>
      </c>
      <c r="BR252" s="2" t="n">
        <v>100</v>
      </c>
      <c r="BS252" s="2" t="n">
        <v>97</v>
      </c>
      <c r="BT252" s="2" t="n">
        <v>100</v>
      </c>
      <c r="BU252" s="2" t="n">
        <v>100</v>
      </c>
      <c r="BV252" s="2" t="n">
        <v>97</v>
      </c>
      <c r="BW252" s="2" t="n">
        <v>100</v>
      </c>
      <c r="BX252" s="2" t="n">
        <v>100</v>
      </c>
      <c r="BY252" s="2" t="n">
        <v>97</v>
      </c>
      <c r="BZ252" s="2" t="n">
        <v>100</v>
      </c>
      <c r="CA252" s="2" t="n">
        <v>100</v>
      </c>
      <c r="CB252" s="2" t="n">
        <v>97</v>
      </c>
      <c r="CC252" s="2" t="n">
        <v>100</v>
      </c>
      <c r="CD252" s="2" t="n">
        <v>100</v>
      </c>
      <c r="CE252" s="2" t="n">
        <v>97</v>
      </c>
      <c r="CF252" s="2" t="n">
        <v>100</v>
      </c>
      <c r="CG252" s="2" t="n">
        <v>100</v>
      </c>
      <c r="CH252" s="2" t="n">
        <v>97</v>
      </c>
      <c r="CI252" s="2" t="n">
        <v>100</v>
      </c>
      <c r="CJ252" s="2" t="n">
        <v>100</v>
      </c>
      <c r="CK252" s="2" t="n">
        <v>97</v>
      </c>
      <c r="CL252" s="2" t="n">
        <v>100</v>
      </c>
      <c r="CM252" s="2" t="n">
        <v>100</v>
      </c>
      <c r="CN252" s="2" t="n">
        <v>97</v>
      </c>
      <c r="CO252" s="2" t="n">
        <v>100</v>
      </c>
      <c r="CP252" s="2" t="n">
        <v>100</v>
      </c>
      <c r="CQ252" s="2" t="n">
        <v>97</v>
      </c>
      <c r="CR252" s="2" t="n">
        <v>100</v>
      </c>
      <c r="CS252" s="2" t="n">
        <v>100</v>
      </c>
      <c r="CT252" s="2" t="n">
        <v>97</v>
      </c>
      <c r="CU252" s="2" t="n">
        <v>100</v>
      </c>
      <c r="CV252" s="2" t="n">
        <v>100</v>
      </c>
      <c r="CW252" s="2" t="n">
        <v>97</v>
      </c>
      <c r="CX252" s="2" t="n">
        <v>100</v>
      </c>
      <c r="CY252" s="2" t="n">
        <v>100</v>
      </c>
      <c r="CZ252" s="2" t="n">
        <v>97</v>
      </c>
      <c r="DA252" s="2" t="n">
        <v>100</v>
      </c>
      <c r="DB252" s="2" t="n">
        <v>100</v>
      </c>
      <c r="DC252" s="2" t="n">
        <v>97</v>
      </c>
      <c r="DD252" s="2" t="n">
        <v>100</v>
      </c>
      <c r="DE252" s="2" t="n">
        <v>100</v>
      </c>
      <c r="DF252" s="2" t="n">
        <v>97</v>
      </c>
      <c r="DG252" s="2" t="n">
        <v>100</v>
      </c>
      <c r="DH252" s="2" t="n">
        <v>100</v>
      </c>
      <c r="DI252" s="2" t="n">
        <v>97</v>
      </c>
      <c r="DJ252" s="2" t="n">
        <v>100</v>
      </c>
      <c r="DK252" s="2" t="n">
        <v>100</v>
      </c>
      <c r="DL252" s="2" t="n">
        <v>97</v>
      </c>
      <c r="DM252" s="2" t="n">
        <v>100</v>
      </c>
      <c r="DN252" s="2" t="n">
        <v>100</v>
      </c>
      <c r="DO252" s="2" t="n">
        <v>97</v>
      </c>
      <c r="DP252" s="2" t="n">
        <v>100</v>
      </c>
      <c r="DQ252" s="2" t="n">
        <v>100</v>
      </c>
      <c r="DR252" s="2" t="n">
        <v>97</v>
      </c>
      <c r="DS252" s="2" t="n">
        <v>100</v>
      </c>
      <c r="DT252" s="2" t="n">
        <v>100</v>
      </c>
      <c r="DU252" s="2" t="n">
        <v>97</v>
      </c>
      <c r="DV252" s="2" t="n">
        <v>100</v>
      </c>
      <c r="DW252" s="2" t="n">
        <v>100</v>
      </c>
      <c r="DX252" s="2" t="n">
        <v>97</v>
      </c>
      <c r="DY252" s="2" t="n">
        <v>100</v>
      </c>
      <c r="DZ252" s="2" t="n">
        <v>100</v>
      </c>
      <c r="EA252" s="2" t="n">
        <v>97</v>
      </c>
      <c r="EB252" s="2" t="n">
        <v>100</v>
      </c>
      <c r="EC252" s="2" t="n">
        <v>100</v>
      </c>
      <c r="ED252" s="2" t="n">
        <v>97</v>
      </c>
      <c r="EE252" s="2" t="n">
        <v>100</v>
      </c>
      <c r="EF252" s="2" t="n">
        <v>100</v>
      </c>
      <c r="EG252" s="2" t="n">
        <v>97</v>
      </c>
      <c r="EH252" s="2" t="n">
        <v>100</v>
      </c>
      <c r="EI252" s="2" t="n">
        <v>100</v>
      </c>
      <c r="EJ252" s="2" t="n">
        <v>97</v>
      </c>
      <c r="EK252" s="2" t="n">
        <v>100</v>
      </c>
      <c r="EL252" s="2" t="n">
        <v>100</v>
      </c>
      <c r="EM252" s="2" t="n">
        <v>97</v>
      </c>
      <c r="EN252" s="2" t="n">
        <v>100</v>
      </c>
      <c r="EO252" s="2" t="n">
        <v>100</v>
      </c>
      <c r="EP252" s="2" t="n">
        <v>97</v>
      </c>
      <c r="EQ252" s="2" t="n">
        <v>100</v>
      </c>
      <c r="ER252" s="2" t="n">
        <v>100</v>
      </c>
      <c r="ES252" s="2" t="n">
        <v>97</v>
      </c>
    </row>
    <row r="253">
      <c r="A253" s="2" t="n">
        <v>3</v>
      </c>
      <c r="B253" s="2" t="inlineStr">
        <is>
          <t>13.01.06</t>
        </is>
      </c>
      <c r="C253" s="2" t="inlineStr">
        <is>
          <t>Bucha de argamassa de cimento e areia para limpeza e lubrificação de bomba</t>
        </is>
      </c>
      <c r="D253" s="2" t="inlineStr">
        <is>
          <t>21/07/2025</t>
        </is>
      </c>
      <c r="E253" s="2" t="inlineStr">
        <is>
          <t>14/08/2025</t>
        </is>
      </c>
      <c r="F253" s="2" t="n">
        <v>5209.406746388207</v>
      </c>
      <c r="G253" s="2" t="n">
        <v>0</v>
      </c>
      <c r="H253" s="2" t="n">
        <v>5209.406746388207</v>
      </c>
      <c r="I253" s="2" t="n">
        <v>0</v>
      </c>
      <c r="J253" s="2" t="n">
        <v>0</v>
      </c>
      <c r="K253" s="2" t="n">
        <v>0</v>
      </c>
      <c r="L253" s="2" t="n">
        <v>47.37</v>
      </c>
      <c r="M253" s="2" t="n">
        <v>47.37</v>
      </c>
      <c r="N253" s="2" t="n">
        <v>0</v>
      </c>
      <c r="O253" s="2" t="n">
        <v>100</v>
      </c>
      <c r="P253" s="2" t="n">
        <v>100</v>
      </c>
      <c r="Q253" s="2" t="n">
        <v>0</v>
      </c>
      <c r="R253" s="2" t="n">
        <v>100</v>
      </c>
      <c r="S253" s="2" t="n">
        <v>100</v>
      </c>
      <c r="T253" s="2" t="n">
        <v>71</v>
      </c>
      <c r="U253" s="2" t="n">
        <v>100</v>
      </c>
      <c r="V253" s="2" t="n">
        <v>100</v>
      </c>
      <c r="W253" s="2" t="n">
        <v>71</v>
      </c>
      <c r="X253" s="2" t="n">
        <v>100</v>
      </c>
      <c r="Y253" s="2" t="n">
        <v>100</v>
      </c>
      <c r="Z253" s="2" t="n">
        <v>71</v>
      </c>
      <c r="AA253" s="2" t="n">
        <v>100</v>
      </c>
      <c r="AB253" s="2" t="n">
        <v>100</v>
      </c>
      <c r="AC253" s="2" t="n">
        <v>71</v>
      </c>
      <c r="AD253" s="2" t="n">
        <v>100</v>
      </c>
      <c r="AE253" s="2" t="n">
        <v>100</v>
      </c>
      <c r="AF253" s="2" t="n">
        <v>71</v>
      </c>
      <c r="AG253" s="2" t="n">
        <v>100</v>
      </c>
      <c r="AH253" s="2" t="n">
        <v>100</v>
      </c>
      <c r="AI253" s="2" t="n">
        <v>71</v>
      </c>
      <c r="AJ253" s="2" t="n">
        <v>100</v>
      </c>
      <c r="AK253" s="2" t="n">
        <v>100</v>
      </c>
      <c r="AL253" s="2" t="n">
        <v>71</v>
      </c>
      <c r="AM253" s="2" t="n">
        <v>100</v>
      </c>
      <c r="AN253" s="2" t="n">
        <v>100</v>
      </c>
      <c r="AO253" s="2" t="n">
        <v>71</v>
      </c>
      <c r="AP253" s="2" t="n">
        <v>100</v>
      </c>
      <c r="AQ253" s="2" t="n">
        <v>100</v>
      </c>
      <c r="AR253" s="2" t="n">
        <v>92.41</v>
      </c>
      <c r="AS253" s="2" t="n">
        <v>100</v>
      </c>
      <c r="AT253" s="2" t="n">
        <v>100</v>
      </c>
      <c r="AU253" s="2" t="n">
        <v>97.29000000000001</v>
      </c>
      <c r="AV253" s="2" t="n">
        <v>100</v>
      </c>
      <c r="AW253" s="2" t="n">
        <v>100</v>
      </c>
      <c r="AX253" s="2" t="n">
        <v>97</v>
      </c>
      <c r="AY253" s="2" t="n">
        <v>100</v>
      </c>
      <c r="AZ253" s="2" t="n">
        <v>100</v>
      </c>
      <c r="BA253" s="2" t="n">
        <v>97</v>
      </c>
      <c r="BB253" s="2" t="n">
        <v>100</v>
      </c>
      <c r="BC253" s="2" t="n">
        <v>100</v>
      </c>
      <c r="BD253" s="2" t="n">
        <v>97</v>
      </c>
      <c r="BE253" s="2" t="n">
        <v>100</v>
      </c>
      <c r="BF253" s="2" t="n">
        <v>100</v>
      </c>
      <c r="BG253" s="2" t="n">
        <v>97</v>
      </c>
      <c r="BH253" s="2" t="n">
        <v>100</v>
      </c>
      <c r="BI253" s="2" t="n">
        <v>100</v>
      </c>
      <c r="BJ253" s="2" t="n">
        <v>97</v>
      </c>
      <c r="BK253" s="2" t="n">
        <v>100</v>
      </c>
      <c r="BL253" s="2" t="n">
        <v>100</v>
      </c>
      <c r="BM253" s="2" t="n">
        <v>97</v>
      </c>
      <c r="BN253" s="2" t="n">
        <v>100</v>
      </c>
      <c r="BO253" s="2" t="n">
        <v>100</v>
      </c>
      <c r="BP253" s="2" t="n">
        <v>97</v>
      </c>
      <c r="BQ253" s="2" t="n">
        <v>100</v>
      </c>
      <c r="BR253" s="2" t="n">
        <v>100</v>
      </c>
      <c r="BS253" s="2" t="n">
        <v>97</v>
      </c>
      <c r="BT253" s="2" t="n">
        <v>100</v>
      </c>
      <c r="BU253" s="2" t="n">
        <v>100</v>
      </c>
      <c r="BV253" s="2" t="n">
        <v>97</v>
      </c>
      <c r="BW253" s="2" t="n">
        <v>100</v>
      </c>
      <c r="BX253" s="2" t="n">
        <v>100</v>
      </c>
      <c r="BY253" s="2" t="n">
        <v>97</v>
      </c>
      <c r="BZ253" s="2" t="n">
        <v>100</v>
      </c>
      <c r="CA253" s="2" t="n">
        <v>100</v>
      </c>
      <c r="CB253" s="2" t="n">
        <v>97</v>
      </c>
      <c r="CC253" s="2" t="n">
        <v>100</v>
      </c>
      <c r="CD253" s="2" t="n">
        <v>100</v>
      </c>
      <c r="CE253" s="2" t="n">
        <v>97</v>
      </c>
      <c r="CF253" s="2" t="n">
        <v>100</v>
      </c>
      <c r="CG253" s="2" t="n">
        <v>100</v>
      </c>
      <c r="CH253" s="2" t="n">
        <v>97</v>
      </c>
      <c r="CI253" s="2" t="n">
        <v>100</v>
      </c>
      <c r="CJ253" s="2" t="n">
        <v>100</v>
      </c>
      <c r="CK253" s="2" t="n">
        <v>97</v>
      </c>
      <c r="CL253" s="2" t="n">
        <v>100</v>
      </c>
      <c r="CM253" s="2" t="n">
        <v>100</v>
      </c>
      <c r="CN253" s="2" t="n">
        <v>97</v>
      </c>
      <c r="CO253" s="2" t="n">
        <v>100</v>
      </c>
      <c r="CP253" s="2" t="n">
        <v>100</v>
      </c>
      <c r="CQ253" s="2" t="n">
        <v>97</v>
      </c>
      <c r="CR253" s="2" t="n">
        <v>100</v>
      </c>
      <c r="CS253" s="2" t="n">
        <v>100</v>
      </c>
      <c r="CT253" s="2" t="n">
        <v>97</v>
      </c>
      <c r="CU253" s="2" t="n">
        <v>100</v>
      </c>
      <c r="CV253" s="2" t="n">
        <v>100</v>
      </c>
      <c r="CW253" s="2" t="n">
        <v>97</v>
      </c>
      <c r="CX253" s="2" t="n">
        <v>100</v>
      </c>
      <c r="CY253" s="2" t="n">
        <v>100</v>
      </c>
      <c r="CZ253" s="2" t="n">
        <v>97</v>
      </c>
      <c r="DA253" s="2" t="n">
        <v>100</v>
      </c>
      <c r="DB253" s="2" t="n">
        <v>100</v>
      </c>
      <c r="DC253" s="2" t="n">
        <v>97</v>
      </c>
      <c r="DD253" s="2" t="n">
        <v>100</v>
      </c>
      <c r="DE253" s="2" t="n">
        <v>100</v>
      </c>
      <c r="DF253" s="2" t="n">
        <v>97</v>
      </c>
      <c r="DG253" s="2" t="n">
        <v>100</v>
      </c>
      <c r="DH253" s="2" t="n">
        <v>100</v>
      </c>
      <c r="DI253" s="2" t="n">
        <v>97</v>
      </c>
      <c r="DJ253" s="2" t="n">
        <v>100</v>
      </c>
      <c r="DK253" s="2" t="n">
        <v>100</v>
      </c>
      <c r="DL253" s="2" t="n">
        <v>97</v>
      </c>
      <c r="DM253" s="2" t="n">
        <v>100</v>
      </c>
      <c r="DN253" s="2" t="n">
        <v>100</v>
      </c>
      <c r="DO253" s="2" t="n">
        <v>97</v>
      </c>
      <c r="DP253" s="2" t="n">
        <v>100</v>
      </c>
      <c r="DQ253" s="2" t="n">
        <v>100</v>
      </c>
      <c r="DR253" s="2" t="n">
        <v>97</v>
      </c>
      <c r="DS253" s="2" t="n">
        <v>100</v>
      </c>
      <c r="DT253" s="2" t="n">
        <v>100</v>
      </c>
      <c r="DU253" s="2" t="n">
        <v>97</v>
      </c>
      <c r="DV253" s="2" t="n">
        <v>100</v>
      </c>
      <c r="DW253" s="2" t="n">
        <v>100</v>
      </c>
      <c r="DX253" s="2" t="n">
        <v>97</v>
      </c>
      <c r="DY253" s="2" t="n">
        <v>100</v>
      </c>
      <c r="DZ253" s="2" t="n">
        <v>100</v>
      </c>
      <c r="EA253" s="2" t="n">
        <v>97</v>
      </c>
      <c r="EB253" s="2" t="n">
        <v>100</v>
      </c>
      <c r="EC253" s="2" t="n">
        <v>100</v>
      </c>
      <c r="ED253" s="2" t="n">
        <v>97</v>
      </c>
      <c r="EE253" s="2" t="n">
        <v>100</v>
      </c>
      <c r="EF253" s="2" t="n">
        <v>100</v>
      </c>
      <c r="EG253" s="2" t="n">
        <v>97</v>
      </c>
      <c r="EH253" s="2" t="n">
        <v>100</v>
      </c>
      <c r="EI253" s="2" t="n">
        <v>100</v>
      </c>
      <c r="EJ253" s="2" t="n">
        <v>97</v>
      </c>
      <c r="EK253" s="2" t="n">
        <v>100</v>
      </c>
      <c r="EL253" s="2" t="n">
        <v>100</v>
      </c>
      <c r="EM253" s="2" t="n">
        <v>97</v>
      </c>
      <c r="EN253" s="2" t="n">
        <v>100</v>
      </c>
      <c r="EO253" s="2" t="n">
        <v>100</v>
      </c>
      <c r="EP253" s="2" t="n">
        <v>97</v>
      </c>
      <c r="EQ253" s="2" t="n">
        <v>100</v>
      </c>
      <c r="ER253" s="2" t="n">
        <v>100</v>
      </c>
      <c r="ES253" s="2" t="n">
        <v>97</v>
      </c>
    </row>
    <row r="254">
      <c r="A254" s="2" t="n">
        <v>3</v>
      </c>
      <c r="B254" s="2" t="inlineStr">
        <is>
          <t>13.01.07</t>
        </is>
      </c>
      <c r="C254" s="2" t="inlineStr">
        <is>
          <t>Armadura Ca-50 adquirido cortado e dobrado, montagem e posicionamento no canteiro</t>
        </is>
      </c>
      <c r="D254" s="2" t="inlineStr">
        <is>
          <t>21/07/2025</t>
        </is>
      </c>
      <c r="E254" s="2" t="inlineStr">
        <is>
          <t>14/08/2025</t>
        </is>
      </c>
      <c r="F254" s="2" t="n">
        <v>185200</v>
      </c>
      <c r="G254" s="2" t="n">
        <v>0</v>
      </c>
      <c r="H254" s="2" t="n">
        <v>185200</v>
      </c>
      <c r="I254" s="2" t="n">
        <v>0</v>
      </c>
      <c r="J254" s="2" t="n">
        <v>0</v>
      </c>
      <c r="K254" s="2" t="n">
        <v>0</v>
      </c>
      <c r="L254" s="2" t="n">
        <v>47.37</v>
      </c>
      <c r="M254" s="2" t="n">
        <v>47.37</v>
      </c>
      <c r="N254" s="2" t="n">
        <v>0</v>
      </c>
      <c r="O254" s="2" t="n">
        <v>100</v>
      </c>
      <c r="P254" s="2" t="n">
        <v>100</v>
      </c>
      <c r="Q254" s="2" t="n">
        <v>0</v>
      </c>
      <c r="R254" s="2" t="n">
        <v>100</v>
      </c>
      <c r="S254" s="2" t="n">
        <v>100</v>
      </c>
      <c r="T254" s="2" t="n">
        <v>71</v>
      </c>
      <c r="U254" s="2" t="n">
        <v>100</v>
      </c>
      <c r="V254" s="2" t="n">
        <v>100</v>
      </c>
      <c r="W254" s="2" t="n">
        <v>71</v>
      </c>
      <c r="X254" s="2" t="n">
        <v>100</v>
      </c>
      <c r="Y254" s="2" t="n">
        <v>100</v>
      </c>
      <c r="Z254" s="2" t="n">
        <v>71</v>
      </c>
      <c r="AA254" s="2" t="n">
        <v>100</v>
      </c>
      <c r="AB254" s="2" t="n">
        <v>100</v>
      </c>
      <c r="AC254" s="2" t="n">
        <v>71</v>
      </c>
      <c r="AD254" s="2" t="n">
        <v>100</v>
      </c>
      <c r="AE254" s="2" t="n">
        <v>100</v>
      </c>
      <c r="AF254" s="2" t="n">
        <v>71</v>
      </c>
      <c r="AG254" s="2" t="n">
        <v>100</v>
      </c>
      <c r="AH254" s="2" t="n">
        <v>100</v>
      </c>
      <c r="AI254" s="2" t="n">
        <v>71</v>
      </c>
      <c r="AJ254" s="2" t="n">
        <v>100</v>
      </c>
      <c r="AK254" s="2" t="n">
        <v>100</v>
      </c>
      <c r="AL254" s="2" t="n">
        <v>71</v>
      </c>
      <c r="AM254" s="2" t="n">
        <v>100</v>
      </c>
      <c r="AN254" s="2" t="n">
        <v>100</v>
      </c>
      <c r="AO254" s="2" t="n">
        <v>71</v>
      </c>
      <c r="AP254" s="2" t="n">
        <v>100</v>
      </c>
      <c r="AQ254" s="2" t="n">
        <v>100</v>
      </c>
      <c r="AR254" s="2" t="n">
        <v>92.41</v>
      </c>
      <c r="AS254" s="2" t="n">
        <v>100</v>
      </c>
      <c r="AT254" s="2" t="n">
        <v>100</v>
      </c>
      <c r="AU254" s="2" t="n">
        <v>97.29000000000001</v>
      </c>
      <c r="AV254" s="2" t="n">
        <v>100</v>
      </c>
      <c r="AW254" s="2" t="n">
        <v>100</v>
      </c>
      <c r="AX254" s="2" t="n">
        <v>97</v>
      </c>
      <c r="AY254" s="2" t="n">
        <v>100</v>
      </c>
      <c r="AZ254" s="2" t="n">
        <v>100</v>
      </c>
      <c r="BA254" s="2" t="n">
        <v>97</v>
      </c>
      <c r="BB254" s="2" t="n">
        <v>100</v>
      </c>
      <c r="BC254" s="2" t="n">
        <v>100</v>
      </c>
      <c r="BD254" s="2" t="n">
        <v>97</v>
      </c>
      <c r="BE254" s="2" t="n">
        <v>100</v>
      </c>
      <c r="BF254" s="2" t="n">
        <v>100</v>
      </c>
      <c r="BG254" s="2" t="n">
        <v>97</v>
      </c>
      <c r="BH254" s="2" t="n">
        <v>100</v>
      </c>
      <c r="BI254" s="2" t="n">
        <v>100</v>
      </c>
      <c r="BJ254" s="2" t="n">
        <v>97</v>
      </c>
      <c r="BK254" s="2" t="n">
        <v>100</v>
      </c>
      <c r="BL254" s="2" t="n">
        <v>100</v>
      </c>
      <c r="BM254" s="2" t="n">
        <v>97</v>
      </c>
      <c r="BN254" s="2" t="n">
        <v>100</v>
      </c>
      <c r="BO254" s="2" t="n">
        <v>100</v>
      </c>
      <c r="BP254" s="2" t="n">
        <v>97</v>
      </c>
      <c r="BQ254" s="2" t="n">
        <v>100</v>
      </c>
      <c r="BR254" s="2" t="n">
        <v>100</v>
      </c>
      <c r="BS254" s="2" t="n">
        <v>97</v>
      </c>
      <c r="BT254" s="2" t="n">
        <v>100</v>
      </c>
      <c r="BU254" s="2" t="n">
        <v>100</v>
      </c>
      <c r="BV254" s="2" t="n">
        <v>97</v>
      </c>
      <c r="BW254" s="2" t="n">
        <v>100</v>
      </c>
      <c r="BX254" s="2" t="n">
        <v>100</v>
      </c>
      <c r="BY254" s="2" t="n">
        <v>97</v>
      </c>
      <c r="BZ254" s="2" t="n">
        <v>100</v>
      </c>
      <c r="CA254" s="2" t="n">
        <v>100</v>
      </c>
      <c r="CB254" s="2" t="n">
        <v>97</v>
      </c>
      <c r="CC254" s="2" t="n">
        <v>100</v>
      </c>
      <c r="CD254" s="2" t="n">
        <v>100</v>
      </c>
      <c r="CE254" s="2" t="n">
        <v>97</v>
      </c>
      <c r="CF254" s="2" t="n">
        <v>100</v>
      </c>
      <c r="CG254" s="2" t="n">
        <v>100</v>
      </c>
      <c r="CH254" s="2" t="n">
        <v>97</v>
      </c>
      <c r="CI254" s="2" t="n">
        <v>100</v>
      </c>
      <c r="CJ254" s="2" t="n">
        <v>100</v>
      </c>
      <c r="CK254" s="2" t="n">
        <v>97</v>
      </c>
      <c r="CL254" s="2" t="n">
        <v>100</v>
      </c>
      <c r="CM254" s="2" t="n">
        <v>100</v>
      </c>
      <c r="CN254" s="2" t="n">
        <v>97</v>
      </c>
      <c r="CO254" s="2" t="n">
        <v>100</v>
      </c>
      <c r="CP254" s="2" t="n">
        <v>100</v>
      </c>
      <c r="CQ254" s="2" t="n">
        <v>97</v>
      </c>
      <c r="CR254" s="2" t="n">
        <v>100</v>
      </c>
      <c r="CS254" s="2" t="n">
        <v>100</v>
      </c>
      <c r="CT254" s="2" t="n">
        <v>97</v>
      </c>
      <c r="CU254" s="2" t="n">
        <v>100</v>
      </c>
      <c r="CV254" s="2" t="n">
        <v>100</v>
      </c>
      <c r="CW254" s="2" t="n">
        <v>97</v>
      </c>
      <c r="CX254" s="2" t="n">
        <v>100</v>
      </c>
      <c r="CY254" s="2" t="n">
        <v>100</v>
      </c>
      <c r="CZ254" s="2" t="n">
        <v>97</v>
      </c>
      <c r="DA254" s="2" t="n">
        <v>100</v>
      </c>
      <c r="DB254" s="2" t="n">
        <v>100</v>
      </c>
      <c r="DC254" s="2" t="n">
        <v>97</v>
      </c>
      <c r="DD254" s="2" t="n">
        <v>100</v>
      </c>
      <c r="DE254" s="2" t="n">
        <v>100</v>
      </c>
      <c r="DF254" s="2" t="n">
        <v>97</v>
      </c>
      <c r="DG254" s="2" t="n">
        <v>100</v>
      </c>
      <c r="DH254" s="2" t="n">
        <v>100</v>
      </c>
      <c r="DI254" s="2" t="n">
        <v>97</v>
      </c>
      <c r="DJ254" s="2" t="n">
        <v>100</v>
      </c>
      <c r="DK254" s="2" t="n">
        <v>100</v>
      </c>
      <c r="DL254" s="2" t="n">
        <v>97</v>
      </c>
      <c r="DM254" s="2" t="n">
        <v>100</v>
      </c>
      <c r="DN254" s="2" t="n">
        <v>100</v>
      </c>
      <c r="DO254" s="2" t="n">
        <v>97</v>
      </c>
      <c r="DP254" s="2" t="n">
        <v>100</v>
      </c>
      <c r="DQ254" s="2" t="n">
        <v>100</v>
      </c>
      <c r="DR254" s="2" t="n">
        <v>97</v>
      </c>
      <c r="DS254" s="2" t="n">
        <v>100</v>
      </c>
      <c r="DT254" s="2" t="n">
        <v>100</v>
      </c>
      <c r="DU254" s="2" t="n">
        <v>97</v>
      </c>
      <c r="DV254" s="2" t="n">
        <v>100</v>
      </c>
      <c r="DW254" s="2" t="n">
        <v>100</v>
      </c>
      <c r="DX254" s="2" t="n">
        <v>97</v>
      </c>
      <c r="DY254" s="2" t="n">
        <v>100</v>
      </c>
      <c r="DZ254" s="2" t="n">
        <v>100</v>
      </c>
      <c r="EA254" s="2" t="n">
        <v>97</v>
      </c>
      <c r="EB254" s="2" t="n">
        <v>100</v>
      </c>
      <c r="EC254" s="2" t="n">
        <v>100</v>
      </c>
      <c r="ED254" s="2" t="n">
        <v>97</v>
      </c>
      <c r="EE254" s="2" t="n">
        <v>100</v>
      </c>
      <c r="EF254" s="2" t="n">
        <v>100</v>
      </c>
      <c r="EG254" s="2" t="n">
        <v>97</v>
      </c>
      <c r="EH254" s="2" t="n">
        <v>100</v>
      </c>
      <c r="EI254" s="2" t="n">
        <v>100</v>
      </c>
      <c r="EJ254" s="2" t="n">
        <v>97</v>
      </c>
      <c r="EK254" s="2" t="n">
        <v>100</v>
      </c>
      <c r="EL254" s="2" t="n">
        <v>100</v>
      </c>
      <c r="EM254" s="2" t="n">
        <v>97</v>
      </c>
      <c r="EN254" s="2" t="n">
        <v>100</v>
      </c>
      <c r="EO254" s="2" t="n">
        <v>100</v>
      </c>
      <c r="EP254" s="2" t="n">
        <v>97</v>
      </c>
      <c r="EQ254" s="2" t="n">
        <v>100</v>
      </c>
      <c r="ER254" s="2" t="n">
        <v>100</v>
      </c>
      <c r="ES254" s="2" t="n">
        <v>97</v>
      </c>
    </row>
    <row r="255">
      <c r="A255" s="2" t="n">
        <v>3</v>
      </c>
      <c r="B255" s="2" t="inlineStr">
        <is>
          <t>13.01.08</t>
        </is>
      </c>
      <c r="C255" s="2" t="inlineStr">
        <is>
          <t>Arrasamento de cabeça de estacas com martelete</t>
        </is>
      </c>
      <c r="D255" s="2" t="inlineStr">
        <is>
          <t>21/07/2025</t>
        </is>
      </c>
      <c r="E255" s="2" t="inlineStr">
        <is>
          <t>14/08/2025</t>
        </is>
      </c>
      <c r="F255" s="2" t="n">
        <v>48000</v>
      </c>
      <c r="G255" s="2" t="n">
        <v>0</v>
      </c>
      <c r="H255" s="2" t="n">
        <v>48000</v>
      </c>
      <c r="I255" s="2" t="n">
        <v>0</v>
      </c>
      <c r="J255" s="2" t="n">
        <v>0</v>
      </c>
      <c r="K255" s="2" t="n">
        <v>0</v>
      </c>
      <c r="L255" s="2" t="n">
        <v>47.37</v>
      </c>
      <c r="M255" s="2" t="n">
        <v>47.37</v>
      </c>
      <c r="N255" s="2" t="n">
        <v>0</v>
      </c>
      <c r="O255" s="2" t="n">
        <v>100</v>
      </c>
      <c r="P255" s="2" t="n">
        <v>100</v>
      </c>
      <c r="Q255" s="2" t="n">
        <v>0</v>
      </c>
      <c r="R255" s="2" t="n">
        <v>100</v>
      </c>
      <c r="S255" s="2" t="n">
        <v>100</v>
      </c>
      <c r="T255" s="2" t="n">
        <v>71</v>
      </c>
      <c r="U255" s="2" t="n">
        <v>100</v>
      </c>
      <c r="V255" s="2" t="n">
        <v>100</v>
      </c>
      <c r="W255" s="2" t="n">
        <v>71</v>
      </c>
      <c r="X255" s="2" t="n">
        <v>100</v>
      </c>
      <c r="Y255" s="2" t="n">
        <v>100</v>
      </c>
      <c r="Z255" s="2" t="n">
        <v>71</v>
      </c>
      <c r="AA255" s="2" t="n">
        <v>100</v>
      </c>
      <c r="AB255" s="2" t="n">
        <v>100</v>
      </c>
      <c r="AC255" s="2" t="n">
        <v>71</v>
      </c>
      <c r="AD255" s="2" t="n">
        <v>100</v>
      </c>
      <c r="AE255" s="2" t="n">
        <v>100</v>
      </c>
      <c r="AF255" s="2" t="n">
        <v>71</v>
      </c>
      <c r="AG255" s="2" t="n">
        <v>100</v>
      </c>
      <c r="AH255" s="2" t="n">
        <v>100</v>
      </c>
      <c r="AI255" s="2" t="n">
        <v>71</v>
      </c>
      <c r="AJ255" s="2" t="n">
        <v>100</v>
      </c>
      <c r="AK255" s="2" t="n">
        <v>100</v>
      </c>
      <c r="AL255" s="2" t="n">
        <v>71</v>
      </c>
      <c r="AM255" s="2" t="n">
        <v>100</v>
      </c>
      <c r="AN255" s="2" t="n">
        <v>100</v>
      </c>
      <c r="AO255" s="2" t="n">
        <v>71</v>
      </c>
      <c r="AP255" s="2" t="n">
        <v>100</v>
      </c>
      <c r="AQ255" s="2" t="n">
        <v>100</v>
      </c>
      <c r="AR255" s="2" t="n">
        <v>92.41</v>
      </c>
      <c r="AS255" s="2" t="n">
        <v>100</v>
      </c>
      <c r="AT255" s="2" t="n">
        <v>100</v>
      </c>
      <c r="AU255" s="2" t="n">
        <v>97.29000000000001</v>
      </c>
      <c r="AV255" s="2" t="n">
        <v>100</v>
      </c>
      <c r="AW255" s="2" t="n">
        <v>100</v>
      </c>
      <c r="AX255" s="2" t="n">
        <v>97</v>
      </c>
      <c r="AY255" s="2" t="n">
        <v>100</v>
      </c>
      <c r="AZ255" s="2" t="n">
        <v>100</v>
      </c>
      <c r="BA255" s="2" t="n">
        <v>97</v>
      </c>
      <c r="BB255" s="2" t="n">
        <v>100</v>
      </c>
      <c r="BC255" s="2" t="n">
        <v>100</v>
      </c>
      <c r="BD255" s="2" t="n">
        <v>97</v>
      </c>
      <c r="BE255" s="2" t="n">
        <v>100</v>
      </c>
      <c r="BF255" s="2" t="n">
        <v>100</v>
      </c>
      <c r="BG255" s="2" t="n">
        <v>97</v>
      </c>
      <c r="BH255" s="2" t="n">
        <v>100</v>
      </c>
      <c r="BI255" s="2" t="n">
        <v>100</v>
      </c>
      <c r="BJ255" s="2" t="n">
        <v>97</v>
      </c>
      <c r="BK255" s="2" t="n">
        <v>100</v>
      </c>
      <c r="BL255" s="2" t="n">
        <v>100</v>
      </c>
      <c r="BM255" s="2" t="n">
        <v>97</v>
      </c>
      <c r="BN255" s="2" t="n">
        <v>100</v>
      </c>
      <c r="BO255" s="2" t="n">
        <v>100</v>
      </c>
      <c r="BP255" s="2" t="n">
        <v>97</v>
      </c>
      <c r="BQ255" s="2" t="n">
        <v>100</v>
      </c>
      <c r="BR255" s="2" t="n">
        <v>100</v>
      </c>
      <c r="BS255" s="2" t="n">
        <v>97</v>
      </c>
      <c r="BT255" s="2" t="n">
        <v>100</v>
      </c>
      <c r="BU255" s="2" t="n">
        <v>100</v>
      </c>
      <c r="BV255" s="2" t="n">
        <v>97</v>
      </c>
      <c r="BW255" s="2" t="n">
        <v>100</v>
      </c>
      <c r="BX255" s="2" t="n">
        <v>100</v>
      </c>
      <c r="BY255" s="2" t="n">
        <v>97</v>
      </c>
      <c r="BZ255" s="2" t="n">
        <v>100</v>
      </c>
      <c r="CA255" s="2" t="n">
        <v>100</v>
      </c>
      <c r="CB255" s="2" t="n">
        <v>97</v>
      </c>
      <c r="CC255" s="2" t="n">
        <v>100</v>
      </c>
      <c r="CD255" s="2" t="n">
        <v>100</v>
      </c>
      <c r="CE255" s="2" t="n">
        <v>97</v>
      </c>
      <c r="CF255" s="2" t="n">
        <v>100</v>
      </c>
      <c r="CG255" s="2" t="n">
        <v>100</v>
      </c>
      <c r="CH255" s="2" t="n">
        <v>97</v>
      </c>
      <c r="CI255" s="2" t="n">
        <v>100</v>
      </c>
      <c r="CJ255" s="2" t="n">
        <v>100</v>
      </c>
      <c r="CK255" s="2" t="n">
        <v>97</v>
      </c>
      <c r="CL255" s="2" t="n">
        <v>100</v>
      </c>
      <c r="CM255" s="2" t="n">
        <v>100</v>
      </c>
      <c r="CN255" s="2" t="n">
        <v>97</v>
      </c>
      <c r="CO255" s="2" t="n">
        <v>100</v>
      </c>
      <c r="CP255" s="2" t="n">
        <v>100</v>
      </c>
      <c r="CQ255" s="2" t="n">
        <v>97</v>
      </c>
      <c r="CR255" s="2" t="n">
        <v>100</v>
      </c>
      <c r="CS255" s="2" t="n">
        <v>100</v>
      </c>
      <c r="CT255" s="2" t="n">
        <v>97</v>
      </c>
      <c r="CU255" s="2" t="n">
        <v>100</v>
      </c>
      <c r="CV255" s="2" t="n">
        <v>100</v>
      </c>
      <c r="CW255" s="2" t="n">
        <v>97</v>
      </c>
      <c r="CX255" s="2" t="n">
        <v>100</v>
      </c>
      <c r="CY255" s="2" t="n">
        <v>100</v>
      </c>
      <c r="CZ255" s="2" t="n">
        <v>97</v>
      </c>
      <c r="DA255" s="2" t="n">
        <v>100</v>
      </c>
      <c r="DB255" s="2" t="n">
        <v>100</v>
      </c>
      <c r="DC255" s="2" t="n">
        <v>97</v>
      </c>
      <c r="DD255" s="2" t="n">
        <v>100</v>
      </c>
      <c r="DE255" s="2" t="n">
        <v>100</v>
      </c>
      <c r="DF255" s="2" t="n">
        <v>97</v>
      </c>
      <c r="DG255" s="2" t="n">
        <v>100</v>
      </c>
      <c r="DH255" s="2" t="n">
        <v>100</v>
      </c>
      <c r="DI255" s="2" t="n">
        <v>97</v>
      </c>
      <c r="DJ255" s="2" t="n">
        <v>100</v>
      </c>
      <c r="DK255" s="2" t="n">
        <v>100</v>
      </c>
      <c r="DL255" s="2" t="n">
        <v>97</v>
      </c>
      <c r="DM255" s="2" t="n">
        <v>100</v>
      </c>
      <c r="DN255" s="2" t="n">
        <v>100</v>
      </c>
      <c r="DO255" s="2" t="n">
        <v>97</v>
      </c>
      <c r="DP255" s="2" t="n">
        <v>100</v>
      </c>
      <c r="DQ255" s="2" t="n">
        <v>100</v>
      </c>
      <c r="DR255" s="2" t="n">
        <v>97</v>
      </c>
      <c r="DS255" s="2" t="n">
        <v>100</v>
      </c>
      <c r="DT255" s="2" t="n">
        <v>100</v>
      </c>
      <c r="DU255" s="2" t="n">
        <v>97</v>
      </c>
      <c r="DV255" s="2" t="n">
        <v>100</v>
      </c>
      <c r="DW255" s="2" t="n">
        <v>100</v>
      </c>
      <c r="DX255" s="2" t="n">
        <v>97</v>
      </c>
      <c r="DY255" s="2" t="n">
        <v>100</v>
      </c>
      <c r="DZ255" s="2" t="n">
        <v>100</v>
      </c>
      <c r="EA255" s="2" t="n">
        <v>97</v>
      </c>
      <c r="EB255" s="2" t="n">
        <v>100</v>
      </c>
      <c r="EC255" s="2" t="n">
        <v>100</v>
      </c>
      <c r="ED255" s="2" t="n">
        <v>97</v>
      </c>
      <c r="EE255" s="2" t="n">
        <v>100</v>
      </c>
      <c r="EF255" s="2" t="n">
        <v>100</v>
      </c>
      <c r="EG255" s="2" t="n">
        <v>97</v>
      </c>
      <c r="EH255" s="2" t="n">
        <v>100</v>
      </c>
      <c r="EI255" s="2" t="n">
        <v>100</v>
      </c>
      <c r="EJ255" s="2" t="n">
        <v>97</v>
      </c>
      <c r="EK255" s="2" t="n">
        <v>100</v>
      </c>
      <c r="EL255" s="2" t="n">
        <v>100</v>
      </c>
      <c r="EM255" s="2" t="n">
        <v>97</v>
      </c>
      <c r="EN255" s="2" t="n">
        <v>100</v>
      </c>
      <c r="EO255" s="2" t="n">
        <v>100</v>
      </c>
      <c r="EP255" s="2" t="n">
        <v>97</v>
      </c>
      <c r="EQ255" s="2" t="n">
        <v>100</v>
      </c>
      <c r="ER255" s="2" t="n">
        <v>100</v>
      </c>
      <c r="ES255" s="2" t="n">
        <v>97</v>
      </c>
    </row>
    <row r="256">
      <c r="A256" s="2" t="n">
        <v>3</v>
      </c>
      <c r="B256" s="2" t="inlineStr">
        <is>
          <t>13.01.09</t>
        </is>
      </c>
      <c r="C256" s="2" t="inlineStr">
        <is>
          <t>Retirada de terra com caminhão basculante</t>
        </is>
      </c>
      <c r="D256" s="2" t="inlineStr">
        <is>
          <t>21/07/2025</t>
        </is>
      </c>
      <c r="E256" s="2" t="inlineStr">
        <is>
          <t>14/08/2025</t>
        </is>
      </c>
      <c r="F256" s="2" t="n">
        <v>23354.972</v>
      </c>
      <c r="G256" s="2" t="n">
        <v>0</v>
      </c>
      <c r="H256" s="2" t="n">
        <v>23354.972</v>
      </c>
      <c r="I256" s="2" t="n">
        <v>0</v>
      </c>
      <c r="J256" s="2" t="n">
        <v>0</v>
      </c>
      <c r="K256" s="2" t="n">
        <v>0</v>
      </c>
      <c r="L256" s="2" t="n">
        <v>47.37</v>
      </c>
      <c r="M256" s="2" t="n">
        <v>47.37</v>
      </c>
      <c r="N256" s="2" t="n">
        <v>0</v>
      </c>
      <c r="O256" s="2" t="n">
        <v>100</v>
      </c>
      <c r="P256" s="2" t="n">
        <v>100</v>
      </c>
      <c r="Q256" s="2" t="n">
        <v>0</v>
      </c>
      <c r="R256" s="2" t="n">
        <v>100</v>
      </c>
      <c r="S256" s="2" t="n">
        <v>100</v>
      </c>
      <c r="T256" s="2" t="n">
        <v>71</v>
      </c>
      <c r="U256" s="2" t="n">
        <v>100</v>
      </c>
      <c r="V256" s="2" t="n">
        <v>100</v>
      </c>
      <c r="W256" s="2" t="n">
        <v>71</v>
      </c>
      <c r="X256" s="2" t="n">
        <v>100</v>
      </c>
      <c r="Y256" s="2" t="n">
        <v>100</v>
      </c>
      <c r="Z256" s="2" t="n">
        <v>71</v>
      </c>
      <c r="AA256" s="2" t="n">
        <v>100</v>
      </c>
      <c r="AB256" s="2" t="n">
        <v>100</v>
      </c>
      <c r="AC256" s="2" t="n">
        <v>71</v>
      </c>
      <c r="AD256" s="2" t="n">
        <v>100</v>
      </c>
      <c r="AE256" s="2" t="n">
        <v>100</v>
      </c>
      <c r="AF256" s="2" t="n">
        <v>71</v>
      </c>
      <c r="AG256" s="2" t="n">
        <v>100</v>
      </c>
      <c r="AH256" s="2" t="n">
        <v>100</v>
      </c>
      <c r="AI256" s="2" t="n">
        <v>71</v>
      </c>
      <c r="AJ256" s="2" t="n">
        <v>100</v>
      </c>
      <c r="AK256" s="2" t="n">
        <v>100</v>
      </c>
      <c r="AL256" s="2" t="n">
        <v>71</v>
      </c>
      <c r="AM256" s="2" t="n">
        <v>100</v>
      </c>
      <c r="AN256" s="2" t="n">
        <v>100</v>
      </c>
      <c r="AO256" s="2" t="n">
        <v>71</v>
      </c>
      <c r="AP256" s="2" t="n">
        <v>100</v>
      </c>
      <c r="AQ256" s="2" t="n">
        <v>100</v>
      </c>
      <c r="AR256" s="2" t="n">
        <v>92.41</v>
      </c>
      <c r="AS256" s="2" t="n">
        <v>100</v>
      </c>
      <c r="AT256" s="2" t="n">
        <v>100</v>
      </c>
      <c r="AU256" s="2" t="n">
        <v>97.29000000000001</v>
      </c>
      <c r="AV256" s="2" t="n">
        <v>100</v>
      </c>
      <c r="AW256" s="2" t="n">
        <v>100</v>
      </c>
      <c r="AX256" s="2" t="n">
        <v>97</v>
      </c>
      <c r="AY256" s="2" t="n">
        <v>100</v>
      </c>
      <c r="AZ256" s="2" t="n">
        <v>100</v>
      </c>
      <c r="BA256" s="2" t="n">
        <v>97</v>
      </c>
      <c r="BB256" s="2" t="n">
        <v>100</v>
      </c>
      <c r="BC256" s="2" t="n">
        <v>100</v>
      </c>
      <c r="BD256" s="2" t="n">
        <v>97</v>
      </c>
      <c r="BE256" s="2" t="n">
        <v>100</v>
      </c>
      <c r="BF256" s="2" t="n">
        <v>100</v>
      </c>
      <c r="BG256" s="2" t="n">
        <v>97</v>
      </c>
      <c r="BH256" s="2" t="n">
        <v>100</v>
      </c>
      <c r="BI256" s="2" t="n">
        <v>100</v>
      </c>
      <c r="BJ256" s="2" t="n">
        <v>97</v>
      </c>
      <c r="BK256" s="2" t="n">
        <v>100</v>
      </c>
      <c r="BL256" s="2" t="n">
        <v>100</v>
      </c>
      <c r="BM256" s="2" t="n">
        <v>97</v>
      </c>
      <c r="BN256" s="2" t="n">
        <v>100</v>
      </c>
      <c r="BO256" s="2" t="n">
        <v>100</v>
      </c>
      <c r="BP256" s="2" t="n">
        <v>97</v>
      </c>
      <c r="BQ256" s="2" t="n">
        <v>100</v>
      </c>
      <c r="BR256" s="2" t="n">
        <v>100</v>
      </c>
      <c r="BS256" s="2" t="n">
        <v>97</v>
      </c>
      <c r="BT256" s="2" t="n">
        <v>100</v>
      </c>
      <c r="BU256" s="2" t="n">
        <v>100</v>
      </c>
      <c r="BV256" s="2" t="n">
        <v>97</v>
      </c>
      <c r="BW256" s="2" t="n">
        <v>100</v>
      </c>
      <c r="BX256" s="2" t="n">
        <v>100</v>
      </c>
      <c r="BY256" s="2" t="n">
        <v>97</v>
      </c>
      <c r="BZ256" s="2" t="n">
        <v>100</v>
      </c>
      <c r="CA256" s="2" t="n">
        <v>100</v>
      </c>
      <c r="CB256" s="2" t="n">
        <v>97</v>
      </c>
      <c r="CC256" s="2" t="n">
        <v>100</v>
      </c>
      <c r="CD256" s="2" t="n">
        <v>100</v>
      </c>
      <c r="CE256" s="2" t="n">
        <v>97</v>
      </c>
      <c r="CF256" s="2" t="n">
        <v>100</v>
      </c>
      <c r="CG256" s="2" t="n">
        <v>100</v>
      </c>
      <c r="CH256" s="2" t="n">
        <v>97</v>
      </c>
      <c r="CI256" s="2" t="n">
        <v>100</v>
      </c>
      <c r="CJ256" s="2" t="n">
        <v>100</v>
      </c>
      <c r="CK256" s="2" t="n">
        <v>97</v>
      </c>
      <c r="CL256" s="2" t="n">
        <v>100</v>
      </c>
      <c r="CM256" s="2" t="n">
        <v>100</v>
      </c>
      <c r="CN256" s="2" t="n">
        <v>97</v>
      </c>
      <c r="CO256" s="2" t="n">
        <v>100</v>
      </c>
      <c r="CP256" s="2" t="n">
        <v>100</v>
      </c>
      <c r="CQ256" s="2" t="n">
        <v>97</v>
      </c>
      <c r="CR256" s="2" t="n">
        <v>100</v>
      </c>
      <c r="CS256" s="2" t="n">
        <v>100</v>
      </c>
      <c r="CT256" s="2" t="n">
        <v>97</v>
      </c>
      <c r="CU256" s="2" t="n">
        <v>100</v>
      </c>
      <c r="CV256" s="2" t="n">
        <v>100</v>
      </c>
      <c r="CW256" s="2" t="n">
        <v>97</v>
      </c>
      <c r="CX256" s="2" t="n">
        <v>100</v>
      </c>
      <c r="CY256" s="2" t="n">
        <v>100</v>
      </c>
      <c r="CZ256" s="2" t="n">
        <v>97</v>
      </c>
      <c r="DA256" s="2" t="n">
        <v>100</v>
      </c>
      <c r="DB256" s="2" t="n">
        <v>100</v>
      </c>
      <c r="DC256" s="2" t="n">
        <v>97</v>
      </c>
      <c r="DD256" s="2" t="n">
        <v>100</v>
      </c>
      <c r="DE256" s="2" t="n">
        <v>100</v>
      </c>
      <c r="DF256" s="2" t="n">
        <v>97</v>
      </c>
      <c r="DG256" s="2" t="n">
        <v>100</v>
      </c>
      <c r="DH256" s="2" t="n">
        <v>100</v>
      </c>
      <c r="DI256" s="2" t="n">
        <v>97</v>
      </c>
      <c r="DJ256" s="2" t="n">
        <v>100</v>
      </c>
      <c r="DK256" s="2" t="n">
        <v>100</v>
      </c>
      <c r="DL256" s="2" t="n">
        <v>97</v>
      </c>
      <c r="DM256" s="2" t="n">
        <v>100</v>
      </c>
      <c r="DN256" s="2" t="n">
        <v>100</v>
      </c>
      <c r="DO256" s="2" t="n">
        <v>97</v>
      </c>
      <c r="DP256" s="2" t="n">
        <v>100</v>
      </c>
      <c r="DQ256" s="2" t="n">
        <v>100</v>
      </c>
      <c r="DR256" s="2" t="n">
        <v>97</v>
      </c>
      <c r="DS256" s="2" t="n">
        <v>100</v>
      </c>
      <c r="DT256" s="2" t="n">
        <v>100</v>
      </c>
      <c r="DU256" s="2" t="n">
        <v>97</v>
      </c>
      <c r="DV256" s="2" t="n">
        <v>100</v>
      </c>
      <c r="DW256" s="2" t="n">
        <v>100</v>
      </c>
      <c r="DX256" s="2" t="n">
        <v>97</v>
      </c>
      <c r="DY256" s="2" t="n">
        <v>100</v>
      </c>
      <c r="DZ256" s="2" t="n">
        <v>100</v>
      </c>
      <c r="EA256" s="2" t="n">
        <v>97</v>
      </c>
      <c r="EB256" s="2" t="n">
        <v>100</v>
      </c>
      <c r="EC256" s="2" t="n">
        <v>100</v>
      </c>
      <c r="ED256" s="2" t="n">
        <v>97</v>
      </c>
      <c r="EE256" s="2" t="n">
        <v>100</v>
      </c>
      <c r="EF256" s="2" t="n">
        <v>100</v>
      </c>
      <c r="EG256" s="2" t="n">
        <v>97</v>
      </c>
      <c r="EH256" s="2" t="n">
        <v>100</v>
      </c>
      <c r="EI256" s="2" t="n">
        <v>100</v>
      </c>
      <c r="EJ256" s="2" t="n">
        <v>97</v>
      </c>
      <c r="EK256" s="2" t="n">
        <v>100</v>
      </c>
      <c r="EL256" s="2" t="n">
        <v>100</v>
      </c>
      <c r="EM256" s="2" t="n">
        <v>97</v>
      </c>
      <c r="EN256" s="2" t="n">
        <v>100</v>
      </c>
      <c r="EO256" s="2" t="n">
        <v>100</v>
      </c>
      <c r="EP256" s="2" t="n">
        <v>97</v>
      </c>
      <c r="EQ256" s="2" t="n">
        <v>100</v>
      </c>
      <c r="ER256" s="2" t="n">
        <v>100</v>
      </c>
      <c r="ES256" s="2" t="n">
        <v>97</v>
      </c>
    </row>
    <row r="257">
      <c r="A257" s="2" t="n">
        <v>3</v>
      </c>
      <c r="B257" s="2" t="inlineStr">
        <is>
          <t>13.01.10</t>
        </is>
      </c>
      <c r="C257" s="2" t="inlineStr">
        <is>
          <t>Embocamento</t>
        </is>
      </c>
      <c r="D257" s="2" t="inlineStr">
        <is>
          <t>21/07/2025</t>
        </is>
      </c>
      <c r="E257" s="2" t="inlineStr">
        <is>
          <t>14/08/2025</t>
        </is>
      </c>
      <c r="F257" s="2" t="n">
        <v>7200</v>
      </c>
      <c r="G257" s="2" t="n">
        <v>0</v>
      </c>
      <c r="H257" s="2" t="n">
        <v>7200</v>
      </c>
      <c r="I257" s="2" t="n">
        <v>0</v>
      </c>
      <c r="J257" s="2" t="n">
        <v>0</v>
      </c>
      <c r="K257" s="2" t="n">
        <v>0</v>
      </c>
      <c r="L257" s="2" t="n">
        <v>47.37</v>
      </c>
      <c r="M257" s="2" t="n">
        <v>47.37</v>
      </c>
      <c r="N257" s="2" t="n">
        <v>0</v>
      </c>
      <c r="O257" s="2" t="n">
        <v>100</v>
      </c>
      <c r="P257" s="2" t="n">
        <v>100</v>
      </c>
      <c r="Q257" s="2" t="n">
        <v>0</v>
      </c>
      <c r="R257" s="2" t="n">
        <v>100</v>
      </c>
      <c r="S257" s="2" t="n">
        <v>100</v>
      </c>
      <c r="T257" s="2" t="n">
        <v>71</v>
      </c>
      <c r="U257" s="2" t="n">
        <v>100</v>
      </c>
      <c r="V257" s="2" t="n">
        <v>100</v>
      </c>
      <c r="W257" s="2" t="n">
        <v>71</v>
      </c>
      <c r="X257" s="2" t="n">
        <v>100</v>
      </c>
      <c r="Y257" s="2" t="n">
        <v>100</v>
      </c>
      <c r="Z257" s="2" t="n">
        <v>71</v>
      </c>
      <c r="AA257" s="2" t="n">
        <v>100</v>
      </c>
      <c r="AB257" s="2" t="n">
        <v>100</v>
      </c>
      <c r="AC257" s="2" t="n">
        <v>71</v>
      </c>
      <c r="AD257" s="2" t="n">
        <v>100</v>
      </c>
      <c r="AE257" s="2" t="n">
        <v>100</v>
      </c>
      <c r="AF257" s="2" t="n">
        <v>71</v>
      </c>
      <c r="AG257" s="2" t="n">
        <v>100</v>
      </c>
      <c r="AH257" s="2" t="n">
        <v>100</v>
      </c>
      <c r="AI257" s="2" t="n">
        <v>71</v>
      </c>
      <c r="AJ257" s="2" t="n">
        <v>100</v>
      </c>
      <c r="AK257" s="2" t="n">
        <v>100</v>
      </c>
      <c r="AL257" s="2" t="n">
        <v>71</v>
      </c>
      <c r="AM257" s="2" t="n">
        <v>100</v>
      </c>
      <c r="AN257" s="2" t="n">
        <v>100</v>
      </c>
      <c r="AO257" s="2" t="n">
        <v>71</v>
      </c>
      <c r="AP257" s="2" t="n">
        <v>100</v>
      </c>
      <c r="AQ257" s="2" t="n">
        <v>100</v>
      </c>
      <c r="AR257" s="2" t="n">
        <v>92.41</v>
      </c>
      <c r="AS257" s="2" t="n">
        <v>100</v>
      </c>
      <c r="AT257" s="2" t="n">
        <v>100</v>
      </c>
      <c r="AU257" s="2" t="n">
        <v>97.29000000000001</v>
      </c>
      <c r="AV257" s="2" t="n">
        <v>100</v>
      </c>
      <c r="AW257" s="2" t="n">
        <v>100</v>
      </c>
      <c r="AX257" s="2" t="n">
        <v>97</v>
      </c>
      <c r="AY257" s="2" t="n">
        <v>100</v>
      </c>
      <c r="AZ257" s="2" t="n">
        <v>100</v>
      </c>
      <c r="BA257" s="2" t="n">
        <v>97</v>
      </c>
      <c r="BB257" s="2" t="n">
        <v>100</v>
      </c>
      <c r="BC257" s="2" t="n">
        <v>100</v>
      </c>
      <c r="BD257" s="2" t="n">
        <v>97</v>
      </c>
      <c r="BE257" s="2" t="n">
        <v>100</v>
      </c>
      <c r="BF257" s="2" t="n">
        <v>100</v>
      </c>
      <c r="BG257" s="2" t="n">
        <v>97</v>
      </c>
      <c r="BH257" s="2" t="n">
        <v>100</v>
      </c>
      <c r="BI257" s="2" t="n">
        <v>100</v>
      </c>
      <c r="BJ257" s="2" t="n">
        <v>97</v>
      </c>
      <c r="BK257" s="2" t="n">
        <v>100</v>
      </c>
      <c r="BL257" s="2" t="n">
        <v>100</v>
      </c>
      <c r="BM257" s="2" t="n">
        <v>97</v>
      </c>
      <c r="BN257" s="2" t="n">
        <v>100</v>
      </c>
      <c r="BO257" s="2" t="n">
        <v>100</v>
      </c>
      <c r="BP257" s="2" t="n">
        <v>97</v>
      </c>
      <c r="BQ257" s="2" t="n">
        <v>100</v>
      </c>
      <c r="BR257" s="2" t="n">
        <v>100</v>
      </c>
      <c r="BS257" s="2" t="n">
        <v>97</v>
      </c>
      <c r="BT257" s="2" t="n">
        <v>100</v>
      </c>
      <c r="BU257" s="2" t="n">
        <v>100</v>
      </c>
      <c r="BV257" s="2" t="n">
        <v>97</v>
      </c>
      <c r="BW257" s="2" t="n">
        <v>100</v>
      </c>
      <c r="BX257" s="2" t="n">
        <v>100</v>
      </c>
      <c r="BY257" s="2" t="n">
        <v>97</v>
      </c>
      <c r="BZ257" s="2" t="n">
        <v>100</v>
      </c>
      <c r="CA257" s="2" t="n">
        <v>100</v>
      </c>
      <c r="CB257" s="2" t="n">
        <v>97</v>
      </c>
      <c r="CC257" s="2" t="n">
        <v>100</v>
      </c>
      <c r="CD257" s="2" t="n">
        <v>100</v>
      </c>
      <c r="CE257" s="2" t="n">
        <v>97</v>
      </c>
      <c r="CF257" s="2" t="n">
        <v>100</v>
      </c>
      <c r="CG257" s="2" t="n">
        <v>100</v>
      </c>
      <c r="CH257" s="2" t="n">
        <v>97</v>
      </c>
      <c r="CI257" s="2" t="n">
        <v>100</v>
      </c>
      <c r="CJ257" s="2" t="n">
        <v>100</v>
      </c>
      <c r="CK257" s="2" t="n">
        <v>97</v>
      </c>
      <c r="CL257" s="2" t="n">
        <v>100</v>
      </c>
      <c r="CM257" s="2" t="n">
        <v>100</v>
      </c>
      <c r="CN257" s="2" t="n">
        <v>97</v>
      </c>
      <c r="CO257" s="2" t="n">
        <v>100</v>
      </c>
      <c r="CP257" s="2" t="n">
        <v>100</v>
      </c>
      <c r="CQ257" s="2" t="n">
        <v>97</v>
      </c>
      <c r="CR257" s="2" t="n">
        <v>100</v>
      </c>
      <c r="CS257" s="2" t="n">
        <v>100</v>
      </c>
      <c r="CT257" s="2" t="n">
        <v>97</v>
      </c>
      <c r="CU257" s="2" t="n">
        <v>100</v>
      </c>
      <c r="CV257" s="2" t="n">
        <v>100</v>
      </c>
      <c r="CW257" s="2" t="n">
        <v>97</v>
      </c>
      <c r="CX257" s="2" t="n">
        <v>100</v>
      </c>
      <c r="CY257" s="2" t="n">
        <v>100</v>
      </c>
      <c r="CZ257" s="2" t="n">
        <v>97</v>
      </c>
      <c r="DA257" s="2" t="n">
        <v>100</v>
      </c>
      <c r="DB257" s="2" t="n">
        <v>100</v>
      </c>
      <c r="DC257" s="2" t="n">
        <v>97</v>
      </c>
      <c r="DD257" s="2" t="n">
        <v>100</v>
      </c>
      <c r="DE257" s="2" t="n">
        <v>100</v>
      </c>
      <c r="DF257" s="2" t="n">
        <v>97</v>
      </c>
      <c r="DG257" s="2" t="n">
        <v>100</v>
      </c>
      <c r="DH257" s="2" t="n">
        <v>100</v>
      </c>
      <c r="DI257" s="2" t="n">
        <v>97</v>
      </c>
      <c r="DJ257" s="2" t="n">
        <v>100</v>
      </c>
      <c r="DK257" s="2" t="n">
        <v>100</v>
      </c>
      <c r="DL257" s="2" t="n">
        <v>97</v>
      </c>
      <c r="DM257" s="2" t="n">
        <v>100</v>
      </c>
      <c r="DN257" s="2" t="n">
        <v>100</v>
      </c>
      <c r="DO257" s="2" t="n">
        <v>97</v>
      </c>
      <c r="DP257" s="2" t="n">
        <v>100</v>
      </c>
      <c r="DQ257" s="2" t="n">
        <v>100</v>
      </c>
      <c r="DR257" s="2" t="n">
        <v>97</v>
      </c>
      <c r="DS257" s="2" t="n">
        <v>100</v>
      </c>
      <c r="DT257" s="2" t="n">
        <v>100</v>
      </c>
      <c r="DU257" s="2" t="n">
        <v>97</v>
      </c>
      <c r="DV257" s="2" t="n">
        <v>100</v>
      </c>
      <c r="DW257" s="2" t="n">
        <v>100</v>
      </c>
      <c r="DX257" s="2" t="n">
        <v>97</v>
      </c>
      <c r="DY257" s="2" t="n">
        <v>100</v>
      </c>
      <c r="DZ257" s="2" t="n">
        <v>100</v>
      </c>
      <c r="EA257" s="2" t="n">
        <v>97</v>
      </c>
      <c r="EB257" s="2" t="n">
        <v>100</v>
      </c>
      <c r="EC257" s="2" t="n">
        <v>100</v>
      </c>
      <c r="ED257" s="2" t="n">
        <v>97</v>
      </c>
      <c r="EE257" s="2" t="n">
        <v>100</v>
      </c>
      <c r="EF257" s="2" t="n">
        <v>100</v>
      </c>
      <c r="EG257" s="2" t="n">
        <v>97</v>
      </c>
      <c r="EH257" s="2" t="n">
        <v>100</v>
      </c>
      <c r="EI257" s="2" t="n">
        <v>100</v>
      </c>
      <c r="EJ257" s="2" t="n">
        <v>97</v>
      </c>
      <c r="EK257" s="2" t="n">
        <v>100</v>
      </c>
      <c r="EL257" s="2" t="n">
        <v>100</v>
      </c>
      <c r="EM257" s="2" t="n">
        <v>97</v>
      </c>
      <c r="EN257" s="2" t="n">
        <v>100</v>
      </c>
      <c r="EO257" s="2" t="n">
        <v>100</v>
      </c>
      <c r="EP257" s="2" t="n">
        <v>97</v>
      </c>
      <c r="EQ257" s="2" t="n">
        <v>100</v>
      </c>
      <c r="ER257" s="2" t="n">
        <v>100</v>
      </c>
      <c r="ES257" s="2" t="n">
        <v>97</v>
      </c>
    </row>
    <row r="258">
      <c r="A258" s="2" t="n">
        <v>3</v>
      </c>
      <c r="B258" s="2" t="inlineStr">
        <is>
          <t>13.01.11</t>
        </is>
      </c>
      <c r="C258" s="2" t="inlineStr">
        <is>
          <t>Estacas para a contenção do bloco do elevador</t>
        </is>
      </c>
      <c r="D258" s="2" t="inlineStr">
        <is>
          <t>21/07/2025</t>
        </is>
      </c>
      <c r="E258" s="2" t="inlineStr">
        <is>
          <t>14/08/2025</t>
        </is>
      </c>
      <c r="F258" s="2" t="n">
        <v>275850</v>
      </c>
      <c r="G258" s="2" t="n">
        <v>0</v>
      </c>
      <c r="H258" s="2" t="n">
        <v>275850</v>
      </c>
      <c r="I258" s="2" t="n">
        <v>0</v>
      </c>
      <c r="J258" s="2" t="n">
        <v>0</v>
      </c>
      <c r="K258" s="2" t="n">
        <v>0</v>
      </c>
      <c r="L258" s="2" t="n">
        <v>47.37</v>
      </c>
      <c r="M258" s="2" t="n">
        <v>47.37</v>
      </c>
      <c r="N258" s="2" t="n">
        <v>0</v>
      </c>
      <c r="O258" s="2" t="n">
        <v>100</v>
      </c>
      <c r="P258" s="2" t="n">
        <v>100</v>
      </c>
      <c r="Q258" s="2" t="n">
        <v>0</v>
      </c>
      <c r="R258" s="2" t="n">
        <v>100</v>
      </c>
      <c r="S258" s="2" t="n">
        <v>100</v>
      </c>
      <c r="T258" s="2" t="n">
        <v>71</v>
      </c>
      <c r="U258" s="2" t="n">
        <v>100</v>
      </c>
      <c r="V258" s="2" t="n">
        <v>100</v>
      </c>
      <c r="W258" s="2" t="n">
        <v>71</v>
      </c>
      <c r="X258" s="2" t="n">
        <v>100</v>
      </c>
      <c r="Y258" s="2" t="n">
        <v>100</v>
      </c>
      <c r="Z258" s="2" t="n">
        <v>71</v>
      </c>
      <c r="AA258" s="2" t="n">
        <v>100</v>
      </c>
      <c r="AB258" s="2" t="n">
        <v>100</v>
      </c>
      <c r="AC258" s="2" t="n">
        <v>71</v>
      </c>
      <c r="AD258" s="2" t="n">
        <v>100</v>
      </c>
      <c r="AE258" s="2" t="n">
        <v>100</v>
      </c>
      <c r="AF258" s="2" t="n">
        <v>71</v>
      </c>
      <c r="AG258" s="2" t="n">
        <v>100</v>
      </c>
      <c r="AH258" s="2" t="n">
        <v>100</v>
      </c>
      <c r="AI258" s="2" t="n">
        <v>71</v>
      </c>
      <c r="AJ258" s="2" t="n">
        <v>100</v>
      </c>
      <c r="AK258" s="2" t="n">
        <v>100</v>
      </c>
      <c r="AL258" s="2" t="n">
        <v>71</v>
      </c>
      <c r="AM258" s="2" t="n">
        <v>100</v>
      </c>
      <c r="AN258" s="2" t="n">
        <v>100</v>
      </c>
      <c r="AO258" s="2" t="n">
        <v>71</v>
      </c>
      <c r="AP258" s="2" t="n">
        <v>100</v>
      </c>
      <c r="AQ258" s="2" t="n">
        <v>100</v>
      </c>
      <c r="AR258" s="2" t="n">
        <v>92.41</v>
      </c>
      <c r="AS258" s="2" t="n">
        <v>100</v>
      </c>
      <c r="AT258" s="2" t="n">
        <v>100</v>
      </c>
      <c r="AU258" s="2" t="n">
        <v>97.29000000000001</v>
      </c>
      <c r="AV258" s="2" t="n">
        <v>100</v>
      </c>
      <c r="AW258" s="2" t="n">
        <v>100</v>
      </c>
      <c r="AX258" s="2" t="n">
        <v>97</v>
      </c>
      <c r="AY258" s="2" t="n">
        <v>100</v>
      </c>
      <c r="AZ258" s="2" t="n">
        <v>100</v>
      </c>
      <c r="BA258" s="2" t="n">
        <v>97</v>
      </c>
      <c r="BB258" s="2" t="n">
        <v>100</v>
      </c>
      <c r="BC258" s="2" t="n">
        <v>100</v>
      </c>
      <c r="BD258" s="2" t="n">
        <v>97</v>
      </c>
      <c r="BE258" s="2" t="n">
        <v>100</v>
      </c>
      <c r="BF258" s="2" t="n">
        <v>100</v>
      </c>
      <c r="BG258" s="2" t="n">
        <v>97</v>
      </c>
      <c r="BH258" s="2" t="n">
        <v>100</v>
      </c>
      <c r="BI258" s="2" t="n">
        <v>100</v>
      </c>
      <c r="BJ258" s="2" t="n">
        <v>97</v>
      </c>
      <c r="BK258" s="2" t="n">
        <v>100</v>
      </c>
      <c r="BL258" s="2" t="n">
        <v>100</v>
      </c>
      <c r="BM258" s="2" t="n">
        <v>97</v>
      </c>
      <c r="BN258" s="2" t="n">
        <v>100</v>
      </c>
      <c r="BO258" s="2" t="n">
        <v>100</v>
      </c>
      <c r="BP258" s="2" t="n">
        <v>97</v>
      </c>
      <c r="BQ258" s="2" t="n">
        <v>100</v>
      </c>
      <c r="BR258" s="2" t="n">
        <v>100</v>
      </c>
      <c r="BS258" s="2" t="n">
        <v>97</v>
      </c>
      <c r="BT258" s="2" t="n">
        <v>100</v>
      </c>
      <c r="BU258" s="2" t="n">
        <v>100</v>
      </c>
      <c r="BV258" s="2" t="n">
        <v>97</v>
      </c>
      <c r="BW258" s="2" t="n">
        <v>100</v>
      </c>
      <c r="BX258" s="2" t="n">
        <v>100</v>
      </c>
      <c r="BY258" s="2" t="n">
        <v>97</v>
      </c>
      <c r="BZ258" s="2" t="n">
        <v>100</v>
      </c>
      <c r="CA258" s="2" t="n">
        <v>100</v>
      </c>
      <c r="CB258" s="2" t="n">
        <v>97</v>
      </c>
      <c r="CC258" s="2" t="n">
        <v>100</v>
      </c>
      <c r="CD258" s="2" t="n">
        <v>100</v>
      </c>
      <c r="CE258" s="2" t="n">
        <v>97</v>
      </c>
      <c r="CF258" s="2" t="n">
        <v>100</v>
      </c>
      <c r="CG258" s="2" t="n">
        <v>100</v>
      </c>
      <c r="CH258" s="2" t="n">
        <v>97</v>
      </c>
      <c r="CI258" s="2" t="n">
        <v>100</v>
      </c>
      <c r="CJ258" s="2" t="n">
        <v>100</v>
      </c>
      <c r="CK258" s="2" t="n">
        <v>97</v>
      </c>
      <c r="CL258" s="2" t="n">
        <v>100</v>
      </c>
      <c r="CM258" s="2" t="n">
        <v>100</v>
      </c>
      <c r="CN258" s="2" t="n">
        <v>97</v>
      </c>
      <c r="CO258" s="2" t="n">
        <v>100</v>
      </c>
      <c r="CP258" s="2" t="n">
        <v>100</v>
      </c>
      <c r="CQ258" s="2" t="n">
        <v>97</v>
      </c>
      <c r="CR258" s="2" t="n">
        <v>100</v>
      </c>
      <c r="CS258" s="2" t="n">
        <v>100</v>
      </c>
      <c r="CT258" s="2" t="n">
        <v>97</v>
      </c>
      <c r="CU258" s="2" t="n">
        <v>100</v>
      </c>
      <c r="CV258" s="2" t="n">
        <v>100</v>
      </c>
      <c r="CW258" s="2" t="n">
        <v>97</v>
      </c>
      <c r="CX258" s="2" t="n">
        <v>100</v>
      </c>
      <c r="CY258" s="2" t="n">
        <v>100</v>
      </c>
      <c r="CZ258" s="2" t="n">
        <v>97</v>
      </c>
      <c r="DA258" s="2" t="n">
        <v>100</v>
      </c>
      <c r="DB258" s="2" t="n">
        <v>100</v>
      </c>
      <c r="DC258" s="2" t="n">
        <v>97</v>
      </c>
      <c r="DD258" s="2" t="n">
        <v>100</v>
      </c>
      <c r="DE258" s="2" t="n">
        <v>100</v>
      </c>
      <c r="DF258" s="2" t="n">
        <v>97</v>
      </c>
      <c r="DG258" s="2" t="n">
        <v>100</v>
      </c>
      <c r="DH258" s="2" t="n">
        <v>100</v>
      </c>
      <c r="DI258" s="2" t="n">
        <v>97</v>
      </c>
      <c r="DJ258" s="2" t="n">
        <v>100</v>
      </c>
      <c r="DK258" s="2" t="n">
        <v>100</v>
      </c>
      <c r="DL258" s="2" t="n">
        <v>97</v>
      </c>
      <c r="DM258" s="2" t="n">
        <v>100</v>
      </c>
      <c r="DN258" s="2" t="n">
        <v>100</v>
      </c>
      <c r="DO258" s="2" t="n">
        <v>97</v>
      </c>
      <c r="DP258" s="2" t="n">
        <v>100</v>
      </c>
      <c r="DQ258" s="2" t="n">
        <v>100</v>
      </c>
      <c r="DR258" s="2" t="n">
        <v>97</v>
      </c>
      <c r="DS258" s="2" t="n">
        <v>100</v>
      </c>
      <c r="DT258" s="2" t="n">
        <v>100</v>
      </c>
      <c r="DU258" s="2" t="n">
        <v>97</v>
      </c>
      <c r="DV258" s="2" t="n">
        <v>100</v>
      </c>
      <c r="DW258" s="2" t="n">
        <v>100</v>
      </c>
      <c r="DX258" s="2" t="n">
        <v>97</v>
      </c>
      <c r="DY258" s="2" t="n">
        <v>100</v>
      </c>
      <c r="DZ258" s="2" t="n">
        <v>100</v>
      </c>
      <c r="EA258" s="2" t="n">
        <v>97</v>
      </c>
      <c r="EB258" s="2" t="n">
        <v>100</v>
      </c>
      <c r="EC258" s="2" t="n">
        <v>100</v>
      </c>
      <c r="ED258" s="2" t="n">
        <v>97</v>
      </c>
      <c r="EE258" s="2" t="n">
        <v>100</v>
      </c>
      <c r="EF258" s="2" t="n">
        <v>100</v>
      </c>
      <c r="EG258" s="2" t="n">
        <v>97</v>
      </c>
      <c r="EH258" s="2" t="n">
        <v>100</v>
      </c>
      <c r="EI258" s="2" t="n">
        <v>100</v>
      </c>
      <c r="EJ258" s="2" t="n">
        <v>97</v>
      </c>
      <c r="EK258" s="2" t="n">
        <v>100</v>
      </c>
      <c r="EL258" s="2" t="n">
        <v>100</v>
      </c>
      <c r="EM258" s="2" t="n">
        <v>97</v>
      </c>
      <c r="EN258" s="2" t="n">
        <v>100</v>
      </c>
      <c r="EO258" s="2" t="n">
        <v>100</v>
      </c>
      <c r="EP258" s="2" t="n">
        <v>97</v>
      </c>
      <c r="EQ258" s="2" t="n">
        <v>100</v>
      </c>
      <c r="ER258" s="2" t="n">
        <v>100</v>
      </c>
      <c r="ES258" s="2" t="n">
        <v>97</v>
      </c>
    </row>
    <row r="259">
      <c r="A259" s="2" t="n">
        <v>3</v>
      </c>
      <c r="B259" s="2" t="inlineStr">
        <is>
          <t>13.01.12</t>
        </is>
      </c>
      <c r="C259" s="2" t="inlineStr">
        <is>
          <t>Contenção em solo grampeado para igreja provisória</t>
        </is>
      </c>
      <c r="D259" s="2" t="inlineStr">
        <is>
          <t>21/07/2025</t>
        </is>
      </c>
      <c r="E259" s="2" t="inlineStr">
        <is>
          <t>14/08/2025</t>
        </is>
      </c>
      <c r="F259" s="2" t="n">
        <v>24000</v>
      </c>
      <c r="G259" s="2" t="n">
        <v>0</v>
      </c>
      <c r="H259" s="2" t="n">
        <v>24000</v>
      </c>
      <c r="I259" s="2" t="n">
        <v>0</v>
      </c>
      <c r="J259" s="2" t="n">
        <v>0</v>
      </c>
      <c r="K259" s="2" t="n">
        <v>0</v>
      </c>
      <c r="L259" s="2" t="n">
        <v>47.37</v>
      </c>
      <c r="M259" s="2" t="n">
        <v>47.37</v>
      </c>
      <c r="N259" s="2" t="n">
        <v>0</v>
      </c>
      <c r="O259" s="2" t="n">
        <v>100</v>
      </c>
      <c r="P259" s="2" t="n">
        <v>100</v>
      </c>
      <c r="Q259" s="2" t="n">
        <v>0</v>
      </c>
      <c r="R259" s="2" t="n">
        <v>100</v>
      </c>
      <c r="S259" s="2" t="n">
        <v>100</v>
      </c>
      <c r="T259" s="2" t="n">
        <v>71</v>
      </c>
      <c r="U259" s="2" t="n">
        <v>100</v>
      </c>
      <c r="V259" s="2" t="n">
        <v>100</v>
      </c>
      <c r="W259" s="2" t="n">
        <v>71</v>
      </c>
      <c r="X259" s="2" t="n">
        <v>100</v>
      </c>
      <c r="Y259" s="2" t="n">
        <v>100</v>
      </c>
      <c r="Z259" s="2" t="n">
        <v>71</v>
      </c>
      <c r="AA259" s="2" t="n">
        <v>100</v>
      </c>
      <c r="AB259" s="2" t="n">
        <v>100</v>
      </c>
      <c r="AC259" s="2" t="n">
        <v>71</v>
      </c>
      <c r="AD259" s="2" t="n">
        <v>100</v>
      </c>
      <c r="AE259" s="2" t="n">
        <v>100</v>
      </c>
      <c r="AF259" s="2" t="n">
        <v>71</v>
      </c>
      <c r="AG259" s="2" t="n">
        <v>100</v>
      </c>
      <c r="AH259" s="2" t="n">
        <v>100</v>
      </c>
      <c r="AI259" s="2" t="n">
        <v>71</v>
      </c>
      <c r="AJ259" s="2" t="n">
        <v>100</v>
      </c>
      <c r="AK259" s="2" t="n">
        <v>100</v>
      </c>
      <c r="AL259" s="2" t="n">
        <v>71</v>
      </c>
      <c r="AM259" s="2" t="n">
        <v>100</v>
      </c>
      <c r="AN259" s="2" t="n">
        <v>100</v>
      </c>
      <c r="AO259" s="2" t="n">
        <v>71</v>
      </c>
      <c r="AP259" s="2" t="n">
        <v>100</v>
      </c>
      <c r="AQ259" s="2" t="n">
        <v>100</v>
      </c>
      <c r="AR259" s="2" t="n">
        <v>92.41</v>
      </c>
      <c r="AS259" s="2" t="n">
        <v>100</v>
      </c>
      <c r="AT259" s="2" t="n">
        <v>100</v>
      </c>
      <c r="AU259" s="2" t="n">
        <v>97.29000000000001</v>
      </c>
      <c r="AV259" s="2" t="n">
        <v>100</v>
      </c>
      <c r="AW259" s="2" t="n">
        <v>100</v>
      </c>
      <c r="AX259" s="2" t="n">
        <v>97</v>
      </c>
      <c r="AY259" s="2" t="n">
        <v>100</v>
      </c>
      <c r="AZ259" s="2" t="n">
        <v>100</v>
      </c>
      <c r="BA259" s="2" t="n">
        <v>97</v>
      </c>
      <c r="BB259" s="2" t="n">
        <v>100</v>
      </c>
      <c r="BC259" s="2" t="n">
        <v>100</v>
      </c>
      <c r="BD259" s="2" t="n">
        <v>97</v>
      </c>
      <c r="BE259" s="2" t="n">
        <v>100</v>
      </c>
      <c r="BF259" s="2" t="n">
        <v>100</v>
      </c>
      <c r="BG259" s="2" t="n">
        <v>97</v>
      </c>
      <c r="BH259" s="2" t="n">
        <v>100</v>
      </c>
      <c r="BI259" s="2" t="n">
        <v>100</v>
      </c>
      <c r="BJ259" s="2" t="n">
        <v>97</v>
      </c>
      <c r="BK259" s="2" t="n">
        <v>100</v>
      </c>
      <c r="BL259" s="2" t="n">
        <v>100</v>
      </c>
      <c r="BM259" s="2" t="n">
        <v>97</v>
      </c>
      <c r="BN259" s="2" t="n">
        <v>100</v>
      </c>
      <c r="BO259" s="2" t="n">
        <v>100</v>
      </c>
      <c r="BP259" s="2" t="n">
        <v>97</v>
      </c>
      <c r="BQ259" s="2" t="n">
        <v>100</v>
      </c>
      <c r="BR259" s="2" t="n">
        <v>100</v>
      </c>
      <c r="BS259" s="2" t="n">
        <v>97</v>
      </c>
      <c r="BT259" s="2" t="n">
        <v>100</v>
      </c>
      <c r="BU259" s="2" t="n">
        <v>100</v>
      </c>
      <c r="BV259" s="2" t="n">
        <v>97</v>
      </c>
      <c r="BW259" s="2" t="n">
        <v>100</v>
      </c>
      <c r="BX259" s="2" t="n">
        <v>100</v>
      </c>
      <c r="BY259" s="2" t="n">
        <v>97</v>
      </c>
      <c r="BZ259" s="2" t="n">
        <v>100</v>
      </c>
      <c r="CA259" s="2" t="n">
        <v>100</v>
      </c>
      <c r="CB259" s="2" t="n">
        <v>97</v>
      </c>
      <c r="CC259" s="2" t="n">
        <v>100</v>
      </c>
      <c r="CD259" s="2" t="n">
        <v>100</v>
      </c>
      <c r="CE259" s="2" t="n">
        <v>97</v>
      </c>
      <c r="CF259" s="2" t="n">
        <v>100</v>
      </c>
      <c r="CG259" s="2" t="n">
        <v>100</v>
      </c>
      <c r="CH259" s="2" t="n">
        <v>97</v>
      </c>
      <c r="CI259" s="2" t="n">
        <v>100</v>
      </c>
      <c r="CJ259" s="2" t="n">
        <v>100</v>
      </c>
      <c r="CK259" s="2" t="n">
        <v>97</v>
      </c>
      <c r="CL259" s="2" t="n">
        <v>100</v>
      </c>
      <c r="CM259" s="2" t="n">
        <v>100</v>
      </c>
      <c r="CN259" s="2" t="n">
        <v>97</v>
      </c>
      <c r="CO259" s="2" t="n">
        <v>100</v>
      </c>
      <c r="CP259" s="2" t="n">
        <v>100</v>
      </c>
      <c r="CQ259" s="2" t="n">
        <v>97</v>
      </c>
      <c r="CR259" s="2" t="n">
        <v>100</v>
      </c>
      <c r="CS259" s="2" t="n">
        <v>100</v>
      </c>
      <c r="CT259" s="2" t="n">
        <v>97</v>
      </c>
      <c r="CU259" s="2" t="n">
        <v>100</v>
      </c>
      <c r="CV259" s="2" t="n">
        <v>100</v>
      </c>
      <c r="CW259" s="2" t="n">
        <v>97</v>
      </c>
      <c r="CX259" s="2" t="n">
        <v>100</v>
      </c>
      <c r="CY259" s="2" t="n">
        <v>100</v>
      </c>
      <c r="CZ259" s="2" t="n">
        <v>97</v>
      </c>
      <c r="DA259" s="2" t="n">
        <v>100</v>
      </c>
      <c r="DB259" s="2" t="n">
        <v>100</v>
      </c>
      <c r="DC259" s="2" t="n">
        <v>97</v>
      </c>
      <c r="DD259" s="2" t="n">
        <v>100</v>
      </c>
      <c r="DE259" s="2" t="n">
        <v>100</v>
      </c>
      <c r="DF259" s="2" t="n">
        <v>97</v>
      </c>
      <c r="DG259" s="2" t="n">
        <v>100</v>
      </c>
      <c r="DH259" s="2" t="n">
        <v>100</v>
      </c>
      <c r="DI259" s="2" t="n">
        <v>97</v>
      </c>
      <c r="DJ259" s="2" t="n">
        <v>100</v>
      </c>
      <c r="DK259" s="2" t="n">
        <v>100</v>
      </c>
      <c r="DL259" s="2" t="n">
        <v>97</v>
      </c>
      <c r="DM259" s="2" t="n">
        <v>100</v>
      </c>
      <c r="DN259" s="2" t="n">
        <v>100</v>
      </c>
      <c r="DO259" s="2" t="n">
        <v>97</v>
      </c>
      <c r="DP259" s="2" t="n">
        <v>100</v>
      </c>
      <c r="DQ259" s="2" t="n">
        <v>100</v>
      </c>
      <c r="DR259" s="2" t="n">
        <v>97</v>
      </c>
      <c r="DS259" s="2" t="n">
        <v>100</v>
      </c>
      <c r="DT259" s="2" t="n">
        <v>100</v>
      </c>
      <c r="DU259" s="2" t="n">
        <v>97</v>
      </c>
      <c r="DV259" s="2" t="n">
        <v>100</v>
      </c>
      <c r="DW259" s="2" t="n">
        <v>100</v>
      </c>
      <c r="DX259" s="2" t="n">
        <v>97</v>
      </c>
      <c r="DY259" s="2" t="n">
        <v>100</v>
      </c>
      <c r="DZ259" s="2" t="n">
        <v>100</v>
      </c>
      <c r="EA259" s="2" t="n">
        <v>97</v>
      </c>
      <c r="EB259" s="2" t="n">
        <v>100</v>
      </c>
      <c r="EC259" s="2" t="n">
        <v>100</v>
      </c>
      <c r="ED259" s="2" t="n">
        <v>97</v>
      </c>
      <c r="EE259" s="2" t="n">
        <v>100</v>
      </c>
      <c r="EF259" s="2" t="n">
        <v>100</v>
      </c>
      <c r="EG259" s="2" t="n">
        <v>97</v>
      </c>
      <c r="EH259" s="2" t="n">
        <v>100</v>
      </c>
      <c r="EI259" s="2" t="n">
        <v>100</v>
      </c>
      <c r="EJ259" s="2" t="n">
        <v>97</v>
      </c>
      <c r="EK259" s="2" t="n">
        <v>100</v>
      </c>
      <c r="EL259" s="2" t="n">
        <v>100</v>
      </c>
      <c r="EM259" s="2" t="n">
        <v>97</v>
      </c>
      <c r="EN259" s="2" t="n">
        <v>100</v>
      </c>
      <c r="EO259" s="2" t="n">
        <v>100</v>
      </c>
      <c r="EP259" s="2" t="n">
        <v>97</v>
      </c>
      <c r="EQ259" s="2" t="n">
        <v>100</v>
      </c>
      <c r="ER259" s="2" t="n">
        <v>100</v>
      </c>
      <c r="ES259" s="2" t="n">
        <v>97</v>
      </c>
    </row>
    <row r="260">
      <c r="A260" s="2" t="n">
        <v>2</v>
      </c>
      <c r="B260" s="2" t="inlineStr">
        <is>
          <t>13.02</t>
        </is>
      </c>
      <c r="C260" s="2" t="inlineStr">
        <is>
          <t>Viga de equalização de movimentos</t>
        </is>
      </c>
      <c r="D260" s="2" t="inlineStr">
        <is>
          <t>01/09/2025</t>
        </is>
      </c>
      <c r="E260" s="2" t="inlineStr">
        <is>
          <t>27/10/2025</t>
        </is>
      </c>
      <c r="F260" s="2" t="n">
        <v>140024.096915142</v>
      </c>
      <c r="G260" s="2" t="n">
        <v>0</v>
      </c>
      <c r="H260" s="2" t="n">
        <v>140024.096915142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0</v>
      </c>
      <c r="P260" s="2" t="n">
        <v>0</v>
      </c>
      <c r="Q260" s="2" t="n">
        <v>0</v>
      </c>
      <c r="R260" s="2" t="n">
        <v>45</v>
      </c>
      <c r="S260" s="2" t="n">
        <v>45</v>
      </c>
      <c r="T260" s="2" t="n">
        <v>48.33</v>
      </c>
      <c r="U260" s="2" t="n">
        <v>100</v>
      </c>
      <c r="V260" s="2" t="n">
        <v>100</v>
      </c>
      <c r="W260" s="2" t="n">
        <v>100</v>
      </c>
      <c r="X260" s="2" t="n">
        <v>100</v>
      </c>
      <c r="Y260" s="2" t="n">
        <v>100</v>
      </c>
      <c r="Z260" s="2" t="n">
        <v>100</v>
      </c>
      <c r="AA260" s="2" t="n">
        <v>100</v>
      </c>
      <c r="AB260" s="2" t="n">
        <v>100</v>
      </c>
      <c r="AC260" s="2" t="n">
        <v>100</v>
      </c>
      <c r="AD260" s="2" t="n">
        <v>100</v>
      </c>
      <c r="AE260" s="2" t="n">
        <v>100</v>
      </c>
      <c r="AF260" s="2" t="n">
        <v>100</v>
      </c>
      <c r="AG260" s="2" t="n">
        <v>100</v>
      </c>
      <c r="AH260" s="2" t="n">
        <v>100</v>
      </c>
      <c r="AI260" s="2" t="n">
        <v>100</v>
      </c>
      <c r="AJ260" s="2" t="n">
        <v>100</v>
      </c>
      <c r="AK260" s="2" t="n">
        <v>100</v>
      </c>
      <c r="AL260" s="2" t="n">
        <v>100</v>
      </c>
      <c r="AM260" s="2" t="n">
        <v>100</v>
      </c>
      <c r="AN260" s="2" t="n">
        <v>100</v>
      </c>
      <c r="AO260" s="2" t="n">
        <v>100</v>
      </c>
      <c r="AP260" s="2" t="n">
        <v>100</v>
      </c>
      <c r="AQ260" s="2" t="n">
        <v>100</v>
      </c>
      <c r="AR260" s="2" t="n">
        <v>100</v>
      </c>
      <c r="AS260" s="2" t="n">
        <v>100</v>
      </c>
      <c r="AT260" s="2" t="n">
        <v>100</v>
      </c>
      <c r="AU260" s="2" t="n">
        <v>100</v>
      </c>
      <c r="AV260" s="2" t="n">
        <v>100</v>
      </c>
      <c r="AW260" s="2" t="n">
        <v>100</v>
      </c>
      <c r="AX260" s="2" t="n">
        <v>100</v>
      </c>
      <c r="AY260" s="2" t="n">
        <v>100</v>
      </c>
      <c r="AZ260" s="2" t="n">
        <v>100</v>
      </c>
      <c r="BA260" s="2" t="n">
        <v>100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</row>
    <row r="261">
      <c r="A261" s="2" t="n">
        <v>3</v>
      </c>
      <c r="B261" s="2" t="inlineStr">
        <is>
          <t>13.02.01</t>
        </is>
      </c>
      <c r="C261" s="2" t="inlineStr">
        <is>
          <t>Formas para vigas</t>
        </is>
      </c>
      <c r="D261" s="2" t="inlineStr">
        <is>
          <t>01/09/2025</t>
        </is>
      </c>
      <c r="E261" s="2" t="inlineStr">
        <is>
          <t>27/10/2025</t>
        </is>
      </c>
      <c r="F261" s="2" t="n">
        <v>39205.05</v>
      </c>
      <c r="G261" s="2" t="n">
        <v>0</v>
      </c>
      <c r="H261" s="2" t="n">
        <v>39205.05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0</v>
      </c>
      <c r="P261" s="2" t="n">
        <v>0</v>
      </c>
      <c r="Q261" s="2" t="n">
        <v>0</v>
      </c>
      <c r="R261" s="2" t="n">
        <v>45</v>
      </c>
      <c r="S261" s="2" t="n">
        <v>45</v>
      </c>
      <c r="T261" s="2" t="n">
        <v>48.33</v>
      </c>
      <c r="U261" s="2" t="n">
        <v>100</v>
      </c>
      <c r="V261" s="2" t="n">
        <v>100</v>
      </c>
      <c r="W261" s="2" t="n">
        <v>100</v>
      </c>
      <c r="X261" s="2" t="n">
        <v>100</v>
      </c>
      <c r="Y261" s="2" t="n">
        <v>100</v>
      </c>
      <c r="Z261" s="2" t="n">
        <v>100</v>
      </c>
      <c r="AA261" s="2" t="n">
        <v>100</v>
      </c>
      <c r="AB261" s="2" t="n">
        <v>100</v>
      </c>
      <c r="AC261" s="2" t="n">
        <v>100</v>
      </c>
      <c r="AD261" s="2" t="n">
        <v>100</v>
      </c>
      <c r="AE261" s="2" t="n">
        <v>100</v>
      </c>
      <c r="AF261" s="2" t="n">
        <v>100</v>
      </c>
      <c r="AG261" s="2" t="n">
        <v>100</v>
      </c>
      <c r="AH261" s="2" t="n">
        <v>100</v>
      </c>
      <c r="AI261" s="2" t="n">
        <v>100</v>
      </c>
      <c r="AJ261" s="2" t="n">
        <v>100</v>
      </c>
      <c r="AK261" s="2" t="n">
        <v>100</v>
      </c>
      <c r="AL261" s="2" t="n">
        <v>100</v>
      </c>
      <c r="AM261" s="2" t="n">
        <v>100</v>
      </c>
      <c r="AN261" s="2" t="n">
        <v>100</v>
      </c>
      <c r="AO261" s="2" t="n">
        <v>100</v>
      </c>
      <c r="AP261" s="2" t="n">
        <v>100</v>
      </c>
      <c r="AQ261" s="2" t="n">
        <v>100</v>
      </c>
      <c r="AR261" s="2" t="n">
        <v>100</v>
      </c>
      <c r="AS261" s="2" t="n">
        <v>100</v>
      </c>
      <c r="AT261" s="2" t="n">
        <v>100</v>
      </c>
      <c r="AU261" s="2" t="n">
        <v>100</v>
      </c>
      <c r="AV261" s="2" t="n">
        <v>100</v>
      </c>
      <c r="AW261" s="2" t="n">
        <v>100</v>
      </c>
      <c r="AX261" s="2" t="n">
        <v>100</v>
      </c>
      <c r="AY261" s="2" t="n">
        <v>100</v>
      </c>
      <c r="AZ261" s="2" t="n">
        <v>100</v>
      </c>
      <c r="BA261" s="2" t="n">
        <v>100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</row>
    <row r="262">
      <c r="A262" s="2" t="n">
        <v>3</v>
      </c>
      <c r="B262" s="2" t="inlineStr">
        <is>
          <t>13.02.02</t>
        </is>
      </c>
      <c r="C262" s="2" t="inlineStr">
        <is>
          <t>Armadura Ca-50 adquirido cortado e dobrado, montagem e posicionamento no canteiro</t>
        </is>
      </c>
      <c r="D262" s="2" t="inlineStr">
        <is>
          <t>01/09/2025</t>
        </is>
      </c>
      <c r="E262" s="2" t="inlineStr">
        <is>
          <t>27/10/2025</t>
        </is>
      </c>
      <c r="F262" s="2" t="n">
        <v>65498.46925572262</v>
      </c>
      <c r="G262" s="2" t="n">
        <v>0</v>
      </c>
      <c r="H262" s="2" t="n">
        <v>65498.46925572262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0</v>
      </c>
      <c r="P262" s="2" t="n">
        <v>0</v>
      </c>
      <c r="Q262" s="2" t="n">
        <v>0</v>
      </c>
      <c r="R262" s="2" t="n">
        <v>45</v>
      </c>
      <c r="S262" s="2" t="n">
        <v>45</v>
      </c>
      <c r="T262" s="2" t="n">
        <v>48.33</v>
      </c>
      <c r="U262" s="2" t="n">
        <v>100</v>
      </c>
      <c r="V262" s="2" t="n">
        <v>100</v>
      </c>
      <c r="W262" s="2" t="n">
        <v>100</v>
      </c>
      <c r="X262" s="2" t="n">
        <v>100</v>
      </c>
      <c r="Y262" s="2" t="n">
        <v>100</v>
      </c>
      <c r="Z262" s="2" t="n">
        <v>100</v>
      </c>
      <c r="AA262" s="2" t="n">
        <v>100</v>
      </c>
      <c r="AB262" s="2" t="n">
        <v>100</v>
      </c>
      <c r="AC262" s="2" t="n">
        <v>100</v>
      </c>
      <c r="AD262" s="2" t="n">
        <v>100</v>
      </c>
      <c r="AE262" s="2" t="n">
        <v>100</v>
      </c>
      <c r="AF262" s="2" t="n">
        <v>100</v>
      </c>
      <c r="AG262" s="2" t="n">
        <v>100</v>
      </c>
      <c r="AH262" s="2" t="n">
        <v>100</v>
      </c>
      <c r="AI262" s="2" t="n">
        <v>100</v>
      </c>
      <c r="AJ262" s="2" t="n">
        <v>100</v>
      </c>
      <c r="AK262" s="2" t="n">
        <v>100</v>
      </c>
      <c r="AL262" s="2" t="n">
        <v>100</v>
      </c>
      <c r="AM262" s="2" t="n">
        <v>100</v>
      </c>
      <c r="AN262" s="2" t="n">
        <v>100</v>
      </c>
      <c r="AO262" s="2" t="n">
        <v>100</v>
      </c>
      <c r="AP262" s="2" t="n">
        <v>100</v>
      </c>
      <c r="AQ262" s="2" t="n">
        <v>100</v>
      </c>
      <c r="AR262" s="2" t="n">
        <v>100</v>
      </c>
      <c r="AS262" s="2" t="n">
        <v>100</v>
      </c>
      <c r="AT262" s="2" t="n">
        <v>100</v>
      </c>
      <c r="AU262" s="2" t="n">
        <v>100</v>
      </c>
      <c r="AV262" s="2" t="n">
        <v>100</v>
      </c>
      <c r="AW262" s="2" t="n">
        <v>100</v>
      </c>
      <c r="AX262" s="2" t="n">
        <v>100</v>
      </c>
      <c r="AY262" s="2" t="n">
        <v>100</v>
      </c>
      <c r="AZ262" s="2" t="n">
        <v>100</v>
      </c>
      <c r="BA262" s="2" t="n">
        <v>100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</row>
    <row r="263">
      <c r="A263" s="2" t="n">
        <v>3</v>
      </c>
      <c r="B263" s="2" t="inlineStr">
        <is>
          <t>13.02.03</t>
        </is>
      </c>
      <c r="C263" s="2" t="inlineStr">
        <is>
          <t>Concreto bombeado Fck=30Mpa para superestrutura</t>
        </is>
      </c>
      <c r="D263" s="2" t="inlineStr">
        <is>
          <t>01/09/2025</t>
        </is>
      </c>
      <c r="E263" s="2" t="inlineStr">
        <is>
          <t>27/10/2025</t>
        </is>
      </c>
      <c r="F263" s="2" t="n">
        <v>35320.57765941939</v>
      </c>
      <c r="G263" s="2" t="n">
        <v>0</v>
      </c>
      <c r="H263" s="2" t="n">
        <v>35320.57765941939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0</v>
      </c>
      <c r="P263" s="2" t="n">
        <v>0</v>
      </c>
      <c r="Q263" s="2" t="n">
        <v>0</v>
      </c>
      <c r="R263" s="2" t="n">
        <v>45</v>
      </c>
      <c r="S263" s="2" t="n">
        <v>45</v>
      </c>
      <c r="T263" s="2" t="n">
        <v>48.33</v>
      </c>
      <c r="U263" s="2" t="n">
        <v>100</v>
      </c>
      <c r="V263" s="2" t="n">
        <v>100</v>
      </c>
      <c r="W263" s="2" t="n">
        <v>100</v>
      </c>
      <c r="X263" s="2" t="n">
        <v>100</v>
      </c>
      <c r="Y263" s="2" t="n">
        <v>100</v>
      </c>
      <c r="Z263" s="2" t="n">
        <v>100</v>
      </c>
      <c r="AA263" s="2" t="n">
        <v>100</v>
      </c>
      <c r="AB263" s="2" t="n">
        <v>100</v>
      </c>
      <c r="AC263" s="2" t="n">
        <v>100</v>
      </c>
      <c r="AD263" s="2" t="n">
        <v>100</v>
      </c>
      <c r="AE263" s="2" t="n">
        <v>100</v>
      </c>
      <c r="AF263" s="2" t="n">
        <v>100</v>
      </c>
      <c r="AG263" s="2" t="n">
        <v>100</v>
      </c>
      <c r="AH263" s="2" t="n">
        <v>100</v>
      </c>
      <c r="AI263" s="2" t="n">
        <v>100</v>
      </c>
      <c r="AJ263" s="2" t="n">
        <v>100</v>
      </c>
      <c r="AK263" s="2" t="n">
        <v>100</v>
      </c>
      <c r="AL263" s="2" t="n">
        <v>100</v>
      </c>
      <c r="AM263" s="2" t="n">
        <v>100</v>
      </c>
      <c r="AN263" s="2" t="n">
        <v>100</v>
      </c>
      <c r="AO263" s="2" t="n">
        <v>100</v>
      </c>
      <c r="AP263" s="2" t="n">
        <v>100</v>
      </c>
      <c r="AQ263" s="2" t="n">
        <v>100</v>
      </c>
      <c r="AR263" s="2" t="n">
        <v>100</v>
      </c>
      <c r="AS263" s="2" t="n">
        <v>100</v>
      </c>
      <c r="AT263" s="2" t="n">
        <v>100</v>
      </c>
      <c r="AU263" s="2" t="n">
        <v>100</v>
      </c>
      <c r="AV263" s="2" t="n">
        <v>100</v>
      </c>
      <c r="AW263" s="2" t="n">
        <v>100</v>
      </c>
      <c r="AX263" s="2" t="n">
        <v>100</v>
      </c>
      <c r="AY263" s="2" t="n">
        <v>100</v>
      </c>
      <c r="AZ263" s="2" t="n">
        <v>100</v>
      </c>
      <c r="BA263" s="2" t="n">
        <v>100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</row>
    <row r="264">
      <c r="A264" s="2" t="n">
        <v>2</v>
      </c>
      <c r="B264" s="2" t="inlineStr">
        <is>
          <t>13.03</t>
        </is>
      </c>
      <c r="C264" s="2" t="inlineStr">
        <is>
          <t>Fechamento da cortina - Especificar sistema utilizado</t>
        </is>
      </c>
      <c r="D264" s="2" t="inlineStr">
        <is>
          <t>19/10/2026</t>
        </is>
      </c>
      <c r="E264" s="2" t="inlineStr">
        <is>
          <t>30/11/2026</t>
        </is>
      </c>
      <c r="F264" s="2" t="n">
        <v>291934.9669827626</v>
      </c>
      <c r="G264" s="2" t="n">
        <v>0</v>
      </c>
      <c r="H264" s="2" t="n">
        <v>291934.9669827626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0</v>
      </c>
      <c r="P264" s="2" t="n">
        <v>0</v>
      </c>
      <c r="Q264" s="2" t="n">
        <v>0</v>
      </c>
      <c r="R264" s="2" t="n">
        <v>0</v>
      </c>
      <c r="S264" s="2" t="n">
        <v>0</v>
      </c>
      <c r="T264" s="2" t="n">
        <v>0</v>
      </c>
      <c r="U264" s="2" t="n">
        <v>0</v>
      </c>
      <c r="V264" s="2" t="n">
        <v>0</v>
      </c>
      <c r="W264" s="2" t="n">
        <v>0</v>
      </c>
      <c r="X264" s="2" t="n">
        <v>0</v>
      </c>
      <c r="Y264" s="2" t="n">
        <v>0</v>
      </c>
      <c r="Z264" s="2" t="n">
        <v>0</v>
      </c>
      <c r="AA264" s="2" t="n">
        <v>0</v>
      </c>
      <c r="AB264" s="2" t="n">
        <v>0</v>
      </c>
      <c r="AC264" s="2" t="n">
        <v>0</v>
      </c>
      <c r="AD264" s="2" t="n">
        <v>0</v>
      </c>
      <c r="AE264" s="2" t="n">
        <v>0</v>
      </c>
      <c r="AF264" s="2" t="n">
        <v>0</v>
      </c>
      <c r="AG264" s="2" t="n">
        <v>0</v>
      </c>
      <c r="AH264" s="2" t="n">
        <v>0</v>
      </c>
      <c r="AI264" s="2" t="n">
        <v>0</v>
      </c>
      <c r="AJ264" s="2" t="n">
        <v>0</v>
      </c>
      <c r="AK264" s="2" t="n">
        <v>0</v>
      </c>
      <c r="AL264" s="2" t="n">
        <v>0</v>
      </c>
      <c r="AM264" s="2" t="n">
        <v>0</v>
      </c>
      <c r="AN264" s="2" t="n">
        <v>0</v>
      </c>
      <c r="AO264" s="2" t="n">
        <v>0</v>
      </c>
      <c r="AP264" s="2" t="n">
        <v>0</v>
      </c>
      <c r="AQ264" s="2" t="n">
        <v>0</v>
      </c>
      <c r="AR264" s="2" t="n">
        <v>0</v>
      </c>
      <c r="AS264" s="2" t="n">
        <v>0</v>
      </c>
      <c r="AT264" s="2" t="n">
        <v>0</v>
      </c>
      <c r="AU264" s="2" t="n">
        <v>0</v>
      </c>
      <c r="AV264" s="2" t="n">
        <v>0</v>
      </c>
      <c r="AW264" s="2" t="n">
        <v>0</v>
      </c>
      <c r="AX264" s="2" t="n">
        <v>0</v>
      </c>
      <c r="AY264" s="2" t="n">
        <v>0</v>
      </c>
      <c r="AZ264" s="2" t="n">
        <v>0</v>
      </c>
      <c r="BA264" s="2" t="n">
        <v>0</v>
      </c>
      <c r="BB264" s="2" t="n">
        <v>0</v>
      </c>
      <c r="BC264" s="2" t="n">
        <v>0</v>
      </c>
      <c r="BD264" s="2" t="n">
        <v>0</v>
      </c>
      <c r="BE264" s="2" t="n">
        <v>20.69</v>
      </c>
      <c r="BF264" s="2" t="n">
        <v>34.48</v>
      </c>
      <c r="BG264" s="2" t="n">
        <v>0</v>
      </c>
      <c r="BH264" s="2" t="n">
        <v>86.20999999999999</v>
      </c>
      <c r="BI264" s="2" t="n">
        <v>100</v>
      </c>
      <c r="BJ264" s="2" t="n">
        <v>0</v>
      </c>
      <c r="BK264" s="2" t="n">
        <v>100</v>
      </c>
      <c r="BL264" s="2" t="n">
        <v>100</v>
      </c>
      <c r="BM264" s="2" t="n">
        <v>0</v>
      </c>
      <c r="BN264" s="2" t="n">
        <v>100</v>
      </c>
      <c r="BO264" s="2" t="n">
        <v>100</v>
      </c>
      <c r="BP264" s="2" t="n">
        <v>0</v>
      </c>
      <c r="BQ264" s="2" t="n">
        <v>100</v>
      </c>
      <c r="BR264" s="2" t="n">
        <v>100</v>
      </c>
      <c r="BS264" s="2" t="n">
        <v>0</v>
      </c>
      <c r="BT264" s="2" t="n">
        <v>100</v>
      </c>
      <c r="BU264" s="2" t="n">
        <v>100</v>
      </c>
      <c r="BV264" s="2" t="n">
        <v>0</v>
      </c>
      <c r="BW264" s="2" t="n">
        <v>100</v>
      </c>
      <c r="BX264" s="2" t="n">
        <v>100</v>
      </c>
      <c r="BY264" s="2" t="n">
        <v>0</v>
      </c>
      <c r="BZ264" s="2" t="n">
        <v>100</v>
      </c>
      <c r="CA264" s="2" t="n">
        <v>100</v>
      </c>
      <c r="CB264" s="2" t="n">
        <v>0</v>
      </c>
      <c r="CC264" s="2" t="n">
        <v>100</v>
      </c>
      <c r="CD264" s="2" t="n">
        <v>100</v>
      </c>
      <c r="CE264" s="2" t="n">
        <v>0</v>
      </c>
      <c r="CF264" s="2" t="n">
        <v>100</v>
      </c>
      <c r="CG264" s="2" t="n">
        <v>100</v>
      </c>
      <c r="CH264" s="2" t="n">
        <v>0</v>
      </c>
      <c r="CI264" s="2" t="n">
        <v>100</v>
      </c>
      <c r="CJ264" s="2" t="n">
        <v>100</v>
      </c>
      <c r="CK264" s="2" t="n">
        <v>0</v>
      </c>
      <c r="CL264" s="2" t="n">
        <v>100</v>
      </c>
      <c r="CM264" s="2" t="n">
        <v>100</v>
      </c>
      <c r="CN264" s="2" t="n">
        <v>0</v>
      </c>
      <c r="CO264" s="2" t="n">
        <v>100</v>
      </c>
      <c r="CP264" s="2" t="n">
        <v>100</v>
      </c>
      <c r="CQ264" s="2" t="n">
        <v>0</v>
      </c>
      <c r="CR264" s="2" t="n">
        <v>100</v>
      </c>
      <c r="CS264" s="2" t="n">
        <v>100</v>
      </c>
      <c r="CT264" s="2" t="n">
        <v>0</v>
      </c>
      <c r="CU264" s="2" t="n">
        <v>100</v>
      </c>
      <c r="CV264" s="2" t="n">
        <v>100</v>
      </c>
      <c r="CW264" s="2" t="n">
        <v>0</v>
      </c>
      <c r="CX264" s="2" t="n">
        <v>100</v>
      </c>
      <c r="CY264" s="2" t="n">
        <v>100</v>
      </c>
      <c r="CZ264" s="2" t="n">
        <v>0</v>
      </c>
      <c r="DA264" s="2" t="n">
        <v>100</v>
      </c>
      <c r="DB264" s="2" t="n">
        <v>100</v>
      </c>
      <c r="DC264" s="2" t="n">
        <v>0</v>
      </c>
      <c r="DD264" s="2" t="n">
        <v>100</v>
      </c>
      <c r="DE264" s="2" t="n">
        <v>100</v>
      </c>
      <c r="DF264" s="2" t="n">
        <v>0</v>
      </c>
      <c r="DG264" s="2" t="n">
        <v>100</v>
      </c>
      <c r="DH264" s="2" t="n">
        <v>100</v>
      </c>
      <c r="DI264" s="2" t="n">
        <v>0</v>
      </c>
      <c r="DJ264" s="2" t="n">
        <v>100</v>
      </c>
      <c r="DK264" s="2" t="n">
        <v>100</v>
      </c>
      <c r="DL264" s="2" t="n">
        <v>0</v>
      </c>
      <c r="DM264" s="2" t="n">
        <v>100</v>
      </c>
      <c r="DN264" s="2" t="n">
        <v>100</v>
      </c>
      <c r="DO264" s="2" t="n">
        <v>0</v>
      </c>
      <c r="DP264" s="2" t="n">
        <v>100</v>
      </c>
      <c r="DQ264" s="2" t="n">
        <v>100</v>
      </c>
      <c r="DR264" s="2" t="n">
        <v>0</v>
      </c>
      <c r="DS264" s="2" t="n">
        <v>100</v>
      </c>
      <c r="DT264" s="2" t="n">
        <v>100</v>
      </c>
      <c r="DU264" s="2" t="n">
        <v>0</v>
      </c>
      <c r="DV264" s="2" t="n">
        <v>100</v>
      </c>
      <c r="DW264" s="2" t="n">
        <v>100</v>
      </c>
      <c r="DX264" s="2" t="n">
        <v>0</v>
      </c>
      <c r="DY264" s="2" t="n">
        <v>100</v>
      </c>
      <c r="DZ264" s="2" t="n">
        <v>100</v>
      </c>
      <c r="EA264" s="2" t="n">
        <v>0</v>
      </c>
      <c r="EB264" s="2" t="n">
        <v>100</v>
      </c>
      <c r="EC264" s="2" t="n">
        <v>100</v>
      </c>
      <c r="ED264" s="2" t="n">
        <v>0</v>
      </c>
      <c r="EE264" s="2" t="n">
        <v>100</v>
      </c>
      <c r="EF264" s="2" t="n">
        <v>100</v>
      </c>
      <c r="EG264" s="2" t="n">
        <v>0</v>
      </c>
      <c r="EH264" s="2" t="n">
        <v>100</v>
      </c>
      <c r="EI264" s="2" t="n">
        <v>100</v>
      </c>
      <c r="EJ264" s="2" t="n">
        <v>0</v>
      </c>
      <c r="EK264" s="2" t="n">
        <v>100</v>
      </c>
      <c r="EL264" s="2" t="n">
        <v>100</v>
      </c>
      <c r="EM264" s="2" t="n">
        <v>0</v>
      </c>
      <c r="EN264" s="2" t="n">
        <v>100</v>
      </c>
      <c r="EO264" s="2" t="n">
        <v>100</v>
      </c>
      <c r="EP264" s="2" t="n">
        <v>0</v>
      </c>
      <c r="EQ264" s="2" t="n">
        <v>100</v>
      </c>
      <c r="ER264" s="2" t="n">
        <v>100</v>
      </c>
      <c r="ES264" s="2" t="n">
        <v>0</v>
      </c>
    </row>
    <row r="265">
      <c r="A265" s="2" t="n">
        <v>3</v>
      </c>
      <c r="B265" s="2" t="inlineStr">
        <is>
          <t>13.03.01</t>
        </is>
      </c>
      <c r="C265" s="2" t="inlineStr">
        <is>
          <t>Formas para superestrutura</t>
        </is>
      </c>
      <c r="D265" s="2" t="inlineStr">
        <is>
          <t>19/10/2026</t>
        </is>
      </c>
      <c r="E265" s="2" t="inlineStr">
        <is>
          <t>30/11/2026</t>
        </is>
      </c>
      <c r="F265" s="2" t="n">
        <v>95268.645</v>
      </c>
      <c r="G265" s="2" t="n">
        <v>0</v>
      </c>
      <c r="H265" s="2" t="n">
        <v>95268.645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0</v>
      </c>
      <c r="P265" s="2" t="n">
        <v>0</v>
      </c>
      <c r="Q265" s="2" t="n">
        <v>0</v>
      </c>
      <c r="R265" s="2" t="n">
        <v>0</v>
      </c>
      <c r="S265" s="2" t="n">
        <v>0</v>
      </c>
      <c r="T265" s="2" t="n">
        <v>0</v>
      </c>
      <c r="U265" s="2" t="n">
        <v>0</v>
      </c>
      <c r="V265" s="2" t="n">
        <v>0</v>
      </c>
      <c r="W265" s="2" t="n">
        <v>0</v>
      </c>
      <c r="X265" s="2" t="n">
        <v>0</v>
      </c>
      <c r="Y265" s="2" t="n">
        <v>0</v>
      </c>
      <c r="Z265" s="2" t="n">
        <v>0</v>
      </c>
      <c r="AA265" s="2" t="n">
        <v>0</v>
      </c>
      <c r="AB265" s="2" t="n">
        <v>0</v>
      </c>
      <c r="AC265" s="2" t="n">
        <v>0</v>
      </c>
      <c r="AD265" s="2" t="n">
        <v>0</v>
      </c>
      <c r="AE265" s="2" t="n">
        <v>0</v>
      </c>
      <c r="AF265" s="2" t="n">
        <v>0</v>
      </c>
      <c r="AG265" s="2" t="n">
        <v>0</v>
      </c>
      <c r="AH265" s="2" t="n">
        <v>0</v>
      </c>
      <c r="AI265" s="2" t="n">
        <v>0</v>
      </c>
      <c r="AJ265" s="2" t="n">
        <v>0</v>
      </c>
      <c r="AK265" s="2" t="n">
        <v>0</v>
      </c>
      <c r="AL265" s="2" t="n">
        <v>0</v>
      </c>
      <c r="AM265" s="2" t="n">
        <v>0</v>
      </c>
      <c r="AN265" s="2" t="n">
        <v>0</v>
      </c>
      <c r="AO265" s="2" t="n">
        <v>0</v>
      </c>
      <c r="AP265" s="2" t="n">
        <v>0</v>
      </c>
      <c r="AQ265" s="2" t="n">
        <v>0</v>
      </c>
      <c r="AR265" s="2" t="n">
        <v>0</v>
      </c>
      <c r="AS265" s="2" t="n">
        <v>0</v>
      </c>
      <c r="AT265" s="2" t="n">
        <v>0</v>
      </c>
      <c r="AU265" s="2" t="n">
        <v>0</v>
      </c>
      <c r="AV265" s="2" t="n">
        <v>0</v>
      </c>
      <c r="AW265" s="2" t="n">
        <v>0</v>
      </c>
      <c r="AX265" s="2" t="n">
        <v>0</v>
      </c>
      <c r="AY265" s="2" t="n">
        <v>0</v>
      </c>
      <c r="AZ265" s="2" t="n">
        <v>0</v>
      </c>
      <c r="BA265" s="2" t="n">
        <v>0</v>
      </c>
      <c r="BB265" s="2" t="n">
        <v>0</v>
      </c>
      <c r="BC265" s="2" t="n">
        <v>0</v>
      </c>
      <c r="BD265" s="2" t="n">
        <v>0</v>
      </c>
      <c r="BE265" s="2" t="n">
        <v>20.69</v>
      </c>
      <c r="BF265" s="2" t="n">
        <v>34.48</v>
      </c>
      <c r="BG265" s="2" t="n">
        <v>0</v>
      </c>
      <c r="BH265" s="2" t="n">
        <v>86.20999999999999</v>
      </c>
      <c r="BI265" s="2" t="n">
        <v>100</v>
      </c>
      <c r="BJ265" s="2" t="n">
        <v>0</v>
      </c>
      <c r="BK265" s="2" t="n">
        <v>100</v>
      </c>
      <c r="BL265" s="2" t="n">
        <v>100</v>
      </c>
      <c r="BM265" s="2" t="n">
        <v>0</v>
      </c>
      <c r="BN265" s="2" t="n">
        <v>100</v>
      </c>
      <c r="BO265" s="2" t="n">
        <v>100</v>
      </c>
      <c r="BP265" s="2" t="n">
        <v>0</v>
      </c>
      <c r="BQ265" s="2" t="n">
        <v>100</v>
      </c>
      <c r="BR265" s="2" t="n">
        <v>100</v>
      </c>
      <c r="BS265" s="2" t="n">
        <v>0</v>
      </c>
      <c r="BT265" s="2" t="n">
        <v>100</v>
      </c>
      <c r="BU265" s="2" t="n">
        <v>100</v>
      </c>
      <c r="BV265" s="2" t="n">
        <v>0</v>
      </c>
      <c r="BW265" s="2" t="n">
        <v>100</v>
      </c>
      <c r="BX265" s="2" t="n">
        <v>100</v>
      </c>
      <c r="BY265" s="2" t="n">
        <v>0</v>
      </c>
      <c r="BZ265" s="2" t="n">
        <v>100</v>
      </c>
      <c r="CA265" s="2" t="n">
        <v>100</v>
      </c>
      <c r="CB265" s="2" t="n">
        <v>0</v>
      </c>
      <c r="CC265" s="2" t="n">
        <v>100</v>
      </c>
      <c r="CD265" s="2" t="n">
        <v>100</v>
      </c>
      <c r="CE265" s="2" t="n">
        <v>0</v>
      </c>
      <c r="CF265" s="2" t="n">
        <v>100</v>
      </c>
      <c r="CG265" s="2" t="n">
        <v>100</v>
      </c>
      <c r="CH265" s="2" t="n">
        <v>0</v>
      </c>
      <c r="CI265" s="2" t="n">
        <v>100</v>
      </c>
      <c r="CJ265" s="2" t="n">
        <v>100</v>
      </c>
      <c r="CK265" s="2" t="n">
        <v>0</v>
      </c>
      <c r="CL265" s="2" t="n">
        <v>100</v>
      </c>
      <c r="CM265" s="2" t="n">
        <v>100</v>
      </c>
      <c r="CN265" s="2" t="n">
        <v>0</v>
      </c>
      <c r="CO265" s="2" t="n">
        <v>100</v>
      </c>
      <c r="CP265" s="2" t="n">
        <v>100</v>
      </c>
      <c r="CQ265" s="2" t="n">
        <v>0</v>
      </c>
      <c r="CR265" s="2" t="n">
        <v>100</v>
      </c>
      <c r="CS265" s="2" t="n">
        <v>100</v>
      </c>
      <c r="CT265" s="2" t="n">
        <v>0</v>
      </c>
      <c r="CU265" s="2" t="n">
        <v>100</v>
      </c>
      <c r="CV265" s="2" t="n">
        <v>100</v>
      </c>
      <c r="CW265" s="2" t="n">
        <v>0</v>
      </c>
      <c r="CX265" s="2" t="n">
        <v>100</v>
      </c>
      <c r="CY265" s="2" t="n">
        <v>100</v>
      </c>
      <c r="CZ265" s="2" t="n">
        <v>0</v>
      </c>
      <c r="DA265" s="2" t="n">
        <v>100</v>
      </c>
      <c r="DB265" s="2" t="n">
        <v>100</v>
      </c>
      <c r="DC265" s="2" t="n">
        <v>0</v>
      </c>
      <c r="DD265" s="2" t="n">
        <v>100</v>
      </c>
      <c r="DE265" s="2" t="n">
        <v>100</v>
      </c>
      <c r="DF265" s="2" t="n">
        <v>0</v>
      </c>
      <c r="DG265" s="2" t="n">
        <v>100</v>
      </c>
      <c r="DH265" s="2" t="n">
        <v>100</v>
      </c>
      <c r="DI265" s="2" t="n">
        <v>0</v>
      </c>
      <c r="DJ265" s="2" t="n">
        <v>100</v>
      </c>
      <c r="DK265" s="2" t="n">
        <v>100</v>
      </c>
      <c r="DL265" s="2" t="n">
        <v>0</v>
      </c>
      <c r="DM265" s="2" t="n">
        <v>100</v>
      </c>
      <c r="DN265" s="2" t="n">
        <v>100</v>
      </c>
      <c r="DO265" s="2" t="n">
        <v>0</v>
      </c>
      <c r="DP265" s="2" t="n">
        <v>100</v>
      </c>
      <c r="DQ265" s="2" t="n">
        <v>100</v>
      </c>
      <c r="DR265" s="2" t="n">
        <v>0</v>
      </c>
      <c r="DS265" s="2" t="n">
        <v>100</v>
      </c>
      <c r="DT265" s="2" t="n">
        <v>100</v>
      </c>
      <c r="DU265" s="2" t="n">
        <v>0</v>
      </c>
      <c r="DV265" s="2" t="n">
        <v>100</v>
      </c>
      <c r="DW265" s="2" t="n">
        <v>100</v>
      </c>
      <c r="DX265" s="2" t="n">
        <v>0</v>
      </c>
      <c r="DY265" s="2" t="n">
        <v>100</v>
      </c>
      <c r="DZ265" s="2" t="n">
        <v>100</v>
      </c>
      <c r="EA265" s="2" t="n">
        <v>0</v>
      </c>
      <c r="EB265" s="2" t="n">
        <v>100</v>
      </c>
      <c r="EC265" s="2" t="n">
        <v>100</v>
      </c>
      <c r="ED265" s="2" t="n">
        <v>0</v>
      </c>
      <c r="EE265" s="2" t="n">
        <v>100</v>
      </c>
      <c r="EF265" s="2" t="n">
        <v>100</v>
      </c>
      <c r="EG265" s="2" t="n">
        <v>0</v>
      </c>
      <c r="EH265" s="2" t="n">
        <v>100</v>
      </c>
      <c r="EI265" s="2" t="n">
        <v>100</v>
      </c>
      <c r="EJ265" s="2" t="n">
        <v>0</v>
      </c>
      <c r="EK265" s="2" t="n">
        <v>100</v>
      </c>
      <c r="EL265" s="2" t="n">
        <v>100</v>
      </c>
      <c r="EM265" s="2" t="n">
        <v>0</v>
      </c>
      <c r="EN265" s="2" t="n">
        <v>100</v>
      </c>
      <c r="EO265" s="2" t="n">
        <v>100</v>
      </c>
      <c r="EP265" s="2" t="n">
        <v>0</v>
      </c>
      <c r="EQ265" s="2" t="n">
        <v>100</v>
      </c>
      <c r="ER265" s="2" t="n">
        <v>100</v>
      </c>
      <c r="ES265" s="2" t="n">
        <v>0</v>
      </c>
    </row>
    <row r="266">
      <c r="A266" s="2" t="n">
        <v>3</v>
      </c>
      <c r="B266" s="2" t="inlineStr">
        <is>
          <t>13.03.02</t>
        </is>
      </c>
      <c r="C266" s="2" t="inlineStr">
        <is>
          <t>Armadura Ca-50 adquirido cortado e dobrado, montagem e posicionamento no canteiro</t>
        </is>
      </c>
      <c r="D266" s="2" t="inlineStr">
        <is>
          <t>19/10/2026</t>
        </is>
      </c>
      <c r="E266" s="2" t="inlineStr">
        <is>
          <t>30/11/2026</t>
        </is>
      </c>
      <c r="F266" s="2" t="n">
        <v>127765.9837137593</v>
      </c>
      <c r="G266" s="2" t="n">
        <v>0</v>
      </c>
      <c r="H266" s="2" t="n">
        <v>127765.9837137593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0</v>
      </c>
      <c r="P266" s="2" t="n">
        <v>0</v>
      </c>
      <c r="Q266" s="2" t="n">
        <v>0</v>
      </c>
      <c r="R266" s="2" t="n">
        <v>0</v>
      </c>
      <c r="S266" s="2" t="n">
        <v>0</v>
      </c>
      <c r="T266" s="2" t="n">
        <v>0</v>
      </c>
      <c r="U266" s="2" t="n">
        <v>0</v>
      </c>
      <c r="V266" s="2" t="n">
        <v>0</v>
      </c>
      <c r="W266" s="2" t="n">
        <v>0</v>
      </c>
      <c r="X266" s="2" t="n">
        <v>0</v>
      </c>
      <c r="Y266" s="2" t="n">
        <v>0</v>
      </c>
      <c r="Z266" s="2" t="n">
        <v>0</v>
      </c>
      <c r="AA266" s="2" t="n">
        <v>0</v>
      </c>
      <c r="AB266" s="2" t="n">
        <v>0</v>
      </c>
      <c r="AC266" s="2" t="n">
        <v>0</v>
      </c>
      <c r="AD266" s="2" t="n">
        <v>0</v>
      </c>
      <c r="AE266" s="2" t="n">
        <v>0</v>
      </c>
      <c r="AF266" s="2" t="n">
        <v>0</v>
      </c>
      <c r="AG266" s="2" t="n">
        <v>0</v>
      </c>
      <c r="AH266" s="2" t="n">
        <v>0</v>
      </c>
      <c r="AI266" s="2" t="n">
        <v>0</v>
      </c>
      <c r="AJ266" s="2" t="n">
        <v>0</v>
      </c>
      <c r="AK266" s="2" t="n">
        <v>0</v>
      </c>
      <c r="AL266" s="2" t="n">
        <v>0</v>
      </c>
      <c r="AM266" s="2" t="n">
        <v>0</v>
      </c>
      <c r="AN266" s="2" t="n">
        <v>0</v>
      </c>
      <c r="AO266" s="2" t="n">
        <v>0</v>
      </c>
      <c r="AP266" s="2" t="n">
        <v>0</v>
      </c>
      <c r="AQ266" s="2" t="n">
        <v>0</v>
      </c>
      <c r="AR266" s="2" t="n">
        <v>0</v>
      </c>
      <c r="AS266" s="2" t="n">
        <v>0</v>
      </c>
      <c r="AT266" s="2" t="n">
        <v>0</v>
      </c>
      <c r="AU266" s="2" t="n">
        <v>0</v>
      </c>
      <c r="AV266" s="2" t="n">
        <v>0</v>
      </c>
      <c r="AW266" s="2" t="n">
        <v>0</v>
      </c>
      <c r="AX266" s="2" t="n">
        <v>0</v>
      </c>
      <c r="AY266" s="2" t="n">
        <v>0</v>
      </c>
      <c r="AZ266" s="2" t="n">
        <v>0</v>
      </c>
      <c r="BA266" s="2" t="n">
        <v>0</v>
      </c>
      <c r="BB266" s="2" t="n">
        <v>0</v>
      </c>
      <c r="BC266" s="2" t="n">
        <v>0</v>
      </c>
      <c r="BD266" s="2" t="n">
        <v>0</v>
      </c>
      <c r="BE266" s="2" t="n">
        <v>20.69</v>
      </c>
      <c r="BF266" s="2" t="n">
        <v>34.48</v>
      </c>
      <c r="BG266" s="2" t="n">
        <v>0</v>
      </c>
      <c r="BH266" s="2" t="n">
        <v>86.20999999999999</v>
      </c>
      <c r="BI266" s="2" t="n">
        <v>100</v>
      </c>
      <c r="BJ266" s="2" t="n">
        <v>0</v>
      </c>
      <c r="BK266" s="2" t="n">
        <v>100</v>
      </c>
      <c r="BL266" s="2" t="n">
        <v>100</v>
      </c>
      <c r="BM266" s="2" t="n">
        <v>0</v>
      </c>
      <c r="BN266" s="2" t="n">
        <v>100</v>
      </c>
      <c r="BO266" s="2" t="n">
        <v>100</v>
      </c>
      <c r="BP266" s="2" t="n">
        <v>0</v>
      </c>
      <c r="BQ266" s="2" t="n">
        <v>100</v>
      </c>
      <c r="BR266" s="2" t="n">
        <v>100</v>
      </c>
      <c r="BS266" s="2" t="n">
        <v>0</v>
      </c>
      <c r="BT266" s="2" t="n">
        <v>100</v>
      </c>
      <c r="BU266" s="2" t="n">
        <v>100</v>
      </c>
      <c r="BV266" s="2" t="n">
        <v>0</v>
      </c>
      <c r="BW266" s="2" t="n">
        <v>100</v>
      </c>
      <c r="BX266" s="2" t="n">
        <v>100</v>
      </c>
      <c r="BY266" s="2" t="n">
        <v>0</v>
      </c>
      <c r="BZ266" s="2" t="n">
        <v>100</v>
      </c>
      <c r="CA266" s="2" t="n">
        <v>100</v>
      </c>
      <c r="CB266" s="2" t="n">
        <v>0</v>
      </c>
      <c r="CC266" s="2" t="n">
        <v>100</v>
      </c>
      <c r="CD266" s="2" t="n">
        <v>100</v>
      </c>
      <c r="CE266" s="2" t="n">
        <v>0</v>
      </c>
      <c r="CF266" s="2" t="n">
        <v>100</v>
      </c>
      <c r="CG266" s="2" t="n">
        <v>100</v>
      </c>
      <c r="CH266" s="2" t="n">
        <v>0</v>
      </c>
      <c r="CI266" s="2" t="n">
        <v>100</v>
      </c>
      <c r="CJ266" s="2" t="n">
        <v>100</v>
      </c>
      <c r="CK266" s="2" t="n">
        <v>0</v>
      </c>
      <c r="CL266" s="2" t="n">
        <v>100</v>
      </c>
      <c r="CM266" s="2" t="n">
        <v>100</v>
      </c>
      <c r="CN266" s="2" t="n">
        <v>0</v>
      </c>
      <c r="CO266" s="2" t="n">
        <v>100</v>
      </c>
      <c r="CP266" s="2" t="n">
        <v>100</v>
      </c>
      <c r="CQ266" s="2" t="n">
        <v>0</v>
      </c>
      <c r="CR266" s="2" t="n">
        <v>100</v>
      </c>
      <c r="CS266" s="2" t="n">
        <v>100</v>
      </c>
      <c r="CT266" s="2" t="n">
        <v>0</v>
      </c>
      <c r="CU266" s="2" t="n">
        <v>100</v>
      </c>
      <c r="CV266" s="2" t="n">
        <v>100</v>
      </c>
      <c r="CW266" s="2" t="n">
        <v>0</v>
      </c>
      <c r="CX266" s="2" t="n">
        <v>100</v>
      </c>
      <c r="CY266" s="2" t="n">
        <v>100</v>
      </c>
      <c r="CZ266" s="2" t="n">
        <v>0</v>
      </c>
      <c r="DA266" s="2" t="n">
        <v>100</v>
      </c>
      <c r="DB266" s="2" t="n">
        <v>100</v>
      </c>
      <c r="DC266" s="2" t="n">
        <v>0</v>
      </c>
      <c r="DD266" s="2" t="n">
        <v>100</v>
      </c>
      <c r="DE266" s="2" t="n">
        <v>100</v>
      </c>
      <c r="DF266" s="2" t="n">
        <v>0</v>
      </c>
      <c r="DG266" s="2" t="n">
        <v>100</v>
      </c>
      <c r="DH266" s="2" t="n">
        <v>100</v>
      </c>
      <c r="DI266" s="2" t="n">
        <v>0</v>
      </c>
      <c r="DJ266" s="2" t="n">
        <v>100</v>
      </c>
      <c r="DK266" s="2" t="n">
        <v>100</v>
      </c>
      <c r="DL266" s="2" t="n">
        <v>0</v>
      </c>
      <c r="DM266" s="2" t="n">
        <v>100</v>
      </c>
      <c r="DN266" s="2" t="n">
        <v>100</v>
      </c>
      <c r="DO266" s="2" t="n">
        <v>0</v>
      </c>
      <c r="DP266" s="2" t="n">
        <v>100</v>
      </c>
      <c r="DQ266" s="2" t="n">
        <v>100</v>
      </c>
      <c r="DR266" s="2" t="n">
        <v>0</v>
      </c>
      <c r="DS266" s="2" t="n">
        <v>100</v>
      </c>
      <c r="DT266" s="2" t="n">
        <v>100</v>
      </c>
      <c r="DU266" s="2" t="n">
        <v>0</v>
      </c>
      <c r="DV266" s="2" t="n">
        <v>100</v>
      </c>
      <c r="DW266" s="2" t="n">
        <v>100</v>
      </c>
      <c r="DX266" s="2" t="n">
        <v>0</v>
      </c>
      <c r="DY266" s="2" t="n">
        <v>100</v>
      </c>
      <c r="DZ266" s="2" t="n">
        <v>100</v>
      </c>
      <c r="EA266" s="2" t="n">
        <v>0</v>
      </c>
      <c r="EB266" s="2" t="n">
        <v>100</v>
      </c>
      <c r="EC266" s="2" t="n">
        <v>100</v>
      </c>
      <c r="ED266" s="2" t="n">
        <v>0</v>
      </c>
      <c r="EE266" s="2" t="n">
        <v>100</v>
      </c>
      <c r="EF266" s="2" t="n">
        <v>100</v>
      </c>
      <c r="EG266" s="2" t="n">
        <v>0</v>
      </c>
      <c r="EH266" s="2" t="n">
        <v>100</v>
      </c>
      <c r="EI266" s="2" t="n">
        <v>100</v>
      </c>
      <c r="EJ266" s="2" t="n">
        <v>0</v>
      </c>
      <c r="EK266" s="2" t="n">
        <v>100</v>
      </c>
      <c r="EL266" s="2" t="n">
        <v>100</v>
      </c>
      <c r="EM266" s="2" t="n">
        <v>0</v>
      </c>
      <c r="EN266" s="2" t="n">
        <v>100</v>
      </c>
      <c r="EO266" s="2" t="n">
        <v>100</v>
      </c>
      <c r="EP266" s="2" t="n">
        <v>0</v>
      </c>
      <c r="EQ266" s="2" t="n">
        <v>100</v>
      </c>
      <c r="ER266" s="2" t="n">
        <v>100</v>
      </c>
      <c r="ES266" s="2" t="n">
        <v>0</v>
      </c>
    </row>
    <row r="267">
      <c r="A267" s="2" t="n">
        <v>3</v>
      </c>
      <c r="B267" s="2" t="inlineStr">
        <is>
          <t>13.03.03</t>
        </is>
      </c>
      <c r="C267" s="2" t="inlineStr">
        <is>
          <t>Concreto bombeado Fck=30Mpa para superestrutura</t>
        </is>
      </c>
      <c r="D267" s="2" t="inlineStr">
        <is>
          <t>19/10/2026</t>
        </is>
      </c>
      <c r="E267" s="2" t="inlineStr">
        <is>
          <t>30/11/2026</t>
        </is>
      </c>
      <c r="F267" s="2" t="n">
        <v>68900.33826900335</v>
      </c>
      <c r="G267" s="2" t="n">
        <v>0</v>
      </c>
      <c r="H267" s="2" t="n">
        <v>68900.33826900335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0</v>
      </c>
      <c r="P267" s="2" t="n">
        <v>0</v>
      </c>
      <c r="Q267" s="2" t="n">
        <v>0</v>
      </c>
      <c r="R267" s="2" t="n">
        <v>0</v>
      </c>
      <c r="S267" s="2" t="n">
        <v>0</v>
      </c>
      <c r="T267" s="2" t="n">
        <v>0</v>
      </c>
      <c r="U267" s="2" t="n">
        <v>0</v>
      </c>
      <c r="V267" s="2" t="n">
        <v>0</v>
      </c>
      <c r="W267" s="2" t="n">
        <v>0</v>
      </c>
      <c r="X267" s="2" t="n">
        <v>0</v>
      </c>
      <c r="Y267" s="2" t="n">
        <v>0</v>
      </c>
      <c r="Z267" s="2" t="n">
        <v>0</v>
      </c>
      <c r="AA267" s="2" t="n">
        <v>0</v>
      </c>
      <c r="AB267" s="2" t="n">
        <v>0</v>
      </c>
      <c r="AC267" s="2" t="n">
        <v>0</v>
      </c>
      <c r="AD267" s="2" t="n">
        <v>0</v>
      </c>
      <c r="AE267" s="2" t="n">
        <v>0</v>
      </c>
      <c r="AF267" s="2" t="n">
        <v>0</v>
      </c>
      <c r="AG267" s="2" t="n">
        <v>0</v>
      </c>
      <c r="AH267" s="2" t="n">
        <v>0</v>
      </c>
      <c r="AI267" s="2" t="n">
        <v>0</v>
      </c>
      <c r="AJ267" s="2" t="n">
        <v>0</v>
      </c>
      <c r="AK267" s="2" t="n">
        <v>0</v>
      </c>
      <c r="AL267" s="2" t="n">
        <v>0</v>
      </c>
      <c r="AM267" s="2" t="n">
        <v>0</v>
      </c>
      <c r="AN267" s="2" t="n">
        <v>0</v>
      </c>
      <c r="AO267" s="2" t="n">
        <v>0</v>
      </c>
      <c r="AP267" s="2" t="n">
        <v>0</v>
      </c>
      <c r="AQ267" s="2" t="n">
        <v>0</v>
      </c>
      <c r="AR267" s="2" t="n">
        <v>0</v>
      </c>
      <c r="AS267" s="2" t="n">
        <v>0</v>
      </c>
      <c r="AT267" s="2" t="n">
        <v>0</v>
      </c>
      <c r="AU267" s="2" t="n">
        <v>0</v>
      </c>
      <c r="AV267" s="2" t="n">
        <v>0</v>
      </c>
      <c r="AW267" s="2" t="n">
        <v>0</v>
      </c>
      <c r="AX267" s="2" t="n">
        <v>0</v>
      </c>
      <c r="AY267" s="2" t="n">
        <v>0</v>
      </c>
      <c r="AZ267" s="2" t="n">
        <v>0</v>
      </c>
      <c r="BA267" s="2" t="n">
        <v>0</v>
      </c>
      <c r="BB267" s="2" t="n">
        <v>0</v>
      </c>
      <c r="BC267" s="2" t="n">
        <v>0</v>
      </c>
      <c r="BD267" s="2" t="n">
        <v>0</v>
      </c>
      <c r="BE267" s="2" t="n">
        <v>20.69</v>
      </c>
      <c r="BF267" s="2" t="n">
        <v>34.48</v>
      </c>
      <c r="BG267" s="2" t="n">
        <v>0</v>
      </c>
      <c r="BH267" s="2" t="n">
        <v>86.20999999999999</v>
      </c>
      <c r="BI267" s="2" t="n">
        <v>100</v>
      </c>
      <c r="BJ267" s="2" t="n">
        <v>0</v>
      </c>
      <c r="BK267" s="2" t="n">
        <v>100</v>
      </c>
      <c r="BL267" s="2" t="n">
        <v>100</v>
      </c>
      <c r="BM267" s="2" t="n">
        <v>0</v>
      </c>
      <c r="BN267" s="2" t="n">
        <v>100</v>
      </c>
      <c r="BO267" s="2" t="n">
        <v>100</v>
      </c>
      <c r="BP267" s="2" t="n">
        <v>0</v>
      </c>
      <c r="BQ267" s="2" t="n">
        <v>100</v>
      </c>
      <c r="BR267" s="2" t="n">
        <v>100</v>
      </c>
      <c r="BS267" s="2" t="n">
        <v>0</v>
      </c>
      <c r="BT267" s="2" t="n">
        <v>100</v>
      </c>
      <c r="BU267" s="2" t="n">
        <v>100</v>
      </c>
      <c r="BV267" s="2" t="n">
        <v>0</v>
      </c>
      <c r="BW267" s="2" t="n">
        <v>100</v>
      </c>
      <c r="BX267" s="2" t="n">
        <v>100</v>
      </c>
      <c r="BY267" s="2" t="n">
        <v>0</v>
      </c>
      <c r="BZ267" s="2" t="n">
        <v>100</v>
      </c>
      <c r="CA267" s="2" t="n">
        <v>100</v>
      </c>
      <c r="CB267" s="2" t="n">
        <v>0</v>
      </c>
      <c r="CC267" s="2" t="n">
        <v>100</v>
      </c>
      <c r="CD267" s="2" t="n">
        <v>100</v>
      </c>
      <c r="CE267" s="2" t="n">
        <v>0</v>
      </c>
      <c r="CF267" s="2" t="n">
        <v>100</v>
      </c>
      <c r="CG267" s="2" t="n">
        <v>100</v>
      </c>
      <c r="CH267" s="2" t="n">
        <v>0</v>
      </c>
      <c r="CI267" s="2" t="n">
        <v>100</v>
      </c>
      <c r="CJ267" s="2" t="n">
        <v>100</v>
      </c>
      <c r="CK267" s="2" t="n">
        <v>0</v>
      </c>
      <c r="CL267" s="2" t="n">
        <v>100</v>
      </c>
      <c r="CM267" s="2" t="n">
        <v>100</v>
      </c>
      <c r="CN267" s="2" t="n">
        <v>0</v>
      </c>
      <c r="CO267" s="2" t="n">
        <v>100</v>
      </c>
      <c r="CP267" s="2" t="n">
        <v>100</v>
      </c>
      <c r="CQ267" s="2" t="n">
        <v>0</v>
      </c>
      <c r="CR267" s="2" t="n">
        <v>100</v>
      </c>
      <c r="CS267" s="2" t="n">
        <v>100</v>
      </c>
      <c r="CT267" s="2" t="n">
        <v>0</v>
      </c>
      <c r="CU267" s="2" t="n">
        <v>100</v>
      </c>
      <c r="CV267" s="2" t="n">
        <v>100</v>
      </c>
      <c r="CW267" s="2" t="n">
        <v>0</v>
      </c>
      <c r="CX267" s="2" t="n">
        <v>100</v>
      </c>
      <c r="CY267" s="2" t="n">
        <v>100</v>
      </c>
      <c r="CZ267" s="2" t="n">
        <v>0</v>
      </c>
      <c r="DA267" s="2" t="n">
        <v>100</v>
      </c>
      <c r="DB267" s="2" t="n">
        <v>100</v>
      </c>
      <c r="DC267" s="2" t="n">
        <v>0</v>
      </c>
      <c r="DD267" s="2" t="n">
        <v>100</v>
      </c>
      <c r="DE267" s="2" t="n">
        <v>100</v>
      </c>
      <c r="DF267" s="2" t="n">
        <v>0</v>
      </c>
      <c r="DG267" s="2" t="n">
        <v>100</v>
      </c>
      <c r="DH267" s="2" t="n">
        <v>100</v>
      </c>
      <c r="DI267" s="2" t="n">
        <v>0</v>
      </c>
      <c r="DJ267" s="2" t="n">
        <v>100</v>
      </c>
      <c r="DK267" s="2" t="n">
        <v>100</v>
      </c>
      <c r="DL267" s="2" t="n">
        <v>0</v>
      </c>
      <c r="DM267" s="2" t="n">
        <v>100</v>
      </c>
      <c r="DN267" s="2" t="n">
        <v>100</v>
      </c>
      <c r="DO267" s="2" t="n">
        <v>0</v>
      </c>
      <c r="DP267" s="2" t="n">
        <v>100</v>
      </c>
      <c r="DQ267" s="2" t="n">
        <v>100</v>
      </c>
      <c r="DR267" s="2" t="n">
        <v>0</v>
      </c>
      <c r="DS267" s="2" t="n">
        <v>100</v>
      </c>
      <c r="DT267" s="2" t="n">
        <v>100</v>
      </c>
      <c r="DU267" s="2" t="n">
        <v>0</v>
      </c>
      <c r="DV267" s="2" t="n">
        <v>100</v>
      </c>
      <c r="DW267" s="2" t="n">
        <v>100</v>
      </c>
      <c r="DX267" s="2" t="n">
        <v>0</v>
      </c>
      <c r="DY267" s="2" t="n">
        <v>100</v>
      </c>
      <c r="DZ267" s="2" t="n">
        <v>100</v>
      </c>
      <c r="EA267" s="2" t="n">
        <v>0</v>
      </c>
      <c r="EB267" s="2" t="n">
        <v>100</v>
      </c>
      <c r="EC267" s="2" t="n">
        <v>100</v>
      </c>
      <c r="ED267" s="2" t="n">
        <v>0</v>
      </c>
      <c r="EE267" s="2" t="n">
        <v>100</v>
      </c>
      <c r="EF267" s="2" t="n">
        <v>100</v>
      </c>
      <c r="EG267" s="2" t="n">
        <v>0</v>
      </c>
      <c r="EH267" s="2" t="n">
        <v>100</v>
      </c>
      <c r="EI267" s="2" t="n">
        <v>100</v>
      </c>
      <c r="EJ267" s="2" t="n">
        <v>0</v>
      </c>
      <c r="EK267" s="2" t="n">
        <v>100</v>
      </c>
      <c r="EL267" s="2" t="n">
        <v>100</v>
      </c>
      <c r="EM267" s="2" t="n">
        <v>0</v>
      </c>
      <c r="EN267" s="2" t="n">
        <v>100</v>
      </c>
      <c r="EO267" s="2" t="n">
        <v>100</v>
      </c>
      <c r="EP267" s="2" t="n">
        <v>0</v>
      </c>
      <c r="EQ267" s="2" t="n">
        <v>100</v>
      </c>
      <c r="ER267" s="2" t="n">
        <v>100</v>
      </c>
      <c r="ES267" s="2" t="n">
        <v>0</v>
      </c>
    </row>
    <row r="268">
      <c r="A268" s="2" t="n">
        <v>2</v>
      </c>
      <c r="B268" s="2" t="inlineStr">
        <is>
          <t>13.04</t>
        </is>
      </c>
      <c r="C268" s="2" t="inlineStr">
        <is>
          <t>Tratamento de contenções</t>
        </is>
      </c>
      <c r="D268" s="2" t="inlineStr">
        <is>
          <t>13/11/2026</t>
        </is>
      </c>
      <c r="E268" s="2" t="inlineStr">
        <is>
          <t>23/12/2026</t>
        </is>
      </c>
      <c r="F268" s="2" t="n">
        <v>33229.6722</v>
      </c>
      <c r="G268" s="2" t="n">
        <v>0</v>
      </c>
      <c r="H268" s="2" t="n">
        <v>33229.6722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0</v>
      </c>
      <c r="P268" s="2" t="n">
        <v>0</v>
      </c>
      <c r="Q268" s="2" t="n">
        <v>0</v>
      </c>
      <c r="R268" s="2" t="n">
        <v>0</v>
      </c>
      <c r="S268" s="2" t="n">
        <v>0</v>
      </c>
      <c r="T268" s="2" t="n">
        <v>0</v>
      </c>
      <c r="U268" s="2" t="n">
        <v>0</v>
      </c>
      <c r="V268" s="2" t="n">
        <v>0</v>
      </c>
      <c r="W268" s="2" t="n">
        <v>0</v>
      </c>
      <c r="X268" s="2" t="n">
        <v>0</v>
      </c>
      <c r="Y268" s="2" t="n">
        <v>0</v>
      </c>
      <c r="Z268" s="2" t="n">
        <v>0</v>
      </c>
      <c r="AA268" s="2" t="n">
        <v>0</v>
      </c>
      <c r="AB268" s="2" t="n">
        <v>0</v>
      </c>
      <c r="AC268" s="2" t="n">
        <v>0</v>
      </c>
      <c r="AD268" s="2" t="n">
        <v>0</v>
      </c>
      <c r="AE268" s="2" t="n">
        <v>0</v>
      </c>
      <c r="AF268" s="2" t="n">
        <v>0</v>
      </c>
      <c r="AG268" s="2" t="n">
        <v>0</v>
      </c>
      <c r="AH268" s="2" t="n">
        <v>0</v>
      </c>
      <c r="AI268" s="2" t="n">
        <v>0</v>
      </c>
      <c r="AJ268" s="2" t="n">
        <v>0</v>
      </c>
      <c r="AK268" s="2" t="n">
        <v>0</v>
      </c>
      <c r="AL268" s="2" t="n">
        <v>0</v>
      </c>
      <c r="AM268" s="2" t="n">
        <v>0</v>
      </c>
      <c r="AN268" s="2" t="n">
        <v>0</v>
      </c>
      <c r="AO268" s="2" t="n">
        <v>0</v>
      </c>
      <c r="AP268" s="2" t="n">
        <v>0</v>
      </c>
      <c r="AQ268" s="2" t="n">
        <v>0</v>
      </c>
      <c r="AR268" s="2" t="n">
        <v>0</v>
      </c>
      <c r="AS268" s="2" t="n">
        <v>0</v>
      </c>
      <c r="AT268" s="2" t="n">
        <v>0</v>
      </c>
      <c r="AU268" s="2" t="n">
        <v>0</v>
      </c>
      <c r="AV268" s="2" t="n">
        <v>0</v>
      </c>
      <c r="AW268" s="2" t="n">
        <v>0</v>
      </c>
      <c r="AX268" s="2" t="n">
        <v>0</v>
      </c>
      <c r="AY268" s="2" t="n">
        <v>0</v>
      </c>
      <c r="AZ268" s="2" t="n">
        <v>0</v>
      </c>
      <c r="BA268" s="2" t="n">
        <v>0</v>
      </c>
      <c r="BB268" s="2" t="n">
        <v>13.33</v>
      </c>
      <c r="BC268" s="2" t="n">
        <v>0</v>
      </c>
      <c r="BD268" s="2" t="n">
        <v>0</v>
      </c>
      <c r="BE268" s="2" t="n">
        <v>60</v>
      </c>
      <c r="BF268" s="2" t="n">
        <v>0</v>
      </c>
      <c r="BG268" s="2" t="n">
        <v>0</v>
      </c>
      <c r="BH268" s="2" t="n">
        <v>100</v>
      </c>
      <c r="BI268" s="2" t="n">
        <v>40.74</v>
      </c>
      <c r="BJ268" s="2" t="n">
        <v>0</v>
      </c>
      <c r="BK268" s="2" t="n">
        <v>100</v>
      </c>
      <c r="BL268" s="2" t="n">
        <v>100</v>
      </c>
      <c r="BM268" s="2" t="n">
        <v>0</v>
      </c>
      <c r="BN268" s="2" t="n">
        <v>100</v>
      </c>
      <c r="BO268" s="2" t="n">
        <v>100</v>
      </c>
      <c r="BP268" s="2" t="n">
        <v>0</v>
      </c>
      <c r="BQ268" s="2" t="n">
        <v>100</v>
      </c>
      <c r="BR268" s="2" t="n">
        <v>100</v>
      </c>
      <c r="BS268" s="2" t="n">
        <v>0</v>
      </c>
      <c r="BT268" s="2" t="n">
        <v>100</v>
      </c>
      <c r="BU268" s="2" t="n">
        <v>100</v>
      </c>
      <c r="BV268" s="2" t="n">
        <v>0</v>
      </c>
      <c r="BW268" s="2" t="n">
        <v>100</v>
      </c>
      <c r="BX268" s="2" t="n">
        <v>100</v>
      </c>
      <c r="BY268" s="2" t="n">
        <v>0</v>
      </c>
      <c r="BZ268" s="2" t="n">
        <v>100</v>
      </c>
      <c r="CA268" s="2" t="n">
        <v>100</v>
      </c>
      <c r="CB268" s="2" t="n">
        <v>0</v>
      </c>
      <c r="CC268" s="2" t="n">
        <v>100</v>
      </c>
      <c r="CD268" s="2" t="n">
        <v>100</v>
      </c>
      <c r="CE268" s="2" t="n">
        <v>0</v>
      </c>
      <c r="CF268" s="2" t="n">
        <v>100</v>
      </c>
      <c r="CG268" s="2" t="n">
        <v>100</v>
      </c>
      <c r="CH268" s="2" t="n">
        <v>0</v>
      </c>
      <c r="CI268" s="2" t="n">
        <v>100</v>
      </c>
      <c r="CJ268" s="2" t="n">
        <v>100</v>
      </c>
      <c r="CK268" s="2" t="n">
        <v>0</v>
      </c>
      <c r="CL268" s="2" t="n">
        <v>100</v>
      </c>
      <c r="CM268" s="2" t="n">
        <v>100</v>
      </c>
      <c r="CN268" s="2" t="n">
        <v>0</v>
      </c>
      <c r="CO268" s="2" t="n">
        <v>100</v>
      </c>
      <c r="CP268" s="2" t="n">
        <v>100</v>
      </c>
      <c r="CQ268" s="2" t="n">
        <v>0</v>
      </c>
      <c r="CR268" s="2" t="n">
        <v>100</v>
      </c>
      <c r="CS268" s="2" t="n">
        <v>100</v>
      </c>
      <c r="CT268" s="2" t="n">
        <v>0</v>
      </c>
      <c r="CU268" s="2" t="n">
        <v>100</v>
      </c>
      <c r="CV268" s="2" t="n">
        <v>100</v>
      </c>
      <c r="CW268" s="2" t="n">
        <v>0</v>
      </c>
      <c r="CX268" s="2" t="n">
        <v>100</v>
      </c>
      <c r="CY268" s="2" t="n">
        <v>100</v>
      </c>
      <c r="CZ268" s="2" t="n">
        <v>0</v>
      </c>
      <c r="DA268" s="2" t="n">
        <v>100</v>
      </c>
      <c r="DB268" s="2" t="n">
        <v>100</v>
      </c>
      <c r="DC268" s="2" t="n">
        <v>0</v>
      </c>
      <c r="DD268" s="2" t="n">
        <v>100</v>
      </c>
      <c r="DE268" s="2" t="n">
        <v>100</v>
      </c>
      <c r="DF268" s="2" t="n">
        <v>0</v>
      </c>
      <c r="DG268" s="2" t="n">
        <v>100</v>
      </c>
      <c r="DH268" s="2" t="n">
        <v>100</v>
      </c>
      <c r="DI268" s="2" t="n">
        <v>0</v>
      </c>
      <c r="DJ268" s="2" t="n">
        <v>100</v>
      </c>
      <c r="DK268" s="2" t="n">
        <v>100</v>
      </c>
      <c r="DL268" s="2" t="n">
        <v>0</v>
      </c>
      <c r="DM268" s="2" t="n">
        <v>100</v>
      </c>
      <c r="DN268" s="2" t="n">
        <v>100</v>
      </c>
      <c r="DO268" s="2" t="n">
        <v>0</v>
      </c>
      <c r="DP268" s="2" t="n">
        <v>100</v>
      </c>
      <c r="DQ268" s="2" t="n">
        <v>100</v>
      </c>
      <c r="DR268" s="2" t="n">
        <v>0</v>
      </c>
      <c r="DS268" s="2" t="n">
        <v>100</v>
      </c>
      <c r="DT268" s="2" t="n">
        <v>100</v>
      </c>
      <c r="DU268" s="2" t="n">
        <v>0</v>
      </c>
      <c r="DV268" s="2" t="n">
        <v>100</v>
      </c>
      <c r="DW268" s="2" t="n">
        <v>100</v>
      </c>
      <c r="DX268" s="2" t="n">
        <v>0</v>
      </c>
      <c r="DY268" s="2" t="n">
        <v>100</v>
      </c>
      <c r="DZ268" s="2" t="n">
        <v>100</v>
      </c>
      <c r="EA268" s="2" t="n">
        <v>0</v>
      </c>
      <c r="EB268" s="2" t="n">
        <v>100</v>
      </c>
      <c r="EC268" s="2" t="n">
        <v>100</v>
      </c>
      <c r="ED268" s="2" t="n">
        <v>0</v>
      </c>
      <c r="EE268" s="2" t="n">
        <v>100</v>
      </c>
      <c r="EF268" s="2" t="n">
        <v>100</v>
      </c>
      <c r="EG268" s="2" t="n">
        <v>0</v>
      </c>
      <c r="EH268" s="2" t="n">
        <v>100</v>
      </c>
      <c r="EI268" s="2" t="n">
        <v>100</v>
      </c>
      <c r="EJ268" s="2" t="n">
        <v>0</v>
      </c>
      <c r="EK268" s="2" t="n">
        <v>100</v>
      </c>
      <c r="EL268" s="2" t="n">
        <v>100</v>
      </c>
      <c r="EM268" s="2" t="n">
        <v>0</v>
      </c>
      <c r="EN268" s="2" t="n">
        <v>100</v>
      </c>
      <c r="EO268" s="2" t="n">
        <v>100</v>
      </c>
      <c r="EP268" s="2" t="n">
        <v>0</v>
      </c>
      <c r="EQ268" s="2" t="n">
        <v>100</v>
      </c>
      <c r="ER268" s="2" t="n">
        <v>100</v>
      </c>
      <c r="ES268" s="2" t="n">
        <v>0</v>
      </c>
    </row>
    <row r="269">
      <c r="A269" s="2" t="n">
        <v>3</v>
      </c>
      <c r="B269" s="2" t="inlineStr">
        <is>
          <t>13.04.01</t>
        </is>
      </c>
      <c r="C269" s="2" t="inlineStr">
        <is>
          <t>Impermeabilização de contenções</t>
        </is>
      </c>
      <c r="D269" s="2" t="inlineStr">
        <is>
          <t>13/11/2026</t>
        </is>
      </c>
      <c r="E269" s="2" t="inlineStr">
        <is>
          <t>23/12/2026</t>
        </is>
      </c>
      <c r="F269" s="2" t="n">
        <v>16614.8361</v>
      </c>
      <c r="G269" s="2" t="n">
        <v>0</v>
      </c>
      <c r="H269" s="2" t="n">
        <v>16614.8361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0</v>
      </c>
      <c r="P269" s="2" t="n">
        <v>0</v>
      </c>
      <c r="Q269" s="2" t="n">
        <v>0</v>
      </c>
      <c r="R269" s="2" t="n">
        <v>0</v>
      </c>
      <c r="S269" s="2" t="n">
        <v>0</v>
      </c>
      <c r="T269" s="2" t="n">
        <v>0</v>
      </c>
      <c r="U269" s="2" t="n">
        <v>0</v>
      </c>
      <c r="V269" s="2" t="n">
        <v>0</v>
      </c>
      <c r="W269" s="2" t="n">
        <v>0</v>
      </c>
      <c r="X269" s="2" t="n">
        <v>0</v>
      </c>
      <c r="Y269" s="2" t="n">
        <v>0</v>
      </c>
      <c r="Z269" s="2" t="n">
        <v>0</v>
      </c>
      <c r="AA269" s="2" t="n">
        <v>0</v>
      </c>
      <c r="AB269" s="2" t="n">
        <v>0</v>
      </c>
      <c r="AC269" s="2" t="n">
        <v>0</v>
      </c>
      <c r="AD269" s="2" t="n">
        <v>0</v>
      </c>
      <c r="AE269" s="2" t="n">
        <v>0</v>
      </c>
      <c r="AF269" s="2" t="n">
        <v>0</v>
      </c>
      <c r="AG269" s="2" t="n">
        <v>0</v>
      </c>
      <c r="AH269" s="2" t="n">
        <v>0</v>
      </c>
      <c r="AI269" s="2" t="n">
        <v>0</v>
      </c>
      <c r="AJ269" s="2" t="n">
        <v>0</v>
      </c>
      <c r="AK269" s="2" t="n">
        <v>0</v>
      </c>
      <c r="AL269" s="2" t="n">
        <v>0</v>
      </c>
      <c r="AM269" s="2" t="n">
        <v>0</v>
      </c>
      <c r="AN269" s="2" t="n">
        <v>0</v>
      </c>
      <c r="AO269" s="2" t="n">
        <v>0</v>
      </c>
      <c r="AP269" s="2" t="n">
        <v>0</v>
      </c>
      <c r="AQ269" s="2" t="n">
        <v>0</v>
      </c>
      <c r="AR269" s="2" t="n">
        <v>0</v>
      </c>
      <c r="AS269" s="2" t="n">
        <v>0</v>
      </c>
      <c r="AT269" s="2" t="n">
        <v>0</v>
      </c>
      <c r="AU269" s="2" t="n">
        <v>0</v>
      </c>
      <c r="AV269" s="2" t="n">
        <v>0</v>
      </c>
      <c r="AW269" s="2" t="n">
        <v>0</v>
      </c>
      <c r="AX269" s="2" t="n">
        <v>0</v>
      </c>
      <c r="AY269" s="2" t="n">
        <v>0</v>
      </c>
      <c r="AZ269" s="2" t="n">
        <v>0</v>
      </c>
      <c r="BA269" s="2" t="n">
        <v>0</v>
      </c>
      <c r="BB269" s="2" t="n">
        <v>13.33</v>
      </c>
      <c r="BC269" s="2" t="n">
        <v>0</v>
      </c>
      <c r="BD269" s="2" t="n">
        <v>0</v>
      </c>
      <c r="BE269" s="2" t="n">
        <v>60</v>
      </c>
      <c r="BF269" s="2" t="n">
        <v>0</v>
      </c>
      <c r="BG269" s="2" t="n">
        <v>0</v>
      </c>
      <c r="BH269" s="2" t="n">
        <v>100</v>
      </c>
      <c r="BI269" s="2" t="n">
        <v>40.74</v>
      </c>
      <c r="BJ269" s="2" t="n">
        <v>0</v>
      </c>
      <c r="BK269" s="2" t="n">
        <v>100</v>
      </c>
      <c r="BL269" s="2" t="n">
        <v>100</v>
      </c>
      <c r="BM269" s="2" t="n">
        <v>0</v>
      </c>
      <c r="BN269" s="2" t="n">
        <v>100</v>
      </c>
      <c r="BO269" s="2" t="n">
        <v>100</v>
      </c>
      <c r="BP269" s="2" t="n">
        <v>0</v>
      </c>
      <c r="BQ269" s="2" t="n">
        <v>100</v>
      </c>
      <c r="BR269" s="2" t="n">
        <v>100</v>
      </c>
      <c r="BS269" s="2" t="n">
        <v>0</v>
      </c>
      <c r="BT269" s="2" t="n">
        <v>100</v>
      </c>
      <c r="BU269" s="2" t="n">
        <v>100</v>
      </c>
      <c r="BV269" s="2" t="n">
        <v>0</v>
      </c>
      <c r="BW269" s="2" t="n">
        <v>100</v>
      </c>
      <c r="BX269" s="2" t="n">
        <v>100</v>
      </c>
      <c r="BY269" s="2" t="n">
        <v>0</v>
      </c>
      <c r="BZ269" s="2" t="n">
        <v>100</v>
      </c>
      <c r="CA269" s="2" t="n">
        <v>100</v>
      </c>
      <c r="CB269" s="2" t="n">
        <v>0</v>
      </c>
      <c r="CC269" s="2" t="n">
        <v>100</v>
      </c>
      <c r="CD269" s="2" t="n">
        <v>100</v>
      </c>
      <c r="CE269" s="2" t="n">
        <v>0</v>
      </c>
      <c r="CF269" s="2" t="n">
        <v>100</v>
      </c>
      <c r="CG269" s="2" t="n">
        <v>100</v>
      </c>
      <c r="CH269" s="2" t="n">
        <v>0</v>
      </c>
      <c r="CI269" s="2" t="n">
        <v>100</v>
      </c>
      <c r="CJ269" s="2" t="n">
        <v>100</v>
      </c>
      <c r="CK269" s="2" t="n">
        <v>0</v>
      </c>
      <c r="CL269" s="2" t="n">
        <v>100</v>
      </c>
      <c r="CM269" s="2" t="n">
        <v>100</v>
      </c>
      <c r="CN269" s="2" t="n">
        <v>0</v>
      </c>
      <c r="CO269" s="2" t="n">
        <v>100</v>
      </c>
      <c r="CP269" s="2" t="n">
        <v>100</v>
      </c>
      <c r="CQ269" s="2" t="n">
        <v>0</v>
      </c>
      <c r="CR269" s="2" t="n">
        <v>100</v>
      </c>
      <c r="CS269" s="2" t="n">
        <v>100</v>
      </c>
      <c r="CT269" s="2" t="n">
        <v>0</v>
      </c>
      <c r="CU269" s="2" t="n">
        <v>100</v>
      </c>
      <c r="CV269" s="2" t="n">
        <v>100</v>
      </c>
      <c r="CW269" s="2" t="n">
        <v>0</v>
      </c>
      <c r="CX269" s="2" t="n">
        <v>100</v>
      </c>
      <c r="CY269" s="2" t="n">
        <v>100</v>
      </c>
      <c r="CZ269" s="2" t="n">
        <v>0</v>
      </c>
      <c r="DA269" s="2" t="n">
        <v>100</v>
      </c>
      <c r="DB269" s="2" t="n">
        <v>100</v>
      </c>
      <c r="DC269" s="2" t="n">
        <v>0</v>
      </c>
      <c r="DD269" s="2" t="n">
        <v>100</v>
      </c>
      <c r="DE269" s="2" t="n">
        <v>100</v>
      </c>
      <c r="DF269" s="2" t="n">
        <v>0</v>
      </c>
      <c r="DG269" s="2" t="n">
        <v>100</v>
      </c>
      <c r="DH269" s="2" t="n">
        <v>100</v>
      </c>
      <c r="DI269" s="2" t="n">
        <v>0</v>
      </c>
      <c r="DJ269" s="2" t="n">
        <v>100</v>
      </c>
      <c r="DK269" s="2" t="n">
        <v>100</v>
      </c>
      <c r="DL269" s="2" t="n">
        <v>0</v>
      </c>
      <c r="DM269" s="2" t="n">
        <v>100</v>
      </c>
      <c r="DN269" s="2" t="n">
        <v>100</v>
      </c>
      <c r="DO269" s="2" t="n">
        <v>0</v>
      </c>
      <c r="DP269" s="2" t="n">
        <v>100</v>
      </c>
      <c r="DQ269" s="2" t="n">
        <v>100</v>
      </c>
      <c r="DR269" s="2" t="n">
        <v>0</v>
      </c>
      <c r="DS269" s="2" t="n">
        <v>100</v>
      </c>
      <c r="DT269" s="2" t="n">
        <v>100</v>
      </c>
      <c r="DU269" s="2" t="n">
        <v>0</v>
      </c>
      <c r="DV269" s="2" t="n">
        <v>100</v>
      </c>
      <c r="DW269" s="2" t="n">
        <v>100</v>
      </c>
      <c r="DX269" s="2" t="n">
        <v>0</v>
      </c>
      <c r="DY269" s="2" t="n">
        <v>100</v>
      </c>
      <c r="DZ269" s="2" t="n">
        <v>100</v>
      </c>
      <c r="EA269" s="2" t="n">
        <v>0</v>
      </c>
      <c r="EB269" s="2" t="n">
        <v>100</v>
      </c>
      <c r="EC269" s="2" t="n">
        <v>100</v>
      </c>
      <c r="ED269" s="2" t="n">
        <v>0</v>
      </c>
      <c r="EE269" s="2" t="n">
        <v>100</v>
      </c>
      <c r="EF269" s="2" t="n">
        <v>100</v>
      </c>
      <c r="EG269" s="2" t="n">
        <v>0</v>
      </c>
      <c r="EH269" s="2" t="n">
        <v>100</v>
      </c>
      <c r="EI269" s="2" t="n">
        <v>100</v>
      </c>
      <c r="EJ269" s="2" t="n">
        <v>0</v>
      </c>
      <c r="EK269" s="2" t="n">
        <v>100</v>
      </c>
      <c r="EL269" s="2" t="n">
        <v>100</v>
      </c>
      <c r="EM269" s="2" t="n">
        <v>0</v>
      </c>
      <c r="EN269" s="2" t="n">
        <v>100</v>
      </c>
      <c r="EO269" s="2" t="n">
        <v>100</v>
      </c>
      <c r="EP269" s="2" t="n">
        <v>0</v>
      </c>
      <c r="EQ269" s="2" t="n">
        <v>100</v>
      </c>
      <c r="ER269" s="2" t="n">
        <v>100</v>
      </c>
      <c r="ES269" s="2" t="n">
        <v>0</v>
      </c>
    </row>
    <row r="270">
      <c r="A270" s="2" t="n">
        <v>3</v>
      </c>
      <c r="B270" s="2" t="inlineStr">
        <is>
          <t>13.04.02</t>
        </is>
      </c>
      <c r="C270" s="2" t="inlineStr">
        <is>
          <t>Drenagem para contenções</t>
        </is>
      </c>
      <c r="D270" s="2" t="inlineStr">
        <is>
          <t>13/11/2026</t>
        </is>
      </c>
      <c r="E270" s="2" t="inlineStr">
        <is>
          <t>23/12/2026</t>
        </is>
      </c>
      <c r="F270" s="2" t="n">
        <v>16614.8361</v>
      </c>
      <c r="G270" s="2" t="n">
        <v>0</v>
      </c>
      <c r="H270" s="2" t="n">
        <v>16614.8361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0</v>
      </c>
      <c r="P270" s="2" t="n">
        <v>0</v>
      </c>
      <c r="Q270" s="2" t="n">
        <v>0</v>
      </c>
      <c r="R270" s="2" t="n">
        <v>0</v>
      </c>
      <c r="S270" s="2" t="n">
        <v>0</v>
      </c>
      <c r="T270" s="2" t="n">
        <v>0</v>
      </c>
      <c r="U270" s="2" t="n">
        <v>0</v>
      </c>
      <c r="V270" s="2" t="n">
        <v>0</v>
      </c>
      <c r="W270" s="2" t="n">
        <v>0</v>
      </c>
      <c r="X270" s="2" t="n">
        <v>0</v>
      </c>
      <c r="Y270" s="2" t="n">
        <v>0</v>
      </c>
      <c r="Z270" s="2" t="n">
        <v>0</v>
      </c>
      <c r="AA270" s="2" t="n">
        <v>0</v>
      </c>
      <c r="AB270" s="2" t="n">
        <v>0</v>
      </c>
      <c r="AC270" s="2" t="n">
        <v>0</v>
      </c>
      <c r="AD270" s="2" t="n">
        <v>0</v>
      </c>
      <c r="AE270" s="2" t="n">
        <v>0</v>
      </c>
      <c r="AF270" s="2" t="n">
        <v>0</v>
      </c>
      <c r="AG270" s="2" t="n">
        <v>0</v>
      </c>
      <c r="AH270" s="2" t="n">
        <v>0</v>
      </c>
      <c r="AI270" s="2" t="n">
        <v>0</v>
      </c>
      <c r="AJ270" s="2" t="n">
        <v>0</v>
      </c>
      <c r="AK270" s="2" t="n">
        <v>0</v>
      </c>
      <c r="AL270" s="2" t="n">
        <v>0</v>
      </c>
      <c r="AM270" s="2" t="n">
        <v>0</v>
      </c>
      <c r="AN270" s="2" t="n">
        <v>0</v>
      </c>
      <c r="AO270" s="2" t="n">
        <v>0</v>
      </c>
      <c r="AP270" s="2" t="n">
        <v>0</v>
      </c>
      <c r="AQ270" s="2" t="n">
        <v>0</v>
      </c>
      <c r="AR270" s="2" t="n">
        <v>0</v>
      </c>
      <c r="AS270" s="2" t="n">
        <v>0</v>
      </c>
      <c r="AT270" s="2" t="n">
        <v>0</v>
      </c>
      <c r="AU270" s="2" t="n">
        <v>0</v>
      </c>
      <c r="AV270" s="2" t="n">
        <v>0</v>
      </c>
      <c r="AW270" s="2" t="n">
        <v>0</v>
      </c>
      <c r="AX270" s="2" t="n">
        <v>0</v>
      </c>
      <c r="AY270" s="2" t="n">
        <v>0</v>
      </c>
      <c r="AZ270" s="2" t="n">
        <v>0</v>
      </c>
      <c r="BA270" s="2" t="n">
        <v>0</v>
      </c>
      <c r="BB270" s="2" t="n">
        <v>13.33</v>
      </c>
      <c r="BC270" s="2" t="n">
        <v>0</v>
      </c>
      <c r="BD270" s="2" t="n">
        <v>0</v>
      </c>
      <c r="BE270" s="2" t="n">
        <v>60</v>
      </c>
      <c r="BF270" s="2" t="n">
        <v>0</v>
      </c>
      <c r="BG270" s="2" t="n">
        <v>0</v>
      </c>
      <c r="BH270" s="2" t="n">
        <v>100</v>
      </c>
      <c r="BI270" s="2" t="n">
        <v>40.74</v>
      </c>
      <c r="BJ270" s="2" t="n">
        <v>0</v>
      </c>
      <c r="BK270" s="2" t="n">
        <v>100</v>
      </c>
      <c r="BL270" s="2" t="n">
        <v>100</v>
      </c>
      <c r="BM270" s="2" t="n">
        <v>0</v>
      </c>
      <c r="BN270" s="2" t="n">
        <v>100</v>
      </c>
      <c r="BO270" s="2" t="n">
        <v>100</v>
      </c>
      <c r="BP270" s="2" t="n">
        <v>0</v>
      </c>
      <c r="BQ270" s="2" t="n">
        <v>100</v>
      </c>
      <c r="BR270" s="2" t="n">
        <v>100</v>
      </c>
      <c r="BS270" s="2" t="n">
        <v>0</v>
      </c>
      <c r="BT270" s="2" t="n">
        <v>100</v>
      </c>
      <c r="BU270" s="2" t="n">
        <v>100</v>
      </c>
      <c r="BV270" s="2" t="n">
        <v>0</v>
      </c>
      <c r="BW270" s="2" t="n">
        <v>100</v>
      </c>
      <c r="BX270" s="2" t="n">
        <v>100</v>
      </c>
      <c r="BY270" s="2" t="n">
        <v>0</v>
      </c>
      <c r="BZ270" s="2" t="n">
        <v>100</v>
      </c>
      <c r="CA270" s="2" t="n">
        <v>100</v>
      </c>
      <c r="CB270" s="2" t="n">
        <v>0</v>
      </c>
      <c r="CC270" s="2" t="n">
        <v>100</v>
      </c>
      <c r="CD270" s="2" t="n">
        <v>100</v>
      </c>
      <c r="CE270" s="2" t="n">
        <v>0</v>
      </c>
      <c r="CF270" s="2" t="n">
        <v>100</v>
      </c>
      <c r="CG270" s="2" t="n">
        <v>100</v>
      </c>
      <c r="CH270" s="2" t="n">
        <v>0</v>
      </c>
      <c r="CI270" s="2" t="n">
        <v>100</v>
      </c>
      <c r="CJ270" s="2" t="n">
        <v>100</v>
      </c>
      <c r="CK270" s="2" t="n">
        <v>0</v>
      </c>
      <c r="CL270" s="2" t="n">
        <v>100</v>
      </c>
      <c r="CM270" s="2" t="n">
        <v>100</v>
      </c>
      <c r="CN270" s="2" t="n">
        <v>0</v>
      </c>
      <c r="CO270" s="2" t="n">
        <v>100</v>
      </c>
      <c r="CP270" s="2" t="n">
        <v>100</v>
      </c>
      <c r="CQ270" s="2" t="n">
        <v>0</v>
      </c>
      <c r="CR270" s="2" t="n">
        <v>100</v>
      </c>
      <c r="CS270" s="2" t="n">
        <v>100</v>
      </c>
      <c r="CT270" s="2" t="n">
        <v>0</v>
      </c>
      <c r="CU270" s="2" t="n">
        <v>100</v>
      </c>
      <c r="CV270" s="2" t="n">
        <v>100</v>
      </c>
      <c r="CW270" s="2" t="n">
        <v>0</v>
      </c>
      <c r="CX270" s="2" t="n">
        <v>100</v>
      </c>
      <c r="CY270" s="2" t="n">
        <v>100</v>
      </c>
      <c r="CZ270" s="2" t="n">
        <v>0</v>
      </c>
      <c r="DA270" s="2" t="n">
        <v>100</v>
      </c>
      <c r="DB270" s="2" t="n">
        <v>100</v>
      </c>
      <c r="DC270" s="2" t="n">
        <v>0</v>
      </c>
      <c r="DD270" s="2" t="n">
        <v>100</v>
      </c>
      <c r="DE270" s="2" t="n">
        <v>100</v>
      </c>
      <c r="DF270" s="2" t="n">
        <v>0</v>
      </c>
      <c r="DG270" s="2" t="n">
        <v>100</v>
      </c>
      <c r="DH270" s="2" t="n">
        <v>100</v>
      </c>
      <c r="DI270" s="2" t="n">
        <v>0</v>
      </c>
      <c r="DJ270" s="2" t="n">
        <v>100</v>
      </c>
      <c r="DK270" s="2" t="n">
        <v>100</v>
      </c>
      <c r="DL270" s="2" t="n">
        <v>0</v>
      </c>
      <c r="DM270" s="2" t="n">
        <v>100</v>
      </c>
      <c r="DN270" s="2" t="n">
        <v>100</v>
      </c>
      <c r="DO270" s="2" t="n">
        <v>0</v>
      </c>
      <c r="DP270" s="2" t="n">
        <v>100</v>
      </c>
      <c r="DQ270" s="2" t="n">
        <v>100</v>
      </c>
      <c r="DR270" s="2" t="n">
        <v>0</v>
      </c>
      <c r="DS270" s="2" t="n">
        <v>100</v>
      </c>
      <c r="DT270" s="2" t="n">
        <v>100</v>
      </c>
      <c r="DU270" s="2" t="n">
        <v>0</v>
      </c>
      <c r="DV270" s="2" t="n">
        <v>100</v>
      </c>
      <c r="DW270" s="2" t="n">
        <v>100</v>
      </c>
      <c r="DX270" s="2" t="n">
        <v>0</v>
      </c>
      <c r="DY270" s="2" t="n">
        <v>100</v>
      </c>
      <c r="DZ270" s="2" t="n">
        <v>100</v>
      </c>
      <c r="EA270" s="2" t="n">
        <v>0</v>
      </c>
      <c r="EB270" s="2" t="n">
        <v>100</v>
      </c>
      <c r="EC270" s="2" t="n">
        <v>100</v>
      </c>
      <c r="ED270" s="2" t="n">
        <v>0</v>
      </c>
      <c r="EE270" s="2" t="n">
        <v>100</v>
      </c>
      <c r="EF270" s="2" t="n">
        <v>100</v>
      </c>
      <c r="EG270" s="2" t="n">
        <v>0</v>
      </c>
      <c r="EH270" s="2" t="n">
        <v>100</v>
      </c>
      <c r="EI270" s="2" t="n">
        <v>100</v>
      </c>
      <c r="EJ270" s="2" t="n">
        <v>0</v>
      </c>
      <c r="EK270" s="2" t="n">
        <v>100</v>
      </c>
      <c r="EL270" s="2" t="n">
        <v>100</v>
      </c>
      <c r="EM270" s="2" t="n">
        <v>0</v>
      </c>
      <c r="EN270" s="2" t="n">
        <v>100</v>
      </c>
      <c r="EO270" s="2" t="n">
        <v>100</v>
      </c>
      <c r="EP270" s="2" t="n">
        <v>0</v>
      </c>
      <c r="EQ270" s="2" t="n">
        <v>100</v>
      </c>
      <c r="ER270" s="2" t="n">
        <v>100</v>
      </c>
      <c r="ES270" s="2" t="n">
        <v>0</v>
      </c>
    </row>
    <row r="271">
      <c r="A271" s="2" t="n">
        <v>2</v>
      </c>
      <c r="B271" s="2" t="inlineStr">
        <is>
          <t>13.05</t>
        </is>
      </c>
      <c r="C271" s="2" t="inlineStr">
        <is>
          <t>Alvenaria de blocos cerâmicos para isolamento de contenções</t>
        </is>
      </c>
      <c r="D271" s="2" t="inlineStr">
        <is>
          <t>09/04/2027</t>
        </is>
      </c>
      <c r="E271" s="2" t="inlineStr">
        <is>
          <t>11/05/2027</t>
        </is>
      </c>
      <c r="F271" s="2" t="n">
        <v>48182.51402557208</v>
      </c>
      <c r="G271" s="2" t="n">
        <v>0</v>
      </c>
      <c r="H271" s="2" t="n">
        <v>48182.51402557208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0</v>
      </c>
      <c r="P271" s="2" t="n">
        <v>0</v>
      </c>
      <c r="Q271" s="2" t="n">
        <v>0</v>
      </c>
      <c r="R271" s="2" t="n">
        <v>0</v>
      </c>
      <c r="S271" s="2" t="n">
        <v>0</v>
      </c>
      <c r="T271" s="2" t="n">
        <v>0</v>
      </c>
      <c r="U271" s="2" t="n">
        <v>0</v>
      </c>
      <c r="V271" s="2" t="n">
        <v>0</v>
      </c>
      <c r="W271" s="2" t="n">
        <v>0</v>
      </c>
      <c r="X271" s="2" t="n">
        <v>0</v>
      </c>
      <c r="Y271" s="2" t="n">
        <v>0</v>
      </c>
      <c r="Z271" s="2" t="n">
        <v>0</v>
      </c>
      <c r="AA271" s="2" t="n">
        <v>0</v>
      </c>
      <c r="AB271" s="2" t="n">
        <v>0</v>
      </c>
      <c r="AC271" s="2" t="n">
        <v>0</v>
      </c>
      <c r="AD271" s="2" t="n">
        <v>0</v>
      </c>
      <c r="AE271" s="2" t="n">
        <v>0</v>
      </c>
      <c r="AF271" s="2" t="n">
        <v>0</v>
      </c>
      <c r="AG271" s="2" t="n">
        <v>0</v>
      </c>
      <c r="AH271" s="2" t="n">
        <v>0</v>
      </c>
      <c r="AI271" s="2" t="n">
        <v>0</v>
      </c>
      <c r="AJ271" s="2" t="n">
        <v>0</v>
      </c>
      <c r="AK271" s="2" t="n">
        <v>0</v>
      </c>
      <c r="AL271" s="2" t="n">
        <v>0</v>
      </c>
      <c r="AM271" s="2" t="n">
        <v>0</v>
      </c>
      <c r="AN271" s="2" t="n">
        <v>0</v>
      </c>
      <c r="AO271" s="2" t="n">
        <v>0</v>
      </c>
      <c r="AP271" s="2" t="n">
        <v>0</v>
      </c>
      <c r="AQ271" s="2" t="n">
        <v>0</v>
      </c>
      <c r="AR271" s="2" t="n">
        <v>0</v>
      </c>
      <c r="AS271" s="2" t="n">
        <v>0</v>
      </c>
      <c r="AT271" s="2" t="n">
        <v>0</v>
      </c>
      <c r="AU271" s="2" t="n">
        <v>0</v>
      </c>
      <c r="AV271" s="2" t="n">
        <v>0</v>
      </c>
      <c r="AW271" s="2" t="n">
        <v>0</v>
      </c>
      <c r="AX271" s="2" t="n">
        <v>0</v>
      </c>
      <c r="AY271" s="2" t="n">
        <v>0</v>
      </c>
      <c r="AZ271" s="2" t="n">
        <v>0</v>
      </c>
      <c r="BA271" s="2" t="n">
        <v>0</v>
      </c>
      <c r="BB271" s="2" t="n">
        <v>0</v>
      </c>
      <c r="BC271" s="2" t="n">
        <v>0</v>
      </c>
      <c r="BD271" s="2" t="n">
        <v>0</v>
      </c>
      <c r="BE271" s="2" t="n">
        <v>0</v>
      </c>
      <c r="BF271" s="2" t="n">
        <v>0</v>
      </c>
      <c r="BG271" s="2" t="n">
        <v>0</v>
      </c>
      <c r="BH271" s="2" t="n">
        <v>0</v>
      </c>
      <c r="BI271" s="2" t="n">
        <v>0</v>
      </c>
      <c r="BJ271" s="2" t="n">
        <v>0</v>
      </c>
      <c r="BK271" s="2" t="n">
        <v>0</v>
      </c>
      <c r="BL271" s="2" t="n">
        <v>0</v>
      </c>
      <c r="BM271" s="2" t="n">
        <v>0</v>
      </c>
      <c r="BN271" s="2" t="n">
        <v>0</v>
      </c>
      <c r="BO271" s="2" t="n">
        <v>0</v>
      </c>
      <c r="BP271" s="2" t="n">
        <v>0</v>
      </c>
      <c r="BQ271" s="2" t="n">
        <v>0</v>
      </c>
      <c r="BR271" s="2" t="n">
        <v>0</v>
      </c>
      <c r="BS271" s="2" t="n">
        <v>0</v>
      </c>
      <c r="BT271" s="2" t="n">
        <v>0</v>
      </c>
      <c r="BU271" s="2" t="n">
        <v>0</v>
      </c>
      <c r="BV271" s="2" t="n">
        <v>0</v>
      </c>
      <c r="BW271" s="2" t="n">
        <v>68.18000000000001</v>
      </c>
      <c r="BX271" s="2" t="n">
        <v>68.18000000000001</v>
      </c>
      <c r="BY271" s="2" t="n">
        <v>0</v>
      </c>
      <c r="BZ271" s="2" t="n">
        <v>100</v>
      </c>
      <c r="CA271" s="2" t="n">
        <v>100</v>
      </c>
      <c r="CB271" s="2" t="n">
        <v>0</v>
      </c>
      <c r="CC271" s="2" t="n">
        <v>100</v>
      </c>
      <c r="CD271" s="2" t="n">
        <v>100</v>
      </c>
      <c r="CE271" s="2" t="n">
        <v>0</v>
      </c>
      <c r="CF271" s="2" t="n">
        <v>100</v>
      </c>
      <c r="CG271" s="2" t="n">
        <v>100</v>
      </c>
      <c r="CH271" s="2" t="n">
        <v>0</v>
      </c>
      <c r="CI271" s="2" t="n">
        <v>100</v>
      </c>
      <c r="CJ271" s="2" t="n">
        <v>100</v>
      </c>
      <c r="CK271" s="2" t="n">
        <v>0</v>
      </c>
      <c r="CL271" s="2" t="n">
        <v>100</v>
      </c>
      <c r="CM271" s="2" t="n">
        <v>100</v>
      </c>
      <c r="CN271" s="2" t="n">
        <v>0</v>
      </c>
      <c r="CO271" s="2" t="n">
        <v>100</v>
      </c>
      <c r="CP271" s="2" t="n">
        <v>100</v>
      </c>
      <c r="CQ271" s="2" t="n">
        <v>0</v>
      </c>
      <c r="CR271" s="2" t="n">
        <v>100</v>
      </c>
      <c r="CS271" s="2" t="n">
        <v>100</v>
      </c>
      <c r="CT271" s="2" t="n">
        <v>0</v>
      </c>
      <c r="CU271" s="2" t="n">
        <v>100</v>
      </c>
      <c r="CV271" s="2" t="n">
        <v>100</v>
      </c>
      <c r="CW271" s="2" t="n">
        <v>0</v>
      </c>
      <c r="CX271" s="2" t="n">
        <v>100</v>
      </c>
      <c r="CY271" s="2" t="n">
        <v>100</v>
      </c>
      <c r="CZ271" s="2" t="n">
        <v>0</v>
      </c>
      <c r="DA271" s="2" t="n">
        <v>100</v>
      </c>
      <c r="DB271" s="2" t="n">
        <v>100</v>
      </c>
      <c r="DC271" s="2" t="n">
        <v>0</v>
      </c>
      <c r="DD271" s="2" t="n">
        <v>100</v>
      </c>
      <c r="DE271" s="2" t="n">
        <v>100</v>
      </c>
      <c r="DF271" s="2" t="n">
        <v>0</v>
      </c>
      <c r="DG271" s="2" t="n">
        <v>100</v>
      </c>
      <c r="DH271" s="2" t="n">
        <v>100</v>
      </c>
      <c r="DI271" s="2" t="n">
        <v>0</v>
      </c>
      <c r="DJ271" s="2" t="n">
        <v>100</v>
      </c>
      <c r="DK271" s="2" t="n">
        <v>100</v>
      </c>
      <c r="DL271" s="2" t="n">
        <v>0</v>
      </c>
      <c r="DM271" s="2" t="n">
        <v>100</v>
      </c>
      <c r="DN271" s="2" t="n">
        <v>100</v>
      </c>
      <c r="DO271" s="2" t="n">
        <v>0</v>
      </c>
      <c r="DP271" s="2" t="n">
        <v>100</v>
      </c>
      <c r="DQ271" s="2" t="n">
        <v>100</v>
      </c>
      <c r="DR271" s="2" t="n">
        <v>0</v>
      </c>
      <c r="DS271" s="2" t="n">
        <v>100</v>
      </c>
      <c r="DT271" s="2" t="n">
        <v>100</v>
      </c>
      <c r="DU271" s="2" t="n">
        <v>0</v>
      </c>
      <c r="DV271" s="2" t="n">
        <v>100</v>
      </c>
      <c r="DW271" s="2" t="n">
        <v>100</v>
      </c>
      <c r="DX271" s="2" t="n">
        <v>0</v>
      </c>
      <c r="DY271" s="2" t="n">
        <v>100</v>
      </c>
      <c r="DZ271" s="2" t="n">
        <v>100</v>
      </c>
      <c r="EA271" s="2" t="n">
        <v>0</v>
      </c>
      <c r="EB271" s="2" t="n">
        <v>100</v>
      </c>
      <c r="EC271" s="2" t="n">
        <v>100</v>
      </c>
      <c r="ED271" s="2" t="n">
        <v>0</v>
      </c>
      <c r="EE271" s="2" t="n">
        <v>100</v>
      </c>
      <c r="EF271" s="2" t="n">
        <v>100</v>
      </c>
      <c r="EG271" s="2" t="n">
        <v>0</v>
      </c>
      <c r="EH271" s="2" t="n">
        <v>100</v>
      </c>
      <c r="EI271" s="2" t="n">
        <v>100</v>
      </c>
      <c r="EJ271" s="2" t="n">
        <v>0</v>
      </c>
      <c r="EK271" s="2" t="n">
        <v>100</v>
      </c>
      <c r="EL271" s="2" t="n">
        <v>100</v>
      </c>
      <c r="EM271" s="2" t="n">
        <v>0</v>
      </c>
      <c r="EN271" s="2" t="n">
        <v>100</v>
      </c>
      <c r="EO271" s="2" t="n">
        <v>100</v>
      </c>
      <c r="EP271" s="2" t="n">
        <v>0</v>
      </c>
      <c r="EQ271" s="2" t="n">
        <v>100</v>
      </c>
      <c r="ER271" s="2" t="n">
        <v>100</v>
      </c>
      <c r="ES271" s="2" t="n">
        <v>0</v>
      </c>
    </row>
    <row r="272">
      <c r="A272" s="2" t="n">
        <v>3</v>
      </c>
      <c r="B272" s="2" t="inlineStr">
        <is>
          <t>13.05.01</t>
        </is>
      </c>
      <c r="C272" s="2" t="inlineStr">
        <is>
          <t>Demarcação de alvenaria de vedação com blocos cerâmicos esp.9cm</t>
        </is>
      </c>
      <c r="D272" s="2" t="inlineStr">
        <is>
          <t>09/04/2027</t>
        </is>
      </c>
      <c r="E272" s="2" t="inlineStr">
        <is>
          <t>11/05/2027</t>
        </is>
      </c>
      <c r="F272" s="2" t="n">
        <v>4467.03775524</v>
      </c>
      <c r="G272" s="2" t="n">
        <v>0</v>
      </c>
      <c r="H272" s="2" t="n">
        <v>4467.03775524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0</v>
      </c>
      <c r="P272" s="2" t="n">
        <v>0</v>
      </c>
      <c r="Q272" s="2" t="n">
        <v>0</v>
      </c>
      <c r="R272" s="2" t="n">
        <v>0</v>
      </c>
      <c r="S272" s="2" t="n">
        <v>0</v>
      </c>
      <c r="T272" s="2" t="n">
        <v>0</v>
      </c>
      <c r="U272" s="2" t="n">
        <v>0</v>
      </c>
      <c r="V272" s="2" t="n">
        <v>0</v>
      </c>
      <c r="W272" s="2" t="n">
        <v>0</v>
      </c>
      <c r="X272" s="2" t="n">
        <v>0</v>
      </c>
      <c r="Y272" s="2" t="n">
        <v>0</v>
      </c>
      <c r="Z272" s="2" t="n">
        <v>0</v>
      </c>
      <c r="AA272" s="2" t="n">
        <v>0</v>
      </c>
      <c r="AB272" s="2" t="n">
        <v>0</v>
      </c>
      <c r="AC272" s="2" t="n">
        <v>0</v>
      </c>
      <c r="AD272" s="2" t="n">
        <v>0</v>
      </c>
      <c r="AE272" s="2" t="n">
        <v>0</v>
      </c>
      <c r="AF272" s="2" t="n">
        <v>0</v>
      </c>
      <c r="AG272" s="2" t="n">
        <v>0</v>
      </c>
      <c r="AH272" s="2" t="n">
        <v>0</v>
      </c>
      <c r="AI272" s="2" t="n">
        <v>0</v>
      </c>
      <c r="AJ272" s="2" t="n">
        <v>0</v>
      </c>
      <c r="AK272" s="2" t="n">
        <v>0</v>
      </c>
      <c r="AL272" s="2" t="n">
        <v>0</v>
      </c>
      <c r="AM272" s="2" t="n">
        <v>0</v>
      </c>
      <c r="AN272" s="2" t="n">
        <v>0</v>
      </c>
      <c r="AO272" s="2" t="n">
        <v>0</v>
      </c>
      <c r="AP272" s="2" t="n">
        <v>0</v>
      </c>
      <c r="AQ272" s="2" t="n">
        <v>0</v>
      </c>
      <c r="AR272" s="2" t="n">
        <v>0</v>
      </c>
      <c r="AS272" s="2" t="n">
        <v>0</v>
      </c>
      <c r="AT272" s="2" t="n">
        <v>0</v>
      </c>
      <c r="AU272" s="2" t="n">
        <v>0</v>
      </c>
      <c r="AV272" s="2" t="n">
        <v>0</v>
      </c>
      <c r="AW272" s="2" t="n">
        <v>0</v>
      </c>
      <c r="AX272" s="2" t="n">
        <v>0</v>
      </c>
      <c r="AY272" s="2" t="n">
        <v>0</v>
      </c>
      <c r="AZ272" s="2" t="n">
        <v>0</v>
      </c>
      <c r="BA272" s="2" t="n">
        <v>0</v>
      </c>
      <c r="BB272" s="2" t="n">
        <v>0</v>
      </c>
      <c r="BC272" s="2" t="n">
        <v>0</v>
      </c>
      <c r="BD272" s="2" t="n">
        <v>0</v>
      </c>
      <c r="BE272" s="2" t="n">
        <v>0</v>
      </c>
      <c r="BF272" s="2" t="n">
        <v>0</v>
      </c>
      <c r="BG272" s="2" t="n">
        <v>0</v>
      </c>
      <c r="BH272" s="2" t="n">
        <v>0</v>
      </c>
      <c r="BI272" s="2" t="n">
        <v>0</v>
      </c>
      <c r="BJ272" s="2" t="n">
        <v>0</v>
      </c>
      <c r="BK272" s="2" t="n">
        <v>0</v>
      </c>
      <c r="BL272" s="2" t="n">
        <v>0</v>
      </c>
      <c r="BM272" s="2" t="n">
        <v>0</v>
      </c>
      <c r="BN272" s="2" t="n">
        <v>0</v>
      </c>
      <c r="BO272" s="2" t="n">
        <v>0</v>
      </c>
      <c r="BP272" s="2" t="n">
        <v>0</v>
      </c>
      <c r="BQ272" s="2" t="n">
        <v>0</v>
      </c>
      <c r="BR272" s="2" t="n">
        <v>0</v>
      </c>
      <c r="BS272" s="2" t="n">
        <v>0</v>
      </c>
      <c r="BT272" s="2" t="n">
        <v>0</v>
      </c>
      <c r="BU272" s="2" t="n">
        <v>0</v>
      </c>
      <c r="BV272" s="2" t="n">
        <v>0</v>
      </c>
      <c r="BW272" s="2" t="n">
        <v>68.18000000000001</v>
      </c>
      <c r="BX272" s="2" t="n">
        <v>68.18000000000001</v>
      </c>
      <c r="BY272" s="2" t="n">
        <v>0</v>
      </c>
      <c r="BZ272" s="2" t="n">
        <v>100</v>
      </c>
      <c r="CA272" s="2" t="n">
        <v>100</v>
      </c>
      <c r="CB272" s="2" t="n">
        <v>0</v>
      </c>
      <c r="CC272" s="2" t="n">
        <v>100</v>
      </c>
      <c r="CD272" s="2" t="n">
        <v>100</v>
      </c>
      <c r="CE272" s="2" t="n">
        <v>0</v>
      </c>
      <c r="CF272" s="2" t="n">
        <v>100</v>
      </c>
      <c r="CG272" s="2" t="n">
        <v>100</v>
      </c>
      <c r="CH272" s="2" t="n">
        <v>0</v>
      </c>
      <c r="CI272" s="2" t="n">
        <v>100</v>
      </c>
      <c r="CJ272" s="2" t="n">
        <v>100</v>
      </c>
      <c r="CK272" s="2" t="n">
        <v>0</v>
      </c>
      <c r="CL272" s="2" t="n">
        <v>100</v>
      </c>
      <c r="CM272" s="2" t="n">
        <v>100</v>
      </c>
      <c r="CN272" s="2" t="n">
        <v>0</v>
      </c>
      <c r="CO272" s="2" t="n">
        <v>100</v>
      </c>
      <c r="CP272" s="2" t="n">
        <v>100</v>
      </c>
      <c r="CQ272" s="2" t="n">
        <v>0</v>
      </c>
      <c r="CR272" s="2" t="n">
        <v>100</v>
      </c>
      <c r="CS272" s="2" t="n">
        <v>100</v>
      </c>
      <c r="CT272" s="2" t="n">
        <v>0</v>
      </c>
      <c r="CU272" s="2" t="n">
        <v>100</v>
      </c>
      <c r="CV272" s="2" t="n">
        <v>100</v>
      </c>
      <c r="CW272" s="2" t="n">
        <v>0</v>
      </c>
      <c r="CX272" s="2" t="n">
        <v>100</v>
      </c>
      <c r="CY272" s="2" t="n">
        <v>100</v>
      </c>
      <c r="CZ272" s="2" t="n">
        <v>0</v>
      </c>
      <c r="DA272" s="2" t="n">
        <v>100</v>
      </c>
      <c r="DB272" s="2" t="n">
        <v>100</v>
      </c>
      <c r="DC272" s="2" t="n">
        <v>0</v>
      </c>
      <c r="DD272" s="2" t="n">
        <v>100</v>
      </c>
      <c r="DE272" s="2" t="n">
        <v>100</v>
      </c>
      <c r="DF272" s="2" t="n">
        <v>0</v>
      </c>
      <c r="DG272" s="2" t="n">
        <v>100</v>
      </c>
      <c r="DH272" s="2" t="n">
        <v>100</v>
      </c>
      <c r="DI272" s="2" t="n">
        <v>0</v>
      </c>
      <c r="DJ272" s="2" t="n">
        <v>100</v>
      </c>
      <c r="DK272" s="2" t="n">
        <v>100</v>
      </c>
      <c r="DL272" s="2" t="n">
        <v>0</v>
      </c>
      <c r="DM272" s="2" t="n">
        <v>100</v>
      </c>
      <c r="DN272" s="2" t="n">
        <v>100</v>
      </c>
      <c r="DO272" s="2" t="n">
        <v>0</v>
      </c>
      <c r="DP272" s="2" t="n">
        <v>100</v>
      </c>
      <c r="DQ272" s="2" t="n">
        <v>100</v>
      </c>
      <c r="DR272" s="2" t="n">
        <v>0</v>
      </c>
      <c r="DS272" s="2" t="n">
        <v>100</v>
      </c>
      <c r="DT272" s="2" t="n">
        <v>100</v>
      </c>
      <c r="DU272" s="2" t="n">
        <v>0</v>
      </c>
      <c r="DV272" s="2" t="n">
        <v>100</v>
      </c>
      <c r="DW272" s="2" t="n">
        <v>100</v>
      </c>
      <c r="DX272" s="2" t="n">
        <v>0</v>
      </c>
      <c r="DY272" s="2" t="n">
        <v>100</v>
      </c>
      <c r="DZ272" s="2" t="n">
        <v>100</v>
      </c>
      <c r="EA272" s="2" t="n">
        <v>0</v>
      </c>
      <c r="EB272" s="2" t="n">
        <v>100</v>
      </c>
      <c r="EC272" s="2" t="n">
        <v>100</v>
      </c>
      <c r="ED272" s="2" t="n">
        <v>0</v>
      </c>
      <c r="EE272" s="2" t="n">
        <v>100</v>
      </c>
      <c r="EF272" s="2" t="n">
        <v>100</v>
      </c>
      <c r="EG272" s="2" t="n">
        <v>0</v>
      </c>
      <c r="EH272" s="2" t="n">
        <v>100</v>
      </c>
      <c r="EI272" s="2" t="n">
        <v>100</v>
      </c>
      <c r="EJ272" s="2" t="n">
        <v>0</v>
      </c>
      <c r="EK272" s="2" t="n">
        <v>100</v>
      </c>
      <c r="EL272" s="2" t="n">
        <v>100</v>
      </c>
      <c r="EM272" s="2" t="n">
        <v>0</v>
      </c>
      <c r="EN272" s="2" t="n">
        <v>100</v>
      </c>
      <c r="EO272" s="2" t="n">
        <v>100</v>
      </c>
      <c r="EP272" s="2" t="n">
        <v>0</v>
      </c>
      <c r="EQ272" s="2" t="n">
        <v>100</v>
      </c>
      <c r="ER272" s="2" t="n">
        <v>100</v>
      </c>
      <c r="ES272" s="2" t="n">
        <v>0</v>
      </c>
    </row>
    <row r="273">
      <c r="A273" s="2" t="n">
        <v>3</v>
      </c>
      <c r="B273" s="2" t="inlineStr">
        <is>
          <t>13.05.02</t>
        </is>
      </c>
      <c r="C273" s="2" t="inlineStr">
        <is>
          <t>Alvenaria de vedação com blocos cerâmicos esp. 9cm</t>
        </is>
      </c>
      <c r="D273" s="2" t="inlineStr">
        <is>
          <t>09/04/2027</t>
        </is>
      </c>
      <c r="E273" s="2" t="inlineStr">
        <is>
          <t>11/05/2027</t>
        </is>
      </c>
      <c r="F273" s="2" t="n">
        <v>42736.38493272</v>
      </c>
      <c r="G273" s="2" t="n">
        <v>0</v>
      </c>
      <c r="H273" s="2" t="n">
        <v>42736.38493272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0</v>
      </c>
      <c r="P273" s="2" t="n">
        <v>0</v>
      </c>
      <c r="Q273" s="2" t="n">
        <v>0</v>
      </c>
      <c r="R273" s="2" t="n">
        <v>0</v>
      </c>
      <c r="S273" s="2" t="n">
        <v>0</v>
      </c>
      <c r="T273" s="2" t="n">
        <v>0</v>
      </c>
      <c r="U273" s="2" t="n">
        <v>0</v>
      </c>
      <c r="V273" s="2" t="n">
        <v>0</v>
      </c>
      <c r="W273" s="2" t="n">
        <v>0</v>
      </c>
      <c r="X273" s="2" t="n">
        <v>0</v>
      </c>
      <c r="Y273" s="2" t="n">
        <v>0</v>
      </c>
      <c r="Z273" s="2" t="n">
        <v>0</v>
      </c>
      <c r="AA273" s="2" t="n">
        <v>0</v>
      </c>
      <c r="AB273" s="2" t="n">
        <v>0</v>
      </c>
      <c r="AC273" s="2" t="n">
        <v>0</v>
      </c>
      <c r="AD273" s="2" t="n">
        <v>0</v>
      </c>
      <c r="AE273" s="2" t="n">
        <v>0</v>
      </c>
      <c r="AF273" s="2" t="n">
        <v>0</v>
      </c>
      <c r="AG273" s="2" t="n">
        <v>0</v>
      </c>
      <c r="AH273" s="2" t="n">
        <v>0</v>
      </c>
      <c r="AI273" s="2" t="n">
        <v>0</v>
      </c>
      <c r="AJ273" s="2" t="n">
        <v>0</v>
      </c>
      <c r="AK273" s="2" t="n">
        <v>0</v>
      </c>
      <c r="AL273" s="2" t="n">
        <v>0</v>
      </c>
      <c r="AM273" s="2" t="n">
        <v>0</v>
      </c>
      <c r="AN273" s="2" t="n">
        <v>0</v>
      </c>
      <c r="AO273" s="2" t="n">
        <v>0</v>
      </c>
      <c r="AP273" s="2" t="n">
        <v>0</v>
      </c>
      <c r="AQ273" s="2" t="n">
        <v>0</v>
      </c>
      <c r="AR273" s="2" t="n">
        <v>0</v>
      </c>
      <c r="AS273" s="2" t="n">
        <v>0</v>
      </c>
      <c r="AT273" s="2" t="n">
        <v>0</v>
      </c>
      <c r="AU273" s="2" t="n">
        <v>0</v>
      </c>
      <c r="AV273" s="2" t="n">
        <v>0</v>
      </c>
      <c r="AW273" s="2" t="n">
        <v>0</v>
      </c>
      <c r="AX273" s="2" t="n">
        <v>0</v>
      </c>
      <c r="AY273" s="2" t="n">
        <v>0</v>
      </c>
      <c r="AZ273" s="2" t="n">
        <v>0</v>
      </c>
      <c r="BA273" s="2" t="n">
        <v>0</v>
      </c>
      <c r="BB273" s="2" t="n">
        <v>0</v>
      </c>
      <c r="BC273" s="2" t="n">
        <v>0</v>
      </c>
      <c r="BD273" s="2" t="n">
        <v>0</v>
      </c>
      <c r="BE273" s="2" t="n">
        <v>0</v>
      </c>
      <c r="BF273" s="2" t="n">
        <v>0</v>
      </c>
      <c r="BG273" s="2" t="n">
        <v>0</v>
      </c>
      <c r="BH273" s="2" t="n">
        <v>0</v>
      </c>
      <c r="BI273" s="2" t="n">
        <v>0</v>
      </c>
      <c r="BJ273" s="2" t="n">
        <v>0</v>
      </c>
      <c r="BK273" s="2" t="n">
        <v>0</v>
      </c>
      <c r="BL273" s="2" t="n">
        <v>0</v>
      </c>
      <c r="BM273" s="2" t="n">
        <v>0</v>
      </c>
      <c r="BN273" s="2" t="n">
        <v>0</v>
      </c>
      <c r="BO273" s="2" t="n">
        <v>0</v>
      </c>
      <c r="BP273" s="2" t="n">
        <v>0</v>
      </c>
      <c r="BQ273" s="2" t="n">
        <v>0</v>
      </c>
      <c r="BR273" s="2" t="n">
        <v>0</v>
      </c>
      <c r="BS273" s="2" t="n">
        <v>0</v>
      </c>
      <c r="BT273" s="2" t="n">
        <v>0</v>
      </c>
      <c r="BU273" s="2" t="n">
        <v>0</v>
      </c>
      <c r="BV273" s="2" t="n">
        <v>0</v>
      </c>
      <c r="BW273" s="2" t="n">
        <v>68.18000000000001</v>
      </c>
      <c r="BX273" s="2" t="n">
        <v>68.18000000000001</v>
      </c>
      <c r="BY273" s="2" t="n">
        <v>0</v>
      </c>
      <c r="BZ273" s="2" t="n">
        <v>100</v>
      </c>
      <c r="CA273" s="2" t="n">
        <v>100</v>
      </c>
      <c r="CB273" s="2" t="n">
        <v>0</v>
      </c>
      <c r="CC273" s="2" t="n">
        <v>100</v>
      </c>
      <c r="CD273" s="2" t="n">
        <v>100</v>
      </c>
      <c r="CE273" s="2" t="n">
        <v>0</v>
      </c>
      <c r="CF273" s="2" t="n">
        <v>100</v>
      </c>
      <c r="CG273" s="2" t="n">
        <v>100</v>
      </c>
      <c r="CH273" s="2" t="n">
        <v>0</v>
      </c>
      <c r="CI273" s="2" t="n">
        <v>100</v>
      </c>
      <c r="CJ273" s="2" t="n">
        <v>100</v>
      </c>
      <c r="CK273" s="2" t="n">
        <v>0</v>
      </c>
      <c r="CL273" s="2" t="n">
        <v>100</v>
      </c>
      <c r="CM273" s="2" t="n">
        <v>100</v>
      </c>
      <c r="CN273" s="2" t="n">
        <v>0</v>
      </c>
      <c r="CO273" s="2" t="n">
        <v>100</v>
      </c>
      <c r="CP273" s="2" t="n">
        <v>100</v>
      </c>
      <c r="CQ273" s="2" t="n">
        <v>0</v>
      </c>
      <c r="CR273" s="2" t="n">
        <v>100</v>
      </c>
      <c r="CS273" s="2" t="n">
        <v>100</v>
      </c>
      <c r="CT273" s="2" t="n">
        <v>0</v>
      </c>
      <c r="CU273" s="2" t="n">
        <v>100</v>
      </c>
      <c r="CV273" s="2" t="n">
        <v>100</v>
      </c>
      <c r="CW273" s="2" t="n">
        <v>0</v>
      </c>
      <c r="CX273" s="2" t="n">
        <v>100</v>
      </c>
      <c r="CY273" s="2" t="n">
        <v>100</v>
      </c>
      <c r="CZ273" s="2" t="n">
        <v>0</v>
      </c>
      <c r="DA273" s="2" t="n">
        <v>100</v>
      </c>
      <c r="DB273" s="2" t="n">
        <v>100</v>
      </c>
      <c r="DC273" s="2" t="n">
        <v>0</v>
      </c>
      <c r="DD273" s="2" t="n">
        <v>100</v>
      </c>
      <c r="DE273" s="2" t="n">
        <v>100</v>
      </c>
      <c r="DF273" s="2" t="n">
        <v>0</v>
      </c>
      <c r="DG273" s="2" t="n">
        <v>100</v>
      </c>
      <c r="DH273" s="2" t="n">
        <v>100</v>
      </c>
      <c r="DI273" s="2" t="n">
        <v>0</v>
      </c>
      <c r="DJ273" s="2" t="n">
        <v>100</v>
      </c>
      <c r="DK273" s="2" t="n">
        <v>100</v>
      </c>
      <c r="DL273" s="2" t="n">
        <v>0</v>
      </c>
      <c r="DM273" s="2" t="n">
        <v>100</v>
      </c>
      <c r="DN273" s="2" t="n">
        <v>100</v>
      </c>
      <c r="DO273" s="2" t="n">
        <v>0</v>
      </c>
      <c r="DP273" s="2" t="n">
        <v>100</v>
      </c>
      <c r="DQ273" s="2" t="n">
        <v>100</v>
      </c>
      <c r="DR273" s="2" t="n">
        <v>0</v>
      </c>
      <c r="DS273" s="2" t="n">
        <v>100</v>
      </c>
      <c r="DT273" s="2" t="n">
        <v>100</v>
      </c>
      <c r="DU273" s="2" t="n">
        <v>0</v>
      </c>
      <c r="DV273" s="2" t="n">
        <v>100</v>
      </c>
      <c r="DW273" s="2" t="n">
        <v>100</v>
      </c>
      <c r="DX273" s="2" t="n">
        <v>0</v>
      </c>
      <c r="DY273" s="2" t="n">
        <v>100</v>
      </c>
      <c r="DZ273" s="2" t="n">
        <v>100</v>
      </c>
      <c r="EA273" s="2" t="n">
        <v>0</v>
      </c>
      <c r="EB273" s="2" t="n">
        <v>100</v>
      </c>
      <c r="EC273" s="2" t="n">
        <v>100</v>
      </c>
      <c r="ED273" s="2" t="n">
        <v>0</v>
      </c>
      <c r="EE273" s="2" t="n">
        <v>100</v>
      </c>
      <c r="EF273" s="2" t="n">
        <v>100</v>
      </c>
      <c r="EG273" s="2" t="n">
        <v>0</v>
      </c>
      <c r="EH273" s="2" t="n">
        <v>100</v>
      </c>
      <c r="EI273" s="2" t="n">
        <v>100</v>
      </c>
      <c r="EJ273" s="2" t="n">
        <v>0</v>
      </c>
      <c r="EK273" s="2" t="n">
        <v>100</v>
      </c>
      <c r="EL273" s="2" t="n">
        <v>100</v>
      </c>
      <c r="EM273" s="2" t="n">
        <v>0</v>
      </c>
      <c r="EN273" s="2" t="n">
        <v>100</v>
      </c>
      <c r="EO273" s="2" t="n">
        <v>100</v>
      </c>
      <c r="EP273" s="2" t="n">
        <v>0</v>
      </c>
      <c r="EQ273" s="2" t="n">
        <v>100</v>
      </c>
      <c r="ER273" s="2" t="n">
        <v>100</v>
      </c>
      <c r="ES273" s="2" t="n">
        <v>0</v>
      </c>
    </row>
    <row r="274">
      <c r="A274" s="2" t="n">
        <v>3</v>
      </c>
      <c r="B274" s="2" t="inlineStr">
        <is>
          <t>13.05.03</t>
        </is>
      </c>
      <c r="C274" s="2" t="inlineStr">
        <is>
          <t>Encunhamento com espuma expansiva de poliuretano</t>
        </is>
      </c>
      <c r="D274" s="2" t="inlineStr">
        <is>
          <t>09/04/2027</t>
        </is>
      </c>
      <c r="E274" s="2" t="inlineStr">
        <is>
          <t>11/05/2027</t>
        </is>
      </c>
      <c r="F274" s="2" t="n">
        <v>979.0913376120802</v>
      </c>
      <c r="G274" s="2" t="n">
        <v>0</v>
      </c>
      <c r="H274" s="2" t="n">
        <v>979.0913376120802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0</v>
      </c>
      <c r="P274" s="2" t="n">
        <v>0</v>
      </c>
      <c r="Q274" s="2" t="n">
        <v>0</v>
      </c>
      <c r="R274" s="2" t="n">
        <v>0</v>
      </c>
      <c r="S274" s="2" t="n">
        <v>0</v>
      </c>
      <c r="T274" s="2" t="n">
        <v>0</v>
      </c>
      <c r="U274" s="2" t="n">
        <v>0</v>
      </c>
      <c r="V274" s="2" t="n">
        <v>0</v>
      </c>
      <c r="W274" s="2" t="n">
        <v>0</v>
      </c>
      <c r="X274" s="2" t="n">
        <v>0</v>
      </c>
      <c r="Y274" s="2" t="n">
        <v>0</v>
      </c>
      <c r="Z274" s="2" t="n">
        <v>0</v>
      </c>
      <c r="AA274" s="2" t="n">
        <v>0</v>
      </c>
      <c r="AB274" s="2" t="n">
        <v>0</v>
      </c>
      <c r="AC274" s="2" t="n">
        <v>0</v>
      </c>
      <c r="AD274" s="2" t="n">
        <v>0</v>
      </c>
      <c r="AE274" s="2" t="n">
        <v>0</v>
      </c>
      <c r="AF274" s="2" t="n">
        <v>0</v>
      </c>
      <c r="AG274" s="2" t="n">
        <v>0</v>
      </c>
      <c r="AH274" s="2" t="n">
        <v>0</v>
      </c>
      <c r="AI274" s="2" t="n">
        <v>0</v>
      </c>
      <c r="AJ274" s="2" t="n">
        <v>0</v>
      </c>
      <c r="AK274" s="2" t="n">
        <v>0</v>
      </c>
      <c r="AL274" s="2" t="n">
        <v>0</v>
      </c>
      <c r="AM274" s="2" t="n">
        <v>0</v>
      </c>
      <c r="AN274" s="2" t="n">
        <v>0</v>
      </c>
      <c r="AO274" s="2" t="n">
        <v>0</v>
      </c>
      <c r="AP274" s="2" t="n">
        <v>0</v>
      </c>
      <c r="AQ274" s="2" t="n">
        <v>0</v>
      </c>
      <c r="AR274" s="2" t="n">
        <v>0</v>
      </c>
      <c r="AS274" s="2" t="n">
        <v>0</v>
      </c>
      <c r="AT274" s="2" t="n">
        <v>0</v>
      </c>
      <c r="AU274" s="2" t="n">
        <v>0</v>
      </c>
      <c r="AV274" s="2" t="n">
        <v>0</v>
      </c>
      <c r="AW274" s="2" t="n">
        <v>0</v>
      </c>
      <c r="AX274" s="2" t="n">
        <v>0</v>
      </c>
      <c r="AY274" s="2" t="n">
        <v>0</v>
      </c>
      <c r="AZ274" s="2" t="n">
        <v>0</v>
      </c>
      <c r="BA274" s="2" t="n">
        <v>0</v>
      </c>
      <c r="BB274" s="2" t="n">
        <v>0</v>
      </c>
      <c r="BC274" s="2" t="n">
        <v>0</v>
      </c>
      <c r="BD274" s="2" t="n">
        <v>0</v>
      </c>
      <c r="BE274" s="2" t="n">
        <v>0</v>
      </c>
      <c r="BF274" s="2" t="n">
        <v>0</v>
      </c>
      <c r="BG274" s="2" t="n">
        <v>0</v>
      </c>
      <c r="BH274" s="2" t="n">
        <v>0</v>
      </c>
      <c r="BI274" s="2" t="n">
        <v>0</v>
      </c>
      <c r="BJ274" s="2" t="n">
        <v>0</v>
      </c>
      <c r="BK274" s="2" t="n">
        <v>0</v>
      </c>
      <c r="BL274" s="2" t="n">
        <v>0</v>
      </c>
      <c r="BM274" s="2" t="n">
        <v>0</v>
      </c>
      <c r="BN274" s="2" t="n">
        <v>0</v>
      </c>
      <c r="BO274" s="2" t="n">
        <v>0</v>
      </c>
      <c r="BP274" s="2" t="n">
        <v>0</v>
      </c>
      <c r="BQ274" s="2" t="n">
        <v>0</v>
      </c>
      <c r="BR274" s="2" t="n">
        <v>0</v>
      </c>
      <c r="BS274" s="2" t="n">
        <v>0</v>
      </c>
      <c r="BT274" s="2" t="n">
        <v>0</v>
      </c>
      <c r="BU274" s="2" t="n">
        <v>0</v>
      </c>
      <c r="BV274" s="2" t="n">
        <v>0</v>
      </c>
      <c r="BW274" s="2" t="n">
        <v>68.18000000000001</v>
      </c>
      <c r="BX274" s="2" t="n">
        <v>68.18000000000001</v>
      </c>
      <c r="BY274" s="2" t="n">
        <v>0</v>
      </c>
      <c r="BZ274" s="2" t="n">
        <v>100</v>
      </c>
      <c r="CA274" s="2" t="n">
        <v>100</v>
      </c>
      <c r="CB274" s="2" t="n">
        <v>0</v>
      </c>
      <c r="CC274" s="2" t="n">
        <v>100</v>
      </c>
      <c r="CD274" s="2" t="n">
        <v>100</v>
      </c>
      <c r="CE274" s="2" t="n">
        <v>0</v>
      </c>
      <c r="CF274" s="2" t="n">
        <v>100</v>
      </c>
      <c r="CG274" s="2" t="n">
        <v>100</v>
      </c>
      <c r="CH274" s="2" t="n">
        <v>0</v>
      </c>
      <c r="CI274" s="2" t="n">
        <v>100</v>
      </c>
      <c r="CJ274" s="2" t="n">
        <v>100</v>
      </c>
      <c r="CK274" s="2" t="n">
        <v>0</v>
      </c>
      <c r="CL274" s="2" t="n">
        <v>100</v>
      </c>
      <c r="CM274" s="2" t="n">
        <v>100</v>
      </c>
      <c r="CN274" s="2" t="n">
        <v>0</v>
      </c>
      <c r="CO274" s="2" t="n">
        <v>100</v>
      </c>
      <c r="CP274" s="2" t="n">
        <v>100</v>
      </c>
      <c r="CQ274" s="2" t="n">
        <v>0</v>
      </c>
      <c r="CR274" s="2" t="n">
        <v>100</v>
      </c>
      <c r="CS274" s="2" t="n">
        <v>100</v>
      </c>
      <c r="CT274" s="2" t="n">
        <v>0</v>
      </c>
      <c r="CU274" s="2" t="n">
        <v>100</v>
      </c>
      <c r="CV274" s="2" t="n">
        <v>100</v>
      </c>
      <c r="CW274" s="2" t="n">
        <v>0</v>
      </c>
      <c r="CX274" s="2" t="n">
        <v>100</v>
      </c>
      <c r="CY274" s="2" t="n">
        <v>100</v>
      </c>
      <c r="CZ274" s="2" t="n">
        <v>0</v>
      </c>
      <c r="DA274" s="2" t="n">
        <v>100</v>
      </c>
      <c r="DB274" s="2" t="n">
        <v>100</v>
      </c>
      <c r="DC274" s="2" t="n">
        <v>0</v>
      </c>
      <c r="DD274" s="2" t="n">
        <v>100</v>
      </c>
      <c r="DE274" s="2" t="n">
        <v>100</v>
      </c>
      <c r="DF274" s="2" t="n">
        <v>0</v>
      </c>
      <c r="DG274" s="2" t="n">
        <v>100</v>
      </c>
      <c r="DH274" s="2" t="n">
        <v>100</v>
      </c>
      <c r="DI274" s="2" t="n">
        <v>0</v>
      </c>
      <c r="DJ274" s="2" t="n">
        <v>100</v>
      </c>
      <c r="DK274" s="2" t="n">
        <v>100</v>
      </c>
      <c r="DL274" s="2" t="n">
        <v>0</v>
      </c>
      <c r="DM274" s="2" t="n">
        <v>100</v>
      </c>
      <c r="DN274" s="2" t="n">
        <v>100</v>
      </c>
      <c r="DO274" s="2" t="n">
        <v>0</v>
      </c>
      <c r="DP274" s="2" t="n">
        <v>100</v>
      </c>
      <c r="DQ274" s="2" t="n">
        <v>100</v>
      </c>
      <c r="DR274" s="2" t="n">
        <v>0</v>
      </c>
      <c r="DS274" s="2" t="n">
        <v>100</v>
      </c>
      <c r="DT274" s="2" t="n">
        <v>100</v>
      </c>
      <c r="DU274" s="2" t="n">
        <v>0</v>
      </c>
      <c r="DV274" s="2" t="n">
        <v>100</v>
      </c>
      <c r="DW274" s="2" t="n">
        <v>100</v>
      </c>
      <c r="DX274" s="2" t="n">
        <v>0</v>
      </c>
      <c r="DY274" s="2" t="n">
        <v>100</v>
      </c>
      <c r="DZ274" s="2" t="n">
        <v>100</v>
      </c>
      <c r="EA274" s="2" t="n">
        <v>0</v>
      </c>
      <c r="EB274" s="2" t="n">
        <v>100</v>
      </c>
      <c r="EC274" s="2" t="n">
        <v>100</v>
      </c>
      <c r="ED274" s="2" t="n">
        <v>0</v>
      </c>
      <c r="EE274" s="2" t="n">
        <v>100</v>
      </c>
      <c r="EF274" s="2" t="n">
        <v>100</v>
      </c>
      <c r="EG274" s="2" t="n">
        <v>0</v>
      </c>
      <c r="EH274" s="2" t="n">
        <v>100</v>
      </c>
      <c r="EI274" s="2" t="n">
        <v>100</v>
      </c>
      <c r="EJ274" s="2" t="n">
        <v>0</v>
      </c>
      <c r="EK274" s="2" t="n">
        <v>100</v>
      </c>
      <c r="EL274" s="2" t="n">
        <v>100</v>
      </c>
      <c r="EM274" s="2" t="n">
        <v>0</v>
      </c>
      <c r="EN274" s="2" t="n">
        <v>100</v>
      </c>
      <c r="EO274" s="2" t="n">
        <v>100</v>
      </c>
      <c r="EP274" s="2" t="n">
        <v>0</v>
      </c>
      <c r="EQ274" s="2" t="n">
        <v>100</v>
      </c>
      <c r="ER274" s="2" t="n">
        <v>100</v>
      </c>
      <c r="ES274" s="2" t="n">
        <v>0</v>
      </c>
    </row>
    <row r="275">
      <c r="A275" s="2" t="n">
        <v>1</v>
      </c>
      <c r="B275" s="2" t="inlineStr">
        <is>
          <t>14</t>
        </is>
      </c>
      <c r="C275" s="2" t="inlineStr">
        <is>
          <t>TERRAPLENAGEM</t>
        </is>
      </c>
      <c r="D275" s="2" t="inlineStr">
        <is>
          <t>03/03/2026</t>
        </is>
      </c>
      <c r="E275" s="2" t="inlineStr">
        <is>
          <t>16/10/2026</t>
        </is>
      </c>
      <c r="F275" s="2" t="n">
        <v>1259784.463796523</v>
      </c>
      <c r="G275" s="2" t="n">
        <v>0</v>
      </c>
      <c r="H275" s="2" t="n">
        <v>1259784.463796523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0</v>
      </c>
      <c r="P275" s="2" t="n">
        <v>0</v>
      </c>
      <c r="Q275" s="2" t="n">
        <v>0</v>
      </c>
      <c r="R275" s="2" t="n">
        <v>0</v>
      </c>
      <c r="S275" s="2" t="n">
        <v>0</v>
      </c>
      <c r="T275" s="2" t="n">
        <v>0</v>
      </c>
      <c r="U275" s="2" t="n">
        <v>0</v>
      </c>
      <c r="V275" s="2" t="n">
        <v>0</v>
      </c>
      <c r="W275" s="2" t="n">
        <v>0</v>
      </c>
      <c r="X275" s="2" t="n">
        <v>0</v>
      </c>
      <c r="Y275" s="2" t="n">
        <v>0</v>
      </c>
      <c r="Z275" s="2" t="n">
        <v>0</v>
      </c>
      <c r="AA275" s="2" t="n">
        <v>0</v>
      </c>
      <c r="AB275" s="2" t="n">
        <v>0</v>
      </c>
      <c r="AC275" s="2" t="n">
        <v>0</v>
      </c>
      <c r="AD275" s="2" t="n">
        <v>0</v>
      </c>
      <c r="AE275" s="2" t="n">
        <v>0</v>
      </c>
      <c r="AF275" s="2" t="n">
        <v>14.87</v>
      </c>
      <c r="AG275" s="2" t="n">
        <v>0</v>
      </c>
      <c r="AH275" s="2" t="n">
        <v>0</v>
      </c>
      <c r="AI275" s="2" t="n">
        <v>16.98</v>
      </c>
      <c r="AJ275" s="2" t="n">
        <v>60.2</v>
      </c>
      <c r="AK275" s="2" t="n">
        <v>47.53</v>
      </c>
      <c r="AL275" s="2" t="n">
        <v>41.31</v>
      </c>
      <c r="AM275" s="2" t="n">
        <v>86</v>
      </c>
      <c r="AN275" s="2" t="n">
        <v>86</v>
      </c>
      <c r="AO275" s="2" t="n">
        <v>86</v>
      </c>
      <c r="AP275" s="2" t="n">
        <v>86</v>
      </c>
      <c r="AQ275" s="2" t="n">
        <v>86</v>
      </c>
      <c r="AR275" s="2" t="n">
        <v>86</v>
      </c>
      <c r="AS275" s="2" t="n">
        <v>86</v>
      </c>
      <c r="AT275" s="2" t="n">
        <v>86</v>
      </c>
      <c r="AU275" s="2" t="n">
        <v>86</v>
      </c>
      <c r="AV275" s="2" t="n">
        <v>86</v>
      </c>
      <c r="AW275" s="2" t="n">
        <v>86</v>
      </c>
      <c r="AX275" s="2" t="n">
        <v>86</v>
      </c>
      <c r="AY275" s="2" t="n">
        <v>86</v>
      </c>
      <c r="AZ275" s="2" t="n">
        <v>86</v>
      </c>
      <c r="BA275" s="2" t="n">
        <v>86</v>
      </c>
      <c r="BB275" s="2" t="n">
        <v>86</v>
      </c>
      <c r="BC275" s="2" t="n">
        <v>94.5</v>
      </c>
      <c r="BD275" s="2" t="n">
        <v>86</v>
      </c>
      <c r="BE275" s="2" t="n">
        <v>100</v>
      </c>
      <c r="BF275" s="2" t="n">
        <v>100</v>
      </c>
      <c r="BG275" s="2" t="n">
        <v>86</v>
      </c>
      <c r="BH275" s="2" t="n">
        <v>100</v>
      </c>
      <c r="BI275" s="2" t="n">
        <v>100</v>
      </c>
      <c r="BJ275" s="2" t="n">
        <v>86</v>
      </c>
      <c r="BK275" s="2" t="n">
        <v>100</v>
      </c>
      <c r="BL275" s="2" t="n">
        <v>100</v>
      </c>
      <c r="BM275" s="2" t="n">
        <v>86</v>
      </c>
      <c r="BN275" s="2" t="n">
        <v>100</v>
      </c>
      <c r="BO275" s="2" t="n">
        <v>100</v>
      </c>
      <c r="BP275" s="2" t="n">
        <v>86</v>
      </c>
      <c r="BQ275" s="2" t="n">
        <v>100</v>
      </c>
      <c r="BR275" s="2" t="n">
        <v>100</v>
      </c>
      <c r="BS275" s="2" t="n">
        <v>86</v>
      </c>
      <c r="BT275" s="2" t="n">
        <v>100</v>
      </c>
      <c r="BU275" s="2" t="n">
        <v>100</v>
      </c>
      <c r="BV275" s="2" t="n">
        <v>86</v>
      </c>
      <c r="BW275" s="2" t="n">
        <v>100</v>
      </c>
      <c r="BX275" s="2" t="n">
        <v>100</v>
      </c>
      <c r="BY275" s="2" t="n">
        <v>86</v>
      </c>
      <c r="BZ275" s="2" t="n">
        <v>100</v>
      </c>
      <c r="CA275" s="2" t="n">
        <v>100</v>
      </c>
      <c r="CB275" s="2" t="n">
        <v>86</v>
      </c>
      <c r="CC275" s="2" t="n">
        <v>100</v>
      </c>
      <c r="CD275" s="2" t="n">
        <v>100</v>
      </c>
      <c r="CE275" s="2" t="n">
        <v>86</v>
      </c>
      <c r="CF275" s="2" t="n">
        <v>100</v>
      </c>
      <c r="CG275" s="2" t="n">
        <v>100</v>
      </c>
      <c r="CH275" s="2" t="n">
        <v>86</v>
      </c>
      <c r="CI275" s="2" t="n">
        <v>100</v>
      </c>
      <c r="CJ275" s="2" t="n">
        <v>100</v>
      </c>
      <c r="CK275" s="2" t="n">
        <v>86</v>
      </c>
      <c r="CL275" s="2" t="n">
        <v>100</v>
      </c>
      <c r="CM275" s="2" t="n">
        <v>100</v>
      </c>
      <c r="CN275" s="2" t="n">
        <v>86</v>
      </c>
      <c r="CO275" s="2" t="n">
        <v>100</v>
      </c>
      <c r="CP275" s="2" t="n">
        <v>100</v>
      </c>
      <c r="CQ275" s="2" t="n">
        <v>86</v>
      </c>
      <c r="CR275" s="2" t="n">
        <v>100</v>
      </c>
      <c r="CS275" s="2" t="n">
        <v>100</v>
      </c>
      <c r="CT275" s="2" t="n">
        <v>86</v>
      </c>
      <c r="CU275" s="2" t="n">
        <v>100</v>
      </c>
      <c r="CV275" s="2" t="n">
        <v>100</v>
      </c>
      <c r="CW275" s="2" t="n">
        <v>86</v>
      </c>
      <c r="CX275" s="2" t="n">
        <v>100</v>
      </c>
      <c r="CY275" s="2" t="n">
        <v>100</v>
      </c>
      <c r="CZ275" s="2" t="n">
        <v>86</v>
      </c>
      <c r="DA275" s="2" t="n">
        <v>100</v>
      </c>
      <c r="DB275" s="2" t="n">
        <v>100</v>
      </c>
      <c r="DC275" s="2" t="n">
        <v>86</v>
      </c>
      <c r="DD275" s="2" t="n">
        <v>100</v>
      </c>
      <c r="DE275" s="2" t="n">
        <v>100</v>
      </c>
      <c r="DF275" s="2" t="n">
        <v>86</v>
      </c>
      <c r="DG275" s="2" t="n">
        <v>100</v>
      </c>
      <c r="DH275" s="2" t="n">
        <v>100</v>
      </c>
      <c r="DI275" s="2" t="n">
        <v>86</v>
      </c>
      <c r="DJ275" s="2" t="n">
        <v>100</v>
      </c>
      <c r="DK275" s="2" t="n">
        <v>100</v>
      </c>
      <c r="DL275" s="2" t="n">
        <v>86</v>
      </c>
      <c r="DM275" s="2" t="n">
        <v>100</v>
      </c>
      <c r="DN275" s="2" t="n">
        <v>100</v>
      </c>
      <c r="DO275" s="2" t="n">
        <v>86</v>
      </c>
      <c r="DP275" s="2" t="n">
        <v>100</v>
      </c>
      <c r="DQ275" s="2" t="n">
        <v>100</v>
      </c>
      <c r="DR275" s="2" t="n">
        <v>86</v>
      </c>
      <c r="DS275" s="2" t="n">
        <v>100</v>
      </c>
      <c r="DT275" s="2" t="n">
        <v>100</v>
      </c>
      <c r="DU275" s="2" t="n">
        <v>86</v>
      </c>
      <c r="DV275" s="2" t="n">
        <v>100</v>
      </c>
      <c r="DW275" s="2" t="n">
        <v>100</v>
      </c>
      <c r="DX275" s="2" t="n">
        <v>86</v>
      </c>
      <c r="DY275" s="2" t="n">
        <v>100</v>
      </c>
      <c r="DZ275" s="2" t="n">
        <v>100</v>
      </c>
      <c r="EA275" s="2" t="n">
        <v>86</v>
      </c>
      <c r="EB275" s="2" t="n">
        <v>100</v>
      </c>
      <c r="EC275" s="2" t="n">
        <v>100</v>
      </c>
      <c r="ED275" s="2" t="n">
        <v>86</v>
      </c>
      <c r="EE275" s="2" t="n">
        <v>100</v>
      </c>
      <c r="EF275" s="2" t="n">
        <v>100</v>
      </c>
      <c r="EG275" s="2" t="n">
        <v>86</v>
      </c>
      <c r="EH275" s="2" t="n">
        <v>100</v>
      </c>
      <c r="EI275" s="2" t="n">
        <v>100</v>
      </c>
      <c r="EJ275" s="2" t="n">
        <v>86</v>
      </c>
      <c r="EK275" s="2" t="n">
        <v>100</v>
      </c>
      <c r="EL275" s="2" t="n">
        <v>100</v>
      </c>
      <c r="EM275" s="2" t="n">
        <v>86</v>
      </c>
      <c r="EN275" s="2" t="n">
        <v>100</v>
      </c>
      <c r="EO275" s="2" t="n">
        <v>100</v>
      </c>
      <c r="EP275" s="2" t="n">
        <v>86</v>
      </c>
      <c r="EQ275" s="2" t="n">
        <v>100</v>
      </c>
      <c r="ER275" s="2" t="n">
        <v>100</v>
      </c>
      <c r="ES275" s="2" t="n">
        <v>86</v>
      </c>
    </row>
    <row r="276">
      <c r="A276" s="2" t="n">
        <v>2</v>
      </c>
      <c r="B276" s="2" t="inlineStr">
        <is>
          <t>14.01</t>
        </is>
      </c>
      <c r="C276" s="2" t="inlineStr">
        <is>
          <t>Corte e retirada de terra</t>
        </is>
      </c>
      <c r="D276" s="2" t="inlineStr">
        <is>
          <t>03/03/2026</t>
        </is>
      </c>
      <c r="E276" s="2" t="inlineStr">
        <is>
          <t>16/10/2026</t>
        </is>
      </c>
      <c r="F276" s="2" t="n">
        <v>1059392.299796523</v>
      </c>
      <c r="G276" s="2" t="n">
        <v>0</v>
      </c>
      <c r="H276" s="2" t="n">
        <v>1059392.299796523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0</v>
      </c>
      <c r="P276" s="2" t="n">
        <v>0</v>
      </c>
      <c r="Q276" s="2" t="n">
        <v>0</v>
      </c>
      <c r="R276" s="2" t="n">
        <v>0</v>
      </c>
      <c r="S276" s="2" t="n">
        <v>0</v>
      </c>
      <c r="T276" s="2" t="n">
        <v>0</v>
      </c>
      <c r="U276" s="2" t="n">
        <v>0</v>
      </c>
      <c r="V276" s="2" t="n">
        <v>0</v>
      </c>
      <c r="W276" s="2" t="n">
        <v>0</v>
      </c>
      <c r="X276" s="2" t="n">
        <v>0</v>
      </c>
      <c r="Y276" s="2" t="n">
        <v>0</v>
      </c>
      <c r="Z276" s="2" t="n">
        <v>0</v>
      </c>
      <c r="AA276" s="2" t="n">
        <v>0</v>
      </c>
      <c r="AB276" s="2" t="n">
        <v>0</v>
      </c>
      <c r="AC276" s="2" t="n">
        <v>0</v>
      </c>
      <c r="AD276" s="2" t="n">
        <v>0</v>
      </c>
      <c r="AE276" s="2" t="n">
        <v>0</v>
      </c>
      <c r="AF276" s="2" t="n">
        <v>14.87</v>
      </c>
      <c r="AG276" s="2" t="n">
        <v>0</v>
      </c>
      <c r="AH276" s="2" t="n">
        <v>0</v>
      </c>
      <c r="AI276" s="2" t="n">
        <v>16.98</v>
      </c>
      <c r="AJ276" s="2" t="n">
        <v>60.2</v>
      </c>
      <c r="AK276" s="2" t="n">
        <v>47.53</v>
      </c>
      <c r="AL276" s="2" t="n">
        <v>41.31</v>
      </c>
      <c r="AM276" s="2" t="n">
        <v>86</v>
      </c>
      <c r="AN276" s="2" t="n">
        <v>86</v>
      </c>
      <c r="AO276" s="2" t="n">
        <v>86</v>
      </c>
      <c r="AP276" s="2" t="n">
        <v>86</v>
      </c>
      <c r="AQ276" s="2" t="n">
        <v>86</v>
      </c>
      <c r="AR276" s="2" t="n">
        <v>86</v>
      </c>
      <c r="AS276" s="2" t="n">
        <v>86</v>
      </c>
      <c r="AT276" s="2" t="n">
        <v>86</v>
      </c>
      <c r="AU276" s="2" t="n">
        <v>86</v>
      </c>
      <c r="AV276" s="2" t="n">
        <v>86</v>
      </c>
      <c r="AW276" s="2" t="n">
        <v>86</v>
      </c>
      <c r="AX276" s="2" t="n">
        <v>86</v>
      </c>
      <c r="AY276" s="2" t="n">
        <v>86</v>
      </c>
      <c r="AZ276" s="2" t="n">
        <v>86</v>
      </c>
      <c r="BA276" s="2" t="n">
        <v>86</v>
      </c>
      <c r="BB276" s="2" t="n">
        <v>86</v>
      </c>
      <c r="BC276" s="2" t="n">
        <v>94.5</v>
      </c>
      <c r="BD276" s="2" t="n">
        <v>86</v>
      </c>
      <c r="BE276" s="2" t="n">
        <v>100</v>
      </c>
      <c r="BF276" s="2" t="n">
        <v>100</v>
      </c>
      <c r="BG276" s="2" t="n">
        <v>86</v>
      </c>
      <c r="BH276" s="2" t="n">
        <v>100</v>
      </c>
      <c r="BI276" s="2" t="n">
        <v>100</v>
      </c>
      <c r="BJ276" s="2" t="n">
        <v>86</v>
      </c>
      <c r="BK276" s="2" t="n">
        <v>100</v>
      </c>
      <c r="BL276" s="2" t="n">
        <v>100</v>
      </c>
      <c r="BM276" s="2" t="n">
        <v>86</v>
      </c>
      <c r="BN276" s="2" t="n">
        <v>100</v>
      </c>
      <c r="BO276" s="2" t="n">
        <v>100</v>
      </c>
      <c r="BP276" s="2" t="n">
        <v>86</v>
      </c>
      <c r="BQ276" s="2" t="n">
        <v>100</v>
      </c>
      <c r="BR276" s="2" t="n">
        <v>100</v>
      </c>
      <c r="BS276" s="2" t="n">
        <v>86</v>
      </c>
      <c r="BT276" s="2" t="n">
        <v>100</v>
      </c>
      <c r="BU276" s="2" t="n">
        <v>100</v>
      </c>
      <c r="BV276" s="2" t="n">
        <v>86</v>
      </c>
      <c r="BW276" s="2" t="n">
        <v>100</v>
      </c>
      <c r="BX276" s="2" t="n">
        <v>100</v>
      </c>
      <c r="BY276" s="2" t="n">
        <v>86</v>
      </c>
      <c r="BZ276" s="2" t="n">
        <v>100</v>
      </c>
      <c r="CA276" s="2" t="n">
        <v>100</v>
      </c>
      <c r="CB276" s="2" t="n">
        <v>86</v>
      </c>
      <c r="CC276" s="2" t="n">
        <v>100</v>
      </c>
      <c r="CD276" s="2" t="n">
        <v>100</v>
      </c>
      <c r="CE276" s="2" t="n">
        <v>86</v>
      </c>
      <c r="CF276" s="2" t="n">
        <v>100</v>
      </c>
      <c r="CG276" s="2" t="n">
        <v>100</v>
      </c>
      <c r="CH276" s="2" t="n">
        <v>86</v>
      </c>
      <c r="CI276" s="2" t="n">
        <v>100</v>
      </c>
      <c r="CJ276" s="2" t="n">
        <v>100</v>
      </c>
      <c r="CK276" s="2" t="n">
        <v>86</v>
      </c>
      <c r="CL276" s="2" t="n">
        <v>100</v>
      </c>
      <c r="CM276" s="2" t="n">
        <v>100</v>
      </c>
      <c r="CN276" s="2" t="n">
        <v>86</v>
      </c>
      <c r="CO276" s="2" t="n">
        <v>100</v>
      </c>
      <c r="CP276" s="2" t="n">
        <v>100</v>
      </c>
      <c r="CQ276" s="2" t="n">
        <v>86</v>
      </c>
      <c r="CR276" s="2" t="n">
        <v>100</v>
      </c>
      <c r="CS276" s="2" t="n">
        <v>100</v>
      </c>
      <c r="CT276" s="2" t="n">
        <v>86</v>
      </c>
      <c r="CU276" s="2" t="n">
        <v>100</v>
      </c>
      <c r="CV276" s="2" t="n">
        <v>100</v>
      </c>
      <c r="CW276" s="2" t="n">
        <v>86</v>
      </c>
      <c r="CX276" s="2" t="n">
        <v>100</v>
      </c>
      <c r="CY276" s="2" t="n">
        <v>100</v>
      </c>
      <c r="CZ276" s="2" t="n">
        <v>86</v>
      </c>
      <c r="DA276" s="2" t="n">
        <v>100</v>
      </c>
      <c r="DB276" s="2" t="n">
        <v>100</v>
      </c>
      <c r="DC276" s="2" t="n">
        <v>86</v>
      </c>
      <c r="DD276" s="2" t="n">
        <v>100</v>
      </c>
      <c r="DE276" s="2" t="n">
        <v>100</v>
      </c>
      <c r="DF276" s="2" t="n">
        <v>86</v>
      </c>
      <c r="DG276" s="2" t="n">
        <v>100</v>
      </c>
      <c r="DH276" s="2" t="n">
        <v>100</v>
      </c>
      <c r="DI276" s="2" t="n">
        <v>86</v>
      </c>
      <c r="DJ276" s="2" t="n">
        <v>100</v>
      </c>
      <c r="DK276" s="2" t="n">
        <v>100</v>
      </c>
      <c r="DL276" s="2" t="n">
        <v>86</v>
      </c>
      <c r="DM276" s="2" t="n">
        <v>100</v>
      </c>
      <c r="DN276" s="2" t="n">
        <v>100</v>
      </c>
      <c r="DO276" s="2" t="n">
        <v>86</v>
      </c>
      <c r="DP276" s="2" t="n">
        <v>100</v>
      </c>
      <c r="DQ276" s="2" t="n">
        <v>100</v>
      </c>
      <c r="DR276" s="2" t="n">
        <v>86</v>
      </c>
      <c r="DS276" s="2" t="n">
        <v>100</v>
      </c>
      <c r="DT276" s="2" t="n">
        <v>100</v>
      </c>
      <c r="DU276" s="2" t="n">
        <v>86</v>
      </c>
      <c r="DV276" s="2" t="n">
        <v>100</v>
      </c>
      <c r="DW276" s="2" t="n">
        <v>100</v>
      </c>
      <c r="DX276" s="2" t="n">
        <v>86</v>
      </c>
      <c r="DY276" s="2" t="n">
        <v>100</v>
      </c>
      <c r="DZ276" s="2" t="n">
        <v>100</v>
      </c>
      <c r="EA276" s="2" t="n">
        <v>86</v>
      </c>
      <c r="EB276" s="2" t="n">
        <v>100</v>
      </c>
      <c r="EC276" s="2" t="n">
        <v>100</v>
      </c>
      <c r="ED276" s="2" t="n">
        <v>86</v>
      </c>
      <c r="EE276" s="2" t="n">
        <v>100</v>
      </c>
      <c r="EF276" s="2" t="n">
        <v>100</v>
      </c>
      <c r="EG276" s="2" t="n">
        <v>86</v>
      </c>
      <c r="EH276" s="2" t="n">
        <v>100</v>
      </c>
      <c r="EI276" s="2" t="n">
        <v>100</v>
      </c>
      <c r="EJ276" s="2" t="n">
        <v>86</v>
      </c>
      <c r="EK276" s="2" t="n">
        <v>100</v>
      </c>
      <c r="EL276" s="2" t="n">
        <v>100</v>
      </c>
      <c r="EM276" s="2" t="n">
        <v>86</v>
      </c>
      <c r="EN276" s="2" t="n">
        <v>100</v>
      </c>
      <c r="EO276" s="2" t="n">
        <v>100</v>
      </c>
      <c r="EP276" s="2" t="n">
        <v>86</v>
      </c>
      <c r="EQ276" s="2" t="n">
        <v>100</v>
      </c>
      <c r="ER276" s="2" t="n">
        <v>100</v>
      </c>
      <c r="ES276" s="2" t="n">
        <v>86</v>
      </c>
    </row>
    <row r="277">
      <c r="A277" s="2" t="n">
        <v>3</v>
      </c>
      <c r="B277" s="2" t="inlineStr">
        <is>
          <t>14.01.01</t>
        </is>
      </c>
      <c r="C277" s="2" t="inlineStr">
        <is>
          <t>Retirada de terra com caminhão basculante - 1º fase + talude</t>
        </is>
      </c>
      <c r="D277" s="2" t="inlineStr">
        <is>
          <t>03/03/2026</t>
        </is>
      </c>
      <c r="E277" s="2" t="inlineStr">
        <is>
          <t>16/10/2026</t>
        </is>
      </c>
      <c r="F277" s="2" t="n">
        <v>915923.6535000001</v>
      </c>
      <c r="G277" s="2" t="n">
        <v>0</v>
      </c>
      <c r="H277" s="2" t="n">
        <v>915923.6535000001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0</v>
      </c>
      <c r="P277" s="2" t="n">
        <v>0</v>
      </c>
      <c r="Q277" s="2" t="n">
        <v>0</v>
      </c>
      <c r="R277" s="2" t="n">
        <v>0</v>
      </c>
      <c r="S277" s="2" t="n">
        <v>0</v>
      </c>
      <c r="T277" s="2" t="n">
        <v>0</v>
      </c>
      <c r="U277" s="2" t="n">
        <v>0</v>
      </c>
      <c r="V277" s="2" t="n">
        <v>0</v>
      </c>
      <c r="W277" s="2" t="n">
        <v>0</v>
      </c>
      <c r="X277" s="2" t="n">
        <v>0</v>
      </c>
      <c r="Y277" s="2" t="n">
        <v>0</v>
      </c>
      <c r="Z277" s="2" t="n">
        <v>0</v>
      </c>
      <c r="AA277" s="2" t="n">
        <v>0</v>
      </c>
      <c r="AB277" s="2" t="n">
        <v>0</v>
      </c>
      <c r="AC277" s="2" t="n">
        <v>0</v>
      </c>
      <c r="AD277" s="2" t="n">
        <v>0</v>
      </c>
      <c r="AE277" s="2" t="n">
        <v>0</v>
      </c>
      <c r="AF277" s="2" t="n">
        <v>14.87</v>
      </c>
      <c r="AG277" s="2" t="n">
        <v>0</v>
      </c>
      <c r="AH277" s="2" t="n">
        <v>0</v>
      </c>
      <c r="AI277" s="2" t="n">
        <v>16.98</v>
      </c>
      <c r="AJ277" s="2" t="n">
        <v>60.2</v>
      </c>
      <c r="AK277" s="2" t="n">
        <v>47.53</v>
      </c>
      <c r="AL277" s="2" t="n">
        <v>41.31</v>
      </c>
      <c r="AM277" s="2" t="n">
        <v>86</v>
      </c>
      <c r="AN277" s="2" t="n">
        <v>86</v>
      </c>
      <c r="AO277" s="2" t="n">
        <v>86</v>
      </c>
      <c r="AP277" s="2" t="n">
        <v>86</v>
      </c>
      <c r="AQ277" s="2" t="n">
        <v>86</v>
      </c>
      <c r="AR277" s="2" t="n">
        <v>86</v>
      </c>
      <c r="AS277" s="2" t="n">
        <v>86</v>
      </c>
      <c r="AT277" s="2" t="n">
        <v>86</v>
      </c>
      <c r="AU277" s="2" t="n">
        <v>86</v>
      </c>
      <c r="AV277" s="2" t="n">
        <v>86</v>
      </c>
      <c r="AW277" s="2" t="n">
        <v>86</v>
      </c>
      <c r="AX277" s="2" t="n">
        <v>86</v>
      </c>
      <c r="AY277" s="2" t="n">
        <v>86</v>
      </c>
      <c r="AZ277" s="2" t="n">
        <v>86</v>
      </c>
      <c r="BA277" s="2" t="n">
        <v>86</v>
      </c>
      <c r="BB277" s="2" t="n">
        <v>86</v>
      </c>
      <c r="BC277" s="2" t="n">
        <v>94.5</v>
      </c>
      <c r="BD277" s="2" t="n">
        <v>86</v>
      </c>
      <c r="BE277" s="2" t="n">
        <v>100</v>
      </c>
      <c r="BF277" s="2" t="n">
        <v>100</v>
      </c>
      <c r="BG277" s="2" t="n">
        <v>86</v>
      </c>
      <c r="BH277" s="2" t="n">
        <v>100</v>
      </c>
      <c r="BI277" s="2" t="n">
        <v>100</v>
      </c>
      <c r="BJ277" s="2" t="n">
        <v>86</v>
      </c>
      <c r="BK277" s="2" t="n">
        <v>100</v>
      </c>
      <c r="BL277" s="2" t="n">
        <v>100</v>
      </c>
      <c r="BM277" s="2" t="n">
        <v>86</v>
      </c>
      <c r="BN277" s="2" t="n">
        <v>100</v>
      </c>
      <c r="BO277" s="2" t="n">
        <v>100</v>
      </c>
      <c r="BP277" s="2" t="n">
        <v>86</v>
      </c>
      <c r="BQ277" s="2" t="n">
        <v>100</v>
      </c>
      <c r="BR277" s="2" t="n">
        <v>100</v>
      </c>
      <c r="BS277" s="2" t="n">
        <v>86</v>
      </c>
      <c r="BT277" s="2" t="n">
        <v>100</v>
      </c>
      <c r="BU277" s="2" t="n">
        <v>100</v>
      </c>
      <c r="BV277" s="2" t="n">
        <v>86</v>
      </c>
      <c r="BW277" s="2" t="n">
        <v>100</v>
      </c>
      <c r="BX277" s="2" t="n">
        <v>100</v>
      </c>
      <c r="BY277" s="2" t="n">
        <v>86</v>
      </c>
      <c r="BZ277" s="2" t="n">
        <v>100</v>
      </c>
      <c r="CA277" s="2" t="n">
        <v>100</v>
      </c>
      <c r="CB277" s="2" t="n">
        <v>86</v>
      </c>
      <c r="CC277" s="2" t="n">
        <v>100</v>
      </c>
      <c r="CD277" s="2" t="n">
        <v>100</v>
      </c>
      <c r="CE277" s="2" t="n">
        <v>86</v>
      </c>
      <c r="CF277" s="2" t="n">
        <v>100</v>
      </c>
      <c r="CG277" s="2" t="n">
        <v>100</v>
      </c>
      <c r="CH277" s="2" t="n">
        <v>86</v>
      </c>
      <c r="CI277" s="2" t="n">
        <v>100</v>
      </c>
      <c r="CJ277" s="2" t="n">
        <v>100</v>
      </c>
      <c r="CK277" s="2" t="n">
        <v>86</v>
      </c>
      <c r="CL277" s="2" t="n">
        <v>100</v>
      </c>
      <c r="CM277" s="2" t="n">
        <v>100</v>
      </c>
      <c r="CN277" s="2" t="n">
        <v>86</v>
      </c>
      <c r="CO277" s="2" t="n">
        <v>100</v>
      </c>
      <c r="CP277" s="2" t="n">
        <v>100</v>
      </c>
      <c r="CQ277" s="2" t="n">
        <v>86</v>
      </c>
      <c r="CR277" s="2" t="n">
        <v>100</v>
      </c>
      <c r="CS277" s="2" t="n">
        <v>100</v>
      </c>
      <c r="CT277" s="2" t="n">
        <v>86</v>
      </c>
      <c r="CU277" s="2" t="n">
        <v>100</v>
      </c>
      <c r="CV277" s="2" t="n">
        <v>100</v>
      </c>
      <c r="CW277" s="2" t="n">
        <v>86</v>
      </c>
      <c r="CX277" s="2" t="n">
        <v>100</v>
      </c>
      <c r="CY277" s="2" t="n">
        <v>100</v>
      </c>
      <c r="CZ277" s="2" t="n">
        <v>86</v>
      </c>
      <c r="DA277" s="2" t="n">
        <v>100</v>
      </c>
      <c r="DB277" s="2" t="n">
        <v>100</v>
      </c>
      <c r="DC277" s="2" t="n">
        <v>86</v>
      </c>
      <c r="DD277" s="2" t="n">
        <v>100</v>
      </c>
      <c r="DE277" s="2" t="n">
        <v>100</v>
      </c>
      <c r="DF277" s="2" t="n">
        <v>86</v>
      </c>
      <c r="DG277" s="2" t="n">
        <v>100</v>
      </c>
      <c r="DH277" s="2" t="n">
        <v>100</v>
      </c>
      <c r="DI277" s="2" t="n">
        <v>86</v>
      </c>
      <c r="DJ277" s="2" t="n">
        <v>100</v>
      </c>
      <c r="DK277" s="2" t="n">
        <v>100</v>
      </c>
      <c r="DL277" s="2" t="n">
        <v>86</v>
      </c>
      <c r="DM277" s="2" t="n">
        <v>100</v>
      </c>
      <c r="DN277" s="2" t="n">
        <v>100</v>
      </c>
      <c r="DO277" s="2" t="n">
        <v>86</v>
      </c>
      <c r="DP277" s="2" t="n">
        <v>100</v>
      </c>
      <c r="DQ277" s="2" t="n">
        <v>100</v>
      </c>
      <c r="DR277" s="2" t="n">
        <v>86</v>
      </c>
      <c r="DS277" s="2" t="n">
        <v>100</v>
      </c>
      <c r="DT277" s="2" t="n">
        <v>100</v>
      </c>
      <c r="DU277" s="2" t="n">
        <v>86</v>
      </c>
      <c r="DV277" s="2" t="n">
        <v>100</v>
      </c>
      <c r="DW277" s="2" t="n">
        <v>100</v>
      </c>
      <c r="DX277" s="2" t="n">
        <v>86</v>
      </c>
      <c r="DY277" s="2" t="n">
        <v>100</v>
      </c>
      <c r="DZ277" s="2" t="n">
        <v>100</v>
      </c>
      <c r="EA277" s="2" t="n">
        <v>86</v>
      </c>
      <c r="EB277" s="2" t="n">
        <v>100</v>
      </c>
      <c r="EC277" s="2" t="n">
        <v>100</v>
      </c>
      <c r="ED277" s="2" t="n">
        <v>86</v>
      </c>
      <c r="EE277" s="2" t="n">
        <v>100</v>
      </c>
      <c r="EF277" s="2" t="n">
        <v>100</v>
      </c>
      <c r="EG277" s="2" t="n">
        <v>86</v>
      </c>
      <c r="EH277" s="2" t="n">
        <v>100</v>
      </c>
      <c r="EI277" s="2" t="n">
        <v>100</v>
      </c>
      <c r="EJ277" s="2" t="n">
        <v>86</v>
      </c>
      <c r="EK277" s="2" t="n">
        <v>100</v>
      </c>
      <c r="EL277" s="2" t="n">
        <v>100</v>
      </c>
      <c r="EM277" s="2" t="n">
        <v>86</v>
      </c>
      <c r="EN277" s="2" t="n">
        <v>100</v>
      </c>
      <c r="EO277" s="2" t="n">
        <v>100</v>
      </c>
      <c r="EP277" s="2" t="n">
        <v>86</v>
      </c>
      <c r="EQ277" s="2" t="n">
        <v>100</v>
      </c>
      <c r="ER277" s="2" t="n">
        <v>100</v>
      </c>
      <c r="ES277" s="2" t="n">
        <v>86</v>
      </c>
    </row>
    <row r="278">
      <c r="A278" s="2" t="n">
        <v>3</v>
      </c>
      <c r="B278" s="2" t="inlineStr">
        <is>
          <t>14.01.02</t>
        </is>
      </c>
      <c r="C278" s="2" t="inlineStr">
        <is>
          <t>Construção de lava-rodas no portão da obra</t>
        </is>
      </c>
      <c r="D278" s="2" t="inlineStr">
        <is>
          <t>03/03/2026</t>
        </is>
      </c>
      <c r="E278" s="2" t="inlineStr">
        <is>
          <t>16/10/2026</t>
        </is>
      </c>
      <c r="F278" s="2" t="n">
        <v>14368.64629652275</v>
      </c>
      <c r="G278" s="2" t="n">
        <v>0</v>
      </c>
      <c r="H278" s="2" t="n">
        <v>14368.64629652275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0</v>
      </c>
      <c r="P278" s="2" t="n">
        <v>0</v>
      </c>
      <c r="Q278" s="2" t="n">
        <v>0</v>
      </c>
      <c r="R278" s="2" t="n">
        <v>0</v>
      </c>
      <c r="S278" s="2" t="n">
        <v>0</v>
      </c>
      <c r="T278" s="2" t="n">
        <v>0</v>
      </c>
      <c r="U278" s="2" t="n">
        <v>0</v>
      </c>
      <c r="V278" s="2" t="n">
        <v>0</v>
      </c>
      <c r="W278" s="2" t="n">
        <v>0</v>
      </c>
      <c r="X278" s="2" t="n">
        <v>0</v>
      </c>
      <c r="Y278" s="2" t="n">
        <v>0</v>
      </c>
      <c r="Z278" s="2" t="n">
        <v>0</v>
      </c>
      <c r="AA278" s="2" t="n">
        <v>0</v>
      </c>
      <c r="AB278" s="2" t="n">
        <v>0</v>
      </c>
      <c r="AC278" s="2" t="n">
        <v>0</v>
      </c>
      <c r="AD278" s="2" t="n">
        <v>0</v>
      </c>
      <c r="AE278" s="2" t="n">
        <v>0</v>
      </c>
      <c r="AF278" s="2" t="n">
        <v>14.87</v>
      </c>
      <c r="AG278" s="2" t="n">
        <v>0</v>
      </c>
      <c r="AH278" s="2" t="n">
        <v>0</v>
      </c>
      <c r="AI278" s="2" t="n">
        <v>16.98</v>
      </c>
      <c r="AJ278" s="2" t="n">
        <v>60.2</v>
      </c>
      <c r="AK278" s="2" t="n">
        <v>47.53</v>
      </c>
      <c r="AL278" s="2" t="n">
        <v>41.31</v>
      </c>
      <c r="AM278" s="2" t="n">
        <v>86</v>
      </c>
      <c r="AN278" s="2" t="n">
        <v>86</v>
      </c>
      <c r="AO278" s="2" t="n">
        <v>86</v>
      </c>
      <c r="AP278" s="2" t="n">
        <v>86</v>
      </c>
      <c r="AQ278" s="2" t="n">
        <v>86</v>
      </c>
      <c r="AR278" s="2" t="n">
        <v>86</v>
      </c>
      <c r="AS278" s="2" t="n">
        <v>86</v>
      </c>
      <c r="AT278" s="2" t="n">
        <v>86</v>
      </c>
      <c r="AU278" s="2" t="n">
        <v>86</v>
      </c>
      <c r="AV278" s="2" t="n">
        <v>86</v>
      </c>
      <c r="AW278" s="2" t="n">
        <v>86</v>
      </c>
      <c r="AX278" s="2" t="n">
        <v>86</v>
      </c>
      <c r="AY278" s="2" t="n">
        <v>86</v>
      </c>
      <c r="AZ278" s="2" t="n">
        <v>86</v>
      </c>
      <c r="BA278" s="2" t="n">
        <v>86</v>
      </c>
      <c r="BB278" s="2" t="n">
        <v>86</v>
      </c>
      <c r="BC278" s="2" t="n">
        <v>94.5</v>
      </c>
      <c r="BD278" s="2" t="n">
        <v>86</v>
      </c>
      <c r="BE278" s="2" t="n">
        <v>100</v>
      </c>
      <c r="BF278" s="2" t="n">
        <v>100</v>
      </c>
      <c r="BG278" s="2" t="n">
        <v>86</v>
      </c>
      <c r="BH278" s="2" t="n">
        <v>100</v>
      </c>
      <c r="BI278" s="2" t="n">
        <v>100</v>
      </c>
      <c r="BJ278" s="2" t="n">
        <v>86</v>
      </c>
      <c r="BK278" s="2" t="n">
        <v>100</v>
      </c>
      <c r="BL278" s="2" t="n">
        <v>100</v>
      </c>
      <c r="BM278" s="2" t="n">
        <v>86</v>
      </c>
      <c r="BN278" s="2" t="n">
        <v>100</v>
      </c>
      <c r="BO278" s="2" t="n">
        <v>100</v>
      </c>
      <c r="BP278" s="2" t="n">
        <v>86</v>
      </c>
      <c r="BQ278" s="2" t="n">
        <v>100</v>
      </c>
      <c r="BR278" s="2" t="n">
        <v>100</v>
      </c>
      <c r="BS278" s="2" t="n">
        <v>86</v>
      </c>
      <c r="BT278" s="2" t="n">
        <v>100</v>
      </c>
      <c r="BU278" s="2" t="n">
        <v>100</v>
      </c>
      <c r="BV278" s="2" t="n">
        <v>86</v>
      </c>
      <c r="BW278" s="2" t="n">
        <v>100</v>
      </c>
      <c r="BX278" s="2" t="n">
        <v>100</v>
      </c>
      <c r="BY278" s="2" t="n">
        <v>86</v>
      </c>
      <c r="BZ278" s="2" t="n">
        <v>100</v>
      </c>
      <c r="CA278" s="2" t="n">
        <v>100</v>
      </c>
      <c r="CB278" s="2" t="n">
        <v>86</v>
      </c>
      <c r="CC278" s="2" t="n">
        <v>100</v>
      </c>
      <c r="CD278" s="2" t="n">
        <v>100</v>
      </c>
      <c r="CE278" s="2" t="n">
        <v>86</v>
      </c>
      <c r="CF278" s="2" t="n">
        <v>100</v>
      </c>
      <c r="CG278" s="2" t="n">
        <v>100</v>
      </c>
      <c r="CH278" s="2" t="n">
        <v>86</v>
      </c>
      <c r="CI278" s="2" t="n">
        <v>100</v>
      </c>
      <c r="CJ278" s="2" t="n">
        <v>100</v>
      </c>
      <c r="CK278" s="2" t="n">
        <v>86</v>
      </c>
      <c r="CL278" s="2" t="n">
        <v>100</v>
      </c>
      <c r="CM278" s="2" t="n">
        <v>100</v>
      </c>
      <c r="CN278" s="2" t="n">
        <v>86</v>
      </c>
      <c r="CO278" s="2" t="n">
        <v>100</v>
      </c>
      <c r="CP278" s="2" t="n">
        <v>100</v>
      </c>
      <c r="CQ278" s="2" t="n">
        <v>86</v>
      </c>
      <c r="CR278" s="2" t="n">
        <v>100</v>
      </c>
      <c r="CS278" s="2" t="n">
        <v>100</v>
      </c>
      <c r="CT278" s="2" t="n">
        <v>86</v>
      </c>
      <c r="CU278" s="2" t="n">
        <v>100</v>
      </c>
      <c r="CV278" s="2" t="n">
        <v>100</v>
      </c>
      <c r="CW278" s="2" t="n">
        <v>86</v>
      </c>
      <c r="CX278" s="2" t="n">
        <v>100</v>
      </c>
      <c r="CY278" s="2" t="n">
        <v>100</v>
      </c>
      <c r="CZ278" s="2" t="n">
        <v>86</v>
      </c>
      <c r="DA278" s="2" t="n">
        <v>100</v>
      </c>
      <c r="DB278" s="2" t="n">
        <v>100</v>
      </c>
      <c r="DC278" s="2" t="n">
        <v>86</v>
      </c>
      <c r="DD278" s="2" t="n">
        <v>100</v>
      </c>
      <c r="DE278" s="2" t="n">
        <v>100</v>
      </c>
      <c r="DF278" s="2" t="n">
        <v>86</v>
      </c>
      <c r="DG278" s="2" t="n">
        <v>100</v>
      </c>
      <c r="DH278" s="2" t="n">
        <v>100</v>
      </c>
      <c r="DI278" s="2" t="n">
        <v>86</v>
      </c>
      <c r="DJ278" s="2" t="n">
        <v>100</v>
      </c>
      <c r="DK278" s="2" t="n">
        <v>100</v>
      </c>
      <c r="DL278" s="2" t="n">
        <v>86</v>
      </c>
      <c r="DM278" s="2" t="n">
        <v>100</v>
      </c>
      <c r="DN278" s="2" t="n">
        <v>100</v>
      </c>
      <c r="DO278" s="2" t="n">
        <v>86</v>
      </c>
      <c r="DP278" s="2" t="n">
        <v>100</v>
      </c>
      <c r="DQ278" s="2" t="n">
        <v>100</v>
      </c>
      <c r="DR278" s="2" t="n">
        <v>86</v>
      </c>
      <c r="DS278" s="2" t="n">
        <v>100</v>
      </c>
      <c r="DT278" s="2" t="n">
        <v>100</v>
      </c>
      <c r="DU278" s="2" t="n">
        <v>86</v>
      </c>
      <c r="DV278" s="2" t="n">
        <v>100</v>
      </c>
      <c r="DW278" s="2" t="n">
        <v>100</v>
      </c>
      <c r="DX278" s="2" t="n">
        <v>86</v>
      </c>
      <c r="DY278" s="2" t="n">
        <v>100</v>
      </c>
      <c r="DZ278" s="2" t="n">
        <v>100</v>
      </c>
      <c r="EA278" s="2" t="n">
        <v>86</v>
      </c>
      <c r="EB278" s="2" t="n">
        <v>100</v>
      </c>
      <c r="EC278" s="2" t="n">
        <v>100</v>
      </c>
      <c r="ED278" s="2" t="n">
        <v>86</v>
      </c>
      <c r="EE278" s="2" t="n">
        <v>100</v>
      </c>
      <c r="EF278" s="2" t="n">
        <v>100</v>
      </c>
      <c r="EG278" s="2" t="n">
        <v>86</v>
      </c>
      <c r="EH278" s="2" t="n">
        <v>100</v>
      </c>
      <c r="EI278" s="2" t="n">
        <v>100</v>
      </c>
      <c r="EJ278" s="2" t="n">
        <v>86</v>
      </c>
      <c r="EK278" s="2" t="n">
        <v>100</v>
      </c>
      <c r="EL278" s="2" t="n">
        <v>100</v>
      </c>
      <c r="EM278" s="2" t="n">
        <v>86</v>
      </c>
      <c r="EN278" s="2" t="n">
        <v>100</v>
      </c>
      <c r="EO278" s="2" t="n">
        <v>100</v>
      </c>
      <c r="EP278" s="2" t="n">
        <v>86</v>
      </c>
      <c r="EQ278" s="2" t="n">
        <v>100</v>
      </c>
      <c r="ER278" s="2" t="n">
        <v>100</v>
      </c>
      <c r="ES278" s="2" t="n">
        <v>86</v>
      </c>
    </row>
    <row r="279">
      <c r="A279" s="2" t="n">
        <v>3</v>
      </c>
      <c r="B279" s="2" t="inlineStr">
        <is>
          <t>14.01.03</t>
        </is>
      </c>
      <c r="C279" s="2" t="inlineStr">
        <is>
          <t>Preparo base do terreno - Rachão</t>
        </is>
      </c>
      <c r="D279" s="2" t="inlineStr">
        <is>
          <t>03/03/2026</t>
        </is>
      </c>
      <c r="E279" s="2" t="inlineStr">
        <is>
          <t>16/10/2026</t>
        </is>
      </c>
      <c r="F279" s="2" t="n">
        <v>80000</v>
      </c>
      <c r="G279" s="2" t="n">
        <v>0</v>
      </c>
      <c r="H279" s="2" t="n">
        <v>80000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0</v>
      </c>
      <c r="P279" s="2" t="n">
        <v>0</v>
      </c>
      <c r="Q279" s="2" t="n">
        <v>0</v>
      </c>
      <c r="R279" s="2" t="n">
        <v>0</v>
      </c>
      <c r="S279" s="2" t="n">
        <v>0</v>
      </c>
      <c r="T279" s="2" t="n">
        <v>0</v>
      </c>
      <c r="U279" s="2" t="n">
        <v>0</v>
      </c>
      <c r="V279" s="2" t="n">
        <v>0</v>
      </c>
      <c r="W279" s="2" t="n">
        <v>0</v>
      </c>
      <c r="X279" s="2" t="n">
        <v>0</v>
      </c>
      <c r="Y279" s="2" t="n">
        <v>0</v>
      </c>
      <c r="Z279" s="2" t="n">
        <v>0</v>
      </c>
      <c r="AA279" s="2" t="n">
        <v>0</v>
      </c>
      <c r="AB279" s="2" t="n">
        <v>0</v>
      </c>
      <c r="AC279" s="2" t="n">
        <v>0</v>
      </c>
      <c r="AD279" s="2" t="n">
        <v>0</v>
      </c>
      <c r="AE279" s="2" t="n">
        <v>0</v>
      </c>
      <c r="AF279" s="2" t="n">
        <v>14.87</v>
      </c>
      <c r="AG279" s="2" t="n">
        <v>0</v>
      </c>
      <c r="AH279" s="2" t="n">
        <v>0</v>
      </c>
      <c r="AI279" s="2" t="n">
        <v>16.98</v>
      </c>
      <c r="AJ279" s="2" t="n">
        <v>60.2</v>
      </c>
      <c r="AK279" s="2" t="n">
        <v>47.53</v>
      </c>
      <c r="AL279" s="2" t="n">
        <v>41.31</v>
      </c>
      <c r="AM279" s="2" t="n">
        <v>86</v>
      </c>
      <c r="AN279" s="2" t="n">
        <v>86</v>
      </c>
      <c r="AO279" s="2" t="n">
        <v>86</v>
      </c>
      <c r="AP279" s="2" t="n">
        <v>86</v>
      </c>
      <c r="AQ279" s="2" t="n">
        <v>86</v>
      </c>
      <c r="AR279" s="2" t="n">
        <v>86</v>
      </c>
      <c r="AS279" s="2" t="n">
        <v>86</v>
      </c>
      <c r="AT279" s="2" t="n">
        <v>86</v>
      </c>
      <c r="AU279" s="2" t="n">
        <v>86</v>
      </c>
      <c r="AV279" s="2" t="n">
        <v>86</v>
      </c>
      <c r="AW279" s="2" t="n">
        <v>86</v>
      </c>
      <c r="AX279" s="2" t="n">
        <v>86</v>
      </c>
      <c r="AY279" s="2" t="n">
        <v>86</v>
      </c>
      <c r="AZ279" s="2" t="n">
        <v>86</v>
      </c>
      <c r="BA279" s="2" t="n">
        <v>86</v>
      </c>
      <c r="BB279" s="2" t="n">
        <v>86</v>
      </c>
      <c r="BC279" s="2" t="n">
        <v>94.5</v>
      </c>
      <c r="BD279" s="2" t="n">
        <v>86</v>
      </c>
      <c r="BE279" s="2" t="n">
        <v>100</v>
      </c>
      <c r="BF279" s="2" t="n">
        <v>100</v>
      </c>
      <c r="BG279" s="2" t="n">
        <v>86</v>
      </c>
      <c r="BH279" s="2" t="n">
        <v>100</v>
      </c>
      <c r="BI279" s="2" t="n">
        <v>100</v>
      </c>
      <c r="BJ279" s="2" t="n">
        <v>86</v>
      </c>
      <c r="BK279" s="2" t="n">
        <v>100</v>
      </c>
      <c r="BL279" s="2" t="n">
        <v>100</v>
      </c>
      <c r="BM279" s="2" t="n">
        <v>86</v>
      </c>
      <c r="BN279" s="2" t="n">
        <v>100</v>
      </c>
      <c r="BO279" s="2" t="n">
        <v>100</v>
      </c>
      <c r="BP279" s="2" t="n">
        <v>86</v>
      </c>
      <c r="BQ279" s="2" t="n">
        <v>100</v>
      </c>
      <c r="BR279" s="2" t="n">
        <v>100</v>
      </c>
      <c r="BS279" s="2" t="n">
        <v>86</v>
      </c>
      <c r="BT279" s="2" t="n">
        <v>100</v>
      </c>
      <c r="BU279" s="2" t="n">
        <v>100</v>
      </c>
      <c r="BV279" s="2" t="n">
        <v>86</v>
      </c>
      <c r="BW279" s="2" t="n">
        <v>100</v>
      </c>
      <c r="BX279" s="2" t="n">
        <v>100</v>
      </c>
      <c r="BY279" s="2" t="n">
        <v>86</v>
      </c>
      <c r="BZ279" s="2" t="n">
        <v>100</v>
      </c>
      <c r="CA279" s="2" t="n">
        <v>100</v>
      </c>
      <c r="CB279" s="2" t="n">
        <v>86</v>
      </c>
      <c r="CC279" s="2" t="n">
        <v>100</v>
      </c>
      <c r="CD279" s="2" t="n">
        <v>100</v>
      </c>
      <c r="CE279" s="2" t="n">
        <v>86</v>
      </c>
      <c r="CF279" s="2" t="n">
        <v>100</v>
      </c>
      <c r="CG279" s="2" t="n">
        <v>100</v>
      </c>
      <c r="CH279" s="2" t="n">
        <v>86</v>
      </c>
      <c r="CI279" s="2" t="n">
        <v>100</v>
      </c>
      <c r="CJ279" s="2" t="n">
        <v>100</v>
      </c>
      <c r="CK279" s="2" t="n">
        <v>86</v>
      </c>
      <c r="CL279" s="2" t="n">
        <v>100</v>
      </c>
      <c r="CM279" s="2" t="n">
        <v>100</v>
      </c>
      <c r="CN279" s="2" t="n">
        <v>86</v>
      </c>
      <c r="CO279" s="2" t="n">
        <v>100</v>
      </c>
      <c r="CP279" s="2" t="n">
        <v>100</v>
      </c>
      <c r="CQ279" s="2" t="n">
        <v>86</v>
      </c>
      <c r="CR279" s="2" t="n">
        <v>100</v>
      </c>
      <c r="CS279" s="2" t="n">
        <v>100</v>
      </c>
      <c r="CT279" s="2" t="n">
        <v>86</v>
      </c>
      <c r="CU279" s="2" t="n">
        <v>100</v>
      </c>
      <c r="CV279" s="2" t="n">
        <v>100</v>
      </c>
      <c r="CW279" s="2" t="n">
        <v>86</v>
      </c>
      <c r="CX279" s="2" t="n">
        <v>100</v>
      </c>
      <c r="CY279" s="2" t="n">
        <v>100</v>
      </c>
      <c r="CZ279" s="2" t="n">
        <v>86</v>
      </c>
      <c r="DA279" s="2" t="n">
        <v>100</v>
      </c>
      <c r="DB279" s="2" t="n">
        <v>100</v>
      </c>
      <c r="DC279" s="2" t="n">
        <v>86</v>
      </c>
      <c r="DD279" s="2" t="n">
        <v>100</v>
      </c>
      <c r="DE279" s="2" t="n">
        <v>100</v>
      </c>
      <c r="DF279" s="2" t="n">
        <v>86</v>
      </c>
      <c r="DG279" s="2" t="n">
        <v>100</v>
      </c>
      <c r="DH279" s="2" t="n">
        <v>100</v>
      </c>
      <c r="DI279" s="2" t="n">
        <v>86</v>
      </c>
      <c r="DJ279" s="2" t="n">
        <v>100</v>
      </c>
      <c r="DK279" s="2" t="n">
        <v>100</v>
      </c>
      <c r="DL279" s="2" t="n">
        <v>86</v>
      </c>
      <c r="DM279" s="2" t="n">
        <v>100</v>
      </c>
      <c r="DN279" s="2" t="n">
        <v>100</v>
      </c>
      <c r="DO279" s="2" t="n">
        <v>86</v>
      </c>
      <c r="DP279" s="2" t="n">
        <v>100</v>
      </c>
      <c r="DQ279" s="2" t="n">
        <v>100</v>
      </c>
      <c r="DR279" s="2" t="n">
        <v>86</v>
      </c>
      <c r="DS279" s="2" t="n">
        <v>100</v>
      </c>
      <c r="DT279" s="2" t="n">
        <v>100</v>
      </c>
      <c r="DU279" s="2" t="n">
        <v>86</v>
      </c>
      <c r="DV279" s="2" t="n">
        <v>100</v>
      </c>
      <c r="DW279" s="2" t="n">
        <v>100</v>
      </c>
      <c r="DX279" s="2" t="n">
        <v>86</v>
      </c>
      <c r="DY279" s="2" t="n">
        <v>100</v>
      </c>
      <c r="DZ279" s="2" t="n">
        <v>100</v>
      </c>
      <c r="EA279" s="2" t="n">
        <v>86</v>
      </c>
      <c r="EB279" s="2" t="n">
        <v>100</v>
      </c>
      <c r="EC279" s="2" t="n">
        <v>100</v>
      </c>
      <c r="ED279" s="2" t="n">
        <v>86</v>
      </c>
      <c r="EE279" s="2" t="n">
        <v>100</v>
      </c>
      <c r="EF279" s="2" t="n">
        <v>100</v>
      </c>
      <c r="EG279" s="2" t="n">
        <v>86</v>
      </c>
      <c r="EH279" s="2" t="n">
        <v>100</v>
      </c>
      <c r="EI279" s="2" t="n">
        <v>100</v>
      </c>
      <c r="EJ279" s="2" t="n">
        <v>86</v>
      </c>
      <c r="EK279" s="2" t="n">
        <v>100</v>
      </c>
      <c r="EL279" s="2" t="n">
        <v>100</v>
      </c>
      <c r="EM279" s="2" t="n">
        <v>86</v>
      </c>
      <c r="EN279" s="2" t="n">
        <v>100</v>
      </c>
      <c r="EO279" s="2" t="n">
        <v>100</v>
      </c>
      <c r="EP279" s="2" t="n">
        <v>86</v>
      </c>
      <c r="EQ279" s="2" t="n">
        <v>100</v>
      </c>
      <c r="ER279" s="2" t="n">
        <v>100</v>
      </c>
      <c r="ES279" s="2" t="n">
        <v>86</v>
      </c>
    </row>
    <row r="280">
      <c r="A280" s="2" t="n">
        <v>3</v>
      </c>
      <c r="B280" s="2" t="inlineStr">
        <is>
          <t>14.01.04</t>
        </is>
      </c>
      <c r="C280" s="2" t="inlineStr">
        <is>
          <t>Locação de Escavadeira Hidraulica - Considerando H.E aos sábados</t>
        </is>
      </c>
      <c r="D280" s="2" t="inlineStr">
        <is>
          <t>03/03/2026</t>
        </is>
      </c>
      <c r="E280" s="2" t="inlineStr">
        <is>
          <t>16/10/2026</t>
        </is>
      </c>
      <c r="F280" s="2" t="n">
        <v>49100</v>
      </c>
      <c r="G280" s="2" t="n">
        <v>0</v>
      </c>
      <c r="H280" s="2" t="n">
        <v>49100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0</v>
      </c>
      <c r="P280" s="2" t="n">
        <v>0</v>
      </c>
      <c r="Q280" s="2" t="n">
        <v>0</v>
      </c>
      <c r="R280" s="2" t="n">
        <v>0</v>
      </c>
      <c r="S280" s="2" t="n">
        <v>0</v>
      </c>
      <c r="T280" s="2" t="n">
        <v>0</v>
      </c>
      <c r="U280" s="2" t="n">
        <v>0</v>
      </c>
      <c r="V280" s="2" t="n">
        <v>0</v>
      </c>
      <c r="W280" s="2" t="n">
        <v>0</v>
      </c>
      <c r="X280" s="2" t="n">
        <v>0</v>
      </c>
      <c r="Y280" s="2" t="n">
        <v>0</v>
      </c>
      <c r="Z280" s="2" t="n">
        <v>0</v>
      </c>
      <c r="AA280" s="2" t="n">
        <v>0</v>
      </c>
      <c r="AB280" s="2" t="n">
        <v>0</v>
      </c>
      <c r="AC280" s="2" t="n">
        <v>0</v>
      </c>
      <c r="AD280" s="2" t="n">
        <v>0</v>
      </c>
      <c r="AE280" s="2" t="n">
        <v>0</v>
      </c>
      <c r="AF280" s="2" t="n">
        <v>14.87</v>
      </c>
      <c r="AG280" s="2" t="n">
        <v>0</v>
      </c>
      <c r="AH280" s="2" t="n">
        <v>0</v>
      </c>
      <c r="AI280" s="2" t="n">
        <v>16.98</v>
      </c>
      <c r="AJ280" s="2" t="n">
        <v>60.2</v>
      </c>
      <c r="AK280" s="2" t="n">
        <v>47.53</v>
      </c>
      <c r="AL280" s="2" t="n">
        <v>41.31</v>
      </c>
      <c r="AM280" s="2" t="n">
        <v>86</v>
      </c>
      <c r="AN280" s="2" t="n">
        <v>86</v>
      </c>
      <c r="AO280" s="2" t="n">
        <v>86</v>
      </c>
      <c r="AP280" s="2" t="n">
        <v>86</v>
      </c>
      <c r="AQ280" s="2" t="n">
        <v>86</v>
      </c>
      <c r="AR280" s="2" t="n">
        <v>86</v>
      </c>
      <c r="AS280" s="2" t="n">
        <v>86</v>
      </c>
      <c r="AT280" s="2" t="n">
        <v>86</v>
      </c>
      <c r="AU280" s="2" t="n">
        <v>86</v>
      </c>
      <c r="AV280" s="2" t="n">
        <v>86</v>
      </c>
      <c r="AW280" s="2" t="n">
        <v>86</v>
      </c>
      <c r="AX280" s="2" t="n">
        <v>86</v>
      </c>
      <c r="AY280" s="2" t="n">
        <v>86</v>
      </c>
      <c r="AZ280" s="2" t="n">
        <v>86</v>
      </c>
      <c r="BA280" s="2" t="n">
        <v>86</v>
      </c>
      <c r="BB280" s="2" t="n">
        <v>86</v>
      </c>
      <c r="BC280" s="2" t="n">
        <v>94.5</v>
      </c>
      <c r="BD280" s="2" t="n">
        <v>86</v>
      </c>
      <c r="BE280" s="2" t="n">
        <v>100</v>
      </c>
      <c r="BF280" s="2" t="n">
        <v>100</v>
      </c>
      <c r="BG280" s="2" t="n">
        <v>86</v>
      </c>
      <c r="BH280" s="2" t="n">
        <v>100</v>
      </c>
      <c r="BI280" s="2" t="n">
        <v>100</v>
      </c>
      <c r="BJ280" s="2" t="n">
        <v>86</v>
      </c>
      <c r="BK280" s="2" t="n">
        <v>100</v>
      </c>
      <c r="BL280" s="2" t="n">
        <v>100</v>
      </c>
      <c r="BM280" s="2" t="n">
        <v>86</v>
      </c>
      <c r="BN280" s="2" t="n">
        <v>100</v>
      </c>
      <c r="BO280" s="2" t="n">
        <v>100</v>
      </c>
      <c r="BP280" s="2" t="n">
        <v>86</v>
      </c>
      <c r="BQ280" s="2" t="n">
        <v>100</v>
      </c>
      <c r="BR280" s="2" t="n">
        <v>100</v>
      </c>
      <c r="BS280" s="2" t="n">
        <v>86</v>
      </c>
      <c r="BT280" s="2" t="n">
        <v>100</v>
      </c>
      <c r="BU280" s="2" t="n">
        <v>100</v>
      </c>
      <c r="BV280" s="2" t="n">
        <v>86</v>
      </c>
      <c r="BW280" s="2" t="n">
        <v>100</v>
      </c>
      <c r="BX280" s="2" t="n">
        <v>100</v>
      </c>
      <c r="BY280" s="2" t="n">
        <v>86</v>
      </c>
      <c r="BZ280" s="2" t="n">
        <v>100</v>
      </c>
      <c r="CA280" s="2" t="n">
        <v>100</v>
      </c>
      <c r="CB280" s="2" t="n">
        <v>86</v>
      </c>
      <c r="CC280" s="2" t="n">
        <v>100</v>
      </c>
      <c r="CD280" s="2" t="n">
        <v>100</v>
      </c>
      <c r="CE280" s="2" t="n">
        <v>86</v>
      </c>
      <c r="CF280" s="2" t="n">
        <v>100</v>
      </c>
      <c r="CG280" s="2" t="n">
        <v>100</v>
      </c>
      <c r="CH280" s="2" t="n">
        <v>86</v>
      </c>
      <c r="CI280" s="2" t="n">
        <v>100</v>
      </c>
      <c r="CJ280" s="2" t="n">
        <v>100</v>
      </c>
      <c r="CK280" s="2" t="n">
        <v>86</v>
      </c>
      <c r="CL280" s="2" t="n">
        <v>100</v>
      </c>
      <c r="CM280" s="2" t="n">
        <v>100</v>
      </c>
      <c r="CN280" s="2" t="n">
        <v>86</v>
      </c>
      <c r="CO280" s="2" t="n">
        <v>100</v>
      </c>
      <c r="CP280" s="2" t="n">
        <v>100</v>
      </c>
      <c r="CQ280" s="2" t="n">
        <v>86</v>
      </c>
      <c r="CR280" s="2" t="n">
        <v>100</v>
      </c>
      <c r="CS280" s="2" t="n">
        <v>100</v>
      </c>
      <c r="CT280" s="2" t="n">
        <v>86</v>
      </c>
      <c r="CU280" s="2" t="n">
        <v>100</v>
      </c>
      <c r="CV280" s="2" t="n">
        <v>100</v>
      </c>
      <c r="CW280" s="2" t="n">
        <v>86</v>
      </c>
      <c r="CX280" s="2" t="n">
        <v>100</v>
      </c>
      <c r="CY280" s="2" t="n">
        <v>100</v>
      </c>
      <c r="CZ280" s="2" t="n">
        <v>86</v>
      </c>
      <c r="DA280" s="2" t="n">
        <v>100</v>
      </c>
      <c r="DB280" s="2" t="n">
        <v>100</v>
      </c>
      <c r="DC280" s="2" t="n">
        <v>86</v>
      </c>
      <c r="DD280" s="2" t="n">
        <v>100</v>
      </c>
      <c r="DE280" s="2" t="n">
        <v>100</v>
      </c>
      <c r="DF280" s="2" t="n">
        <v>86</v>
      </c>
      <c r="DG280" s="2" t="n">
        <v>100</v>
      </c>
      <c r="DH280" s="2" t="n">
        <v>100</v>
      </c>
      <c r="DI280" s="2" t="n">
        <v>86</v>
      </c>
      <c r="DJ280" s="2" t="n">
        <v>100</v>
      </c>
      <c r="DK280" s="2" t="n">
        <v>100</v>
      </c>
      <c r="DL280" s="2" t="n">
        <v>86</v>
      </c>
      <c r="DM280" s="2" t="n">
        <v>100</v>
      </c>
      <c r="DN280" s="2" t="n">
        <v>100</v>
      </c>
      <c r="DO280" s="2" t="n">
        <v>86</v>
      </c>
      <c r="DP280" s="2" t="n">
        <v>100</v>
      </c>
      <c r="DQ280" s="2" t="n">
        <v>100</v>
      </c>
      <c r="DR280" s="2" t="n">
        <v>86</v>
      </c>
      <c r="DS280" s="2" t="n">
        <v>100</v>
      </c>
      <c r="DT280" s="2" t="n">
        <v>100</v>
      </c>
      <c r="DU280" s="2" t="n">
        <v>86</v>
      </c>
      <c r="DV280" s="2" t="n">
        <v>100</v>
      </c>
      <c r="DW280" s="2" t="n">
        <v>100</v>
      </c>
      <c r="DX280" s="2" t="n">
        <v>86</v>
      </c>
      <c r="DY280" s="2" t="n">
        <v>100</v>
      </c>
      <c r="DZ280" s="2" t="n">
        <v>100</v>
      </c>
      <c r="EA280" s="2" t="n">
        <v>86</v>
      </c>
      <c r="EB280" s="2" t="n">
        <v>100</v>
      </c>
      <c r="EC280" s="2" t="n">
        <v>100</v>
      </c>
      <c r="ED280" s="2" t="n">
        <v>86</v>
      </c>
      <c r="EE280" s="2" t="n">
        <v>100</v>
      </c>
      <c r="EF280" s="2" t="n">
        <v>100</v>
      </c>
      <c r="EG280" s="2" t="n">
        <v>86</v>
      </c>
      <c r="EH280" s="2" t="n">
        <v>100</v>
      </c>
      <c r="EI280" s="2" t="n">
        <v>100</v>
      </c>
      <c r="EJ280" s="2" t="n">
        <v>86</v>
      </c>
      <c r="EK280" s="2" t="n">
        <v>100</v>
      </c>
      <c r="EL280" s="2" t="n">
        <v>100</v>
      </c>
      <c r="EM280" s="2" t="n">
        <v>86</v>
      </c>
      <c r="EN280" s="2" t="n">
        <v>100</v>
      </c>
      <c r="EO280" s="2" t="n">
        <v>100</v>
      </c>
      <c r="EP280" s="2" t="n">
        <v>86</v>
      </c>
      <c r="EQ280" s="2" t="n">
        <v>100</v>
      </c>
      <c r="ER280" s="2" t="n">
        <v>100</v>
      </c>
      <c r="ES280" s="2" t="n">
        <v>86</v>
      </c>
    </row>
    <row r="281">
      <c r="A281" s="2" t="n">
        <v>2</v>
      </c>
      <c r="B281" s="2" t="inlineStr">
        <is>
          <t>14.02</t>
        </is>
      </c>
      <c r="C281" s="2" t="inlineStr">
        <is>
          <t>Rebaixamento de lençol freático</t>
        </is>
      </c>
      <c r="D281" s="2" t="inlineStr">
        <is>
          <t>03/03/2026</t>
        </is>
      </c>
      <c r="E281" s="2" t="inlineStr">
        <is>
          <t>16/10/2026</t>
        </is>
      </c>
      <c r="F281" s="2" t="n">
        <v>200392.164</v>
      </c>
      <c r="G281" s="2" t="n">
        <v>0</v>
      </c>
      <c r="H281" s="2" t="n">
        <v>200392.164</v>
      </c>
      <c r="I281" s="2" t="n">
        <v>0</v>
      </c>
      <c r="J281" s="2" t="n">
        <v>0</v>
      </c>
      <c r="K281" s="2" t="n">
        <v>0</v>
      </c>
      <c r="L281" s="2" t="n">
        <v>0</v>
      </c>
      <c r="M281" s="2" t="n">
        <v>0</v>
      </c>
      <c r="N281" s="2" t="n">
        <v>0</v>
      </c>
      <c r="O281" s="2" t="n">
        <v>0</v>
      </c>
      <c r="P281" s="2" t="n">
        <v>0</v>
      </c>
      <c r="Q281" s="2" t="n">
        <v>0</v>
      </c>
      <c r="R281" s="2" t="n">
        <v>0</v>
      </c>
      <c r="S281" s="2" t="n">
        <v>0</v>
      </c>
      <c r="T281" s="2" t="n">
        <v>0</v>
      </c>
      <c r="U281" s="2" t="n">
        <v>0</v>
      </c>
      <c r="V281" s="2" t="n">
        <v>0</v>
      </c>
      <c r="W281" s="2" t="n">
        <v>0</v>
      </c>
      <c r="X281" s="2" t="n">
        <v>0</v>
      </c>
      <c r="Y281" s="2" t="n">
        <v>0</v>
      </c>
      <c r="Z281" s="2" t="n">
        <v>0</v>
      </c>
      <c r="AA281" s="2" t="n">
        <v>0</v>
      </c>
      <c r="AB281" s="2" t="n">
        <v>0</v>
      </c>
      <c r="AC281" s="2" t="n">
        <v>0</v>
      </c>
      <c r="AD281" s="2" t="n">
        <v>0</v>
      </c>
      <c r="AE281" s="2" t="n">
        <v>0</v>
      </c>
      <c r="AF281" s="2" t="n">
        <v>14.87</v>
      </c>
      <c r="AG281" s="2" t="n">
        <v>0</v>
      </c>
      <c r="AH281" s="2" t="n">
        <v>0</v>
      </c>
      <c r="AI281" s="2" t="n">
        <v>16.98</v>
      </c>
      <c r="AJ281" s="2" t="n">
        <v>60.2</v>
      </c>
      <c r="AK281" s="2" t="n">
        <v>47.53</v>
      </c>
      <c r="AL281" s="2" t="n">
        <v>41.31</v>
      </c>
      <c r="AM281" s="2" t="n">
        <v>86</v>
      </c>
      <c r="AN281" s="2" t="n">
        <v>86</v>
      </c>
      <c r="AO281" s="2" t="n">
        <v>86</v>
      </c>
      <c r="AP281" s="2" t="n">
        <v>86</v>
      </c>
      <c r="AQ281" s="2" t="n">
        <v>86</v>
      </c>
      <c r="AR281" s="2" t="n">
        <v>86</v>
      </c>
      <c r="AS281" s="2" t="n">
        <v>86</v>
      </c>
      <c r="AT281" s="2" t="n">
        <v>86</v>
      </c>
      <c r="AU281" s="2" t="n">
        <v>86</v>
      </c>
      <c r="AV281" s="2" t="n">
        <v>86</v>
      </c>
      <c r="AW281" s="2" t="n">
        <v>86</v>
      </c>
      <c r="AX281" s="2" t="n">
        <v>86</v>
      </c>
      <c r="AY281" s="2" t="n">
        <v>86</v>
      </c>
      <c r="AZ281" s="2" t="n">
        <v>86</v>
      </c>
      <c r="BA281" s="2" t="n">
        <v>86</v>
      </c>
      <c r="BB281" s="2" t="n">
        <v>86</v>
      </c>
      <c r="BC281" s="2" t="n">
        <v>94.5</v>
      </c>
      <c r="BD281" s="2" t="n">
        <v>86</v>
      </c>
      <c r="BE281" s="2" t="n">
        <v>100</v>
      </c>
      <c r="BF281" s="2" t="n">
        <v>100</v>
      </c>
      <c r="BG281" s="2" t="n">
        <v>86</v>
      </c>
      <c r="BH281" s="2" t="n">
        <v>100</v>
      </c>
      <c r="BI281" s="2" t="n">
        <v>100</v>
      </c>
      <c r="BJ281" s="2" t="n">
        <v>86</v>
      </c>
      <c r="BK281" s="2" t="n">
        <v>100</v>
      </c>
      <c r="BL281" s="2" t="n">
        <v>100</v>
      </c>
      <c r="BM281" s="2" t="n">
        <v>86</v>
      </c>
      <c r="BN281" s="2" t="n">
        <v>100</v>
      </c>
      <c r="BO281" s="2" t="n">
        <v>100</v>
      </c>
      <c r="BP281" s="2" t="n">
        <v>86</v>
      </c>
      <c r="BQ281" s="2" t="n">
        <v>100</v>
      </c>
      <c r="BR281" s="2" t="n">
        <v>100</v>
      </c>
      <c r="BS281" s="2" t="n">
        <v>86</v>
      </c>
      <c r="BT281" s="2" t="n">
        <v>100</v>
      </c>
      <c r="BU281" s="2" t="n">
        <v>100</v>
      </c>
      <c r="BV281" s="2" t="n">
        <v>86</v>
      </c>
      <c r="BW281" s="2" t="n">
        <v>100</v>
      </c>
      <c r="BX281" s="2" t="n">
        <v>100</v>
      </c>
      <c r="BY281" s="2" t="n">
        <v>86</v>
      </c>
      <c r="BZ281" s="2" t="n">
        <v>100</v>
      </c>
      <c r="CA281" s="2" t="n">
        <v>100</v>
      </c>
      <c r="CB281" s="2" t="n">
        <v>86</v>
      </c>
      <c r="CC281" s="2" t="n">
        <v>100</v>
      </c>
      <c r="CD281" s="2" t="n">
        <v>100</v>
      </c>
      <c r="CE281" s="2" t="n">
        <v>86</v>
      </c>
      <c r="CF281" s="2" t="n">
        <v>100</v>
      </c>
      <c r="CG281" s="2" t="n">
        <v>100</v>
      </c>
      <c r="CH281" s="2" t="n">
        <v>86</v>
      </c>
      <c r="CI281" s="2" t="n">
        <v>100</v>
      </c>
      <c r="CJ281" s="2" t="n">
        <v>100</v>
      </c>
      <c r="CK281" s="2" t="n">
        <v>86</v>
      </c>
      <c r="CL281" s="2" t="n">
        <v>100</v>
      </c>
      <c r="CM281" s="2" t="n">
        <v>100</v>
      </c>
      <c r="CN281" s="2" t="n">
        <v>86</v>
      </c>
      <c r="CO281" s="2" t="n">
        <v>100</v>
      </c>
      <c r="CP281" s="2" t="n">
        <v>100</v>
      </c>
      <c r="CQ281" s="2" t="n">
        <v>86</v>
      </c>
      <c r="CR281" s="2" t="n">
        <v>100</v>
      </c>
      <c r="CS281" s="2" t="n">
        <v>100</v>
      </c>
      <c r="CT281" s="2" t="n">
        <v>86</v>
      </c>
      <c r="CU281" s="2" t="n">
        <v>100</v>
      </c>
      <c r="CV281" s="2" t="n">
        <v>100</v>
      </c>
      <c r="CW281" s="2" t="n">
        <v>86</v>
      </c>
      <c r="CX281" s="2" t="n">
        <v>100</v>
      </c>
      <c r="CY281" s="2" t="n">
        <v>100</v>
      </c>
      <c r="CZ281" s="2" t="n">
        <v>86</v>
      </c>
      <c r="DA281" s="2" t="n">
        <v>100</v>
      </c>
      <c r="DB281" s="2" t="n">
        <v>100</v>
      </c>
      <c r="DC281" s="2" t="n">
        <v>86</v>
      </c>
      <c r="DD281" s="2" t="n">
        <v>100</v>
      </c>
      <c r="DE281" s="2" t="n">
        <v>100</v>
      </c>
      <c r="DF281" s="2" t="n">
        <v>86</v>
      </c>
      <c r="DG281" s="2" t="n">
        <v>100</v>
      </c>
      <c r="DH281" s="2" t="n">
        <v>100</v>
      </c>
      <c r="DI281" s="2" t="n">
        <v>86</v>
      </c>
      <c r="DJ281" s="2" t="n">
        <v>100</v>
      </c>
      <c r="DK281" s="2" t="n">
        <v>100</v>
      </c>
      <c r="DL281" s="2" t="n">
        <v>86</v>
      </c>
      <c r="DM281" s="2" t="n">
        <v>100</v>
      </c>
      <c r="DN281" s="2" t="n">
        <v>100</v>
      </c>
      <c r="DO281" s="2" t="n">
        <v>86</v>
      </c>
      <c r="DP281" s="2" t="n">
        <v>100</v>
      </c>
      <c r="DQ281" s="2" t="n">
        <v>100</v>
      </c>
      <c r="DR281" s="2" t="n">
        <v>86</v>
      </c>
      <c r="DS281" s="2" t="n">
        <v>100</v>
      </c>
      <c r="DT281" s="2" t="n">
        <v>100</v>
      </c>
      <c r="DU281" s="2" t="n">
        <v>86</v>
      </c>
      <c r="DV281" s="2" t="n">
        <v>100</v>
      </c>
      <c r="DW281" s="2" t="n">
        <v>100</v>
      </c>
      <c r="DX281" s="2" t="n">
        <v>86</v>
      </c>
      <c r="DY281" s="2" t="n">
        <v>100</v>
      </c>
      <c r="DZ281" s="2" t="n">
        <v>100</v>
      </c>
      <c r="EA281" s="2" t="n">
        <v>86</v>
      </c>
      <c r="EB281" s="2" t="n">
        <v>100</v>
      </c>
      <c r="EC281" s="2" t="n">
        <v>100</v>
      </c>
      <c r="ED281" s="2" t="n">
        <v>86</v>
      </c>
      <c r="EE281" s="2" t="n">
        <v>100</v>
      </c>
      <c r="EF281" s="2" t="n">
        <v>100</v>
      </c>
      <c r="EG281" s="2" t="n">
        <v>86</v>
      </c>
      <c r="EH281" s="2" t="n">
        <v>100</v>
      </c>
      <c r="EI281" s="2" t="n">
        <v>100</v>
      </c>
      <c r="EJ281" s="2" t="n">
        <v>86</v>
      </c>
      <c r="EK281" s="2" t="n">
        <v>100</v>
      </c>
      <c r="EL281" s="2" t="n">
        <v>100</v>
      </c>
      <c r="EM281" s="2" t="n">
        <v>86</v>
      </c>
      <c r="EN281" s="2" t="n">
        <v>100</v>
      </c>
      <c r="EO281" s="2" t="n">
        <v>100</v>
      </c>
      <c r="EP281" s="2" t="n">
        <v>86</v>
      </c>
      <c r="EQ281" s="2" t="n">
        <v>100</v>
      </c>
      <c r="ER281" s="2" t="n">
        <v>100</v>
      </c>
      <c r="ES281" s="2" t="n">
        <v>86</v>
      </c>
    </row>
    <row r="282">
      <c r="A282" s="2" t="n">
        <v>3</v>
      </c>
      <c r="B282" s="2" t="inlineStr">
        <is>
          <t>14.02.01</t>
        </is>
      </c>
      <c r="C282" s="2" t="inlineStr">
        <is>
          <t>Bombas, mangueiras, instalações elétricas</t>
        </is>
      </c>
      <c r="D282" s="2" t="inlineStr">
        <is>
          <t>03/03/2026</t>
        </is>
      </c>
      <c r="E282" s="2" t="inlineStr">
        <is>
          <t>16/10/2026</t>
        </is>
      </c>
      <c r="F282" s="2" t="n">
        <v>50000</v>
      </c>
      <c r="G282" s="2" t="n">
        <v>0</v>
      </c>
      <c r="H282" s="2" t="n">
        <v>50000</v>
      </c>
      <c r="I282" s="2" t="n">
        <v>0</v>
      </c>
      <c r="J282" s="2" t="n">
        <v>0</v>
      </c>
      <c r="K282" s="2" t="n">
        <v>0</v>
      </c>
      <c r="L282" s="2" t="n">
        <v>0</v>
      </c>
      <c r="M282" s="2" t="n">
        <v>0</v>
      </c>
      <c r="N282" s="2" t="n">
        <v>0</v>
      </c>
      <c r="O282" s="2" t="n">
        <v>0</v>
      </c>
      <c r="P282" s="2" t="n">
        <v>0</v>
      </c>
      <c r="Q282" s="2" t="n">
        <v>0</v>
      </c>
      <c r="R282" s="2" t="n">
        <v>0</v>
      </c>
      <c r="S282" s="2" t="n">
        <v>0</v>
      </c>
      <c r="T282" s="2" t="n">
        <v>0</v>
      </c>
      <c r="U282" s="2" t="n">
        <v>0</v>
      </c>
      <c r="V282" s="2" t="n">
        <v>0</v>
      </c>
      <c r="W282" s="2" t="n">
        <v>0</v>
      </c>
      <c r="X282" s="2" t="n">
        <v>0</v>
      </c>
      <c r="Y282" s="2" t="n">
        <v>0</v>
      </c>
      <c r="Z282" s="2" t="n">
        <v>0</v>
      </c>
      <c r="AA282" s="2" t="n">
        <v>0</v>
      </c>
      <c r="AB282" s="2" t="n">
        <v>0</v>
      </c>
      <c r="AC282" s="2" t="n">
        <v>0</v>
      </c>
      <c r="AD282" s="2" t="n">
        <v>0</v>
      </c>
      <c r="AE282" s="2" t="n">
        <v>0</v>
      </c>
      <c r="AF282" s="2" t="n">
        <v>14.87</v>
      </c>
      <c r="AG282" s="2" t="n">
        <v>0</v>
      </c>
      <c r="AH282" s="2" t="n">
        <v>0</v>
      </c>
      <c r="AI282" s="2" t="n">
        <v>16.98</v>
      </c>
      <c r="AJ282" s="2" t="n">
        <v>60.2</v>
      </c>
      <c r="AK282" s="2" t="n">
        <v>47.53</v>
      </c>
      <c r="AL282" s="2" t="n">
        <v>41.31</v>
      </c>
      <c r="AM282" s="2" t="n">
        <v>86</v>
      </c>
      <c r="AN282" s="2" t="n">
        <v>86</v>
      </c>
      <c r="AO282" s="2" t="n">
        <v>86</v>
      </c>
      <c r="AP282" s="2" t="n">
        <v>86</v>
      </c>
      <c r="AQ282" s="2" t="n">
        <v>86</v>
      </c>
      <c r="AR282" s="2" t="n">
        <v>86</v>
      </c>
      <c r="AS282" s="2" t="n">
        <v>86</v>
      </c>
      <c r="AT282" s="2" t="n">
        <v>86</v>
      </c>
      <c r="AU282" s="2" t="n">
        <v>86</v>
      </c>
      <c r="AV282" s="2" t="n">
        <v>86</v>
      </c>
      <c r="AW282" s="2" t="n">
        <v>86</v>
      </c>
      <c r="AX282" s="2" t="n">
        <v>86</v>
      </c>
      <c r="AY282" s="2" t="n">
        <v>86</v>
      </c>
      <c r="AZ282" s="2" t="n">
        <v>86</v>
      </c>
      <c r="BA282" s="2" t="n">
        <v>86</v>
      </c>
      <c r="BB282" s="2" t="n">
        <v>86</v>
      </c>
      <c r="BC282" s="2" t="n">
        <v>94.5</v>
      </c>
      <c r="BD282" s="2" t="n">
        <v>86</v>
      </c>
      <c r="BE282" s="2" t="n">
        <v>100</v>
      </c>
      <c r="BF282" s="2" t="n">
        <v>100</v>
      </c>
      <c r="BG282" s="2" t="n">
        <v>86</v>
      </c>
      <c r="BH282" s="2" t="n">
        <v>100</v>
      </c>
      <c r="BI282" s="2" t="n">
        <v>100</v>
      </c>
      <c r="BJ282" s="2" t="n">
        <v>86</v>
      </c>
      <c r="BK282" s="2" t="n">
        <v>100</v>
      </c>
      <c r="BL282" s="2" t="n">
        <v>100</v>
      </c>
      <c r="BM282" s="2" t="n">
        <v>86</v>
      </c>
      <c r="BN282" s="2" t="n">
        <v>100</v>
      </c>
      <c r="BO282" s="2" t="n">
        <v>100</v>
      </c>
      <c r="BP282" s="2" t="n">
        <v>86</v>
      </c>
      <c r="BQ282" s="2" t="n">
        <v>100</v>
      </c>
      <c r="BR282" s="2" t="n">
        <v>100</v>
      </c>
      <c r="BS282" s="2" t="n">
        <v>86</v>
      </c>
      <c r="BT282" s="2" t="n">
        <v>100</v>
      </c>
      <c r="BU282" s="2" t="n">
        <v>100</v>
      </c>
      <c r="BV282" s="2" t="n">
        <v>86</v>
      </c>
      <c r="BW282" s="2" t="n">
        <v>100</v>
      </c>
      <c r="BX282" s="2" t="n">
        <v>100</v>
      </c>
      <c r="BY282" s="2" t="n">
        <v>86</v>
      </c>
      <c r="BZ282" s="2" t="n">
        <v>100</v>
      </c>
      <c r="CA282" s="2" t="n">
        <v>100</v>
      </c>
      <c r="CB282" s="2" t="n">
        <v>86</v>
      </c>
      <c r="CC282" s="2" t="n">
        <v>100</v>
      </c>
      <c r="CD282" s="2" t="n">
        <v>100</v>
      </c>
      <c r="CE282" s="2" t="n">
        <v>86</v>
      </c>
      <c r="CF282" s="2" t="n">
        <v>100</v>
      </c>
      <c r="CG282" s="2" t="n">
        <v>100</v>
      </c>
      <c r="CH282" s="2" t="n">
        <v>86</v>
      </c>
      <c r="CI282" s="2" t="n">
        <v>100</v>
      </c>
      <c r="CJ282" s="2" t="n">
        <v>100</v>
      </c>
      <c r="CK282" s="2" t="n">
        <v>86</v>
      </c>
      <c r="CL282" s="2" t="n">
        <v>100</v>
      </c>
      <c r="CM282" s="2" t="n">
        <v>100</v>
      </c>
      <c r="CN282" s="2" t="n">
        <v>86</v>
      </c>
      <c r="CO282" s="2" t="n">
        <v>100</v>
      </c>
      <c r="CP282" s="2" t="n">
        <v>100</v>
      </c>
      <c r="CQ282" s="2" t="n">
        <v>86</v>
      </c>
      <c r="CR282" s="2" t="n">
        <v>100</v>
      </c>
      <c r="CS282" s="2" t="n">
        <v>100</v>
      </c>
      <c r="CT282" s="2" t="n">
        <v>86</v>
      </c>
      <c r="CU282" s="2" t="n">
        <v>100</v>
      </c>
      <c r="CV282" s="2" t="n">
        <v>100</v>
      </c>
      <c r="CW282" s="2" t="n">
        <v>86</v>
      </c>
      <c r="CX282" s="2" t="n">
        <v>100</v>
      </c>
      <c r="CY282" s="2" t="n">
        <v>100</v>
      </c>
      <c r="CZ282" s="2" t="n">
        <v>86</v>
      </c>
      <c r="DA282" s="2" t="n">
        <v>100</v>
      </c>
      <c r="DB282" s="2" t="n">
        <v>100</v>
      </c>
      <c r="DC282" s="2" t="n">
        <v>86</v>
      </c>
      <c r="DD282" s="2" t="n">
        <v>100</v>
      </c>
      <c r="DE282" s="2" t="n">
        <v>100</v>
      </c>
      <c r="DF282" s="2" t="n">
        <v>86</v>
      </c>
      <c r="DG282" s="2" t="n">
        <v>100</v>
      </c>
      <c r="DH282" s="2" t="n">
        <v>100</v>
      </c>
      <c r="DI282" s="2" t="n">
        <v>86</v>
      </c>
      <c r="DJ282" s="2" t="n">
        <v>100</v>
      </c>
      <c r="DK282" s="2" t="n">
        <v>100</v>
      </c>
      <c r="DL282" s="2" t="n">
        <v>86</v>
      </c>
      <c r="DM282" s="2" t="n">
        <v>100</v>
      </c>
      <c r="DN282" s="2" t="n">
        <v>100</v>
      </c>
      <c r="DO282" s="2" t="n">
        <v>86</v>
      </c>
      <c r="DP282" s="2" t="n">
        <v>100</v>
      </c>
      <c r="DQ282" s="2" t="n">
        <v>100</v>
      </c>
      <c r="DR282" s="2" t="n">
        <v>86</v>
      </c>
      <c r="DS282" s="2" t="n">
        <v>100</v>
      </c>
      <c r="DT282" s="2" t="n">
        <v>100</v>
      </c>
      <c r="DU282" s="2" t="n">
        <v>86</v>
      </c>
      <c r="DV282" s="2" t="n">
        <v>100</v>
      </c>
      <c r="DW282" s="2" t="n">
        <v>100</v>
      </c>
      <c r="DX282" s="2" t="n">
        <v>86</v>
      </c>
      <c r="DY282" s="2" t="n">
        <v>100</v>
      </c>
      <c r="DZ282" s="2" t="n">
        <v>100</v>
      </c>
      <c r="EA282" s="2" t="n">
        <v>86</v>
      </c>
      <c r="EB282" s="2" t="n">
        <v>100</v>
      </c>
      <c r="EC282" s="2" t="n">
        <v>100</v>
      </c>
      <c r="ED282" s="2" t="n">
        <v>86</v>
      </c>
      <c r="EE282" s="2" t="n">
        <v>100</v>
      </c>
      <c r="EF282" s="2" t="n">
        <v>100</v>
      </c>
      <c r="EG282" s="2" t="n">
        <v>86</v>
      </c>
      <c r="EH282" s="2" t="n">
        <v>100</v>
      </c>
      <c r="EI282" s="2" t="n">
        <v>100</v>
      </c>
      <c r="EJ282" s="2" t="n">
        <v>86</v>
      </c>
      <c r="EK282" s="2" t="n">
        <v>100</v>
      </c>
      <c r="EL282" s="2" t="n">
        <v>100</v>
      </c>
      <c r="EM282" s="2" t="n">
        <v>86</v>
      </c>
      <c r="EN282" s="2" t="n">
        <v>100</v>
      </c>
      <c r="EO282" s="2" t="n">
        <v>100</v>
      </c>
      <c r="EP282" s="2" t="n">
        <v>86</v>
      </c>
      <c r="EQ282" s="2" t="n">
        <v>100</v>
      </c>
      <c r="ER282" s="2" t="n">
        <v>100</v>
      </c>
      <c r="ES282" s="2" t="n">
        <v>86</v>
      </c>
    </row>
    <row r="283">
      <c r="A283" s="2" t="n">
        <v>3</v>
      </c>
      <c r="B283" s="2" t="inlineStr">
        <is>
          <t>14.02.02</t>
        </is>
      </c>
      <c r="C283" s="2" t="inlineStr">
        <is>
          <t>Perfuração com Ø 1,10cm</t>
        </is>
      </c>
      <c r="D283" s="2" t="inlineStr">
        <is>
          <t>03/03/2026</t>
        </is>
      </c>
      <c r="E283" s="2" t="inlineStr">
        <is>
          <t>16/10/2026</t>
        </is>
      </c>
      <c r="F283" s="2" t="n">
        <v>70560</v>
      </c>
      <c r="G283" s="2" t="n">
        <v>0</v>
      </c>
      <c r="H283" s="2" t="n">
        <v>70560</v>
      </c>
      <c r="I283" s="2" t="n">
        <v>0</v>
      </c>
      <c r="J283" s="2" t="n">
        <v>0</v>
      </c>
      <c r="K283" s="2" t="n">
        <v>0</v>
      </c>
      <c r="L283" s="2" t="n">
        <v>0</v>
      </c>
      <c r="M283" s="2" t="n">
        <v>0</v>
      </c>
      <c r="N283" s="2" t="n">
        <v>0</v>
      </c>
      <c r="O283" s="2" t="n">
        <v>0</v>
      </c>
      <c r="P283" s="2" t="n">
        <v>0</v>
      </c>
      <c r="Q283" s="2" t="n">
        <v>0</v>
      </c>
      <c r="R283" s="2" t="n">
        <v>0</v>
      </c>
      <c r="S283" s="2" t="n">
        <v>0</v>
      </c>
      <c r="T283" s="2" t="n">
        <v>0</v>
      </c>
      <c r="U283" s="2" t="n">
        <v>0</v>
      </c>
      <c r="V283" s="2" t="n">
        <v>0</v>
      </c>
      <c r="W283" s="2" t="n">
        <v>0</v>
      </c>
      <c r="X283" s="2" t="n">
        <v>0</v>
      </c>
      <c r="Y283" s="2" t="n">
        <v>0</v>
      </c>
      <c r="Z283" s="2" t="n">
        <v>0</v>
      </c>
      <c r="AA283" s="2" t="n">
        <v>0</v>
      </c>
      <c r="AB283" s="2" t="n">
        <v>0</v>
      </c>
      <c r="AC283" s="2" t="n">
        <v>0</v>
      </c>
      <c r="AD283" s="2" t="n">
        <v>0</v>
      </c>
      <c r="AE283" s="2" t="n">
        <v>0</v>
      </c>
      <c r="AF283" s="2" t="n">
        <v>14.87</v>
      </c>
      <c r="AG283" s="2" t="n">
        <v>0</v>
      </c>
      <c r="AH283" s="2" t="n">
        <v>0</v>
      </c>
      <c r="AI283" s="2" t="n">
        <v>16.98</v>
      </c>
      <c r="AJ283" s="2" t="n">
        <v>60.2</v>
      </c>
      <c r="AK283" s="2" t="n">
        <v>47.53</v>
      </c>
      <c r="AL283" s="2" t="n">
        <v>41.31</v>
      </c>
      <c r="AM283" s="2" t="n">
        <v>86</v>
      </c>
      <c r="AN283" s="2" t="n">
        <v>86</v>
      </c>
      <c r="AO283" s="2" t="n">
        <v>86</v>
      </c>
      <c r="AP283" s="2" t="n">
        <v>86</v>
      </c>
      <c r="AQ283" s="2" t="n">
        <v>86</v>
      </c>
      <c r="AR283" s="2" t="n">
        <v>86</v>
      </c>
      <c r="AS283" s="2" t="n">
        <v>86</v>
      </c>
      <c r="AT283" s="2" t="n">
        <v>86</v>
      </c>
      <c r="AU283" s="2" t="n">
        <v>86</v>
      </c>
      <c r="AV283" s="2" t="n">
        <v>86</v>
      </c>
      <c r="AW283" s="2" t="n">
        <v>86</v>
      </c>
      <c r="AX283" s="2" t="n">
        <v>86</v>
      </c>
      <c r="AY283" s="2" t="n">
        <v>86</v>
      </c>
      <c r="AZ283" s="2" t="n">
        <v>86</v>
      </c>
      <c r="BA283" s="2" t="n">
        <v>86</v>
      </c>
      <c r="BB283" s="2" t="n">
        <v>86</v>
      </c>
      <c r="BC283" s="2" t="n">
        <v>94.5</v>
      </c>
      <c r="BD283" s="2" t="n">
        <v>86</v>
      </c>
      <c r="BE283" s="2" t="n">
        <v>100</v>
      </c>
      <c r="BF283" s="2" t="n">
        <v>100</v>
      </c>
      <c r="BG283" s="2" t="n">
        <v>86</v>
      </c>
      <c r="BH283" s="2" t="n">
        <v>100</v>
      </c>
      <c r="BI283" s="2" t="n">
        <v>100</v>
      </c>
      <c r="BJ283" s="2" t="n">
        <v>86</v>
      </c>
      <c r="BK283" s="2" t="n">
        <v>100</v>
      </c>
      <c r="BL283" s="2" t="n">
        <v>100</v>
      </c>
      <c r="BM283" s="2" t="n">
        <v>86</v>
      </c>
      <c r="BN283" s="2" t="n">
        <v>100</v>
      </c>
      <c r="BO283" s="2" t="n">
        <v>100</v>
      </c>
      <c r="BP283" s="2" t="n">
        <v>86</v>
      </c>
      <c r="BQ283" s="2" t="n">
        <v>100</v>
      </c>
      <c r="BR283" s="2" t="n">
        <v>100</v>
      </c>
      <c r="BS283" s="2" t="n">
        <v>86</v>
      </c>
      <c r="BT283" s="2" t="n">
        <v>100</v>
      </c>
      <c r="BU283" s="2" t="n">
        <v>100</v>
      </c>
      <c r="BV283" s="2" t="n">
        <v>86</v>
      </c>
      <c r="BW283" s="2" t="n">
        <v>100</v>
      </c>
      <c r="BX283" s="2" t="n">
        <v>100</v>
      </c>
      <c r="BY283" s="2" t="n">
        <v>86</v>
      </c>
      <c r="BZ283" s="2" t="n">
        <v>100</v>
      </c>
      <c r="CA283" s="2" t="n">
        <v>100</v>
      </c>
      <c r="CB283" s="2" t="n">
        <v>86</v>
      </c>
      <c r="CC283" s="2" t="n">
        <v>100</v>
      </c>
      <c r="CD283" s="2" t="n">
        <v>100</v>
      </c>
      <c r="CE283" s="2" t="n">
        <v>86</v>
      </c>
      <c r="CF283" s="2" t="n">
        <v>100</v>
      </c>
      <c r="CG283" s="2" t="n">
        <v>100</v>
      </c>
      <c r="CH283" s="2" t="n">
        <v>86</v>
      </c>
      <c r="CI283" s="2" t="n">
        <v>100</v>
      </c>
      <c r="CJ283" s="2" t="n">
        <v>100</v>
      </c>
      <c r="CK283" s="2" t="n">
        <v>86</v>
      </c>
      <c r="CL283" s="2" t="n">
        <v>100</v>
      </c>
      <c r="CM283" s="2" t="n">
        <v>100</v>
      </c>
      <c r="CN283" s="2" t="n">
        <v>86</v>
      </c>
      <c r="CO283" s="2" t="n">
        <v>100</v>
      </c>
      <c r="CP283" s="2" t="n">
        <v>100</v>
      </c>
      <c r="CQ283" s="2" t="n">
        <v>86</v>
      </c>
      <c r="CR283" s="2" t="n">
        <v>100</v>
      </c>
      <c r="CS283" s="2" t="n">
        <v>100</v>
      </c>
      <c r="CT283" s="2" t="n">
        <v>86</v>
      </c>
      <c r="CU283" s="2" t="n">
        <v>100</v>
      </c>
      <c r="CV283" s="2" t="n">
        <v>100</v>
      </c>
      <c r="CW283" s="2" t="n">
        <v>86</v>
      </c>
      <c r="CX283" s="2" t="n">
        <v>100</v>
      </c>
      <c r="CY283" s="2" t="n">
        <v>100</v>
      </c>
      <c r="CZ283" s="2" t="n">
        <v>86</v>
      </c>
      <c r="DA283" s="2" t="n">
        <v>100</v>
      </c>
      <c r="DB283" s="2" t="n">
        <v>100</v>
      </c>
      <c r="DC283" s="2" t="n">
        <v>86</v>
      </c>
      <c r="DD283" s="2" t="n">
        <v>100</v>
      </c>
      <c r="DE283" s="2" t="n">
        <v>100</v>
      </c>
      <c r="DF283" s="2" t="n">
        <v>86</v>
      </c>
      <c r="DG283" s="2" t="n">
        <v>100</v>
      </c>
      <c r="DH283" s="2" t="n">
        <v>100</v>
      </c>
      <c r="DI283" s="2" t="n">
        <v>86</v>
      </c>
      <c r="DJ283" s="2" t="n">
        <v>100</v>
      </c>
      <c r="DK283" s="2" t="n">
        <v>100</v>
      </c>
      <c r="DL283" s="2" t="n">
        <v>86</v>
      </c>
      <c r="DM283" s="2" t="n">
        <v>100</v>
      </c>
      <c r="DN283" s="2" t="n">
        <v>100</v>
      </c>
      <c r="DO283" s="2" t="n">
        <v>86</v>
      </c>
      <c r="DP283" s="2" t="n">
        <v>100</v>
      </c>
      <c r="DQ283" s="2" t="n">
        <v>100</v>
      </c>
      <c r="DR283" s="2" t="n">
        <v>86</v>
      </c>
      <c r="DS283" s="2" t="n">
        <v>100</v>
      </c>
      <c r="DT283" s="2" t="n">
        <v>100</v>
      </c>
      <c r="DU283" s="2" t="n">
        <v>86</v>
      </c>
      <c r="DV283" s="2" t="n">
        <v>100</v>
      </c>
      <c r="DW283" s="2" t="n">
        <v>100</v>
      </c>
      <c r="DX283" s="2" t="n">
        <v>86</v>
      </c>
      <c r="DY283" s="2" t="n">
        <v>100</v>
      </c>
      <c r="DZ283" s="2" t="n">
        <v>100</v>
      </c>
      <c r="EA283" s="2" t="n">
        <v>86</v>
      </c>
      <c r="EB283" s="2" t="n">
        <v>100</v>
      </c>
      <c r="EC283" s="2" t="n">
        <v>100</v>
      </c>
      <c r="ED283" s="2" t="n">
        <v>86</v>
      </c>
      <c r="EE283" s="2" t="n">
        <v>100</v>
      </c>
      <c r="EF283" s="2" t="n">
        <v>100</v>
      </c>
      <c r="EG283" s="2" t="n">
        <v>86</v>
      </c>
      <c r="EH283" s="2" t="n">
        <v>100</v>
      </c>
      <c r="EI283" s="2" t="n">
        <v>100</v>
      </c>
      <c r="EJ283" s="2" t="n">
        <v>86</v>
      </c>
      <c r="EK283" s="2" t="n">
        <v>100</v>
      </c>
      <c r="EL283" s="2" t="n">
        <v>100</v>
      </c>
      <c r="EM283" s="2" t="n">
        <v>86</v>
      </c>
      <c r="EN283" s="2" t="n">
        <v>100</v>
      </c>
      <c r="EO283" s="2" t="n">
        <v>100</v>
      </c>
      <c r="EP283" s="2" t="n">
        <v>86</v>
      </c>
      <c r="EQ283" s="2" t="n">
        <v>100</v>
      </c>
      <c r="ER283" s="2" t="n">
        <v>100</v>
      </c>
      <c r="ES283" s="2" t="n">
        <v>86</v>
      </c>
    </row>
    <row r="284">
      <c r="A284" s="2" t="n">
        <v>3</v>
      </c>
      <c r="B284" s="2" t="inlineStr">
        <is>
          <t>14.02.03</t>
        </is>
      </c>
      <c r="C284" s="2" t="inlineStr">
        <is>
          <t>Tubo PEAD KNTS - 6M (MAT)</t>
        </is>
      </c>
      <c r="D284" s="2" t="inlineStr">
        <is>
          <t>03/03/2026</t>
        </is>
      </c>
      <c r="E284" s="2" t="inlineStr">
        <is>
          <t>16/10/2026</t>
        </is>
      </c>
      <c r="F284" s="2" t="n">
        <v>70393.8</v>
      </c>
      <c r="G284" s="2" t="n">
        <v>0</v>
      </c>
      <c r="H284" s="2" t="n">
        <v>70393.8</v>
      </c>
      <c r="I284" s="2" t="n">
        <v>0</v>
      </c>
      <c r="J284" s="2" t="n">
        <v>0</v>
      </c>
      <c r="K284" s="2" t="n">
        <v>0</v>
      </c>
      <c r="L284" s="2" t="n">
        <v>0</v>
      </c>
      <c r="M284" s="2" t="n">
        <v>0</v>
      </c>
      <c r="N284" s="2" t="n">
        <v>0</v>
      </c>
      <c r="O284" s="2" t="n">
        <v>0</v>
      </c>
      <c r="P284" s="2" t="n">
        <v>0</v>
      </c>
      <c r="Q284" s="2" t="n">
        <v>0</v>
      </c>
      <c r="R284" s="2" t="n">
        <v>0</v>
      </c>
      <c r="S284" s="2" t="n">
        <v>0</v>
      </c>
      <c r="T284" s="2" t="n">
        <v>0</v>
      </c>
      <c r="U284" s="2" t="n">
        <v>0</v>
      </c>
      <c r="V284" s="2" t="n">
        <v>0</v>
      </c>
      <c r="W284" s="2" t="n">
        <v>0</v>
      </c>
      <c r="X284" s="2" t="n">
        <v>0</v>
      </c>
      <c r="Y284" s="2" t="n">
        <v>0</v>
      </c>
      <c r="Z284" s="2" t="n">
        <v>0</v>
      </c>
      <c r="AA284" s="2" t="n">
        <v>0</v>
      </c>
      <c r="AB284" s="2" t="n">
        <v>0</v>
      </c>
      <c r="AC284" s="2" t="n">
        <v>0</v>
      </c>
      <c r="AD284" s="2" t="n">
        <v>0</v>
      </c>
      <c r="AE284" s="2" t="n">
        <v>0</v>
      </c>
      <c r="AF284" s="2" t="n">
        <v>14.87</v>
      </c>
      <c r="AG284" s="2" t="n">
        <v>0</v>
      </c>
      <c r="AH284" s="2" t="n">
        <v>0</v>
      </c>
      <c r="AI284" s="2" t="n">
        <v>16.98</v>
      </c>
      <c r="AJ284" s="2" t="n">
        <v>60.2</v>
      </c>
      <c r="AK284" s="2" t="n">
        <v>47.53</v>
      </c>
      <c r="AL284" s="2" t="n">
        <v>41.31</v>
      </c>
      <c r="AM284" s="2" t="n">
        <v>86</v>
      </c>
      <c r="AN284" s="2" t="n">
        <v>86</v>
      </c>
      <c r="AO284" s="2" t="n">
        <v>86</v>
      </c>
      <c r="AP284" s="2" t="n">
        <v>86</v>
      </c>
      <c r="AQ284" s="2" t="n">
        <v>86</v>
      </c>
      <c r="AR284" s="2" t="n">
        <v>86</v>
      </c>
      <c r="AS284" s="2" t="n">
        <v>86</v>
      </c>
      <c r="AT284" s="2" t="n">
        <v>86</v>
      </c>
      <c r="AU284" s="2" t="n">
        <v>86</v>
      </c>
      <c r="AV284" s="2" t="n">
        <v>86</v>
      </c>
      <c r="AW284" s="2" t="n">
        <v>86</v>
      </c>
      <c r="AX284" s="2" t="n">
        <v>86</v>
      </c>
      <c r="AY284" s="2" t="n">
        <v>86</v>
      </c>
      <c r="AZ284" s="2" t="n">
        <v>86</v>
      </c>
      <c r="BA284" s="2" t="n">
        <v>86</v>
      </c>
      <c r="BB284" s="2" t="n">
        <v>86</v>
      </c>
      <c r="BC284" s="2" t="n">
        <v>94.5</v>
      </c>
      <c r="BD284" s="2" t="n">
        <v>86</v>
      </c>
      <c r="BE284" s="2" t="n">
        <v>100</v>
      </c>
      <c r="BF284" s="2" t="n">
        <v>100</v>
      </c>
      <c r="BG284" s="2" t="n">
        <v>86</v>
      </c>
      <c r="BH284" s="2" t="n">
        <v>100</v>
      </c>
      <c r="BI284" s="2" t="n">
        <v>100</v>
      </c>
      <c r="BJ284" s="2" t="n">
        <v>86</v>
      </c>
      <c r="BK284" s="2" t="n">
        <v>100</v>
      </c>
      <c r="BL284" s="2" t="n">
        <v>100</v>
      </c>
      <c r="BM284" s="2" t="n">
        <v>86</v>
      </c>
      <c r="BN284" s="2" t="n">
        <v>100</v>
      </c>
      <c r="BO284" s="2" t="n">
        <v>100</v>
      </c>
      <c r="BP284" s="2" t="n">
        <v>86</v>
      </c>
      <c r="BQ284" s="2" t="n">
        <v>100</v>
      </c>
      <c r="BR284" s="2" t="n">
        <v>100</v>
      </c>
      <c r="BS284" s="2" t="n">
        <v>86</v>
      </c>
      <c r="BT284" s="2" t="n">
        <v>100</v>
      </c>
      <c r="BU284" s="2" t="n">
        <v>100</v>
      </c>
      <c r="BV284" s="2" t="n">
        <v>86</v>
      </c>
      <c r="BW284" s="2" t="n">
        <v>100</v>
      </c>
      <c r="BX284" s="2" t="n">
        <v>100</v>
      </c>
      <c r="BY284" s="2" t="n">
        <v>86</v>
      </c>
      <c r="BZ284" s="2" t="n">
        <v>100</v>
      </c>
      <c r="CA284" s="2" t="n">
        <v>100</v>
      </c>
      <c r="CB284" s="2" t="n">
        <v>86</v>
      </c>
      <c r="CC284" s="2" t="n">
        <v>100</v>
      </c>
      <c r="CD284" s="2" t="n">
        <v>100</v>
      </c>
      <c r="CE284" s="2" t="n">
        <v>86</v>
      </c>
      <c r="CF284" s="2" t="n">
        <v>100</v>
      </c>
      <c r="CG284" s="2" t="n">
        <v>100</v>
      </c>
      <c r="CH284" s="2" t="n">
        <v>86</v>
      </c>
      <c r="CI284" s="2" t="n">
        <v>100</v>
      </c>
      <c r="CJ284" s="2" t="n">
        <v>100</v>
      </c>
      <c r="CK284" s="2" t="n">
        <v>86</v>
      </c>
      <c r="CL284" s="2" t="n">
        <v>100</v>
      </c>
      <c r="CM284" s="2" t="n">
        <v>100</v>
      </c>
      <c r="CN284" s="2" t="n">
        <v>86</v>
      </c>
      <c r="CO284" s="2" t="n">
        <v>100</v>
      </c>
      <c r="CP284" s="2" t="n">
        <v>100</v>
      </c>
      <c r="CQ284" s="2" t="n">
        <v>86</v>
      </c>
      <c r="CR284" s="2" t="n">
        <v>100</v>
      </c>
      <c r="CS284" s="2" t="n">
        <v>100</v>
      </c>
      <c r="CT284" s="2" t="n">
        <v>86</v>
      </c>
      <c r="CU284" s="2" t="n">
        <v>100</v>
      </c>
      <c r="CV284" s="2" t="n">
        <v>100</v>
      </c>
      <c r="CW284" s="2" t="n">
        <v>86</v>
      </c>
      <c r="CX284" s="2" t="n">
        <v>100</v>
      </c>
      <c r="CY284" s="2" t="n">
        <v>100</v>
      </c>
      <c r="CZ284" s="2" t="n">
        <v>86</v>
      </c>
      <c r="DA284" s="2" t="n">
        <v>100</v>
      </c>
      <c r="DB284" s="2" t="n">
        <v>100</v>
      </c>
      <c r="DC284" s="2" t="n">
        <v>86</v>
      </c>
      <c r="DD284" s="2" t="n">
        <v>100</v>
      </c>
      <c r="DE284" s="2" t="n">
        <v>100</v>
      </c>
      <c r="DF284" s="2" t="n">
        <v>86</v>
      </c>
      <c r="DG284" s="2" t="n">
        <v>100</v>
      </c>
      <c r="DH284" s="2" t="n">
        <v>100</v>
      </c>
      <c r="DI284" s="2" t="n">
        <v>86</v>
      </c>
      <c r="DJ284" s="2" t="n">
        <v>100</v>
      </c>
      <c r="DK284" s="2" t="n">
        <v>100</v>
      </c>
      <c r="DL284" s="2" t="n">
        <v>86</v>
      </c>
      <c r="DM284" s="2" t="n">
        <v>100</v>
      </c>
      <c r="DN284" s="2" t="n">
        <v>100</v>
      </c>
      <c r="DO284" s="2" t="n">
        <v>86</v>
      </c>
      <c r="DP284" s="2" t="n">
        <v>100</v>
      </c>
      <c r="DQ284" s="2" t="n">
        <v>100</v>
      </c>
      <c r="DR284" s="2" t="n">
        <v>86</v>
      </c>
      <c r="DS284" s="2" t="n">
        <v>100</v>
      </c>
      <c r="DT284" s="2" t="n">
        <v>100</v>
      </c>
      <c r="DU284" s="2" t="n">
        <v>86</v>
      </c>
      <c r="DV284" s="2" t="n">
        <v>100</v>
      </c>
      <c r="DW284" s="2" t="n">
        <v>100</v>
      </c>
      <c r="DX284" s="2" t="n">
        <v>86</v>
      </c>
      <c r="DY284" s="2" t="n">
        <v>100</v>
      </c>
      <c r="DZ284" s="2" t="n">
        <v>100</v>
      </c>
      <c r="EA284" s="2" t="n">
        <v>86</v>
      </c>
      <c r="EB284" s="2" t="n">
        <v>100</v>
      </c>
      <c r="EC284" s="2" t="n">
        <v>100</v>
      </c>
      <c r="ED284" s="2" t="n">
        <v>86</v>
      </c>
      <c r="EE284" s="2" t="n">
        <v>100</v>
      </c>
      <c r="EF284" s="2" t="n">
        <v>100</v>
      </c>
      <c r="EG284" s="2" t="n">
        <v>86</v>
      </c>
      <c r="EH284" s="2" t="n">
        <v>100</v>
      </c>
      <c r="EI284" s="2" t="n">
        <v>100</v>
      </c>
      <c r="EJ284" s="2" t="n">
        <v>86</v>
      </c>
      <c r="EK284" s="2" t="n">
        <v>100</v>
      </c>
      <c r="EL284" s="2" t="n">
        <v>100</v>
      </c>
      <c r="EM284" s="2" t="n">
        <v>86</v>
      </c>
      <c r="EN284" s="2" t="n">
        <v>100</v>
      </c>
      <c r="EO284" s="2" t="n">
        <v>100</v>
      </c>
      <c r="EP284" s="2" t="n">
        <v>86</v>
      </c>
      <c r="EQ284" s="2" t="n">
        <v>100</v>
      </c>
      <c r="ER284" s="2" t="n">
        <v>100</v>
      </c>
      <c r="ES284" s="2" t="n">
        <v>86</v>
      </c>
    </row>
    <row r="285">
      <c r="A285" s="2" t="n">
        <v>3</v>
      </c>
      <c r="B285" s="2" t="inlineStr">
        <is>
          <t>14.02.04</t>
        </is>
      </c>
      <c r="C285" s="2" t="inlineStr">
        <is>
          <t>Brita 01</t>
        </is>
      </c>
      <c r="D285" s="2" t="inlineStr">
        <is>
          <t>03/03/2026</t>
        </is>
      </c>
      <c r="E285" s="2" t="inlineStr">
        <is>
          <t>16/10/2026</t>
        </is>
      </c>
      <c r="F285" s="2" t="n">
        <v>9438.364</v>
      </c>
      <c r="G285" s="2" t="n">
        <v>0</v>
      </c>
      <c r="H285" s="2" t="n">
        <v>9438.364</v>
      </c>
      <c r="I285" s="2" t="n">
        <v>0</v>
      </c>
      <c r="J285" s="2" t="n">
        <v>0</v>
      </c>
      <c r="K285" s="2" t="n">
        <v>0</v>
      </c>
      <c r="L285" s="2" t="n">
        <v>0</v>
      </c>
      <c r="M285" s="2" t="n">
        <v>0</v>
      </c>
      <c r="N285" s="2" t="n">
        <v>0</v>
      </c>
      <c r="O285" s="2" t="n">
        <v>0</v>
      </c>
      <c r="P285" s="2" t="n">
        <v>0</v>
      </c>
      <c r="Q285" s="2" t="n">
        <v>0</v>
      </c>
      <c r="R285" s="2" t="n">
        <v>0</v>
      </c>
      <c r="S285" s="2" t="n">
        <v>0</v>
      </c>
      <c r="T285" s="2" t="n">
        <v>0</v>
      </c>
      <c r="U285" s="2" t="n">
        <v>0</v>
      </c>
      <c r="V285" s="2" t="n">
        <v>0</v>
      </c>
      <c r="W285" s="2" t="n">
        <v>0</v>
      </c>
      <c r="X285" s="2" t="n">
        <v>0</v>
      </c>
      <c r="Y285" s="2" t="n">
        <v>0</v>
      </c>
      <c r="Z285" s="2" t="n">
        <v>0</v>
      </c>
      <c r="AA285" s="2" t="n">
        <v>0</v>
      </c>
      <c r="AB285" s="2" t="n">
        <v>0</v>
      </c>
      <c r="AC285" s="2" t="n">
        <v>0</v>
      </c>
      <c r="AD285" s="2" t="n">
        <v>0</v>
      </c>
      <c r="AE285" s="2" t="n">
        <v>0</v>
      </c>
      <c r="AF285" s="2" t="n">
        <v>14.87</v>
      </c>
      <c r="AG285" s="2" t="n">
        <v>0</v>
      </c>
      <c r="AH285" s="2" t="n">
        <v>0</v>
      </c>
      <c r="AI285" s="2" t="n">
        <v>16.98</v>
      </c>
      <c r="AJ285" s="2" t="n">
        <v>60.2</v>
      </c>
      <c r="AK285" s="2" t="n">
        <v>47.53</v>
      </c>
      <c r="AL285" s="2" t="n">
        <v>41.31</v>
      </c>
      <c r="AM285" s="2" t="n">
        <v>86</v>
      </c>
      <c r="AN285" s="2" t="n">
        <v>86</v>
      </c>
      <c r="AO285" s="2" t="n">
        <v>86</v>
      </c>
      <c r="AP285" s="2" t="n">
        <v>86</v>
      </c>
      <c r="AQ285" s="2" t="n">
        <v>86</v>
      </c>
      <c r="AR285" s="2" t="n">
        <v>86</v>
      </c>
      <c r="AS285" s="2" t="n">
        <v>86</v>
      </c>
      <c r="AT285" s="2" t="n">
        <v>86</v>
      </c>
      <c r="AU285" s="2" t="n">
        <v>86</v>
      </c>
      <c r="AV285" s="2" t="n">
        <v>86</v>
      </c>
      <c r="AW285" s="2" t="n">
        <v>86</v>
      </c>
      <c r="AX285" s="2" t="n">
        <v>86</v>
      </c>
      <c r="AY285" s="2" t="n">
        <v>86</v>
      </c>
      <c r="AZ285" s="2" t="n">
        <v>86</v>
      </c>
      <c r="BA285" s="2" t="n">
        <v>86</v>
      </c>
      <c r="BB285" s="2" t="n">
        <v>86</v>
      </c>
      <c r="BC285" s="2" t="n">
        <v>94.5</v>
      </c>
      <c r="BD285" s="2" t="n">
        <v>86</v>
      </c>
      <c r="BE285" s="2" t="n">
        <v>100</v>
      </c>
      <c r="BF285" s="2" t="n">
        <v>100</v>
      </c>
      <c r="BG285" s="2" t="n">
        <v>86</v>
      </c>
      <c r="BH285" s="2" t="n">
        <v>100</v>
      </c>
      <c r="BI285" s="2" t="n">
        <v>100</v>
      </c>
      <c r="BJ285" s="2" t="n">
        <v>86</v>
      </c>
      <c r="BK285" s="2" t="n">
        <v>100</v>
      </c>
      <c r="BL285" s="2" t="n">
        <v>100</v>
      </c>
      <c r="BM285" s="2" t="n">
        <v>86</v>
      </c>
      <c r="BN285" s="2" t="n">
        <v>100</v>
      </c>
      <c r="BO285" s="2" t="n">
        <v>100</v>
      </c>
      <c r="BP285" s="2" t="n">
        <v>86</v>
      </c>
      <c r="BQ285" s="2" t="n">
        <v>100</v>
      </c>
      <c r="BR285" s="2" t="n">
        <v>100</v>
      </c>
      <c r="BS285" s="2" t="n">
        <v>86</v>
      </c>
      <c r="BT285" s="2" t="n">
        <v>100</v>
      </c>
      <c r="BU285" s="2" t="n">
        <v>100</v>
      </c>
      <c r="BV285" s="2" t="n">
        <v>86</v>
      </c>
      <c r="BW285" s="2" t="n">
        <v>100</v>
      </c>
      <c r="BX285" s="2" t="n">
        <v>100</v>
      </c>
      <c r="BY285" s="2" t="n">
        <v>86</v>
      </c>
      <c r="BZ285" s="2" t="n">
        <v>100</v>
      </c>
      <c r="CA285" s="2" t="n">
        <v>100</v>
      </c>
      <c r="CB285" s="2" t="n">
        <v>86</v>
      </c>
      <c r="CC285" s="2" t="n">
        <v>100</v>
      </c>
      <c r="CD285" s="2" t="n">
        <v>100</v>
      </c>
      <c r="CE285" s="2" t="n">
        <v>86</v>
      </c>
      <c r="CF285" s="2" t="n">
        <v>100</v>
      </c>
      <c r="CG285" s="2" t="n">
        <v>100</v>
      </c>
      <c r="CH285" s="2" t="n">
        <v>86</v>
      </c>
      <c r="CI285" s="2" t="n">
        <v>100</v>
      </c>
      <c r="CJ285" s="2" t="n">
        <v>100</v>
      </c>
      <c r="CK285" s="2" t="n">
        <v>86</v>
      </c>
      <c r="CL285" s="2" t="n">
        <v>100</v>
      </c>
      <c r="CM285" s="2" t="n">
        <v>100</v>
      </c>
      <c r="CN285" s="2" t="n">
        <v>86</v>
      </c>
      <c r="CO285" s="2" t="n">
        <v>100</v>
      </c>
      <c r="CP285" s="2" t="n">
        <v>100</v>
      </c>
      <c r="CQ285" s="2" t="n">
        <v>86</v>
      </c>
      <c r="CR285" s="2" t="n">
        <v>100</v>
      </c>
      <c r="CS285" s="2" t="n">
        <v>100</v>
      </c>
      <c r="CT285" s="2" t="n">
        <v>86</v>
      </c>
      <c r="CU285" s="2" t="n">
        <v>100</v>
      </c>
      <c r="CV285" s="2" t="n">
        <v>100</v>
      </c>
      <c r="CW285" s="2" t="n">
        <v>86</v>
      </c>
      <c r="CX285" s="2" t="n">
        <v>100</v>
      </c>
      <c r="CY285" s="2" t="n">
        <v>100</v>
      </c>
      <c r="CZ285" s="2" t="n">
        <v>86</v>
      </c>
      <c r="DA285" s="2" t="n">
        <v>100</v>
      </c>
      <c r="DB285" s="2" t="n">
        <v>100</v>
      </c>
      <c r="DC285" s="2" t="n">
        <v>86</v>
      </c>
      <c r="DD285" s="2" t="n">
        <v>100</v>
      </c>
      <c r="DE285" s="2" t="n">
        <v>100</v>
      </c>
      <c r="DF285" s="2" t="n">
        <v>86</v>
      </c>
      <c r="DG285" s="2" t="n">
        <v>100</v>
      </c>
      <c r="DH285" s="2" t="n">
        <v>100</v>
      </c>
      <c r="DI285" s="2" t="n">
        <v>86</v>
      </c>
      <c r="DJ285" s="2" t="n">
        <v>100</v>
      </c>
      <c r="DK285" s="2" t="n">
        <v>100</v>
      </c>
      <c r="DL285" s="2" t="n">
        <v>86</v>
      </c>
      <c r="DM285" s="2" t="n">
        <v>100</v>
      </c>
      <c r="DN285" s="2" t="n">
        <v>100</v>
      </c>
      <c r="DO285" s="2" t="n">
        <v>86</v>
      </c>
      <c r="DP285" s="2" t="n">
        <v>100</v>
      </c>
      <c r="DQ285" s="2" t="n">
        <v>100</v>
      </c>
      <c r="DR285" s="2" t="n">
        <v>86</v>
      </c>
      <c r="DS285" s="2" t="n">
        <v>100</v>
      </c>
      <c r="DT285" s="2" t="n">
        <v>100</v>
      </c>
      <c r="DU285" s="2" t="n">
        <v>86</v>
      </c>
      <c r="DV285" s="2" t="n">
        <v>100</v>
      </c>
      <c r="DW285" s="2" t="n">
        <v>100</v>
      </c>
      <c r="DX285" s="2" t="n">
        <v>86</v>
      </c>
      <c r="DY285" s="2" t="n">
        <v>100</v>
      </c>
      <c r="DZ285" s="2" t="n">
        <v>100</v>
      </c>
      <c r="EA285" s="2" t="n">
        <v>86</v>
      </c>
      <c r="EB285" s="2" t="n">
        <v>100</v>
      </c>
      <c r="EC285" s="2" t="n">
        <v>100</v>
      </c>
      <c r="ED285" s="2" t="n">
        <v>86</v>
      </c>
      <c r="EE285" s="2" t="n">
        <v>100</v>
      </c>
      <c r="EF285" s="2" t="n">
        <v>100</v>
      </c>
      <c r="EG285" s="2" t="n">
        <v>86</v>
      </c>
      <c r="EH285" s="2" t="n">
        <v>100</v>
      </c>
      <c r="EI285" s="2" t="n">
        <v>100</v>
      </c>
      <c r="EJ285" s="2" t="n">
        <v>86</v>
      </c>
      <c r="EK285" s="2" t="n">
        <v>100</v>
      </c>
      <c r="EL285" s="2" t="n">
        <v>100</v>
      </c>
      <c r="EM285" s="2" t="n">
        <v>86</v>
      </c>
      <c r="EN285" s="2" t="n">
        <v>100</v>
      </c>
      <c r="EO285" s="2" t="n">
        <v>100</v>
      </c>
      <c r="EP285" s="2" t="n">
        <v>86</v>
      </c>
      <c r="EQ285" s="2" t="n">
        <v>100</v>
      </c>
      <c r="ER285" s="2" t="n">
        <v>100</v>
      </c>
      <c r="ES285" s="2" t="n">
        <v>86</v>
      </c>
    </row>
    <row r="286">
      <c r="A286" s="2" t="n">
        <v>1</v>
      </c>
      <c r="B286" s="2" t="inlineStr">
        <is>
          <t>15</t>
        </is>
      </c>
      <c r="C286" s="2" t="inlineStr">
        <is>
          <t>FUNDAÇÃO PROFUNDA</t>
        </is>
      </c>
      <c r="D286" s="2" t="inlineStr">
        <is>
          <t>13/10/2025</t>
        </is>
      </c>
      <c r="E286" s="2" t="inlineStr">
        <is>
          <t>03/03/2026</t>
        </is>
      </c>
      <c r="F286" s="2" t="n">
        <v>6226579.21786988</v>
      </c>
      <c r="G286" s="2" t="n">
        <v>0</v>
      </c>
      <c r="H286" s="2" t="n">
        <v>6226579.21786988</v>
      </c>
      <c r="I286" s="2" t="n">
        <v>0</v>
      </c>
      <c r="J286" s="2" t="n">
        <v>0</v>
      </c>
      <c r="K286" s="2" t="n">
        <v>0</v>
      </c>
      <c r="L286" s="2" t="n">
        <v>0</v>
      </c>
      <c r="M286" s="2" t="n">
        <v>0</v>
      </c>
      <c r="N286" s="2" t="n">
        <v>0</v>
      </c>
      <c r="O286" s="2" t="n">
        <v>0</v>
      </c>
      <c r="P286" s="2" t="n">
        <v>0</v>
      </c>
      <c r="Q286" s="2" t="n">
        <v>0</v>
      </c>
      <c r="R286" s="2" t="n">
        <v>0</v>
      </c>
      <c r="S286" s="2" t="n">
        <v>0</v>
      </c>
      <c r="T286" s="2" t="n">
        <v>0</v>
      </c>
      <c r="U286" s="2" t="n">
        <v>17.44</v>
      </c>
      <c r="V286" s="2" t="n">
        <v>17.44</v>
      </c>
      <c r="W286" s="2" t="n">
        <v>21.06</v>
      </c>
      <c r="X286" s="2" t="n">
        <v>39.53</v>
      </c>
      <c r="Y286" s="2" t="n">
        <v>39.53</v>
      </c>
      <c r="Z286" s="2" t="n">
        <v>46.99</v>
      </c>
      <c r="AA286" s="2" t="n">
        <v>55.81</v>
      </c>
      <c r="AB286" s="2" t="n">
        <v>55.81</v>
      </c>
      <c r="AC286" s="2" t="n">
        <v>62.54</v>
      </c>
      <c r="AD286" s="2" t="n">
        <v>79.06999999999999</v>
      </c>
      <c r="AE286" s="2" t="n">
        <v>79.06999999999999</v>
      </c>
      <c r="AF286" s="2" t="n">
        <v>80.98</v>
      </c>
      <c r="AG286" s="2" t="n">
        <v>100</v>
      </c>
      <c r="AH286" s="2" t="n">
        <v>99.53</v>
      </c>
      <c r="AI286" s="2" t="n">
        <v>94.31</v>
      </c>
      <c r="AJ286" s="2" t="n">
        <v>100</v>
      </c>
      <c r="AK286" s="2" t="n">
        <v>100</v>
      </c>
      <c r="AL286" s="2" t="n">
        <v>99.53</v>
      </c>
      <c r="AM286" s="2" t="n">
        <v>100</v>
      </c>
      <c r="AN286" s="2" t="n">
        <v>100</v>
      </c>
      <c r="AO286" s="2" t="n">
        <v>99.53</v>
      </c>
      <c r="AP286" s="2" t="n">
        <v>100</v>
      </c>
      <c r="AQ286" s="2" t="n">
        <v>100</v>
      </c>
      <c r="AR286" s="2" t="n">
        <v>99.53</v>
      </c>
      <c r="AS286" s="2" t="n">
        <v>100</v>
      </c>
      <c r="AT286" s="2" t="n">
        <v>100</v>
      </c>
      <c r="AU286" s="2" t="n">
        <v>99.53</v>
      </c>
      <c r="AV286" s="2" t="n">
        <v>100</v>
      </c>
      <c r="AW286" s="2" t="n">
        <v>100</v>
      </c>
      <c r="AX286" s="2" t="n">
        <v>99.53</v>
      </c>
      <c r="AY286" s="2" t="n">
        <v>100</v>
      </c>
      <c r="AZ286" s="2" t="n">
        <v>100</v>
      </c>
      <c r="BA286" s="2" t="n">
        <v>99.53</v>
      </c>
      <c r="BB286" s="2" t="n">
        <v>100</v>
      </c>
      <c r="BC286" s="2" t="n">
        <v>100</v>
      </c>
      <c r="BD286" s="2" t="n">
        <v>99.53</v>
      </c>
      <c r="BE286" s="2" t="n">
        <v>100</v>
      </c>
      <c r="BF286" s="2" t="n">
        <v>100</v>
      </c>
      <c r="BG286" s="2" t="n">
        <v>99.53</v>
      </c>
      <c r="BH286" s="2" t="n">
        <v>100</v>
      </c>
      <c r="BI286" s="2" t="n">
        <v>100</v>
      </c>
      <c r="BJ286" s="2" t="n">
        <v>99.53</v>
      </c>
      <c r="BK286" s="2" t="n">
        <v>100</v>
      </c>
      <c r="BL286" s="2" t="n">
        <v>100</v>
      </c>
      <c r="BM286" s="2" t="n">
        <v>99.53</v>
      </c>
      <c r="BN286" s="2" t="n">
        <v>100</v>
      </c>
      <c r="BO286" s="2" t="n">
        <v>100</v>
      </c>
      <c r="BP286" s="2" t="n">
        <v>99.53</v>
      </c>
      <c r="BQ286" s="2" t="n">
        <v>100</v>
      </c>
      <c r="BR286" s="2" t="n">
        <v>100</v>
      </c>
      <c r="BS286" s="2" t="n">
        <v>99.53</v>
      </c>
      <c r="BT286" s="2" t="n">
        <v>100</v>
      </c>
      <c r="BU286" s="2" t="n">
        <v>100</v>
      </c>
      <c r="BV286" s="2" t="n">
        <v>99.53</v>
      </c>
      <c r="BW286" s="2" t="n">
        <v>100</v>
      </c>
      <c r="BX286" s="2" t="n">
        <v>100</v>
      </c>
      <c r="BY286" s="2" t="n">
        <v>99.53</v>
      </c>
      <c r="BZ286" s="2" t="n">
        <v>100</v>
      </c>
      <c r="CA286" s="2" t="n">
        <v>100</v>
      </c>
      <c r="CB286" s="2" t="n">
        <v>99.53</v>
      </c>
      <c r="CC286" s="2" t="n">
        <v>100</v>
      </c>
      <c r="CD286" s="2" t="n">
        <v>100</v>
      </c>
      <c r="CE286" s="2" t="n">
        <v>99.53</v>
      </c>
      <c r="CF286" s="2" t="n">
        <v>100</v>
      </c>
      <c r="CG286" s="2" t="n">
        <v>100</v>
      </c>
      <c r="CH286" s="2" t="n">
        <v>99.53</v>
      </c>
      <c r="CI286" s="2" t="n">
        <v>100</v>
      </c>
      <c r="CJ286" s="2" t="n">
        <v>100</v>
      </c>
      <c r="CK286" s="2" t="n">
        <v>99.53</v>
      </c>
      <c r="CL286" s="2" t="n">
        <v>100</v>
      </c>
      <c r="CM286" s="2" t="n">
        <v>100</v>
      </c>
      <c r="CN286" s="2" t="n">
        <v>99.53</v>
      </c>
      <c r="CO286" s="2" t="n">
        <v>100</v>
      </c>
      <c r="CP286" s="2" t="n">
        <v>100</v>
      </c>
      <c r="CQ286" s="2" t="n">
        <v>99.53</v>
      </c>
      <c r="CR286" s="2" t="n">
        <v>100</v>
      </c>
      <c r="CS286" s="2" t="n">
        <v>100</v>
      </c>
      <c r="CT286" s="2" t="n">
        <v>99.53</v>
      </c>
      <c r="CU286" s="2" t="n">
        <v>100</v>
      </c>
      <c r="CV286" s="2" t="n">
        <v>100</v>
      </c>
      <c r="CW286" s="2" t="n">
        <v>99.53</v>
      </c>
      <c r="CX286" s="2" t="n">
        <v>100</v>
      </c>
      <c r="CY286" s="2" t="n">
        <v>100</v>
      </c>
      <c r="CZ286" s="2" t="n">
        <v>99.53</v>
      </c>
      <c r="DA286" s="2" t="n">
        <v>100</v>
      </c>
      <c r="DB286" s="2" t="n">
        <v>100</v>
      </c>
      <c r="DC286" s="2" t="n">
        <v>99.53</v>
      </c>
      <c r="DD286" s="2" t="n">
        <v>100</v>
      </c>
      <c r="DE286" s="2" t="n">
        <v>100</v>
      </c>
      <c r="DF286" s="2" t="n">
        <v>99.53</v>
      </c>
      <c r="DG286" s="2" t="n">
        <v>100</v>
      </c>
      <c r="DH286" s="2" t="n">
        <v>100</v>
      </c>
      <c r="DI286" s="2" t="n">
        <v>99.53</v>
      </c>
      <c r="DJ286" s="2" t="n">
        <v>100</v>
      </c>
      <c r="DK286" s="2" t="n">
        <v>100</v>
      </c>
      <c r="DL286" s="2" t="n">
        <v>99.53</v>
      </c>
      <c r="DM286" s="2" t="n">
        <v>100</v>
      </c>
      <c r="DN286" s="2" t="n">
        <v>100</v>
      </c>
      <c r="DO286" s="2" t="n">
        <v>99.53</v>
      </c>
      <c r="DP286" s="2" t="n">
        <v>100</v>
      </c>
      <c r="DQ286" s="2" t="n">
        <v>100</v>
      </c>
      <c r="DR286" s="2" t="n">
        <v>99.53</v>
      </c>
      <c r="DS286" s="2" t="n">
        <v>100</v>
      </c>
      <c r="DT286" s="2" t="n">
        <v>100</v>
      </c>
      <c r="DU286" s="2" t="n">
        <v>99.53</v>
      </c>
      <c r="DV286" s="2" t="n">
        <v>100</v>
      </c>
      <c r="DW286" s="2" t="n">
        <v>100</v>
      </c>
      <c r="DX286" s="2" t="n">
        <v>99.53</v>
      </c>
      <c r="DY286" s="2" t="n">
        <v>100</v>
      </c>
      <c r="DZ286" s="2" t="n">
        <v>100</v>
      </c>
      <c r="EA286" s="2" t="n">
        <v>99.53</v>
      </c>
      <c r="EB286" s="2" t="n">
        <v>100</v>
      </c>
      <c r="EC286" s="2" t="n">
        <v>100</v>
      </c>
      <c r="ED286" s="2" t="n">
        <v>99.53</v>
      </c>
      <c r="EE286" s="2" t="n">
        <v>100</v>
      </c>
      <c r="EF286" s="2" t="n">
        <v>100</v>
      </c>
      <c r="EG286" s="2" t="n">
        <v>99.53</v>
      </c>
      <c r="EH286" s="2" t="n">
        <v>100</v>
      </c>
      <c r="EI286" s="2" t="n">
        <v>100</v>
      </c>
      <c r="EJ286" s="2" t="n">
        <v>99.53</v>
      </c>
      <c r="EK286" s="2" t="n">
        <v>100</v>
      </c>
      <c r="EL286" s="2" t="n">
        <v>100</v>
      </c>
      <c r="EM286" s="2" t="n">
        <v>99.53</v>
      </c>
      <c r="EN286" s="2" t="n">
        <v>100</v>
      </c>
      <c r="EO286" s="2" t="n">
        <v>100</v>
      </c>
      <c r="EP286" s="2" t="n">
        <v>99.53</v>
      </c>
      <c r="EQ286" s="2" t="n">
        <v>100</v>
      </c>
      <c r="ER286" s="2" t="n">
        <v>100</v>
      </c>
      <c r="ES286" s="2" t="n">
        <v>99.53</v>
      </c>
    </row>
    <row r="287">
      <c r="A287" s="2" t="n">
        <v>2</v>
      </c>
      <c r="B287" s="2" t="inlineStr">
        <is>
          <t>15.01</t>
        </is>
      </c>
      <c r="C287" s="2" t="inlineStr">
        <is>
          <t>Estacas Escavadas - Estacas escavadas de grande diâmetro</t>
        </is>
      </c>
      <c r="D287" s="2" t="inlineStr">
        <is>
          <t>13/10/2025</t>
        </is>
      </c>
      <c r="E287" s="2" t="inlineStr">
        <is>
          <t>03/03/2026</t>
        </is>
      </c>
      <c r="F287" s="2" t="n">
        <v>125000</v>
      </c>
      <c r="G287" s="2" t="n">
        <v>0</v>
      </c>
      <c r="H287" s="2" t="n">
        <v>125000</v>
      </c>
      <c r="I287" s="2" t="n">
        <v>0</v>
      </c>
      <c r="J287" s="2" t="n">
        <v>0</v>
      </c>
      <c r="K287" s="2" t="n">
        <v>0</v>
      </c>
      <c r="L287" s="2" t="n">
        <v>0</v>
      </c>
      <c r="M287" s="2" t="n">
        <v>0</v>
      </c>
      <c r="N287" s="2" t="n">
        <v>0</v>
      </c>
      <c r="O287" s="2" t="n">
        <v>0</v>
      </c>
      <c r="P287" s="2" t="n">
        <v>0</v>
      </c>
      <c r="Q287" s="2" t="n">
        <v>0</v>
      </c>
      <c r="R287" s="2" t="n">
        <v>0</v>
      </c>
      <c r="S287" s="2" t="n">
        <v>0</v>
      </c>
      <c r="T287" s="2" t="n">
        <v>0</v>
      </c>
      <c r="U287" s="2" t="n">
        <v>17.44</v>
      </c>
      <c r="V287" s="2" t="n">
        <v>17.44</v>
      </c>
      <c r="W287" s="2" t="n">
        <v>21.06</v>
      </c>
      <c r="X287" s="2" t="n">
        <v>39.53</v>
      </c>
      <c r="Y287" s="2" t="n">
        <v>39.53</v>
      </c>
      <c r="Z287" s="2" t="n">
        <v>46.99</v>
      </c>
      <c r="AA287" s="2" t="n">
        <v>55.81</v>
      </c>
      <c r="AB287" s="2" t="n">
        <v>55.81</v>
      </c>
      <c r="AC287" s="2" t="n">
        <v>62.54</v>
      </c>
      <c r="AD287" s="2" t="n">
        <v>79.06999999999999</v>
      </c>
      <c r="AE287" s="2" t="n">
        <v>79.06999999999999</v>
      </c>
      <c r="AF287" s="2" t="n">
        <v>80.98</v>
      </c>
      <c r="AG287" s="2" t="n">
        <v>100</v>
      </c>
      <c r="AH287" s="2" t="n">
        <v>99.53</v>
      </c>
      <c r="AI287" s="2" t="n">
        <v>94.31</v>
      </c>
      <c r="AJ287" s="2" t="n">
        <v>100</v>
      </c>
      <c r="AK287" s="2" t="n">
        <v>100</v>
      </c>
      <c r="AL287" s="2" t="n">
        <v>99.53</v>
      </c>
      <c r="AM287" s="2" t="n">
        <v>100</v>
      </c>
      <c r="AN287" s="2" t="n">
        <v>100</v>
      </c>
      <c r="AO287" s="2" t="n">
        <v>99.53</v>
      </c>
      <c r="AP287" s="2" t="n">
        <v>100</v>
      </c>
      <c r="AQ287" s="2" t="n">
        <v>100</v>
      </c>
      <c r="AR287" s="2" t="n">
        <v>99.53</v>
      </c>
      <c r="AS287" s="2" t="n">
        <v>100</v>
      </c>
      <c r="AT287" s="2" t="n">
        <v>100</v>
      </c>
      <c r="AU287" s="2" t="n">
        <v>99.53</v>
      </c>
      <c r="AV287" s="2" t="n">
        <v>100</v>
      </c>
      <c r="AW287" s="2" t="n">
        <v>100</v>
      </c>
      <c r="AX287" s="2" t="n">
        <v>99.53</v>
      </c>
      <c r="AY287" s="2" t="n">
        <v>100</v>
      </c>
      <c r="AZ287" s="2" t="n">
        <v>100</v>
      </c>
      <c r="BA287" s="2" t="n">
        <v>99.53</v>
      </c>
      <c r="BB287" s="2" t="n">
        <v>100</v>
      </c>
      <c r="BC287" s="2" t="n">
        <v>100</v>
      </c>
      <c r="BD287" s="2" t="n">
        <v>99.53</v>
      </c>
      <c r="BE287" s="2" t="n">
        <v>100</v>
      </c>
      <c r="BF287" s="2" t="n">
        <v>100</v>
      </c>
      <c r="BG287" s="2" t="n">
        <v>99.53</v>
      </c>
      <c r="BH287" s="2" t="n">
        <v>100</v>
      </c>
      <c r="BI287" s="2" t="n">
        <v>100</v>
      </c>
      <c r="BJ287" s="2" t="n">
        <v>99.53</v>
      </c>
      <c r="BK287" s="2" t="n">
        <v>100</v>
      </c>
      <c r="BL287" s="2" t="n">
        <v>100</v>
      </c>
      <c r="BM287" s="2" t="n">
        <v>99.53</v>
      </c>
      <c r="BN287" s="2" t="n">
        <v>100</v>
      </c>
      <c r="BO287" s="2" t="n">
        <v>100</v>
      </c>
      <c r="BP287" s="2" t="n">
        <v>99.53</v>
      </c>
      <c r="BQ287" s="2" t="n">
        <v>100</v>
      </c>
      <c r="BR287" s="2" t="n">
        <v>100</v>
      </c>
      <c r="BS287" s="2" t="n">
        <v>99.53</v>
      </c>
      <c r="BT287" s="2" t="n">
        <v>100</v>
      </c>
      <c r="BU287" s="2" t="n">
        <v>100</v>
      </c>
      <c r="BV287" s="2" t="n">
        <v>99.53</v>
      </c>
      <c r="BW287" s="2" t="n">
        <v>100</v>
      </c>
      <c r="BX287" s="2" t="n">
        <v>100</v>
      </c>
      <c r="BY287" s="2" t="n">
        <v>99.53</v>
      </c>
      <c r="BZ287" s="2" t="n">
        <v>100</v>
      </c>
      <c r="CA287" s="2" t="n">
        <v>100</v>
      </c>
      <c r="CB287" s="2" t="n">
        <v>99.53</v>
      </c>
      <c r="CC287" s="2" t="n">
        <v>100</v>
      </c>
      <c r="CD287" s="2" t="n">
        <v>100</v>
      </c>
      <c r="CE287" s="2" t="n">
        <v>99.53</v>
      </c>
      <c r="CF287" s="2" t="n">
        <v>100</v>
      </c>
      <c r="CG287" s="2" t="n">
        <v>100</v>
      </c>
      <c r="CH287" s="2" t="n">
        <v>99.53</v>
      </c>
      <c r="CI287" s="2" t="n">
        <v>100</v>
      </c>
      <c r="CJ287" s="2" t="n">
        <v>100</v>
      </c>
      <c r="CK287" s="2" t="n">
        <v>99.53</v>
      </c>
      <c r="CL287" s="2" t="n">
        <v>100</v>
      </c>
      <c r="CM287" s="2" t="n">
        <v>100</v>
      </c>
      <c r="CN287" s="2" t="n">
        <v>99.53</v>
      </c>
      <c r="CO287" s="2" t="n">
        <v>100</v>
      </c>
      <c r="CP287" s="2" t="n">
        <v>100</v>
      </c>
      <c r="CQ287" s="2" t="n">
        <v>99.53</v>
      </c>
      <c r="CR287" s="2" t="n">
        <v>100</v>
      </c>
      <c r="CS287" s="2" t="n">
        <v>100</v>
      </c>
      <c r="CT287" s="2" t="n">
        <v>99.53</v>
      </c>
      <c r="CU287" s="2" t="n">
        <v>100</v>
      </c>
      <c r="CV287" s="2" t="n">
        <v>100</v>
      </c>
      <c r="CW287" s="2" t="n">
        <v>99.53</v>
      </c>
      <c r="CX287" s="2" t="n">
        <v>100</v>
      </c>
      <c r="CY287" s="2" t="n">
        <v>100</v>
      </c>
      <c r="CZ287" s="2" t="n">
        <v>99.53</v>
      </c>
      <c r="DA287" s="2" t="n">
        <v>100</v>
      </c>
      <c r="DB287" s="2" t="n">
        <v>100</v>
      </c>
      <c r="DC287" s="2" t="n">
        <v>99.53</v>
      </c>
      <c r="DD287" s="2" t="n">
        <v>100</v>
      </c>
      <c r="DE287" s="2" t="n">
        <v>100</v>
      </c>
      <c r="DF287" s="2" t="n">
        <v>99.53</v>
      </c>
      <c r="DG287" s="2" t="n">
        <v>100</v>
      </c>
      <c r="DH287" s="2" t="n">
        <v>100</v>
      </c>
      <c r="DI287" s="2" t="n">
        <v>99.53</v>
      </c>
      <c r="DJ287" s="2" t="n">
        <v>100</v>
      </c>
      <c r="DK287" s="2" t="n">
        <v>100</v>
      </c>
      <c r="DL287" s="2" t="n">
        <v>99.53</v>
      </c>
      <c r="DM287" s="2" t="n">
        <v>100</v>
      </c>
      <c r="DN287" s="2" t="n">
        <v>100</v>
      </c>
      <c r="DO287" s="2" t="n">
        <v>99.53</v>
      </c>
      <c r="DP287" s="2" t="n">
        <v>100</v>
      </c>
      <c r="DQ287" s="2" t="n">
        <v>100</v>
      </c>
      <c r="DR287" s="2" t="n">
        <v>99.53</v>
      </c>
      <c r="DS287" s="2" t="n">
        <v>100</v>
      </c>
      <c r="DT287" s="2" t="n">
        <v>100</v>
      </c>
      <c r="DU287" s="2" t="n">
        <v>99.53</v>
      </c>
      <c r="DV287" s="2" t="n">
        <v>100</v>
      </c>
      <c r="DW287" s="2" t="n">
        <v>100</v>
      </c>
      <c r="DX287" s="2" t="n">
        <v>99.53</v>
      </c>
      <c r="DY287" s="2" t="n">
        <v>100</v>
      </c>
      <c r="DZ287" s="2" t="n">
        <v>100</v>
      </c>
      <c r="EA287" s="2" t="n">
        <v>99.53</v>
      </c>
      <c r="EB287" s="2" t="n">
        <v>100</v>
      </c>
      <c r="EC287" s="2" t="n">
        <v>100</v>
      </c>
      <c r="ED287" s="2" t="n">
        <v>99.53</v>
      </c>
      <c r="EE287" s="2" t="n">
        <v>100</v>
      </c>
      <c r="EF287" s="2" t="n">
        <v>100</v>
      </c>
      <c r="EG287" s="2" t="n">
        <v>99.53</v>
      </c>
      <c r="EH287" s="2" t="n">
        <v>100</v>
      </c>
      <c r="EI287" s="2" t="n">
        <v>100</v>
      </c>
      <c r="EJ287" s="2" t="n">
        <v>99.53</v>
      </c>
      <c r="EK287" s="2" t="n">
        <v>100</v>
      </c>
      <c r="EL287" s="2" t="n">
        <v>100</v>
      </c>
      <c r="EM287" s="2" t="n">
        <v>99.53</v>
      </c>
      <c r="EN287" s="2" t="n">
        <v>100</v>
      </c>
      <c r="EO287" s="2" t="n">
        <v>100</v>
      </c>
      <c r="EP287" s="2" t="n">
        <v>99.53</v>
      </c>
      <c r="EQ287" s="2" t="n">
        <v>100</v>
      </c>
      <c r="ER287" s="2" t="n">
        <v>100</v>
      </c>
      <c r="ES287" s="2" t="n">
        <v>99.53</v>
      </c>
    </row>
    <row r="288">
      <c r="A288" s="2" t="n">
        <v>3</v>
      </c>
      <c r="B288" s="2" t="inlineStr">
        <is>
          <t>15.01.01</t>
        </is>
      </c>
      <c r="C288" s="2" t="inlineStr">
        <is>
          <t>Taxa de mobilização do empreiteiro</t>
        </is>
      </c>
      <c r="D288" s="2" t="inlineStr">
        <is>
          <t>13/10/2025</t>
        </is>
      </c>
      <c r="E288" s="2" t="inlineStr">
        <is>
          <t>03/03/2026</t>
        </is>
      </c>
      <c r="F288" s="2" t="n">
        <v>125000</v>
      </c>
      <c r="G288" s="2" t="n">
        <v>0</v>
      </c>
      <c r="H288" s="2" t="n">
        <v>125000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17.44</v>
      </c>
      <c r="V288" s="2" t="n">
        <v>17.44</v>
      </c>
      <c r="W288" s="2" t="n">
        <v>21.06</v>
      </c>
      <c r="X288" s="2" t="n">
        <v>39.53</v>
      </c>
      <c r="Y288" s="2" t="n">
        <v>39.53</v>
      </c>
      <c r="Z288" s="2" t="n">
        <v>46.99</v>
      </c>
      <c r="AA288" s="2" t="n">
        <v>55.81</v>
      </c>
      <c r="AB288" s="2" t="n">
        <v>55.81</v>
      </c>
      <c r="AC288" s="2" t="n">
        <v>62.54</v>
      </c>
      <c r="AD288" s="2" t="n">
        <v>79.06999999999999</v>
      </c>
      <c r="AE288" s="2" t="n">
        <v>79.06999999999999</v>
      </c>
      <c r="AF288" s="2" t="n">
        <v>80.98</v>
      </c>
      <c r="AG288" s="2" t="n">
        <v>100</v>
      </c>
      <c r="AH288" s="2" t="n">
        <v>99.53</v>
      </c>
      <c r="AI288" s="2" t="n">
        <v>94.31</v>
      </c>
      <c r="AJ288" s="2" t="n">
        <v>100</v>
      </c>
      <c r="AK288" s="2" t="n">
        <v>100</v>
      </c>
      <c r="AL288" s="2" t="n">
        <v>99.53</v>
      </c>
      <c r="AM288" s="2" t="n">
        <v>100</v>
      </c>
      <c r="AN288" s="2" t="n">
        <v>100</v>
      </c>
      <c r="AO288" s="2" t="n">
        <v>99.53</v>
      </c>
      <c r="AP288" s="2" t="n">
        <v>100</v>
      </c>
      <c r="AQ288" s="2" t="n">
        <v>100</v>
      </c>
      <c r="AR288" s="2" t="n">
        <v>99.53</v>
      </c>
      <c r="AS288" s="2" t="n">
        <v>100</v>
      </c>
      <c r="AT288" s="2" t="n">
        <v>100</v>
      </c>
      <c r="AU288" s="2" t="n">
        <v>99.53</v>
      </c>
      <c r="AV288" s="2" t="n">
        <v>100</v>
      </c>
      <c r="AW288" s="2" t="n">
        <v>100</v>
      </c>
      <c r="AX288" s="2" t="n">
        <v>99.53</v>
      </c>
      <c r="AY288" s="2" t="n">
        <v>100</v>
      </c>
      <c r="AZ288" s="2" t="n">
        <v>100</v>
      </c>
      <c r="BA288" s="2" t="n">
        <v>99.53</v>
      </c>
      <c r="BB288" s="2" t="n">
        <v>100</v>
      </c>
      <c r="BC288" s="2" t="n">
        <v>100</v>
      </c>
      <c r="BD288" s="2" t="n">
        <v>99.53</v>
      </c>
      <c r="BE288" s="2" t="n">
        <v>100</v>
      </c>
      <c r="BF288" s="2" t="n">
        <v>100</v>
      </c>
      <c r="BG288" s="2" t="n">
        <v>99.53</v>
      </c>
      <c r="BH288" s="2" t="n">
        <v>100</v>
      </c>
      <c r="BI288" s="2" t="n">
        <v>100</v>
      </c>
      <c r="BJ288" s="2" t="n">
        <v>99.53</v>
      </c>
      <c r="BK288" s="2" t="n">
        <v>100</v>
      </c>
      <c r="BL288" s="2" t="n">
        <v>100</v>
      </c>
      <c r="BM288" s="2" t="n">
        <v>99.53</v>
      </c>
      <c r="BN288" s="2" t="n">
        <v>100</v>
      </c>
      <c r="BO288" s="2" t="n">
        <v>100</v>
      </c>
      <c r="BP288" s="2" t="n">
        <v>99.53</v>
      </c>
      <c r="BQ288" s="2" t="n">
        <v>100</v>
      </c>
      <c r="BR288" s="2" t="n">
        <v>100</v>
      </c>
      <c r="BS288" s="2" t="n">
        <v>99.53</v>
      </c>
      <c r="BT288" s="2" t="n">
        <v>100</v>
      </c>
      <c r="BU288" s="2" t="n">
        <v>100</v>
      </c>
      <c r="BV288" s="2" t="n">
        <v>99.53</v>
      </c>
      <c r="BW288" s="2" t="n">
        <v>100</v>
      </c>
      <c r="BX288" s="2" t="n">
        <v>100</v>
      </c>
      <c r="BY288" s="2" t="n">
        <v>99.53</v>
      </c>
      <c r="BZ288" s="2" t="n">
        <v>100</v>
      </c>
      <c r="CA288" s="2" t="n">
        <v>100</v>
      </c>
      <c r="CB288" s="2" t="n">
        <v>99.53</v>
      </c>
      <c r="CC288" s="2" t="n">
        <v>100</v>
      </c>
      <c r="CD288" s="2" t="n">
        <v>100</v>
      </c>
      <c r="CE288" s="2" t="n">
        <v>99.53</v>
      </c>
      <c r="CF288" s="2" t="n">
        <v>100</v>
      </c>
      <c r="CG288" s="2" t="n">
        <v>100</v>
      </c>
      <c r="CH288" s="2" t="n">
        <v>99.53</v>
      </c>
      <c r="CI288" s="2" t="n">
        <v>100</v>
      </c>
      <c r="CJ288" s="2" t="n">
        <v>100</v>
      </c>
      <c r="CK288" s="2" t="n">
        <v>99.53</v>
      </c>
      <c r="CL288" s="2" t="n">
        <v>100</v>
      </c>
      <c r="CM288" s="2" t="n">
        <v>100</v>
      </c>
      <c r="CN288" s="2" t="n">
        <v>99.53</v>
      </c>
      <c r="CO288" s="2" t="n">
        <v>100</v>
      </c>
      <c r="CP288" s="2" t="n">
        <v>100</v>
      </c>
      <c r="CQ288" s="2" t="n">
        <v>99.53</v>
      </c>
      <c r="CR288" s="2" t="n">
        <v>100</v>
      </c>
      <c r="CS288" s="2" t="n">
        <v>100</v>
      </c>
      <c r="CT288" s="2" t="n">
        <v>99.53</v>
      </c>
      <c r="CU288" s="2" t="n">
        <v>100</v>
      </c>
      <c r="CV288" s="2" t="n">
        <v>100</v>
      </c>
      <c r="CW288" s="2" t="n">
        <v>99.53</v>
      </c>
      <c r="CX288" s="2" t="n">
        <v>100</v>
      </c>
      <c r="CY288" s="2" t="n">
        <v>100</v>
      </c>
      <c r="CZ288" s="2" t="n">
        <v>99.53</v>
      </c>
      <c r="DA288" s="2" t="n">
        <v>100</v>
      </c>
      <c r="DB288" s="2" t="n">
        <v>100</v>
      </c>
      <c r="DC288" s="2" t="n">
        <v>99.53</v>
      </c>
      <c r="DD288" s="2" t="n">
        <v>100</v>
      </c>
      <c r="DE288" s="2" t="n">
        <v>100</v>
      </c>
      <c r="DF288" s="2" t="n">
        <v>99.53</v>
      </c>
      <c r="DG288" s="2" t="n">
        <v>100</v>
      </c>
      <c r="DH288" s="2" t="n">
        <v>100</v>
      </c>
      <c r="DI288" s="2" t="n">
        <v>99.53</v>
      </c>
      <c r="DJ288" s="2" t="n">
        <v>100</v>
      </c>
      <c r="DK288" s="2" t="n">
        <v>100</v>
      </c>
      <c r="DL288" s="2" t="n">
        <v>99.53</v>
      </c>
      <c r="DM288" s="2" t="n">
        <v>100</v>
      </c>
      <c r="DN288" s="2" t="n">
        <v>100</v>
      </c>
      <c r="DO288" s="2" t="n">
        <v>99.53</v>
      </c>
      <c r="DP288" s="2" t="n">
        <v>100</v>
      </c>
      <c r="DQ288" s="2" t="n">
        <v>100</v>
      </c>
      <c r="DR288" s="2" t="n">
        <v>99.53</v>
      </c>
      <c r="DS288" s="2" t="n">
        <v>100</v>
      </c>
      <c r="DT288" s="2" t="n">
        <v>100</v>
      </c>
      <c r="DU288" s="2" t="n">
        <v>99.53</v>
      </c>
      <c r="DV288" s="2" t="n">
        <v>100</v>
      </c>
      <c r="DW288" s="2" t="n">
        <v>100</v>
      </c>
      <c r="DX288" s="2" t="n">
        <v>99.53</v>
      </c>
      <c r="DY288" s="2" t="n">
        <v>100</v>
      </c>
      <c r="DZ288" s="2" t="n">
        <v>100</v>
      </c>
      <c r="EA288" s="2" t="n">
        <v>99.53</v>
      </c>
      <c r="EB288" s="2" t="n">
        <v>100</v>
      </c>
      <c r="EC288" s="2" t="n">
        <v>100</v>
      </c>
      <c r="ED288" s="2" t="n">
        <v>99.53</v>
      </c>
      <c r="EE288" s="2" t="n">
        <v>100</v>
      </c>
      <c r="EF288" s="2" t="n">
        <v>100</v>
      </c>
      <c r="EG288" s="2" t="n">
        <v>99.53</v>
      </c>
      <c r="EH288" s="2" t="n">
        <v>100</v>
      </c>
      <c r="EI288" s="2" t="n">
        <v>100</v>
      </c>
      <c r="EJ288" s="2" t="n">
        <v>99.53</v>
      </c>
      <c r="EK288" s="2" t="n">
        <v>100</v>
      </c>
      <c r="EL288" s="2" t="n">
        <v>100</v>
      </c>
      <c r="EM288" s="2" t="n">
        <v>99.53</v>
      </c>
      <c r="EN288" s="2" t="n">
        <v>100</v>
      </c>
      <c r="EO288" s="2" t="n">
        <v>100</v>
      </c>
      <c r="EP288" s="2" t="n">
        <v>99.53</v>
      </c>
      <c r="EQ288" s="2" t="n">
        <v>100</v>
      </c>
      <c r="ER288" s="2" t="n">
        <v>100</v>
      </c>
      <c r="ES288" s="2" t="n">
        <v>99.53</v>
      </c>
    </row>
    <row r="289">
      <c r="A289" s="2" t="n">
        <v>2</v>
      </c>
      <c r="B289" s="2" t="inlineStr">
        <is>
          <t>15.02</t>
        </is>
      </c>
      <c r="C289" s="2" t="inlineStr">
        <is>
          <t>Escavaçaõ de estaca em solo com SPT ≤ 50 golpes</t>
        </is>
      </c>
      <c r="D289" s="2" t="inlineStr">
        <is>
          <t>13/10/2025</t>
        </is>
      </c>
      <c r="E289" s="2" t="inlineStr">
        <is>
          <t>03/03/2026</t>
        </is>
      </c>
      <c r="F289" s="2" t="n">
        <v>971515.1</v>
      </c>
      <c r="G289" s="2" t="n">
        <v>0</v>
      </c>
      <c r="H289" s="2" t="n">
        <v>971515.1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17.44</v>
      </c>
      <c r="V289" s="2" t="n">
        <v>17.44</v>
      </c>
      <c r="W289" s="2" t="n">
        <v>21.06</v>
      </c>
      <c r="X289" s="2" t="n">
        <v>39.53</v>
      </c>
      <c r="Y289" s="2" t="n">
        <v>39.53</v>
      </c>
      <c r="Z289" s="2" t="n">
        <v>46.99</v>
      </c>
      <c r="AA289" s="2" t="n">
        <v>55.81</v>
      </c>
      <c r="AB289" s="2" t="n">
        <v>55.81</v>
      </c>
      <c r="AC289" s="2" t="n">
        <v>62.54</v>
      </c>
      <c r="AD289" s="2" t="n">
        <v>79.06999999999999</v>
      </c>
      <c r="AE289" s="2" t="n">
        <v>79.06999999999999</v>
      </c>
      <c r="AF289" s="2" t="n">
        <v>80.98</v>
      </c>
      <c r="AG289" s="2" t="n">
        <v>100</v>
      </c>
      <c r="AH289" s="2" t="n">
        <v>99.53</v>
      </c>
      <c r="AI289" s="2" t="n">
        <v>94.31</v>
      </c>
      <c r="AJ289" s="2" t="n">
        <v>100</v>
      </c>
      <c r="AK289" s="2" t="n">
        <v>100</v>
      </c>
      <c r="AL289" s="2" t="n">
        <v>99.53</v>
      </c>
      <c r="AM289" s="2" t="n">
        <v>100</v>
      </c>
      <c r="AN289" s="2" t="n">
        <v>100</v>
      </c>
      <c r="AO289" s="2" t="n">
        <v>99.53</v>
      </c>
      <c r="AP289" s="2" t="n">
        <v>100</v>
      </c>
      <c r="AQ289" s="2" t="n">
        <v>100</v>
      </c>
      <c r="AR289" s="2" t="n">
        <v>99.53</v>
      </c>
      <c r="AS289" s="2" t="n">
        <v>100</v>
      </c>
      <c r="AT289" s="2" t="n">
        <v>100</v>
      </c>
      <c r="AU289" s="2" t="n">
        <v>99.53</v>
      </c>
      <c r="AV289" s="2" t="n">
        <v>100</v>
      </c>
      <c r="AW289" s="2" t="n">
        <v>100</v>
      </c>
      <c r="AX289" s="2" t="n">
        <v>99.53</v>
      </c>
      <c r="AY289" s="2" t="n">
        <v>100</v>
      </c>
      <c r="AZ289" s="2" t="n">
        <v>100</v>
      </c>
      <c r="BA289" s="2" t="n">
        <v>99.53</v>
      </c>
      <c r="BB289" s="2" t="n">
        <v>100</v>
      </c>
      <c r="BC289" s="2" t="n">
        <v>100</v>
      </c>
      <c r="BD289" s="2" t="n">
        <v>99.53</v>
      </c>
      <c r="BE289" s="2" t="n">
        <v>100</v>
      </c>
      <c r="BF289" s="2" t="n">
        <v>100</v>
      </c>
      <c r="BG289" s="2" t="n">
        <v>99.53</v>
      </c>
      <c r="BH289" s="2" t="n">
        <v>100</v>
      </c>
      <c r="BI289" s="2" t="n">
        <v>100</v>
      </c>
      <c r="BJ289" s="2" t="n">
        <v>99.53</v>
      </c>
      <c r="BK289" s="2" t="n">
        <v>100</v>
      </c>
      <c r="BL289" s="2" t="n">
        <v>100</v>
      </c>
      <c r="BM289" s="2" t="n">
        <v>99.53</v>
      </c>
      <c r="BN289" s="2" t="n">
        <v>100</v>
      </c>
      <c r="BO289" s="2" t="n">
        <v>100</v>
      </c>
      <c r="BP289" s="2" t="n">
        <v>99.53</v>
      </c>
      <c r="BQ289" s="2" t="n">
        <v>100</v>
      </c>
      <c r="BR289" s="2" t="n">
        <v>100</v>
      </c>
      <c r="BS289" s="2" t="n">
        <v>99.53</v>
      </c>
      <c r="BT289" s="2" t="n">
        <v>100</v>
      </c>
      <c r="BU289" s="2" t="n">
        <v>100</v>
      </c>
      <c r="BV289" s="2" t="n">
        <v>99.53</v>
      </c>
      <c r="BW289" s="2" t="n">
        <v>100</v>
      </c>
      <c r="BX289" s="2" t="n">
        <v>100</v>
      </c>
      <c r="BY289" s="2" t="n">
        <v>99.53</v>
      </c>
      <c r="BZ289" s="2" t="n">
        <v>100</v>
      </c>
      <c r="CA289" s="2" t="n">
        <v>100</v>
      </c>
      <c r="CB289" s="2" t="n">
        <v>99.53</v>
      </c>
      <c r="CC289" s="2" t="n">
        <v>100</v>
      </c>
      <c r="CD289" s="2" t="n">
        <v>100</v>
      </c>
      <c r="CE289" s="2" t="n">
        <v>99.53</v>
      </c>
      <c r="CF289" s="2" t="n">
        <v>100</v>
      </c>
      <c r="CG289" s="2" t="n">
        <v>100</v>
      </c>
      <c r="CH289" s="2" t="n">
        <v>99.53</v>
      </c>
      <c r="CI289" s="2" t="n">
        <v>100</v>
      </c>
      <c r="CJ289" s="2" t="n">
        <v>100</v>
      </c>
      <c r="CK289" s="2" t="n">
        <v>99.53</v>
      </c>
      <c r="CL289" s="2" t="n">
        <v>100</v>
      </c>
      <c r="CM289" s="2" t="n">
        <v>100</v>
      </c>
      <c r="CN289" s="2" t="n">
        <v>99.53</v>
      </c>
      <c r="CO289" s="2" t="n">
        <v>100</v>
      </c>
      <c r="CP289" s="2" t="n">
        <v>100</v>
      </c>
      <c r="CQ289" s="2" t="n">
        <v>99.53</v>
      </c>
      <c r="CR289" s="2" t="n">
        <v>100</v>
      </c>
      <c r="CS289" s="2" t="n">
        <v>100</v>
      </c>
      <c r="CT289" s="2" t="n">
        <v>99.53</v>
      </c>
      <c r="CU289" s="2" t="n">
        <v>100</v>
      </c>
      <c r="CV289" s="2" t="n">
        <v>100</v>
      </c>
      <c r="CW289" s="2" t="n">
        <v>99.53</v>
      </c>
      <c r="CX289" s="2" t="n">
        <v>100</v>
      </c>
      <c r="CY289" s="2" t="n">
        <v>100</v>
      </c>
      <c r="CZ289" s="2" t="n">
        <v>99.53</v>
      </c>
      <c r="DA289" s="2" t="n">
        <v>100</v>
      </c>
      <c r="DB289" s="2" t="n">
        <v>100</v>
      </c>
      <c r="DC289" s="2" t="n">
        <v>99.53</v>
      </c>
      <c r="DD289" s="2" t="n">
        <v>100</v>
      </c>
      <c r="DE289" s="2" t="n">
        <v>100</v>
      </c>
      <c r="DF289" s="2" t="n">
        <v>99.53</v>
      </c>
      <c r="DG289" s="2" t="n">
        <v>100</v>
      </c>
      <c r="DH289" s="2" t="n">
        <v>100</v>
      </c>
      <c r="DI289" s="2" t="n">
        <v>99.53</v>
      </c>
      <c r="DJ289" s="2" t="n">
        <v>100</v>
      </c>
      <c r="DK289" s="2" t="n">
        <v>100</v>
      </c>
      <c r="DL289" s="2" t="n">
        <v>99.53</v>
      </c>
      <c r="DM289" s="2" t="n">
        <v>100</v>
      </c>
      <c r="DN289" s="2" t="n">
        <v>100</v>
      </c>
      <c r="DO289" s="2" t="n">
        <v>99.53</v>
      </c>
      <c r="DP289" s="2" t="n">
        <v>100</v>
      </c>
      <c r="DQ289" s="2" t="n">
        <v>100</v>
      </c>
      <c r="DR289" s="2" t="n">
        <v>99.53</v>
      </c>
      <c r="DS289" s="2" t="n">
        <v>100</v>
      </c>
      <c r="DT289" s="2" t="n">
        <v>100</v>
      </c>
      <c r="DU289" s="2" t="n">
        <v>99.53</v>
      </c>
      <c r="DV289" s="2" t="n">
        <v>100</v>
      </c>
      <c r="DW289" s="2" t="n">
        <v>100</v>
      </c>
      <c r="DX289" s="2" t="n">
        <v>99.53</v>
      </c>
      <c r="DY289" s="2" t="n">
        <v>100</v>
      </c>
      <c r="DZ289" s="2" t="n">
        <v>100</v>
      </c>
      <c r="EA289" s="2" t="n">
        <v>99.53</v>
      </c>
      <c r="EB289" s="2" t="n">
        <v>100</v>
      </c>
      <c r="EC289" s="2" t="n">
        <v>100</v>
      </c>
      <c r="ED289" s="2" t="n">
        <v>99.53</v>
      </c>
      <c r="EE289" s="2" t="n">
        <v>100</v>
      </c>
      <c r="EF289" s="2" t="n">
        <v>100</v>
      </c>
      <c r="EG289" s="2" t="n">
        <v>99.53</v>
      </c>
      <c r="EH289" s="2" t="n">
        <v>100</v>
      </c>
      <c r="EI289" s="2" t="n">
        <v>100</v>
      </c>
      <c r="EJ289" s="2" t="n">
        <v>99.53</v>
      </c>
      <c r="EK289" s="2" t="n">
        <v>100</v>
      </c>
      <c r="EL289" s="2" t="n">
        <v>100</v>
      </c>
      <c r="EM289" s="2" t="n">
        <v>99.53</v>
      </c>
      <c r="EN289" s="2" t="n">
        <v>100</v>
      </c>
      <c r="EO289" s="2" t="n">
        <v>100</v>
      </c>
      <c r="EP289" s="2" t="n">
        <v>99.53</v>
      </c>
      <c r="EQ289" s="2" t="n">
        <v>100</v>
      </c>
      <c r="ER289" s="2" t="n">
        <v>100</v>
      </c>
      <c r="ES289" s="2" t="n">
        <v>99.53</v>
      </c>
    </row>
    <row r="290">
      <c r="A290" s="2" t="n">
        <v>3</v>
      </c>
      <c r="B290" s="2" t="inlineStr">
        <is>
          <t>15.02.01</t>
        </is>
      </c>
      <c r="C290" s="2" t="inlineStr">
        <is>
          <t>Perfuração com Ø 90cm - com lama</t>
        </is>
      </c>
      <c r="D290" s="2" t="inlineStr">
        <is>
          <t>13/10/2025</t>
        </is>
      </c>
      <c r="E290" s="2" t="inlineStr">
        <is>
          <t>03/03/2026</t>
        </is>
      </c>
      <c r="F290" s="2" t="n">
        <v>214541.7</v>
      </c>
      <c r="G290" s="2" t="n">
        <v>0</v>
      </c>
      <c r="H290" s="2" t="n">
        <v>214541.7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17.44</v>
      </c>
      <c r="V290" s="2" t="n">
        <v>17.44</v>
      </c>
      <c r="W290" s="2" t="n">
        <v>21.06</v>
      </c>
      <c r="X290" s="2" t="n">
        <v>39.53</v>
      </c>
      <c r="Y290" s="2" t="n">
        <v>39.53</v>
      </c>
      <c r="Z290" s="2" t="n">
        <v>46.99</v>
      </c>
      <c r="AA290" s="2" t="n">
        <v>55.81</v>
      </c>
      <c r="AB290" s="2" t="n">
        <v>55.81</v>
      </c>
      <c r="AC290" s="2" t="n">
        <v>62.54</v>
      </c>
      <c r="AD290" s="2" t="n">
        <v>79.06999999999999</v>
      </c>
      <c r="AE290" s="2" t="n">
        <v>79.06999999999999</v>
      </c>
      <c r="AF290" s="2" t="n">
        <v>80.98</v>
      </c>
      <c r="AG290" s="2" t="n">
        <v>100</v>
      </c>
      <c r="AH290" s="2" t="n">
        <v>99.53</v>
      </c>
      <c r="AI290" s="2" t="n">
        <v>94.31</v>
      </c>
      <c r="AJ290" s="2" t="n">
        <v>100</v>
      </c>
      <c r="AK290" s="2" t="n">
        <v>100</v>
      </c>
      <c r="AL290" s="2" t="n">
        <v>99.53</v>
      </c>
      <c r="AM290" s="2" t="n">
        <v>100</v>
      </c>
      <c r="AN290" s="2" t="n">
        <v>100</v>
      </c>
      <c r="AO290" s="2" t="n">
        <v>99.53</v>
      </c>
      <c r="AP290" s="2" t="n">
        <v>100</v>
      </c>
      <c r="AQ290" s="2" t="n">
        <v>100</v>
      </c>
      <c r="AR290" s="2" t="n">
        <v>99.53</v>
      </c>
      <c r="AS290" s="2" t="n">
        <v>100</v>
      </c>
      <c r="AT290" s="2" t="n">
        <v>100</v>
      </c>
      <c r="AU290" s="2" t="n">
        <v>99.53</v>
      </c>
      <c r="AV290" s="2" t="n">
        <v>100</v>
      </c>
      <c r="AW290" s="2" t="n">
        <v>100</v>
      </c>
      <c r="AX290" s="2" t="n">
        <v>99.53</v>
      </c>
      <c r="AY290" s="2" t="n">
        <v>100</v>
      </c>
      <c r="AZ290" s="2" t="n">
        <v>100</v>
      </c>
      <c r="BA290" s="2" t="n">
        <v>99.53</v>
      </c>
      <c r="BB290" s="2" t="n">
        <v>100</v>
      </c>
      <c r="BC290" s="2" t="n">
        <v>100</v>
      </c>
      <c r="BD290" s="2" t="n">
        <v>99.53</v>
      </c>
      <c r="BE290" s="2" t="n">
        <v>100</v>
      </c>
      <c r="BF290" s="2" t="n">
        <v>100</v>
      </c>
      <c r="BG290" s="2" t="n">
        <v>99.53</v>
      </c>
      <c r="BH290" s="2" t="n">
        <v>100</v>
      </c>
      <c r="BI290" s="2" t="n">
        <v>100</v>
      </c>
      <c r="BJ290" s="2" t="n">
        <v>99.53</v>
      </c>
      <c r="BK290" s="2" t="n">
        <v>100</v>
      </c>
      <c r="BL290" s="2" t="n">
        <v>100</v>
      </c>
      <c r="BM290" s="2" t="n">
        <v>99.53</v>
      </c>
      <c r="BN290" s="2" t="n">
        <v>100</v>
      </c>
      <c r="BO290" s="2" t="n">
        <v>100</v>
      </c>
      <c r="BP290" s="2" t="n">
        <v>99.53</v>
      </c>
      <c r="BQ290" s="2" t="n">
        <v>100</v>
      </c>
      <c r="BR290" s="2" t="n">
        <v>100</v>
      </c>
      <c r="BS290" s="2" t="n">
        <v>99.53</v>
      </c>
      <c r="BT290" s="2" t="n">
        <v>100</v>
      </c>
      <c r="BU290" s="2" t="n">
        <v>100</v>
      </c>
      <c r="BV290" s="2" t="n">
        <v>99.53</v>
      </c>
      <c r="BW290" s="2" t="n">
        <v>100</v>
      </c>
      <c r="BX290" s="2" t="n">
        <v>100</v>
      </c>
      <c r="BY290" s="2" t="n">
        <v>99.53</v>
      </c>
      <c r="BZ290" s="2" t="n">
        <v>100</v>
      </c>
      <c r="CA290" s="2" t="n">
        <v>100</v>
      </c>
      <c r="CB290" s="2" t="n">
        <v>99.53</v>
      </c>
      <c r="CC290" s="2" t="n">
        <v>100</v>
      </c>
      <c r="CD290" s="2" t="n">
        <v>100</v>
      </c>
      <c r="CE290" s="2" t="n">
        <v>99.53</v>
      </c>
      <c r="CF290" s="2" t="n">
        <v>100</v>
      </c>
      <c r="CG290" s="2" t="n">
        <v>100</v>
      </c>
      <c r="CH290" s="2" t="n">
        <v>99.53</v>
      </c>
      <c r="CI290" s="2" t="n">
        <v>100</v>
      </c>
      <c r="CJ290" s="2" t="n">
        <v>100</v>
      </c>
      <c r="CK290" s="2" t="n">
        <v>99.53</v>
      </c>
      <c r="CL290" s="2" t="n">
        <v>100</v>
      </c>
      <c r="CM290" s="2" t="n">
        <v>100</v>
      </c>
      <c r="CN290" s="2" t="n">
        <v>99.53</v>
      </c>
      <c r="CO290" s="2" t="n">
        <v>100</v>
      </c>
      <c r="CP290" s="2" t="n">
        <v>100</v>
      </c>
      <c r="CQ290" s="2" t="n">
        <v>99.53</v>
      </c>
      <c r="CR290" s="2" t="n">
        <v>100</v>
      </c>
      <c r="CS290" s="2" t="n">
        <v>100</v>
      </c>
      <c r="CT290" s="2" t="n">
        <v>99.53</v>
      </c>
      <c r="CU290" s="2" t="n">
        <v>100</v>
      </c>
      <c r="CV290" s="2" t="n">
        <v>100</v>
      </c>
      <c r="CW290" s="2" t="n">
        <v>99.53</v>
      </c>
      <c r="CX290" s="2" t="n">
        <v>100</v>
      </c>
      <c r="CY290" s="2" t="n">
        <v>100</v>
      </c>
      <c r="CZ290" s="2" t="n">
        <v>99.53</v>
      </c>
      <c r="DA290" s="2" t="n">
        <v>100</v>
      </c>
      <c r="DB290" s="2" t="n">
        <v>100</v>
      </c>
      <c r="DC290" s="2" t="n">
        <v>99.53</v>
      </c>
      <c r="DD290" s="2" t="n">
        <v>100</v>
      </c>
      <c r="DE290" s="2" t="n">
        <v>100</v>
      </c>
      <c r="DF290" s="2" t="n">
        <v>99.53</v>
      </c>
      <c r="DG290" s="2" t="n">
        <v>100</v>
      </c>
      <c r="DH290" s="2" t="n">
        <v>100</v>
      </c>
      <c r="DI290" s="2" t="n">
        <v>99.53</v>
      </c>
      <c r="DJ290" s="2" t="n">
        <v>100</v>
      </c>
      <c r="DK290" s="2" t="n">
        <v>100</v>
      </c>
      <c r="DL290" s="2" t="n">
        <v>99.53</v>
      </c>
      <c r="DM290" s="2" t="n">
        <v>100</v>
      </c>
      <c r="DN290" s="2" t="n">
        <v>100</v>
      </c>
      <c r="DO290" s="2" t="n">
        <v>99.53</v>
      </c>
      <c r="DP290" s="2" t="n">
        <v>100</v>
      </c>
      <c r="DQ290" s="2" t="n">
        <v>100</v>
      </c>
      <c r="DR290" s="2" t="n">
        <v>99.53</v>
      </c>
      <c r="DS290" s="2" t="n">
        <v>100</v>
      </c>
      <c r="DT290" s="2" t="n">
        <v>100</v>
      </c>
      <c r="DU290" s="2" t="n">
        <v>99.53</v>
      </c>
      <c r="DV290" s="2" t="n">
        <v>100</v>
      </c>
      <c r="DW290" s="2" t="n">
        <v>100</v>
      </c>
      <c r="DX290" s="2" t="n">
        <v>99.53</v>
      </c>
      <c r="DY290" s="2" t="n">
        <v>100</v>
      </c>
      <c r="DZ290" s="2" t="n">
        <v>100</v>
      </c>
      <c r="EA290" s="2" t="n">
        <v>99.53</v>
      </c>
      <c r="EB290" s="2" t="n">
        <v>100</v>
      </c>
      <c r="EC290" s="2" t="n">
        <v>100</v>
      </c>
      <c r="ED290" s="2" t="n">
        <v>99.53</v>
      </c>
      <c r="EE290" s="2" t="n">
        <v>100</v>
      </c>
      <c r="EF290" s="2" t="n">
        <v>100</v>
      </c>
      <c r="EG290" s="2" t="n">
        <v>99.53</v>
      </c>
      <c r="EH290" s="2" t="n">
        <v>100</v>
      </c>
      <c r="EI290" s="2" t="n">
        <v>100</v>
      </c>
      <c r="EJ290" s="2" t="n">
        <v>99.53</v>
      </c>
      <c r="EK290" s="2" t="n">
        <v>100</v>
      </c>
      <c r="EL290" s="2" t="n">
        <v>100</v>
      </c>
      <c r="EM290" s="2" t="n">
        <v>99.53</v>
      </c>
      <c r="EN290" s="2" t="n">
        <v>100</v>
      </c>
      <c r="EO290" s="2" t="n">
        <v>100</v>
      </c>
      <c r="EP290" s="2" t="n">
        <v>99.53</v>
      </c>
      <c r="EQ290" s="2" t="n">
        <v>100</v>
      </c>
      <c r="ER290" s="2" t="n">
        <v>100</v>
      </c>
      <c r="ES290" s="2" t="n">
        <v>99.53</v>
      </c>
    </row>
    <row r="291">
      <c r="A291" s="2" t="n">
        <v>3</v>
      </c>
      <c r="B291" s="2" t="inlineStr">
        <is>
          <t>15.02.02</t>
        </is>
      </c>
      <c r="C291" s="2" t="inlineStr">
        <is>
          <t>Perfuração com Ø 100cm -com lama</t>
        </is>
      </c>
      <c r="D291" s="2" t="inlineStr">
        <is>
          <t>13/10/2025</t>
        </is>
      </c>
      <c r="E291" s="2" t="inlineStr">
        <is>
          <t>03/03/2026</t>
        </is>
      </c>
      <c r="F291" s="2" t="n">
        <v>62336</v>
      </c>
      <c r="G291" s="2" t="n">
        <v>0</v>
      </c>
      <c r="H291" s="2" t="n">
        <v>62336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17.44</v>
      </c>
      <c r="V291" s="2" t="n">
        <v>17.44</v>
      </c>
      <c r="W291" s="2" t="n">
        <v>21.06</v>
      </c>
      <c r="X291" s="2" t="n">
        <v>39.53</v>
      </c>
      <c r="Y291" s="2" t="n">
        <v>39.53</v>
      </c>
      <c r="Z291" s="2" t="n">
        <v>46.99</v>
      </c>
      <c r="AA291" s="2" t="n">
        <v>55.81</v>
      </c>
      <c r="AB291" s="2" t="n">
        <v>55.81</v>
      </c>
      <c r="AC291" s="2" t="n">
        <v>62.54</v>
      </c>
      <c r="AD291" s="2" t="n">
        <v>79.06999999999999</v>
      </c>
      <c r="AE291" s="2" t="n">
        <v>79.06999999999999</v>
      </c>
      <c r="AF291" s="2" t="n">
        <v>80.98</v>
      </c>
      <c r="AG291" s="2" t="n">
        <v>100</v>
      </c>
      <c r="AH291" s="2" t="n">
        <v>99.53</v>
      </c>
      <c r="AI291" s="2" t="n">
        <v>94.31</v>
      </c>
      <c r="AJ291" s="2" t="n">
        <v>100</v>
      </c>
      <c r="AK291" s="2" t="n">
        <v>100</v>
      </c>
      <c r="AL291" s="2" t="n">
        <v>99.53</v>
      </c>
      <c r="AM291" s="2" t="n">
        <v>100</v>
      </c>
      <c r="AN291" s="2" t="n">
        <v>100</v>
      </c>
      <c r="AO291" s="2" t="n">
        <v>99.53</v>
      </c>
      <c r="AP291" s="2" t="n">
        <v>100</v>
      </c>
      <c r="AQ291" s="2" t="n">
        <v>100</v>
      </c>
      <c r="AR291" s="2" t="n">
        <v>99.53</v>
      </c>
      <c r="AS291" s="2" t="n">
        <v>100</v>
      </c>
      <c r="AT291" s="2" t="n">
        <v>100</v>
      </c>
      <c r="AU291" s="2" t="n">
        <v>99.53</v>
      </c>
      <c r="AV291" s="2" t="n">
        <v>100</v>
      </c>
      <c r="AW291" s="2" t="n">
        <v>100</v>
      </c>
      <c r="AX291" s="2" t="n">
        <v>99.53</v>
      </c>
      <c r="AY291" s="2" t="n">
        <v>100</v>
      </c>
      <c r="AZ291" s="2" t="n">
        <v>100</v>
      </c>
      <c r="BA291" s="2" t="n">
        <v>99.53</v>
      </c>
      <c r="BB291" s="2" t="n">
        <v>100</v>
      </c>
      <c r="BC291" s="2" t="n">
        <v>100</v>
      </c>
      <c r="BD291" s="2" t="n">
        <v>99.53</v>
      </c>
      <c r="BE291" s="2" t="n">
        <v>100</v>
      </c>
      <c r="BF291" s="2" t="n">
        <v>100</v>
      </c>
      <c r="BG291" s="2" t="n">
        <v>99.53</v>
      </c>
      <c r="BH291" s="2" t="n">
        <v>100</v>
      </c>
      <c r="BI291" s="2" t="n">
        <v>100</v>
      </c>
      <c r="BJ291" s="2" t="n">
        <v>99.53</v>
      </c>
      <c r="BK291" s="2" t="n">
        <v>100</v>
      </c>
      <c r="BL291" s="2" t="n">
        <v>100</v>
      </c>
      <c r="BM291" s="2" t="n">
        <v>99.53</v>
      </c>
      <c r="BN291" s="2" t="n">
        <v>100</v>
      </c>
      <c r="BO291" s="2" t="n">
        <v>100</v>
      </c>
      <c r="BP291" s="2" t="n">
        <v>99.53</v>
      </c>
      <c r="BQ291" s="2" t="n">
        <v>100</v>
      </c>
      <c r="BR291" s="2" t="n">
        <v>100</v>
      </c>
      <c r="BS291" s="2" t="n">
        <v>99.53</v>
      </c>
      <c r="BT291" s="2" t="n">
        <v>100</v>
      </c>
      <c r="BU291" s="2" t="n">
        <v>100</v>
      </c>
      <c r="BV291" s="2" t="n">
        <v>99.53</v>
      </c>
      <c r="BW291" s="2" t="n">
        <v>100</v>
      </c>
      <c r="BX291" s="2" t="n">
        <v>100</v>
      </c>
      <c r="BY291" s="2" t="n">
        <v>99.53</v>
      </c>
      <c r="BZ291" s="2" t="n">
        <v>100</v>
      </c>
      <c r="CA291" s="2" t="n">
        <v>100</v>
      </c>
      <c r="CB291" s="2" t="n">
        <v>99.53</v>
      </c>
      <c r="CC291" s="2" t="n">
        <v>100</v>
      </c>
      <c r="CD291" s="2" t="n">
        <v>100</v>
      </c>
      <c r="CE291" s="2" t="n">
        <v>99.53</v>
      </c>
      <c r="CF291" s="2" t="n">
        <v>100</v>
      </c>
      <c r="CG291" s="2" t="n">
        <v>100</v>
      </c>
      <c r="CH291" s="2" t="n">
        <v>99.53</v>
      </c>
      <c r="CI291" s="2" t="n">
        <v>100</v>
      </c>
      <c r="CJ291" s="2" t="n">
        <v>100</v>
      </c>
      <c r="CK291" s="2" t="n">
        <v>99.53</v>
      </c>
      <c r="CL291" s="2" t="n">
        <v>100</v>
      </c>
      <c r="CM291" s="2" t="n">
        <v>100</v>
      </c>
      <c r="CN291" s="2" t="n">
        <v>99.53</v>
      </c>
      <c r="CO291" s="2" t="n">
        <v>100</v>
      </c>
      <c r="CP291" s="2" t="n">
        <v>100</v>
      </c>
      <c r="CQ291" s="2" t="n">
        <v>99.53</v>
      </c>
      <c r="CR291" s="2" t="n">
        <v>100</v>
      </c>
      <c r="CS291" s="2" t="n">
        <v>100</v>
      </c>
      <c r="CT291" s="2" t="n">
        <v>99.53</v>
      </c>
      <c r="CU291" s="2" t="n">
        <v>100</v>
      </c>
      <c r="CV291" s="2" t="n">
        <v>100</v>
      </c>
      <c r="CW291" s="2" t="n">
        <v>99.53</v>
      </c>
      <c r="CX291" s="2" t="n">
        <v>100</v>
      </c>
      <c r="CY291" s="2" t="n">
        <v>100</v>
      </c>
      <c r="CZ291" s="2" t="n">
        <v>99.53</v>
      </c>
      <c r="DA291" s="2" t="n">
        <v>100</v>
      </c>
      <c r="DB291" s="2" t="n">
        <v>100</v>
      </c>
      <c r="DC291" s="2" t="n">
        <v>99.53</v>
      </c>
      <c r="DD291" s="2" t="n">
        <v>100</v>
      </c>
      <c r="DE291" s="2" t="n">
        <v>100</v>
      </c>
      <c r="DF291" s="2" t="n">
        <v>99.53</v>
      </c>
      <c r="DG291" s="2" t="n">
        <v>100</v>
      </c>
      <c r="DH291" s="2" t="n">
        <v>100</v>
      </c>
      <c r="DI291" s="2" t="n">
        <v>99.53</v>
      </c>
      <c r="DJ291" s="2" t="n">
        <v>100</v>
      </c>
      <c r="DK291" s="2" t="n">
        <v>100</v>
      </c>
      <c r="DL291" s="2" t="n">
        <v>99.53</v>
      </c>
      <c r="DM291" s="2" t="n">
        <v>100</v>
      </c>
      <c r="DN291" s="2" t="n">
        <v>100</v>
      </c>
      <c r="DO291" s="2" t="n">
        <v>99.53</v>
      </c>
      <c r="DP291" s="2" t="n">
        <v>100</v>
      </c>
      <c r="DQ291" s="2" t="n">
        <v>100</v>
      </c>
      <c r="DR291" s="2" t="n">
        <v>99.53</v>
      </c>
      <c r="DS291" s="2" t="n">
        <v>100</v>
      </c>
      <c r="DT291" s="2" t="n">
        <v>100</v>
      </c>
      <c r="DU291" s="2" t="n">
        <v>99.53</v>
      </c>
      <c r="DV291" s="2" t="n">
        <v>100</v>
      </c>
      <c r="DW291" s="2" t="n">
        <v>100</v>
      </c>
      <c r="DX291" s="2" t="n">
        <v>99.53</v>
      </c>
      <c r="DY291" s="2" t="n">
        <v>100</v>
      </c>
      <c r="DZ291" s="2" t="n">
        <v>100</v>
      </c>
      <c r="EA291" s="2" t="n">
        <v>99.53</v>
      </c>
      <c r="EB291" s="2" t="n">
        <v>100</v>
      </c>
      <c r="EC291" s="2" t="n">
        <v>100</v>
      </c>
      <c r="ED291" s="2" t="n">
        <v>99.53</v>
      </c>
      <c r="EE291" s="2" t="n">
        <v>100</v>
      </c>
      <c r="EF291" s="2" t="n">
        <v>100</v>
      </c>
      <c r="EG291" s="2" t="n">
        <v>99.53</v>
      </c>
      <c r="EH291" s="2" t="n">
        <v>100</v>
      </c>
      <c r="EI291" s="2" t="n">
        <v>100</v>
      </c>
      <c r="EJ291" s="2" t="n">
        <v>99.53</v>
      </c>
      <c r="EK291" s="2" t="n">
        <v>100</v>
      </c>
      <c r="EL291" s="2" t="n">
        <v>100</v>
      </c>
      <c r="EM291" s="2" t="n">
        <v>99.53</v>
      </c>
      <c r="EN291" s="2" t="n">
        <v>100</v>
      </c>
      <c r="EO291" s="2" t="n">
        <v>100</v>
      </c>
      <c r="EP291" s="2" t="n">
        <v>99.53</v>
      </c>
      <c r="EQ291" s="2" t="n">
        <v>100</v>
      </c>
      <c r="ER291" s="2" t="n">
        <v>100</v>
      </c>
      <c r="ES291" s="2" t="n">
        <v>99.53</v>
      </c>
    </row>
    <row r="292">
      <c r="A292" s="2" t="n">
        <v>3</v>
      </c>
      <c r="B292" s="2" t="inlineStr">
        <is>
          <t>15.02.03</t>
        </is>
      </c>
      <c r="C292" s="2" t="inlineStr">
        <is>
          <t>Perfuração com Ø 110cm - com lama</t>
        </is>
      </c>
      <c r="D292" s="2" t="inlineStr">
        <is>
          <t>13/10/2025</t>
        </is>
      </c>
      <c r="E292" s="2" t="inlineStr">
        <is>
          <t>03/03/2026</t>
        </is>
      </c>
      <c r="F292" s="2" t="n">
        <v>102655</v>
      </c>
      <c r="G292" s="2" t="n">
        <v>0</v>
      </c>
      <c r="H292" s="2" t="n">
        <v>102655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17.44</v>
      </c>
      <c r="V292" s="2" t="n">
        <v>17.44</v>
      </c>
      <c r="W292" s="2" t="n">
        <v>21.06</v>
      </c>
      <c r="X292" s="2" t="n">
        <v>39.53</v>
      </c>
      <c r="Y292" s="2" t="n">
        <v>39.53</v>
      </c>
      <c r="Z292" s="2" t="n">
        <v>46.99</v>
      </c>
      <c r="AA292" s="2" t="n">
        <v>55.81</v>
      </c>
      <c r="AB292" s="2" t="n">
        <v>55.81</v>
      </c>
      <c r="AC292" s="2" t="n">
        <v>62.54</v>
      </c>
      <c r="AD292" s="2" t="n">
        <v>79.06999999999999</v>
      </c>
      <c r="AE292" s="2" t="n">
        <v>79.06999999999999</v>
      </c>
      <c r="AF292" s="2" t="n">
        <v>80.98</v>
      </c>
      <c r="AG292" s="2" t="n">
        <v>100</v>
      </c>
      <c r="AH292" s="2" t="n">
        <v>99.53</v>
      </c>
      <c r="AI292" s="2" t="n">
        <v>94.31</v>
      </c>
      <c r="AJ292" s="2" t="n">
        <v>100</v>
      </c>
      <c r="AK292" s="2" t="n">
        <v>100</v>
      </c>
      <c r="AL292" s="2" t="n">
        <v>99.53</v>
      </c>
      <c r="AM292" s="2" t="n">
        <v>100</v>
      </c>
      <c r="AN292" s="2" t="n">
        <v>100</v>
      </c>
      <c r="AO292" s="2" t="n">
        <v>99.53</v>
      </c>
      <c r="AP292" s="2" t="n">
        <v>100</v>
      </c>
      <c r="AQ292" s="2" t="n">
        <v>100</v>
      </c>
      <c r="AR292" s="2" t="n">
        <v>99.53</v>
      </c>
      <c r="AS292" s="2" t="n">
        <v>100</v>
      </c>
      <c r="AT292" s="2" t="n">
        <v>100</v>
      </c>
      <c r="AU292" s="2" t="n">
        <v>99.53</v>
      </c>
      <c r="AV292" s="2" t="n">
        <v>100</v>
      </c>
      <c r="AW292" s="2" t="n">
        <v>100</v>
      </c>
      <c r="AX292" s="2" t="n">
        <v>99.53</v>
      </c>
      <c r="AY292" s="2" t="n">
        <v>100</v>
      </c>
      <c r="AZ292" s="2" t="n">
        <v>100</v>
      </c>
      <c r="BA292" s="2" t="n">
        <v>99.53</v>
      </c>
      <c r="BB292" s="2" t="n">
        <v>100</v>
      </c>
      <c r="BC292" s="2" t="n">
        <v>100</v>
      </c>
      <c r="BD292" s="2" t="n">
        <v>99.53</v>
      </c>
      <c r="BE292" s="2" t="n">
        <v>100</v>
      </c>
      <c r="BF292" s="2" t="n">
        <v>100</v>
      </c>
      <c r="BG292" s="2" t="n">
        <v>99.53</v>
      </c>
      <c r="BH292" s="2" t="n">
        <v>100</v>
      </c>
      <c r="BI292" s="2" t="n">
        <v>100</v>
      </c>
      <c r="BJ292" s="2" t="n">
        <v>99.53</v>
      </c>
      <c r="BK292" s="2" t="n">
        <v>100</v>
      </c>
      <c r="BL292" s="2" t="n">
        <v>100</v>
      </c>
      <c r="BM292" s="2" t="n">
        <v>99.53</v>
      </c>
      <c r="BN292" s="2" t="n">
        <v>100</v>
      </c>
      <c r="BO292" s="2" t="n">
        <v>100</v>
      </c>
      <c r="BP292" s="2" t="n">
        <v>99.53</v>
      </c>
      <c r="BQ292" s="2" t="n">
        <v>100</v>
      </c>
      <c r="BR292" s="2" t="n">
        <v>100</v>
      </c>
      <c r="BS292" s="2" t="n">
        <v>99.53</v>
      </c>
      <c r="BT292" s="2" t="n">
        <v>100</v>
      </c>
      <c r="BU292" s="2" t="n">
        <v>100</v>
      </c>
      <c r="BV292" s="2" t="n">
        <v>99.53</v>
      </c>
      <c r="BW292" s="2" t="n">
        <v>100</v>
      </c>
      <c r="BX292" s="2" t="n">
        <v>100</v>
      </c>
      <c r="BY292" s="2" t="n">
        <v>99.53</v>
      </c>
      <c r="BZ292" s="2" t="n">
        <v>100</v>
      </c>
      <c r="CA292" s="2" t="n">
        <v>100</v>
      </c>
      <c r="CB292" s="2" t="n">
        <v>99.53</v>
      </c>
      <c r="CC292" s="2" t="n">
        <v>100</v>
      </c>
      <c r="CD292" s="2" t="n">
        <v>100</v>
      </c>
      <c r="CE292" s="2" t="n">
        <v>99.53</v>
      </c>
      <c r="CF292" s="2" t="n">
        <v>100</v>
      </c>
      <c r="CG292" s="2" t="n">
        <v>100</v>
      </c>
      <c r="CH292" s="2" t="n">
        <v>99.53</v>
      </c>
      <c r="CI292" s="2" t="n">
        <v>100</v>
      </c>
      <c r="CJ292" s="2" t="n">
        <v>100</v>
      </c>
      <c r="CK292" s="2" t="n">
        <v>99.53</v>
      </c>
      <c r="CL292" s="2" t="n">
        <v>100</v>
      </c>
      <c r="CM292" s="2" t="n">
        <v>100</v>
      </c>
      <c r="CN292" s="2" t="n">
        <v>99.53</v>
      </c>
      <c r="CO292" s="2" t="n">
        <v>100</v>
      </c>
      <c r="CP292" s="2" t="n">
        <v>100</v>
      </c>
      <c r="CQ292" s="2" t="n">
        <v>99.53</v>
      </c>
      <c r="CR292" s="2" t="n">
        <v>100</v>
      </c>
      <c r="CS292" s="2" t="n">
        <v>100</v>
      </c>
      <c r="CT292" s="2" t="n">
        <v>99.53</v>
      </c>
      <c r="CU292" s="2" t="n">
        <v>100</v>
      </c>
      <c r="CV292" s="2" t="n">
        <v>100</v>
      </c>
      <c r="CW292" s="2" t="n">
        <v>99.53</v>
      </c>
      <c r="CX292" s="2" t="n">
        <v>100</v>
      </c>
      <c r="CY292" s="2" t="n">
        <v>100</v>
      </c>
      <c r="CZ292" s="2" t="n">
        <v>99.53</v>
      </c>
      <c r="DA292" s="2" t="n">
        <v>100</v>
      </c>
      <c r="DB292" s="2" t="n">
        <v>100</v>
      </c>
      <c r="DC292" s="2" t="n">
        <v>99.53</v>
      </c>
      <c r="DD292" s="2" t="n">
        <v>100</v>
      </c>
      <c r="DE292" s="2" t="n">
        <v>100</v>
      </c>
      <c r="DF292" s="2" t="n">
        <v>99.53</v>
      </c>
      <c r="DG292" s="2" t="n">
        <v>100</v>
      </c>
      <c r="DH292" s="2" t="n">
        <v>100</v>
      </c>
      <c r="DI292" s="2" t="n">
        <v>99.53</v>
      </c>
      <c r="DJ292" s="2" t="n">
        <v>100</v>
      </c>
      <c r="DK292" s="2" t="n">
        <v>100</v>
      </c>
      <c r="DL292" s="2" t="n">
        <v>99.53</v>
      </c>
      <c r="DM292" s="2" t="n">
        <v>100</v>
      </c>
      <c r="DN292" s="2" t="n">
        <v>100</v>
      </c>
      <c r="DO292" s="2" t="n">
        <v>99.53</v>
      </c>
      <c r="DP292" s="2" t="n">
        <v>100</v>
      </c>
      <c r="DQ292" s="2" t="n">
        <v>100</v>
      </c>
      <c r="DR292" s="2" t="n">
        <v>99.53</v>
      </c>
      <c r="DS292" s="2" t="n">
        <v>100</v>
      </c>
      <c r="DT292" s="2" t="n">
        <v>100</v>
      </c>
      <c r="DU292" s="2" t="n">
        <v>99.53</v>
      </c>
      <c r="DV292" s="2" t="n">
        <v>100</v>
      </c>
      <c r="DW292" s="2" t="n">
        <v>100</v>
      </c>
      <c r="DX292" s="2" t="n">
        <v>99.53</v>
      </c>
      <c r="DY292" s="2" t="n">
        <v>100</v>
      </c>
      <c r="DZ292" s="2" t="n">
        <v>100</v>
      </c>
      <c r="EA292" s="2" t="n">
        <v>99.53</v>
      </c>
      <c r="EB292" s="2" t="n">
        <v>100</v>
      </c>
      <c r="EC292" s="2" t="n">
        <v>100</v>
      </c>
      <c r="ED292" s="2" t="n">
        <v>99.53</v>
      </c>
      <c r="EE292" s="2" t="n">
        <v>100</v>
      </c>
      <c r="EF292" s="2" t="n">
        <v>100</v>
      </c>
      <c r="EG292" s="2" t="n">
        <v>99.53</v>
      </c>
      <c r="EH292" s="2" t="n">
        <v>100</v>
      </c>
      <c r="EI292" s="2" t="n">
        <v>100</v>
      </c>
      <c r="EJ292" s="2" t="n">
        <v>99.53</v>
      </c>
      <c r="EK292" s="2" t="n">
        <v>100</v>
      </c>
      <c r="EL292" s="2" t="n">
        <v>100</v>
      </c>
      <c r="EM292" s="2" t="n">
        <v>99.53</v>
      </c>
      <c r="EN292" s="2" t="n">
        <v>100</v>
      </c>
      <c r="EO292" s="2" t="n">
        <v>100</v>
      </c>
      <c r="EP292" s="2" t="n">
        <v>99.53</v>
      </c>
      <c r="EQ292" s="2" t="n">
        <v>100</v>
      </c>
      <c r="ER292" s="2" t="n">
        <v>100</v>
      </c>
      <c r="ES292" s="2" t="n">
        <v>99.53</v>
      </c>
    </row>
    <row r="293">
      <c r="A293" s="2" t="n">
        <v>3</v>
      </c>
      <c r="B293" s="2" t="inlineStr">
        <is>
          <t>15.02.04</t>
        </is>
      </c>
      <c r="C293" s="2" t="inlineStr">
        <is>
          <t>Perfuração com Ø 120cm - com lama</t>
        </is>
      </c>
      <c r="D293" s="2" t="inlineStr">
        <is>
          <t>13/10/2025</t>
        </is>
      </c>
      <c r="E293" s="2" t="inlineStr">
        <is>
          <t>03/03/2026</t>
        </is>
      </c>
      <c r="F293" s="2" t="n">
        <v>12464</v>
      </c>
      <c r="G293" s="2" t="n">
        <v>0</v>
      </c>
      <c r="H293" s="2" t="n">
        <v>12464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17.44</v>
      </c>
      <c r="V293" s="2" t="n">
        <v>17.44</v>
      </c>
      <c r="W293" s="2" t="n">
        <v>21.06</v>
      </c>
      <c r="X293" s="2" t="n">
        <v>39.53</v>
      </c>
      <c r="Y293" s="2" t="n">
        <v>39.53</v>
      </c>
      <c r="Z293" s="2" t="n">
        <v>46.99</v>
      </c>
      <c r="AA293" s="2" t="n">
        <v>55.81</v>
      </c>
      <c r="AB293" s="2" t="n">
        <v>55.81</v>
      </c>
      <c r="AC293" s="2" t="n">
        <v>62.54</v>
      </c>
      <c r="AD293" s="2" t="n">
        <v>79.06999999999999</v>
      </c>
      <c r="AE293" s="2" t="n">
        <v>79.06999999999999</v>
      </c>
      <c r="AF293" s="2" t="n">
        <v>80.98</v>
      </c>
      <c r="AG293" s="2" t="n">
        <v>100</v>
      </c>
      <c r="AH293" s="2" t="n">
        <v>99.53</v>
      </c>
      <c r="AI293" s="2" t="n">
        <v>94.31</v>
      </c>
      <c r="AJ293" s="2" t="n">
        <v>100</v>
      </c>
      <c r="AK293" s="2" t="n">
        <v>100</v>
      </c>
      <c r="AL293" s="2" t="n">
        <v>99.53</v>
      </c>
      <c r="AM293" s="2" t="n">
        <v>100</v>
      </c>
      <c r="AN293" s="2" t="n">
        <v>100</v>
      </c>
      <c r="AO293" s="2" t="n">
        <v>99.53</v>
      </c>
      <c r="AP293" s="2" t="n">
        <v>100</v>
      </c>
      <c r="AQ293" s="2" t="n">
        <v>100</v>
      </c>
      <c r="AR293" s="2" t="n">
        <v>99.53</v>
      </c>
      <c r="AS293" s="2" t="n">
        <v>100</v>
      </c>
      <c r="AT293" s="2" t="n">
        <v>100</v>
      </c>
      <c r="AU293" s="2" t="n">
        <v>99.53</v>
      </c>
      <c r="AV293" s="2" t="n">
        <v>100</v>
      </c>
      <c r="AW293" s="2" t="n">
        <v>100</v>
      </c>
      <c r="AX293" s="2" t="n">
        <v>99.53</v>
      </c>
      <c r="AY293" s="2" t="n">
        <v>100</v>
      </c>
      <c r="AZ293" s="2" t="n">
        <v>100</v>
      </c>
      <c r="BA293" s="2" t="n">
        <v>99.53</v>
      </c>
      <c r="BB293" s="2" t="n">
        <v>100</v>
      </c>
      <c r="BC293" s="2" t="n">
        <v>100</v>
      </c>
      <c r="BD293" s="2" t="n">
        <v>99.53</v>
      </c>
      <c r="BE293" s="2" t="n">
        <v>100</v>
      </c>
      <c r="BF293" s="2" t="n">
        <v>100</v>
      </c>
      <c r="BG293" s="2" t="n">
        <v>99.53</v>
      </c>
      <c r="BH293" s="2" t="n">
        <v>100</v>
      </c>
      <c r="BI293" s="2" t="n">
        <v>100</v>
      </c>
      <c r="BJ293" s="2" t="n">
        <v>99.53</v>
      </c>
      <c r="BK293" s="2" t="n">
        <v>100</v>
      </c>
      <c r="BL293" s="2" t="n">
        <v>100</v>
      </c>
      <c r="BM293" s="2" t="n">
        <v>99.53</v>
      </c>
      <c r="BN293" s="2" t="n">
        <v>100</v>
      </c>
      <c r="BO293" s="2" t="n">
        <v>100</v>
      </c>
      <c r="BP293" s="2" t="n">
        <v>99.53</v>
      </c>
      <c r="BQ293" s="2" t="n">
        <v>100</v>
      </c>
      <c r="BR293" s="2" t="n">
        <v>100</v>
      </c>
      <c r="BS293" s="2" t="n">
        <v>99.53</v>
      </c>
      <c r="BT293" s="2" t="n">
        <v>100</v>
      </c>
      <c r="BU293" s="2" t="n">
        <v>100</v>
      </c>
      <c r="BV293" s="2" t="n">
        <v>99.53</v>
      </c>
      <c r="BW293" s="2" t="n">
        <v>100</v>
      </c>
      <c r="BX293" s="2" t="n">
        <v>100</v>
      </c>
      <c r="BY293" s="2" t="n">
        <v>99.53</v>
      </c>
      <c r="BZ293" s="2" t="n">
        <v>100</v>
      </c>
      <c r="CA293" s="2" t="n">
        <v>100</v>
      </c>
      <c r="CB293" s="2" t="n">
        <v>99.53</v>
      </c>
      <c r="CC293" s="2" t="n">
        <v>100</v>
      </c>
      <c r="CD293" s="2" t="n">
        <v>100</v>
      </c>
      <c r="CE293" s="2" t="n">
        <v>99.53</v>
      </c>
      <c r="CF293" s="2" t="n">
        <v>100</v>
      </c>
      <c r="CG293" s="2" t="n">
        <v>100</v>
      </c>
      <c r="CH293" s="2" t="n">
        <v>99.53</v>
      </c>
      <c r="CI293" s="2" t="n">
        <v>100</v>
      </c>
      <c r="CJ293" s="2" t="n">
        <v>100</v>
      </c>
      <c r="CK293" s="2" t="n">
        <v>99.53</v>
      </c>
      <c r="CL293" s="2" t="n">
        <v>100</v>
      </c>
      <c r="CM293" s="2" t="n">
        <v>100</v>
      </c>
      <c r="CN293" s="2" t="n">
        <v>99.53</v>
      </c>
      <c r="CO293" s="2" t="n">
        <v>100</v>
      </c>
      <c r="CP293" s="2" t="n">
        <v>100</v>
      </c>
      <c r="CQ293" s="2" t="n">
        <v>99.53</v>
      </c>
      <c r="CR293" s="2" t="n">
        <v>100</v>
      </c>
      <c r="CS293" s="2" t="n">
        <v>100</v>
      </c>
      <c r="CT293" s="2" t="n">
        <v>99.53</v>
      </c>
      <c r="CU293" s="2" t="n">
        <v>100</v>
      </c>
      <c r="CV293" s="2" t="n">
        <v>100</v>
      </c>
      <c r="CW293" s="2" t="n">
        <v>99.53</v>
      </c>
      <c r="CX293" s="2" t="n">
        <v>100</v>
      </c>
      <c r="CY293" s="2" t="n">
        <v>100</v>
      </c>
      <c r="CZ293" s="2" t="n">
        <v>99.53</v>
      </c>
      <c r="DA293" s="2" t="n">
        <v>100</v>
      </c>
      <c r="DB293" s="2" t="n">
        <v>100</v>
      </c>
      <c r="DC293" s="2" t="n">
        <v>99.53</v>
      </c>
      <c r="DD293" s="2" t="n">
        <v>100</v>
      </c>
      <c r="DE293" s="2" t="n">
        <v>100</v>
      </c>
      <c r="DF293" s="2" t="n">
        <v>99.53</v>
      </c>
      <c r="DG293" s="2" t="n">
        <v>100</v>
      </c>
      <c r="DH293" s="2" t="n">
        <v>100</v>
      </c>
      <c r="DI293" s="2" t="n">
        <v>99.53</v>
      </c>
      <c r="DJ293" s="2" t="n">
        <v>100</v>
      </c>
      <c r="DK293" s="2" t="n">
        <v>100</v>
      </c>
      <c r="DL293" s="2" t="n">
        <v>99.53</v>
      </c>
      <c r="DM293" s="2" t="n">
        <v>100</v>
      </c>
      <c r="DN293" s="2" t="n">
        <v>100</v>
      </c>
      <c r="DO293" s="2" t="n">
        <v>99.53</v>
      </c>
      <c r="DP293" s="2" t="n">
        <v>100</v>
      </c>
      <c r="DQ293" s="2" t="n">
        <v>100</v>
      </c>
      <c r="DR293" s="2" t="n">
        <v>99.53</v>
      </c>
      <c r="DS293" s="2" t="n">
        <v>100</v>
      </c>
      <c r="DT293" s="2" t="n">
        <v>100</v>
      </c>
      <c r="DU293" s="2" t="n">
        <v>99.53</v>
      </c>
      <c r="DV293" s="2" t="n">
        <v>100</v>
      </c>
      <c r="DW293" s="2" t="n">
        <v>100</v>
      </c>
      <c r="DX293" s="2" t="n">
        <v>99.53</v>
      </c>
      <c r="DY293" s="2" t="n">
        <v>100</v>
      </c>
      <c r="DZ293" s="2" t="n">
        <v>100</v>
      </c>
      <c r="EA293" s="2" t="n">
        <v>99.53</v>
      </c>
      <c r="EB293" s="2" t="n">
        <v>100</v>
      </c>
      <c r="EC293" s="2" t="n">
        <v>100</v>
      </c>
      <c r="ED293" s="2" t="n">
        <v>99.53</v>
      </c>
      <c r="EE293" s="2" t="n">
        <v>100</v>
      </c>
      <c r="EF293" s="2" t="n">
        <v>100</v>
      </c>
      <c r="EG293" s="2" t="n">
        <v>99.53</v>
      </c>
      <c r="EH293" s="2" t="n">
        <v>100</v>
      </c>
      <c r="EI293" s="2" t="n">
        <v>100</v>
      </c>
      <c r="EJ293" s="2" t="n">
        <v>99.53</v>
      </c>
      <c r="EK293" s="2" t="n">
        <v>100</v>
      </c>
      <c r="EL293" s="2" t="n">
        <v>100</v>
      </c>
      <c r="EM293" s="2" t="n">
        <v>99.53</v>
      </c>
      <c r="EN293" s="2" t="n">
        <v>100</v>
      </c>
      <c r="EO293" s="2" t="n">
        <v>100</v>
      </c>
      <c r="EP293" s="2" t="n">
        <v>99.53</v>
      </c>
      <c r="EQ293" s="2" t="n">
        <v>100</v>
      </c>
      <c r="ER293" s="2" t="n">
        <v>100</v>
      </c>
      <c r="ES293" s="2" t="n">
        <v>99.53</v>
      </c>
    </row>
    <row r="294">
      <c r="A294" s="2" t="n">
        <v>3</v>
      </c>
      <c r="B294" s="2" t="inlineStr">
        <is>
          <t>15.02.05</t>
        </is>
      </c>
      <c r="C294" s="2" t="inlineStr">
        <is>
          <t>Perfuração com Ø 130cm - com lama</t>
        </is>
      </c>
      <c r="D294" s="2" t="inlineStr">
        <is>
          <t>13/10/2025</t>
        </is>
      </c>
      <c r="E294" s="2" t="inlineStr">
        <is>
          <t>03/03/2026</t>
        </is>
      </c>
      <c r="F294" s="2" t="n">
        <v>96824</v>
      </c>
      <c r="G294" s="2" t="n">
        <v>0</v>
      </c>
      <c r="H294" s="2" t="n">
        <v>96824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17.44</v>
      </c>
      <c r="V294" s="2" t="n">
        <v>17.44</v>
      </c>
      <c r="W294" s="2" t="n">
        <v>21.06</v>
      </c>
      <c r="X294" s="2" t="n">
        <v>39.53</v>
      </c>
      <c r="Y294" s="2" t="n">
        <v>39.53</v>
      </c>
      <c r="Z294" s="2" t="n">
        <v>46.99</v>
      </c>
      <c r="AA294" s="2" t="n">
        <v>55.81</v>
      </c>
      <c r="AB294" s="2" t="n">
        <v>55.81</v>
      </c>
      <c r="AC294" s="2" t="n">
        <v>62.54</v>
      </c>
      <c r="AD294" s="2" t="n">
        <v>79.06999999999999</v>
      </c>
      <c r="AE294" s="2" t="n">
        <v>79.06999999999999</v>
      </c>
      <c r="AF294" s="2" t="n">
        <v>80.98</v>
      </c>
      <c r="AG294" s="2" t="n">
        <v>100</v>
      </c>
      <c r="AH294" s="2" t="n">
        <v>99.53</v>
      </c>
      <c r="AI294" s="2" t="n">
        <v>94.31</v>
      </c>
      <c r="AJ294" s="2" t="n">
        <v>100</v>
      </c>
      <c r="AK294" s="2" t="n">
        <v>100</v>
      </c>
      <c r="AL294" s="2" t="n">
        <v>99.53</v>
      </c>
      <c r="AM294" s="2" t="n">
        <v>100</v>
      </c>
      <c r="AN294" s="2" t="n">
        <v>100</v>
      </c>
      <c r="AO294" s="2" t="n">
        <v>99.53</v>
      </c>
      <c r="AP294" s="2" t="n">
        <v>100</v>
      </c>
      <c r="AQ294" s="2" t="n">
        <v>100</v>
      </c>
      <c r="AR294" s="2" t="n">
        <v>99.53</v>
      </c>
      <c r="AS294" s="2" t="n">
        <v>100</v>
      </c>
      <c r="AT294" s="2" t="n">
        <v>100</v>
      </c>
      <c r="AU294" s="2" t="n">
        <v>99.53</v>
      </c>
      <c r="AV294" s="2" t="n">
        <v>100</v>
      </c>
      <c r="AW294" s="2" t="n">
        <v>100</v>
      </c>
      <c r="AX294" s="2" t="n">
        <v>99.53</v>
      </c>
      <c r="AY294" s="2" t="n">
        <v>100</v>
      </c>
      <c r="AZ294" s="2" t="n">
        <v>100</v>
      </c>
      <c r="BA294" s="2" t="n">
        <v>99.53</v>
      </c>
      <c r="BB294" s="2" t="n">
        <v>100</v>
      </c>
      <c r="BC294" s="2" t="n">
        <v>100</v>
      </c>
      <c r="BD294" s="2" t="n">
        <v>99.53</v>
      </c>
      <c r="BE294" s="2" t="n">
        <v>100</v>
      </c>
      <c r="BF294" s="2" t="n">
        <v>100</v>
      </c>
      <c r="BG294" s="2" t="n">
        <v>99.53</v>
      </c>
      <c r="BH294" s="2" t="n">
        <v>100</v>
      </c>
      <c r="BI294" s="2" t="n">
        <v>100</v>
      </c>
      <c r="BJ294" s="2" t="n">
        <v>99.53</v>
      </c>
      <c r="BK294" s="2" t="n">
        <v>100</v>
      </c>
      <c r="BL294" s="2" t="n">
        <v>100</v>
      </c>
      <c r="BM294" s="2" t="n">
        <v>99.53</v>
      </c>
      <c r="BN294" s="2" t="n">
        <v>100</v>
      </c>
      <c r="BO294" s="2" t="n">
        <v>100</v>
      </c>
      <c r="BP294" s="2" t="n">
        <v>99.53</v>
      </c>
      <c r="BQ294" s="2" t="n">
        <v>100</v>
      </c>
      <c r="BR294" s="2" t="n">
        <v>100</v>
      </c>
      <c r="BS294" s="2" t="n">
        <v>99.53</v>
      </c>
      <c r="BT294" s="2" t="n">
        <v>100</v>
      </c>
      <c r="BU294" s="2" t="n">
        <v>100</v>
      </c>
      <c r="BV294" s="2" t="n">
        <v>99.53</v>
      </c>
      <c r="BW294" s="2" t="n">
        <v>100</v>
      </c>
      <c r="BX294" s="2" t="n">
        <v>100</v>
      </c>
      <c r="BY294" s="2" t="n">
        <v>99.53</v>
      </c>
      <c r="BZ294" s="2" t="n">
        <v>100</v>
      </c>
      <c r="CA294" s="2" t="n">
        <v>100</v>
      </c>
      <c r="CB294" s="2" t="n">
        <v>99.53</v>
      </c>
      <c r="CC294" s="2" t="n">
        <v>100</v>
      </c>
      <c r="CD294" s="2" t="n">
        <v>100</v>
      </c>
      <c r="CE294" s="2" t="n">
        <v>99.53</v>
      </c>
      <c r="CF294" s="2" t="n">
        <v>100</v>
      </c>
      <c r="CG294" s="2" t="n">
        <v>100</v>
      </c>
      <c r="CH294" s="2" t="n">
        <v>99.53</v>
      </c>
      <c r="CI294" s="2" t="n">
        <v>100</v>
      </c>
      <c r="CJ294" s="2" t="n">
        <v>100</v>
      </c>
      <c r="CK294" s="2" t="n">
        <v>99.53</v>
      </c>
      <c r="CL294" s="2" t="n">
        <v>100</v>
      </c>
      <c r="CM294" s="2" t="n">
        <v>100</v>
      </c>
      <c r="CN294" s="2" t="n">
        <v>99.53</v>
      </c>
      <c r="CO294" s="2" t="n">
        <v>100</v>
      </c>
      <c r="CP294" s="2" t="n">
        <v>100</v>
      </c>
      <c r="CQ294" s="2" t="n">
        <v>99.53</v>
      </c>
      <c r="CR294" s="2" t="n">
        <v>100</v>
      </c>
      <c r="CS294" s="2" t="n">
        <v>100</v>
      </c>
      <c r="CT294" s="2" t="n">
        <v>99.53</v>
      </c>
      <c r="CU294" s="2" t="n">
        <v>100</v>
      </c>
      <c r="CV294" s="2" t="n">
        <v>100</v>
      </c>
      <c r="CW294" s="2" t="n">
        <v>99.53</v>
      </c>
      <c r="CX294" s="2" t="n">
        <v>100</v>
      </c>
      <c r="CY294" s="2" t="n">
        <v>100</v>
      </c>
      <c r="CZ294" s="2" t="n">
        <v>99.53</v>
      </c>
      <c r="DA294" s="2" t="n">
        <v>100</v>
      </c>
      <c r="DB294" s="2" t="n">
        <v>100</v>
      </c>
      <c r="DC294" s="2" t="n">
        <v>99.53</v>
      </c>
      <c r="DD294" s="2" t="n">
        <v>100</v>
      </c>
      <c r="DE294" s="2" t="n">
        <v>100</v>
      </c>
      <c r="DF294" s="2" t="n">
        <v>99.53</v>
      </c>
      <c r="DG294" s="2" t="n">
        <v>100</v>
      </c>
      <c r="DH294" s="2" t="n">
        <v>100</v>
      </c>
      <c r="DI294" s="2" t="n">
        <v>99.53</v>
      </c>
      <c r="DJ294" s="2" t="n">
        <v>100</v>
      </c>
      <c r="DK294" s="2" t="n">
        <v>100</v>
      </c>
      <c r="DL294" s="2" t="n">
        <v>99.53</v>
      </c>
      <c r="DM294" s="2" t="n">
        <v>100</v>
      </c>
      <c r="DN294" s="2" t="n">
        <v>100</v>
      </c>
      <c r="DO294" s="2" t="n">
        <v>99.53</v>
      </c>
      <c r="DP294" s="2" t="n">
        <v>100</v>
      </c>
      <c r="DQ294" s="2" t="n">
        <v>100</v>
      </c>
      <c r="DR294" s="2" t="n">
        <v>99.53</v>
      </c>
      <c r="DS294" s="2" t="n">
        <v>100</v>
      </c>
      <c r="DT294" s="2" t="n">
        <v>100</v>
      </c>
      <c r="DU294" s="2" t="n">
        <v>99.53</v>
      </c>
      <c r="DV294" s="2" t="n">
        <v>100</v>
      </c>
      <c r="DW294" s="2" t="n">
        <v>100</v>
      </c>
      <c r="DX294" s="2" t="n">
        <v>99.53</v>
      </c>
      <c r="DY294" s="2" t="n">
        <v>100</v>
      </c>
      <c r="DZ294" s="2" t="n">
        <v>100</v>
      </c>
      <c r="EA294" s="2" t="n">
        <v>99.53</v>
      </c>
      <c r="EB294" s="2" t="n">
        <v>100</v>
      </c>
      <c r="EC294" s="2" t="n">
        <v>100</v>
      </c>
      <c r="ED294" s="2" t="n">
        <v>99.53</v>
      </c>
      <c r="EE294" s="2" t="n">
        <v>100</v>
      </c>
      <c r="EF294" s="2" t="n">
        <v>100</v>
      </c>
      <c r="EG294" s="2" t="n">
        <v>99.53</v>
      </c>
      <c r="EH294" s="2" t="n">
        <v>100</v>
      </c>
      <c r="EI294" s="2" t="n">
        <v>100</v>
      </c>
      <c r="EJ294" s="2" t="n">
        <v>99.53</v>
      </c>
      <c r="EK294" s="2" t="n">
        <v>100</v>
      </c>
      <c r="EL294" s="2" t="n">
        <v>100</v>
      </c>
      <c r="EM294" s="2" t="n">
        <v>99.53</v>
      </c>
      <c r="EN294" s="2" t="n">
        <v>100</v>
      </c>
      <c r="EO294" s="2" t="n">
        <v>100</v>
      </c>
      <c r="EP294" s="2" t="n">
        <v>99.53</v>
      </c>
      <c r="EQ294" s="2" t="n">
        <v>100</v>
      </c>
      <c r="ER294" s="2" t="n">
        <v>100</v>
      </c>
      <c r="ES294" s="2" t="n">
        <v>99.53</v>
      </c>
    </row>
    <row r="295">
      <c r="A295" s="2" t="n">
        <v>3</v>
      </c>
      <c r="B295" s="2" t="inlineStr">
        <is>
          <t>15.02.06</t>
        </is>
      </c>
      <c r="C295" s="2" t="inlineStr">
        <is>
          <t>Perfuração com Ø 140cm - com lama</t>
        </is>
      </c>
      <c r="D295" s="2" t="inlineStr">
        <is>
          <t>13/10/2025</t>
        </is>
      </c>
      <c r="E295" s="2" t="inlineStr">
        <is>
          <t>03/03/2026</t>
        </is>
      </c>
      <c r="F295" s="2" t="n">
        <v>397960</v>
      </c>
      <c r="G295" s="2" t="n">
        <v>0</v>
      </c>
      <c r="H295" s="2" t="n">
        <v>397960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17.44</v>
      </c>
      <c r="V295" s="2" t="n">
        <v>17.44</v>
      </c>
      <c r="W295" s="2" t="n">
        <v>21.06</v>
      </c>
      <c r="X295" s="2" t="n">
        <v>39.53</v>
      </c>
      <c r="Y295" s="2" t="n">
        <v>39.53</v>
      </c>
      <c r="Z295" s="2" t="n">
        <v>46.99</v>
      </c>
      <c r="AA295" s="2" t="n">
        <v>55.81</v>
      </c>
      <c r="AB295" s="2" t="n">
        <v>55.81</v>
      </c>
      <c r="AC295" s="2" t="n">
        <v>62.54</v>
      </c>
      <c r="AD295" s="2" t="n">
        <v>79.06999999999999</v>
      </c>
      <c r="AE295" s="2" t="n">
        <v>79.06999999999999</v>
      </c>
      <c r="AF295" s="2" t="n">
        <v>80.98</v>
      </c>
      <c r="AG295" s="2" t="n">
        <v>100</v>
      </c>
      <c r="AH295" s="2" t="n">
        <v>99.53</v>
      </c>
      <c r="AI295" s="2" t="n">
        <v>94.31</v>
      </c>
      <c r="AJ295" s="2" t="n">
        <v>100</v>
      </c>
      <c r="AK295" s="2" t="n">
        <v>100</v>
      </c>
      <c r="AL295" s="2" t="n">
        <v>99.53</v>
      </c>
      <c r="AM295" s="2" t="n">
        <v>100</v>
      </c>
      <c r="AN295" s="2" t="n">
        <v>100</v>
      </c>
      <c r="AO295" s="2" t="n">
        <v>99.53</v>
      </c>
      <c r="AP295" s="2" t="n">
        <v>100</v>
      </c>
      <c r="AQ295" s="2" t="n">
        <v>100</v>
      </c>
      <c r="AR295" s="2" t="n">
        <v>99.53</v>
      </c>
      <c r="AS295" s="2" t="n">
        <v>100</v>
      </c>
      <c r="AT295" s="2" t="n">
        <v>100</v>
      </c>
      <c r="AU295" s="2" t="n">
        <v>99.53</v>
      </c>
      <c r="AV295" s="2" t="n">
        <v>100</v>
      </c>
      <c r="AW295" s="2" t="n">
        <v>100</v>
      </c>
      <c r="AX295" s="2" t="n">
        <v>99.53</v>
      </c>
      <c r="AY295" s="2" t="n">
        <v>100</v>
      </c>
      <c r="AZ295" s="2" t="n">
        <v>100</v>
      </c>
      <c r="BA295" s="2" t="n">
        <v>99.53</v>
      </c>
      <c r="BB295" s="2" t="n">
        <v>100</v>
      </c>
      <c r="BC295" s="2" t="n">
        <v>100</v>
      </c>
      <c r="BD295" s="2" t="n">
        <v>99.53</v>
      </c>
      <c r="BE295" s="2" t="n">
        <v>100</v>
      </c>
      <c r="BF295" s="2" t="n">
        <v>100</v>
      </c>
      <c r="BG295" s="2" t="n">
        <v>99.53</v>
      </c>
      <c r="BH295" s="2" t="n">
        <v>100</v>
      </c>
      <c r="BI295" s="2" t="n">
        <v>100</v>
      </c>
      <c r="BJ295" s="2" t="n">
        <v>99.53</v>
      </c>
      <c r="BK295" s="2" t="n">
        <v>100</v>
      </c>
      <c r="BL295" s="2" t="n">
        <v>100</v>
      </c>
      <c r="BM295" s="2" t="n">
        <v>99.53</v>
      </c>
      <c r="BN295" s="2" t="n">
        <v>100</v>
      </c>
      <c r="BO295" s="2" t="n">
        <v>100</v>
      </c>
      <c r="BP295" s="2" t="n">
        <v>99.53</v>
      </c>
      <c r="BQ295" s="2" t="n">
        <v>100</v>
      </c>
      <c r="BR295" s="2" t="n">
        <v>100</v>
      </c>
      <c r="BS295" s="2" t="n">
        <v>99.53</v>
      </c>
      <c r="BT295" s="2" t="n">
        <v>100</v>
      </c>
      <c r="BU295" s="2" t="n">
        <v>100</v>
      </c>
      <c r="BV295" s="2" t="n">
        <v>99.53</v>
      </c>
      <c r="BW295" s="2" t="n">
        <v>100</v>
      </c>
      <c r="BX295" s="2" t="n">
        <v>100</v>
      </c>
      <c r="BY295" s="2" t="n">
        <v>99.53</v>
      </c>
      <c r="BZ295" s="2" t="n">
        <v>100</v>
      </c>
      <c r="CA295" s="2" t="n">
        <v>100</v>
      </c>
      <c r="CB295" s="2" t="n">
        <v>99.53</v>
      </c>
      <c r="CC295" s="2" t="n">
        <v>100</v>
      </c>
      <c r="CD295" s="2" t="n">
        <v>100</v>
      </c>
      <c r="CE295" s="2" t="n">
        <v>99.53</v>
      </c>
      <c r="CF295" s="2" t="n">
        <v>100</v>
      </c>
      <c r="CG295" s="2" t="n">
        <v>100</v>
      </c>
      <c r="CH295" s="2" t="n">
        <v>99.53</v>
      </c>
      <c r="CI295" s="2" t="n">
        <v>100</v>
      </c>
      <c r="CJ295" s="2" t="n">
        <v>100</v>
      </c>
      <c r="CK295" s="2" t="n">
        <v>99.53</v>
      </c>
      <c r="CL295" s="2" t="n">
        <v>100</v>
      </c>
      <c r="CM295" s="2" t="n">
        <v>100</v>
      </c>
      <c r="CN295" s="2" t="n">
        <v>99.53</v>
      </c>
      <c r="CO295" s="2" t="n">
        <v>100</v>
      </c>
      <c r="CP295" s="2" t="n">
        <v>100</v>
      </c>
      <c r="CQ295" s="2" t="n">
        <v>99.53</v>
      </c>
      <c r="CR295" s="2" t="n">
        <v>100</v>
      </c>
      <c r="CS295" s="2" t="n">
        <v>100</v>
      </c>
      <c r="CT295" s="2" t="n">
        <v>99.53</v>
      </c>
      <c r="CU295" s="2" t="n">
        <v>100</v>
      </c>
      <c r="CV295" s="2" t="n">
        <v>100</v>
      </c>
      <c r="CW295" s="2" t="n">
        <v>99.53</v>
      </c>
      <c r="CX295" s="2" t="n">
        <v>100</v>
      </c>
      <c r="CY295" s="2" t="n">
        <v>100</v>
      </c>
      <c r="CZ295" s="2" t="n">
        <v>99.53</v>
      </c>
      <c r="DA295" s="2" t="n">
        <v>100</v>
      </c>
      <c r="DB295" s="2" t="n">
        <v>100</v>
      </c>
      <c r="DC295" s="2" t="n">
        <v>99.53</v>
      </c>
      <c r="DD295" s="2" t="n">
        <v>100</v>
      </c>
      <c r="DE295" s="2" t="n">
        <v>100</v>
      </c>
      <c r="DF295" s="2" t="n">
        <v>99.53</v>
      </c>
      <c r="DG295" s="2" t="n">
        <v>100</v>
      </c>
      <c r="DH295" s="2" t="n">
        <v>100</v>
      </c>
      <c r="DI295" s="2" t="n">
        <v>99.53</v>
      </c>
      <c r="DJ295" s="2" t="n">
        <v>100</v>
      </c>
      <c r="DK295" s="2" t="n">
        <v>100</v>
      </c>
      <c r="DL295" s="2" t="n">
        <v>99.53</v>
      </c>
      <c r="DM295" s="2" t="n">
        <v>100</v>
      </c>
      <c r="DN295" s="2" t="n">
        <v>100</v>
      </c>
      <c r="DO295" s="2" t="n">
        <v>99.53</v>
      </c>
      <c r="DP295" s="2" t="n">
        <v>100</v>
      </c>
      <c r="DQ295" s="2" t="n">
        <v>100</v>
      </c>
      <c r="DR295" s="2" t="n">
        <v>99.53</v>
      </c>
      <c r="DS295" s="2" t="n">
        <v>100</v>
      </c>
      <c r="DT295" s="2" t="n">
        <v>100</v>
      </c>
      <c r="DU295" s="2" t="n">
        <v>99.53</v>
      </c>
      <c r="DV295" s="2" t="n">
        <v>100</v>
      </c>
      <c r="DW295" s="2" t="n">
        <v>100</v>
      </c>
      <c r="DX295" s="2" t="n">
        <v>99.53</v>
      </c>
      <c r="DY295" s="2" t="n">
        <v>100</v>
      </c>
      <c r="DZ295" s="2" t="n">
        <v>100</v>
      </c>
      <c r="EA295" s="2" t="n">
        <v>99.53</v>
      </c>
      <c r="EB295" s="2" t="n">
        <v>100</v>
      </c>
      <c r="EC295" s="2" t="n">
        <v>100</v>
      </c>
      <c r="ED295" s="2" t="n">
        <v>99.53</v>
      </c>
      <c r="EE295" s="2" t="n">
        <v>100</v>
      </c>
      <c r="EF295" s="2" t="n">
        <v>100</v>
      </c>
      <c r="EG295" s="2" t="n">
        <v>99.53</v>
      </c>
      <c r="EH295" s="2" t="n">
        <v>100</v>
      </c>
      <c r="EI295" s="2" t="n">
        <v>100</v>
      </c>
      <c r="EJ295" s="2" t="n">
        <v>99.53</v>
      </c>
      <c r="EK295" s="2" t="n">
        <v>100</v>
      </c>
      <c r="EL295" s="2" t="n">
        <v>100</v>
      </c>
      <c r="EM295" s="2" t="n">
        <v>99.53</v>
      </c>
      <c r="EN295" s="2" t="n">
        <v>100</v>
      </c>
      <c r="EO295" s="2" t="n">
        <v>100</v>
      </c>
      <c r="EP295" s="2" t="n">
        <v>99.53</v>
      </c>
      <c r="EQ295" s="2" t="n">
        <v>100</v>
      </c>
      <c r="ER295" s="2" t="n">
        <v>100</v>
      </c>
      <c r="ES295" s="2" t="n">
        <v>99.53</v>
      </c>
    </row>
    <row r="296">
      <c r="A296" s="2" t="n">
        <v>3</v>
      </c>
      <c r="B296" s="2" t="inlineStr">
        <is>
          <t>15.02.07</t>
        </is>
      </c>
      <c r="C296" s="2" t="inlineStr">
        <is>
          <t>Perfuração com Ø 150cm - com lama</t>
        </is>
      </c>
      <c r="D296" s="2" t="inlineStr">
        <is>
          <t>13/10/2025</t>
        </is>
      </c>
      <c r="E296" s="2" t="inlineStr">
        <is>
          <t>03/03/2026</t>
        </is>
      </c>
      <c r="F296" s="2" t="n">
        <v>84734.39999999999</v>
      </c>
      <c r="G296" s="2" t="n">
        <v>0</v>
      </c>
      <c r="H296" s="2" t="n">
        <v>84734.39999999999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17.44</v>
      </c>
      <c r="V296" s="2" t="n">
        <v>17.44</v>
      </c>
      <c r="W296" s="2" t="n">
        <v>21.06</v>
      </c>
      <c r="X296" s="2" t="n">
        <v>39.53</v>
      </c>
      <c r="Y296" s="2" t="n">
        <v>39.53</v>
      </c>
      <c r="Z296" s="2" t="n">
        <v>46.99</v>
      </c>
      <c r="AA296" s="2" t="n">
        <v>55.81</v>
      </c>
      <c r="AB296" s="2" t="n">
        <v>55.81</v>
      </c>
      <c r="AC296" s="2" t="n">
        <v>62.54</v>
      </c>
      <c r="AD296" s="2" t="n">
        <v>79.06999999999999</v>
      </c>
      <c r="AE296" s="2" t="n">
        <v>79.06999999999999</v>
      </c>
      <c r="AF296" s="2" t="n">
        <v>80.98</v>
      </c>
      <c r="AG296" s="2" t="n">
        <v>100</v>
      </c>
      <c r="AH296" s="2" t="n">
        <v>99.53</v>
      </c>
      <c r="AI296" s="2" t="n">
        <v>94.31</v>
      </c>
      <c r="AJ296" s="2" t="n">
        <v>100</v>
      </c>
      <c r="AK296" s="2" t="n">
        <v>100</v>
      </c>
      <c r="AL296" s="2" t="n">
        <v>99.53</v>
      </c>
      <c r="AM296" s="2" t="n">
        <v>100</v>
      </c>
      <c r="AN296" s="2" t="n">
        <v>100</v>
      </c>
      <c r="AO296" s="2" t="n">
        <v>99.53</v>
      </c>
      <c r="AP296" s="2" t="n">
        <v>100</v>
      </c>
      <c r="AQ296" s="2" t="n">
        <v>100</v>
      </c>
      <c r="AR296" s="2" t="n">
        <v>99.53</v>
      </c>
      <c r="AS296" s="2" t="n">
        <v>100</v>
      </c>
      <c r="AT296" s="2" t="n">
        <v>100</v>
      </c>
      <c r="AU296" s="2" t="n">
        <v>99.53</v>
      </c>
      <c r="AV296" s="2" t="n">
        <v>100</v>
      </c>
      <c r="AW296" s="2" t="n">
        <v>100</v>
      </c>
      <c r="AX296" s="2" t="n">
        <v>99.53</v>
      </c>
      <c r="AY296" s="2" t="n">
        <v>100</v>
      </c>
      <c r="AZ296" s="2" t="n">
        <v>100</v>
      </c>
      <c r="BA296" s="2" t="n">
        <v>99.53</v>
      </c>
      <c r="BB296" s="2" t="n">
        <v>100</v>
      </c>
      <c r="BC296" s="2" t="n">
        <v>100</v>
      </c>
      <c r="BD296" s="2" t="n">
        <v>99.53</v>
      </c>
      <c r="BE296" s="2" t="n">
        <v>100</v>
      </c>
      <c r="BF296" s="2" t="n">
        <v>100</v>
      </c>
      <c r="BG296" s="2" t="n">
        <v>99.53</v>
      </c>
      <c r="BH296" s="2" t="n">
        <v>100</v>
      </c>
      <c r="BI296" s="2" t="n">
        <v>100</v>
      </c>
      <c r="BJ296" s="2" t="n">
        <v>99.53</v>
      </c>
      <c r="BK296" s="2" t="n">
        <v>100</v>
      </c>
      <c r="BL296" s="2" t="n">
        <v>100</v>
      </c>
      <c r="BM296" s="2" t="n">
        <v>99.53</v>
      </c>
      <c r="BN296" s="2" t="n">
        <v>100</v>
      </c>
      <c r="BO296" s="2" t="n">
        <v>100</v>
      </c>
      <c r="BP296" s="2" t="n">
        <v>99.53</v>
      </c>
      <c r="BQ296" s="2" t="n">
        <v>100</v>
      </c>
      <c r="BR296" s="2" t="n">
        <v>100</v>
      </c>
      <c r="BS296" s="2" t="n">
        <v>99.53</v>
      </c>
      <c r="BT296" s="2" t="n">
        <v>100</v>
      </c>
      <c r="BU296" s="2" t="n">
        <v>100</v>
      </c>
      <c r="BV296" s="2" t="n">
        <v>99.53</v>
      </c>
      <c r="BW296" s="2" t="n">
        <v>100</v>
      </c>
      <c r="BX296" s="2" t="n">
        <v>100</v>
      </c>
      <c r="BY296" s="2" t="n">
        <v>99.53</v>
      </c>
      <c r="BZ296" s="2" t="n">
        <v>100</v>
      </c>
      <c r="CA296" s="2" t="n">
        <v>100</v>
      </c>
      <c r="CB296" s="2" t="n">
        <v>99.53</v>
      </c>
      <c r="CC296" s="2" t="n">
        <v>100</v>
      </c>
      <c r="CD296" s="2" t="n">
        <v>100</v>
      </c>
      <c r="CE296" s="2" t="n">
        <v>99.53</v>
      </c>
      <c r="CF296" s="2" t="n">
        <v>100</v>
      </c>
      <c r="CG296" s="2" t="n">
        <v>100</v>
      </c>
      <c r="CH296" s="2" t="n">
        <v>99.53</v>
      </c>
      <c r="CI296" s="2" t="n">
        <v>100</v>
      </c>
      <c r="CJ296" s="2" t="n">
        <v>100</v>
      </c>
      <c r="CK296" s="2" t="n">
        <v>99.53</v>
      </c>
      <c r="CL296" s="2" t="n">
        <v>100</v>
      </c>
      <c r="CM296" s="2" t="n">
        <v>100</v>
      </c>
      <c r="CN296" s="2" t="n">
        <v>99.53</v>
      </c>
      <c r="CO296" s="2" t="n">
        <v>100</v>
      </c>
      <c r="CP296" s="2" t="n">
        <v>100</v>
      </c>
      <c r="CQ296" s="2" t="n">
        <v>99.53</v>
      </c>
      <c r="CR296" s="2" t="n">
        <v>100</v>
      </c>
      <c r="CS296" s="2" t="n">
        <v>100</v>
      </c>
      <c r="CT296" s="2" t="n">
        <v>99.53</v>
      </c>
      <c r="CU296" s="2" t="n">
        <v>100</v>
      </c>
      <c r="CV296" s="2" t="n">
        <v>100</v>
      </c>
      <c r="CW296" s="2" t="n">
        <v>99.53</v>
      </c>
      <c r="CX296" s="2" t="n">
        <v>100</v>
      </c>
      <c r="CY296" s="2" t="n">
        <v>100</v>
      </c>
      <c r="CZ296" s="2" t="n">
        <v>99.53</v>
      </c>
      <c r="DA296" s="2" t="n">
        <v>100</v>
      </c>
      <c r="DB296" s="2" t="n">
        <v>100</v>
      </c>
      <c r="DC296" s="2" t="n">
        <v>99.53</v>
      </c>
      <c r="DD296" s="2" t="n">
        <v>100</v>
      </c>
      <c r="DE296" s="2" t="n">
        <v>100</v>
      </c>
      <c r="DF296" s="2" t="n">
        <v>99.53</v>
      </c>
      <c r="DG296" s="2" t="n">
        <v>100</v>
      </c>
      <c r="DH296" s="2" t="n">
        <v>100</v>
      </c>
      <c r="DI296" s="2" t="n">
        <v>99.53</v>
      </c>
      <c r="DJ296" s="2" t="n">
        <v>100</v>
      </c>
      <c r="DK296" s="2" t="n">
        <v>100</v>
      </c>
      <c r="DL296" s="2" t="n">
        <v>99.53</v>
      </c>
      <c r="DM296" s="2" t="n">
        <v>100</v>
      </c>
      <c r="DN296" s="2" t="n">
        <v>100</v>
      </c>
      <c r="DO296" s="2" t="n">
        <v>99.53</v>
      </c>
      <c r="DP296" s="2" t="n">
        <v>100</v>
      </c>
      <c r="DQ296" s="2" t="n">
        <v>100</v>
      </c>
      <c r="DR296" s="2" t="n">
        <v>99.53</v>
      </c>
      <c r="DS296" s="2" t="n">
        <v>100</v>
      </c>
      <c r="DT296" s="2" t="n">
        <v>100</v>
      </c>
      <c r="DU296" s="2" t="n">
        <v>99.53</v>
      </c>
      <c r="DV296" s="2" t="n">
        <v>100</v>
      </c>
      <c r="DW296" s="2" t="n">
        <v>100</v>
      </c>
      <c r="DX296" s="2" t="n">
        <v>99.53</v>
      </c>
      <c r="DY296" s="2" t="n">
        <v>100</v>
      </c>
      <c r="DZ296" s="2" t="n">
        <v>100</v>
      </c>
      <c r="EA296" s="2" t="n">
        <v>99.53</v>
      </c>
      <c r="EB296" s="2" t="n">
        <v>100</v>
      </c>
      <c r="EC296" s="2" t="n">
        <v>100</v>
      </c>
      <c r="ED296" s="2" t="n">
        <v>99.53</v>
      </c>
      <c r="EE296" s="2" t="n">
        <v>100</v>
      </c>
      <c r="EF296" s="2" t="n">
        <v>100</v>
      </c>
      <c r="EG296" s="2" t="n">
        <v>99.53</v>
      </c>
      <c r="EH296" s="2" t="n">
        <v>100</v>
      </c>
      <c r="EI296" s="2" t="n">
        <v>100</v>
      </c>
      <c r="EJ296" s="2" t="n">
        <v>99.53</v>
      </c>
      <c r="EK296" s="2" t="n">
        <v>100</v>
      </c>
      <c r="EL296" s="2" t="n">
        <v>100</v>
      </c>
      <c r="EM296" s="2" t="n">
        <v>99.53</v>
      </c>
      <c r="EN296" s="2" t="n">
        <v>100</v>
      </c>
      <c r="EO296" s="2" t="n">
        <v>100</v>
      </c>
      <c r="EP296" s="2" t="n">
        <v>99.53</v>
      </c>
      <c r="EQ296" s="2" t="n">
        <v>100</v>
      </c>
      <c r="ER296" s="2" t="n">
        <v>100</v>
      </c>
      <c r="ES296" s="2" t="n">
        <v>99.53</v>
      </c>
    </row>
    <row r="297">
      <c r="A297" s="2" t="n">
        <v>2</v>
      </c>
      <c r="B297" s="2" t="inlineStr">
        <is>
          <t>15.03</t>
        </is>
      </c>
      <c r="C297" s="2" t="inlineStr">
        <is>
          <t>Escavaçaõ de estaca em solo com SPT&gt; 50 golpes</t>
        </is>
      </c>
      <c r="D297" s="2" t="inlineStr">
        <is>
          <t>13/10/2025</t>
        </is>
      </c>
      <c r="E297" s="2" t="inlineStr">
        <is>
          <t>03/03/2026</t>
        </is>
      </c>
      <c r="F297" s="2" t="n">
        <v>802929.28</v>
      </c>
      <c r="G297" s="2" t="n">
        <v>0</v>
      </c>
      <c r="H297" s="2" t="n">
        <v>802929.28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17.44</v>
      </c>
      <c r="V297" s="2" t="n">
        <v>17.44</v>
      </c>
      <c r="W297" s="2" t="n">
        <v>21.06</v>
      </c>
      <c r="X297" s="2" t="n">
        <v>39.53</v>
      </c>
      <c r="Y297" s="2" t="n">
        <v>39.53</v>
      </c>
      <c r="Z297" s="2" t="n">
        <v>46.99</v>
      </c>
      <c r="AA297" s="2" t="n">
        <v>55.81</v>
      </c>
      <c r="AB297" s="2" t="n">
        <v>55.81</v>
      </c>
      <c r="AC297" s="2" t="n">
        <v>62.54</v>
      </c>
      <c r="AD297" s="2" t="n">
        <v>79.06999999999999</v>
      </c>
      <c r="AE297" s="2" t="n">
        <v>79.06999999999999</v>
      </c>
      <c r="AF297" s="2" t="n">
        <v>80.98</v>
      </c>
      <c r="AG297" s="2" t="n">
        <v>100</v>
      </c>
      <c r="AH297" s="2" t="n">
        <v>99.53</v>
      </c>
      <c r="AI297" s="2" t="n">
        <v>94.31</v>
      </c>
      <c r="AJ297" s="2" t="n">
        <v>100</v>
      </c>
      <c r="AK297" s="2" t="n">
        <v>100</v>
      </c>
      <c r="AL297" s="2" t="n">
        <v>99.53</v>
      </c>
      <c r="AM297" s="2" t="n">
        <v>100</v>
      </c>
      <c r="AN297" s="2" t="n">
        <v>100</v>
      </c>
      <c r="AO297" s="2" t="n">
        <v>99.53</v>
      </c>
      <c r="AP297" s="2" t="n">
        <v>100</v>
      </c>
      <c r="AQ297" s="2" t="n">
        <v>100</v>
      </c>
      <c r="AR297" s="2" t="n">
        <v>99.53</v>
      </c>
      <c r="AS297" s="2" t="n">
        <v>100</v>
      </c>
      <c r="AT297" s="2" t="n">
        <v>100</v>
      </c>
      <c r="AU297" s="2" t="n">
        <v>99.53</v>
      </c>
      <c r="AV297" s="2" t="n">
        <v>100</v>
      </c>
      <c r="AW297" s="2" t="n">
        <v>100</v>
      </c>
      <c r="AX297" s="2" t="n">
        <v>99.53</v>
      </c>
      <c r="AY297" s="2" t="n">
        <v>100</v>
      </c>
      <c r="AZ297" s="2" t="n">
        <v>100</v>
      </c>
      <c r="BA297" s="2" t="n">
        <v>99.53</v>
      </c>
      <c r="BB297" s="2" t="n">
        <v>100</v>
      </c>
      <c r="BC297" s="2" t="n">
        <v>100</v>
      </c>
      <c r="BD297" s="2" t="n">
        <v>99.53</v>
      </c>
      <c r="BE297" s="2" t="n">
        <v>100</v>
      </c>
      <c r="BF297" s="2" t="n">
        <v>100</v>
      </c>
      <c r="BG297" s="2" t="n">
        <v>99.53</v>
      </c>
      <c r="BH297" s="2" t="n">
        <v>100</v>
      </c>
      <c r="BI297" s="2" t="n">
        <v>100</v>
      </c>
      <c r="BJ297" s="2" t="n">
        <v>99.53</v>
      </c>
      <c r="BK297" s="2" t="n">
        <v>100</v>
      </c>
      <c r="BL297" s="2" t="n">
        <v>100</v>
      </c>
      <c r="BM297" s="2" t="n">
        <v>99.53</v>
      </c>
      <c r="BN297" s="2" t="n">
        <v>100</v>
      </c>
      <c r="BO297" s="2" t="n">
        <v>100</v>
      </c>
      <c r="BP297" s="2" t="n">
        <v>99.53</v>
      </c>
      <c r="BQ297" s="2" t="n">
        <v>100</v>
      </c>
      <c r="BR297" s="2" t="n">
        <v>100</v>
      </c>
      <c r="BS297" s="2" t="n">
        <v>99.53</v>
      </c>
      <c r="BT297" s="2" t="n">
        <v>100</v>
      </c>
      <c r="BU297" s="2" t="n">
        <v>100</v>
      </c>
      <c r="BV297" s="2" t="n">
        <v>99.53</v>
      </c>
      <c r="BW297" s="2" t="n">
        <v>100</v>
      </c>
      <c r="BX297" s="2" t="n">
        <v>100</v>
      </c>
      <c r="BY297" s="2" t="n">
        <v>99.53</v>
      </c>
      <c r="BZ297" s="2" t="n">
        <v>100</v>
      </c>
      <c r="CA297" s="2" t="n">
        <v>100</v>
      </c>
      <c r="CB297" s="2" t="n">
        <v>99.53</v>
      </c>
      <c r="CC297" s="2" t="n">
        <v>100</v>
      </c>
      <c r="CD297" s="2" t="n">
        <v>100</v>
      </c>
      <c r="CE297" s="2" t="n">
        <v>99.53</v>
      </c>
      <c r="CF297" s="2" t="n">
        <v>100</v>
      </c>
      <c r="CG297" s="2" t="n">
        <v>100</v>
      </c>
      <c r="CH297" s="2" t="n">
        <v>99.53</v>
      </c>
      <c r="CI297" s="2" t="n">
        <v>100</v>
      </c>
      <c r="CJ297" s="2" t="n">
        <v>100</v>
      </c>
      <c r="CK297" s="2" t="n">
        <v>99.53</v>
      </c>
      <c r="CL297" s="2" t="n">
        <v>100</v>
      </c>
      <c r="CM297" s="2" t="n">
        <v>100</v>
      </c>
      <c r="CN297" s="2" t="n">
        <v>99.53</v>
      </c>
      <c r="CO297" s="2" t="n">
        <v>100</v>
      </c>
      <c r="CP297" s="2" t="n">
        <v>100</v>
      </c>
      <c r="CQ297" s="2" t="n">
        <v>99.53</v>
      </c>
      <c r="CR297" s="2" t="n">
        <v>100</v>
      </c>
      <c r="CS297" s="2" t="n">
        <v>100</v>
      </c>
      <c r="CT297" s="2" t="n">
        <v>99.53</v>
      </c>
      <c r="CU297" s="2" t="n">
        <v>100</v>
      </c>
      <c r="CV297" s="2" t="n">
        <v>100</v>
      </c>
      <c r="CW297" s="2" t="n">
        <v>99.53</v>
      </c>
      <c r="CX297" s="2" t="n">
        <v>100</v>
      </c>
      <c r="CY297" s="2" t="n">
        <v>100</v>
      </c>
      <c r="CZ297" s="2" t="n">
        <v>99.53</v>
      </c>
      <c r="DA297" s="2" t="n">
        <v>100</v>
      </c>
      <c r="DB297" s="2" t="n">
        <v>100</v>
      </c>
      <c r="DC297" s="2" t="n">
        <v>99.53</v>
      </c>
      <c r="DD297" s="2" t="n">
        <v>100</v>
      </c>
      <c r="DE297" s="2" t="n">
        <v>100</v>
      </c>
      <c r="DF297" s="2" t="n">
        <v>99.53</v>
      </c>
      <c r="DG297" s="2" t="n">
        <v>100</v>
      </c>
      <c r="DH297" s="2" t="n">
        <v>100</v>
      </c>
      <c r="DI297" s="2" t="n">
        <v>99.53</v>
      </c>
      <c r="DJ297" s="2" t="n">
        <v>100</v>
      </c>
      <c r="DK297" s="2" t="n">
        <v>100</v>
      </c>
      <c r="DL297" s="2" t="n">
        <v>99.53</v>
      </c>
      <c r="DM297" s="2" t="n">
        <v>100</v>
      </c>
      <c r="DN297" s="2" t="n">
        <v>100</v>
      </c>
      <c r="DO297" s="2" t="n">
        <v>99.53</v>
      </c>
      <c r="DP297" s="2" t="n">
        <v>100</v>
      </c>
      <c r="DQ297" s="2" t="n">
        <v>100</v>
      </c>
      <c r="DR297" s="2" t="n">
        <v>99.53</v>
      </c>
      <c r="DS297" s="2" t="n">
        <v>100</v>
      </c>
      <c r="DT297" s="2" t="n">
        <v>100</v>
      </c>
      <c r="DU297" s="2" t="n">
        <v>99.53</v>
      </c>
      <c r="DV297" s="2" t="n">
        <v>100</v>
      </c>
      <c r="DW297" s="2" t="n">
        <v>100</v>
      </c>
      <c r="DX297" s="2" t="n">
        <v>99.53</v>
      </c>
      <c r="DY297" s="2" t="n">
        <v>100</v>
      </c>
      <c r="DZ297" s="2" t="n">
        <v>100</v>
      </c>
      <c r="EA297" s="2" t="n">
        <v>99.53</v>
      </c>
      <c r="EB297" s="2" t="n">
        <v>100</v>
      </c>
      <c r="EC297" s="2" t="n">
        <v>100</v>
      </c>
      <c r="ED297" s="2" t="n">
        <v>99.53</v>
      </c>
      <c r="EE297" s="2" t="n">
        <v>100</v>
      </c>
      <c r="EF297" s="2" t="n">
        <v>100</v>
      </c>
      <c r="EG297" s="2" t="n">
        <v>99.53</v>
      </c>
      <c r="EH297" s="2" t="n">
        <v>100</v>
      </c>
      <c r="EI297" s="2" t="n">
        <v>100</v>
      </c>
      <c r="EJ297" s="2" t="n">
        <v>99.53</v>
      </c>
      <c r="EK297" s="2" t="n">
        <v>100</v>
      </c>
      <c r="EL297" s="2" t="n">
        <v>100</v>
      </c>
      <c r="EM297" s="2" t="n">
        <v>99.53</v>
      </c>
      <c r="EN297" s="2" t="n">
        <v>100</v>
      </c>
      <c r="EO297" s="2" t="n">
        <v>100</v>
      </c>
      <c r="EP297" s="2" t="n">
        <v>99.53</v>
      </c>
      <c r="EQ297" s="2" t="n">
        <v>100</v>
      </c>
      <c r="ER297" s="2" t="n">
        <v>100</v>
      </c>
      <c r="ES297" s="2" t="n">
        <v>99.53</v>
      </c>
    </row>
    <row r="298">
      <c r="A298" s="2" t="n">
        <v>3</v>
      </c>
      <c r="B298" s="2" t="inlineStr">
        <is>
          <t>15.03.01</t>
        </is>
      </c>
      <c r="C298" s="2" t="inlineStr">
        <is>
          <t>Perfuração com Ø 90cm - com lama</t>
        </is>
      </c>
      <c r="D298" s="2" t="inlineStr">
        <is>
          <t>13/10/2025</t>
        </is>
      </c>
      <c r="E298" s="2" t="inlineStr">
        <is>
          <t>03/03/2026</t>
        </is>
      </c>
      <c r="F298" s="2" t="n">
        <v>98040</v>
      </c>
      <c r="G298" s="2" t="n">
        <v>0</v>
      </c>
      <c r="H298" s="2" t="n">
        <v>98040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17.44</v>
      </c>
      <c r="V298" s="2" t="n">
        <v>17.44</v>
      </c>
      <c r="W298" s="2" t="n">
        <v>21.06</v>
      </c>
      <c r="X298" s="2" t="n">
        <v>39.53</v>
      </c>
      <c r="Y298" s="2" t="n">
        <v>39.53</v>
      </c>
      <c r="Z298" s="2" t="n">
        <v>46.99</v>
      </c>
      <c r="AA298" s="2" t="n">
        <v>55.81</v>
      </c>
      <c r="AB298" s="2" t="n">
        <v>55.81</v>
      </c>
      <c r="AC298" s="2" t="n">
        <v>62.54</v>
      </c>
      <c r="AD298" s="2" t="n">
        <v>79.06999999999999</v>
      </c>
      <c r="AE298" s="2" t="n">
        <v>79.06999999999999</v>
      </c>
      <c r="AF298" s="2" t="n">
        <v>80.98</v>
      </c>
      <c r="AG298" s="2" t="n">
        <v>100</v>
      </c>
      <c r="AH298" s="2" t="n">
        <v>99.53</v>
      </c>
      <c r="AI298" s="2" t="n">
        <v>94.31</v>
      </c>
      <c r="AJ298" s="2" t="n">
        <v>100</v>
      </c>
      <c r="AK298" s="2" t="n">
        <v>100</v>
      </c>
      <c r="AL298" s="2" t="n">
        <v>99.53</v>
      </c>
      <c r="AM298" s="2" t="n">
        <v>100</v>
      </c>
      <c r="AN298" s="2" t="n">
        <v>100</v>
      </c>
      <c r="AO298" s="2" t="n">
        <v>99.53</v>
      </c>
      <c r="AP298" s="2" t="n">
        <v>100</v>
      </c>
      <c r="AQ298" s="2" t="n">
        <v>100</v>
      </c>
      <c r="AR298" s="2" t="n">
        <v>99.53</v>
      </c>
      <c r="AS298" s="2" t="n">
        <v>100</v>
      </c>
      <c r="AT298" s="2" t="n">
        <v>100</v>
      </c>
      <c r="AU298" s="2" t="n">
        <v>99.53</v>
      </c>
      <c r="AV298" s="2" t="n">
        <v>100</v>
      </c>
      <c r="AW298" s="2" t="n">
        <v>100</v>
      </c>
      <c r="AX298" s="2" t="n">
        <v>99.53</v>
      </c>
      <c r="AY298" s="2" t="n">
        <v>100</v>
      </c>
      <c r="AZ298" s="2" t="n">
        <v>100</v>
      </c>
      <c r="BA298" s="2" t="n">
        <v>99.53</v>
      </c>
      <c r="BB298" s="2" t="n">
        <v>100</v>
      </c>
      <c r="BC298" s="2" t="n">
        <v>100</v>
      </c>
      <c r="BD298" s="2" t="n">
        <v>99.53</v>
      </c>
      <c r="BE298" s="2" t="n">
        <v>100</v>
      </c>
      <c r="BF298" s="2" t="n">
        <v>100</v>
      </c>
      <c r="BG298" s="2" t="n">
        <v>99.53</v>
      </c>
      <c r="BH298" s="2" t="n">
        <v>100</v>
      </c>
      <c r="BI298" s="2" t="n">
        <v>100</v>
      </c>
      <c r="BJ298" s="2" t="n">
        <v>99.53</v>
      </c>
      <c r="BK298" s="2" t="n">
        <v>100</v>
      </c>
      <c r="BL298" s="2" t="n">
        <v>100</v>
      </c>
      <c r="BM298" s="2" t="n">
        <v>99.53</v>
      </c>
      <c r="BN298" s="2" t="n">
        <v>100</v>
      </c>
      <c r="BO298" s="2" t="n">
        <v>100</v>
      </c>
      <c r="BP298" s="2" t="n">
        <v>99.53</v>
      </c>
      <c r="BQ298" s="2" t="n">
        <v>100</v>
      </c>
      <c r="BR298" s="2" t="n">
        <v>100</v>
      </c>
      <c r="BS298" s="2" t="n">
        <v>99.53</v>
      </c>
      <c r="BT298" s="2" t="n">
        <v>100</v>
      </c>
      <c r="BU298" s="2" t="n">
        <v>100</v>
      </c>
      <c r="BV298" s="2" t="n">
        <v>99.53</v>
      </c>
      <c r="BW298" s="2" t="n">
        <v>100</v>
      </c>
      <c r="BX298" s="2" t="n">
        <v>100</v>
      </c>
      <c r="BY298" s="2" t="n">
        <v>99.53</v>
      </c>
      <c r="BZ298" s="2" t="n">
        <v>100</v>
      </c>
      <c r="CA298" s="2" t="n">
        <v>100</v>
      </c>
      <c r="CB298" s="2" t="n">
        <v>99.53</v>
      </c>
      <c r="CC298" s="2" t="n">
        <v>100</v>
      </c>
      <c r="CD298" s="2" t="n">
        <v>100</v>
      </c>
      <c r="CE298" s="2" t="n">
        <v>99.53</v>
      </c>
      <c r="CF298" s="2" t="n">
        <v>100</v>
      </c>
      <c r="CG298" s="2" t="n">
        <v>100</v>
      </c>
      <c r="CH298" s="2" t="n">
        <v>99.53</v>
      </c>
      <c r="CI298" s="2" t="n">
        <v>100</v>
      </c>
      <c r="CJ298" s="2" t="n">
        <v>100</v>
      </c>
      <c r="CK298" s="2" t="n">
        <v>99.53</v>
      </c>
      <c r="CL298" s="2" t="n">
        <v>100</v>
      </c>
      <c r="CM298" s="2" t="n">
        <v>100</v>
      </c>
      <c r="CN298" s="2" t="n">
        <v>99.53</v>
      </c>
      <c r="CO298" s="2" t="n">
        <v>100</v>
      </c>
      <c r="CP298" s="2" t="n">
        <v>100</v>
      </c>
      <c r="CQ298" s="2" t="n">
        <v>99.53</v>
      </c>
      <c r="CR298" s="2" t="n">
        <v>100</v>
      </c>
      <c r="CS298" s="2" t="n">
        <v>100</v>
      </c>
      <c r="CT298" s="2" t="n">
        <v>99.53</v>
      </c>
      <c r="CU298" s="2" t="n">
        <v>100</v>
      </c>
      <c r="CV298" s="2" t="n">
        <v>100</v>
      </c>
      <c r="CW298" s="2" t="n">
        <v>99.53</v>
      </c>
      <c r="CX298" s="2" t="n">
        <v>100</v>
      </c>
      <c r="CY298" s="2" t="n">
        <v>100</v>
      </c>
      <c r="CZ298" s="2" t="n">
        <v>99.53</v>
      </c>
      <c r="DA298" s="2" t="n">
        <v>100</v>
      </c>
      <c r="DB298" s="2" t="n">
        <v>100</v>
      </c>
      <c r="DC298" s="2" t="n">
        <v>99.53</v>
      </c>
      <c r="DD298" s="2" t="n">
        <v>100</v>
      </c>
      <c r="DE298" s="2" t="n">
        <v>100</v>
      </c>
      <c r="DF298" s="2" t="n">
        <v>99.53</v>
      </c>
      <c r="DG298" s="2" t="n">
        <v>100</v>
      </c>
      <c r="DH298" s="2" t="n">
        <v>100</v>
      </c>
      <c r="DI298" s="2" t="n">
        <v>99.53</v>
      </c>
      <c r="DJ298" s="2" t="n">
        <v>100</v>
      </c>
      <c r="DK298" s="2" t="n">
        <v>100</v>
      </c>
      <c r="DL298" s="2" t="n">
        <v>99.53</v>
      </c>
      <c r="DM298" s="2" t="n">
        <v>100</v>
      </c>
      <c r="DN298" s="2" t="n">
        <v>100</v>
      </c>
      <c r="DO298" s="2" t="n">
        <v>99.53</v>
      </c>
      <c r="DP298" s="2" t="n">
        <v>100</v>
      </c>
      <c r="DQ298" s="2" t="n">
        <v>100</v>
      </c>
      <c r="DR298" s="2" t="n">
        <v>99.53</v>
      </c>
      <c r="DS298" s="2" t="n">
        <v>100</v>
      </c>
      <c r="DT298" s="2" t="n">
        <v>100</v>
      </c>
      <c r="DU298" s="2" t="n">
        <v>99.53</v>
      </c>
      <c r="DV298" s="2" t="n">
        <v>100</v>
      </c>
      <c r="DW298" s="2" t="n">
        <v>100</v>
      </c>
      <c r="DX298" s="2" t="n">
        <v>99.53</v>
      </c>
      <c r="DY298" s="2" t="n">
        <v>100</v>
      </c>
      <c r="DZ298" s="2" t="n">
        <v>100</v>
      </c>
      <c r="EA298" s="2" t="n">
        <v>99.53</v>
      </c>
      <c r="EB298" s="2" t="n">
        <v>100</v>
      </c>
      <c r="EC298" s="2" t="n">
        <v>100</v>
      </c>
      <c r="ED298" s="2" t="n">
        <v>99.53</v>
      </c>
      <c r="EE298" s="2" t="n">
        <v>100</v>
      </c>
      <c r="EF298" s="2" t="n">
        <v>100</v>
      </c>
      <c r="EG298" s="2" t="n">
        <v>99.53</v>
      </c>
      <c r="EH298" s="2" t="n">
        <v>100</v>
      </c>
      <c r="EI298" s="2" t="n">
        <v>100</v>
      </c>
      <c r="EJ298" s="2" t="n">
        <v>99.53</v>
      </c>
      <c r="EK298" s="2" t="n">
        <v>100</v>
      </c>
      <c r="EL298" s="2" t="n">
        <v>100</v>
      </c>
      <c r="EM298" s="2" t="n">
        <v>99.53</v>
      </c>
      <c r="EN298" s="2" t="n">
        <v>100</v>
      </c>
      <c r="EO298" s="2" t="n">
        <v>100</v>
      </c>
      <c r="EP298" s="2" t="n">
        <v>99.53</v>
      </c>
      <c r="EQ298" s="2" t="n">
        <v>100</v>
      </c>
      <c r="ER298" s="2" t="n">
        <v>100</v>
      </c>
      <c r="ES298" s="2" t="n">
        <v>99.53</v>
      </c>
    </row>
    <row r="299">
      <c r="A299" s="2" t="n">
        <v>3</v>
      </c>
      <c r="B299" s="2" t="inlineStr">
        <is>
          <t>15.03.02</t>
        </is>
      </c>
      <c r="C299" s="2" t="inlineStr">
        <is>
          <t>Perfuração com Ø 100cm -com lama</t>
        </is>
      </c>
      <c r="D299" s="2" t="inlineStr">
        <is>
          <t>13/10/2025</t>
        </is>
      </c>
      <c r="E299" s="2" t="inlineStr">
        <is>
          <t>03/03/2026</t>
        </is>
      </c>
      <c r="F299" s="2" t="n">
        <v>38860.8</v>
      </c>
      <c r="G299" s="2" t="n">
        <v>0</v>
      </c>
      <c r="H299" s="2" t="n">
        <v>38860.8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17.44</v>
      </c>
      <c r="V299" s="2" t="n">
        <v>17.44</v>
      </c>
      <c r="W299" s="2" t="n">
        <v>21.06</v>
      </c>
      <c r="X299" s="2" t="n">
        <v>39.53</v>
      </c>
      <c r="Y299" s="2" t="n">
        <v>39.53</v>
      </c>
      <c r="Z299" s="2" t="n">
        <v>46.99</v>
      </c>
      <c r="AA299" s="2" t="n">
        <v>55.81</v>
      </c>
      <c r="AB299" s="2" t="n">
        <v>55.81</v>
      </c>
      <c r="AC299" s="2" t="n">
        <v>62.54</v>
      </c>
      <c r="AD299" s="2" t="n">
        <v>79.06999999999999</v>
      </c>
      <c r="AE299" s="2" t="n">
        <v>79.06999999999999</v>
      </c>
      <c r="AF299" s="2" t="n">
        <v>80.98</v>
      </c>
      <c r="AG299" s="2" t="n">
        <v>100</v>
      </c>
      <c r="AH299" s="2" t="n">
        <v>99.53</v>
      </c>
      <c r="AI299" s="2" t="n">
        <v>94.31</v>
      </c>
      <c r="AJ299" s="2" t="n">
        <v>100</v>
      </c>
      <c r="AK299" s="2" t="n">
        <v>100</v>
      </c>
      <c r="AL299" s="2" t="n">
        <v>99.53</v>
      </c>
      <c r="AM299" s="2" t="n">
        <v>100</v>
      </c>
      <c r="AN299" s="2" t="n">
        <v>100</v>
      </c>
      <c r="AO299" s="2" t="n">
        <v>99.53</v>
      </c>
      <c r="AP299" s="2" t="n">
        <v>100</v>
      </c>
      <c r="AQ299" s="2" t="n">
        <v>100</v>
      </c>
      <c r="AR299" s="2" t="n">
        <v>99.53</v>
      </c>
      <c r="AS299" s="2" t="n">
        <v>100</v>
      </c>
      <c r="AT299" s="2" t="n">
        <v>100</v>
      </c>
      <c r="AU299" s="2" t="n">
        <v>99.53</v>
      </c>
      <c r="AV299" s="2" t="n">
        <v>100</v>
      </c>
      <c r="AW299" s="2" t="n">
        <v>100</v>
      </c>
      <c r="AX299" s="2" t="n">
        <v>99.53</v>
      </c>
      <c r="AY299" s="2" t="n">
        <v>100</v>
      </c>
      <c r="AZ299" s="2" t="n">
        <v>100</v>
      </c>
      <c r="BA299" s="2" t="n">
        <v>99.53</v>
      </c>
      <c r="BB299" s="2" t="n">
        <v>100</v>
      </c>
      <c r="BC299" s="2" t="n">
        <v>100</v>
      </c>
      <c r="BD299" s="2" t="n">
        <v>99.53</v>
      </c>
      <c r="BE299" s="2" t="n">
        <v>100</v>
      </c>
      <c r="BF299" s="2" t="n">
        <v>100</v>
      </c>
      <c r="BG299" s="2" t="n">
        <v>99.53</v>
      </c>
      <c r="BH299" s="2" t="n">
        <v>100</v>
      </c>
      <c r="BI299" s="2" t="n">
        <v>100</v>
      </c>
      <c r="BJ299" s="2" t="n">
        <v>99.53</v>
      </c>
      <c r="BK299" s="2" t="n">
        <v>100</v>
      </c>
      <c r="BL299" s="2" t="n">
        <v>100</v>
      </c>
      <c r="BM299" s="2" t="n">
        <v>99.53</v>
      </c>
      <c r="BN299" s="2" t="n">
        <v>100</v>
      </c>
      <c r="BO299" s="2" t="n">
        <v>100</v>
      </c>
      <c r="BP299" s="2" t="n">
        <v>99.53</v>
      </c>
      <c r="BQ299" s="2" t="n">
        <v>100</v>
      </c>
      <c r="BR299" s="2" t="n">
        <v>100</v>
      </c>
      <c r="BS299" s="2" t="n">
        <v>99.53</v>
      </c>
      <c r="BT299" s="2" t="n">
        <v>100</v>
      </c>
      <c r="BU299" s="2" t="n">
        <v>100</v>
      </c>
      <c r="BV299" s="2" t="n">
        <v>99.53</v>
      </c>
      <c r="BW299" s="2" t="n">
        <v>100</v>
      </c>
      <c r="BX299" s="2" t="n">
        <v>100</v>
      </c>
      <c r="BY299" s="2" t="n">
        <v>99.53</v>
      </c>
      <c r="BZ299" s="2" t="n">
        <v>100</v>
      </c>
      <c r="CA299" s="2" t="n">
        <v>100</v>
      </c>
      <c r="CB299" s="2" t="n">
        <v>99.53</v>
      </c>
      <c r="CC299" s="2" t="n">
        <v>100</v>
      </c>
      <c r="CD299" s="2" t="n">
        <v>100</v>
      </c>
      <c r="CE299" s="2" t="n">
        <v>99.53</v>
      </c>
      <c r="CF299" s="2" t="n">
        <v>100</v>
      </c>
      <c r="CG299" s="2" t="n">
        <v>100</v>
      </c>
      <c r="CH299" s="2" t="n">
        <v>99.53</v>
      </c>
      <c r="CI299" s="2" t="n">
        <v>100</v>
      </c>
      <c r="CJ299" s="2" t="n">
        <v>100</v>
      </c>
      <c r="CK299" s="2" t="n">
        <v>99.53</v>
      </c>
      <c r="CL299" s="2" t="n">
        <v>100</v>
      </c>
      <c r="CM299" s="2" t="n">
        <v>100</v>
      </c>
      <c r="CN299" s="2" t="n">
        <v>99.53</v>
      </c>
      <c r="CO299" s="2" t="n">
        <v>100</v>
      </c>
      <c r="CP299" s="2" t="n">
        <v>100</v>
      </c>
      <c r="CQ299" s="2" t="n">
        <v>99.53</v>
      </c>
      <c r="CR299" s="2" t="n">
        <v>100</v>
      </c>
      <c r="CS299" s="2" t="n">
        <v>100</v>
      </c>
      <c r="CT299" s="2" t="n">
        <v>99.53</v>
      </c>
      <c r="CU299" s="2" t="n">
        <v>100</v>
      </c>
      <c r="CV299" s="2" t="n">
        <v>100</v>
      </c>
      <c r="CW299" s="2" t="n">
        <v>99.53</v>
      </c>
      <c r="CX299" s="2" t="n">
        <v>100</v>
      </c>
      <c r="CY299" s="2" t="n">
        <v>100</v>
      </c>
      <c r="CZ299" s="2" t="n">
        <v>99.53</v>
      </c>
      <c r="DA299" s="2" t="n">
        <v>100</v>
      </c>
      <c r="DB299" s="2" t="n">
        <v>100</v>
      </c>
      <c r="DC299" s="2" t="n">
        <v>99.53</v>
      </c>
      <c r="DD299" s="2" t="n">
        <v>100</v>
      </c>
      <c r="DE299" s="2" t="n">
        <v>100</v>
      </c>
      <c r="DF299" s="2" t="n">
        <v>99.53</v>
      </c>
      <c r="DG299" s="2" t="n">
        <v>100</v>
      </c>
      <c r="DH299" s="2" t="n">
        <v>100</v>
      </c>
      <c r="DI299" s="2" t="n">
        <v>99.53</v>
      </c>
      <c r="DJ299" s="2" t="n">
        <v>100</v>
      </c>
      <c r="DK299" s="2" t="n">
        <v>100</v>
      </c>
      <c r="DL299" s="2" t="n">
        <v>99.53</v>
      </c>
      <c r="DM299" s="2" t="n">
        <v>100</v>
      </c>
      <c r="DN299" s="2" t="n">
        <v>100</v>
      </c>
      <c r="DO299" s="2" t="n">
        <v>99.53</v>
      </c>
      <c r="DP299" s="2" t="n">
        <v>100</v>
      </c>
      <c r="DQ299" s="2" t="n">
        <v>100</v>
      </c>
      <c r="DR299" s="2" t="n">
        <v>99.53</v>
      </c>
      <c r="DS299" s="2" t="n">
        <v>100</v>
      </c>
      <c r="DT299" s="2" t="n">
        <v>100</v>
      </c>
      <c r="DU299" s="2" t="n">
        <v>99.53</v>
      </c>
      <c r="DV299" s="2" t="n">
        <v>100</v>
      </c>
      <c r="DW299" s="2" t="n">
        <v>100</v>
      </c>
      <c r="DX299" s="2" t="n">
        <v>99.53</v>
      </c>
      <c r="DY299" s="2" t="n">
        <v>100</v>
      </c>
      <c r="DZ299" s="2" t="n">
        <v>100</v>
      </c>
      <c r="EA299" s="2" t="n">
        <v>99.53</v>
      </c>
      <c r="EB299" s="2" t="n">
        <v>100</v>
      </c>
      <c r="EC299" s="2" t="n">
        <v>100</v>
      </c>
      <c r="ED299" s="2" t="n">
        <v>99.53</v>
      </c>
      <c r="EE299" s="2" t="n">
        <v>100</v>
      </c>
      <c r="EF299" s="2" t="n">
        <v>100</v>
      </c>
      <c r="EG299" s="2" t="n">
        <v>99.53</v>
      </c>
      <c r="EH299" s="2" t="n">
        <v>100</v>
      </c>
      <c r="EI299" s="2" t="n">
        <v>100</v>
      </c>
      <c r="EJ299" s="2" t="n">
        <v>99.53</v>
      </c>
      <c r="EK299" s="2" t="n">
        <v>100</v>
      </c>
      <c r="EL299" s="2" t="n">
        <v>100</v>
      </c>
      <c r="EM299" s="2" t="n">
        <v>99.53</v>
      </c>
      <c r="EN299" s="2" t="n">
        <v>100</v>
      </c>
      <c r="EO299" s="2" t="n">
        <v>100</v>
      </c>
      <c r="EP299" s="2" t="n">
        <v>99.53</v>
      </c>
      <c r="EQ299" s="2" t="n">
        <v>100</v>
      </c>
      <c r="ER299" s="2" t="n">
        <v>100</v>
      </c>
      <c r="ES299" s="2" t="n">
        <v>99.53</v>
      </c>
    </row>
    <row r="300">
      <c r="A300" s="2" t="n">
        <v>3</v>
      </c>
      <c r="B300" s="2" t="inlineStr">
        <is>
          <t>15.03.03</t>
        </is>
      </c>
      <c r="C300" s="2" t="inlineStr">
        <is>
          <t>Perfuração com Ø 110cm - com lama</t>
        </is>
      </c>
      <c r="D300" s="2" t="inlineStr">
        <is>
          <t>13/10/2025</t>
        </is>
      </c>
      <c r="E300" s="2" t="inlineStr">
        <is>
          <t>03/03/2026</t>
        </is>
      </c>
      <c r="F300" s="2" t="n">
        <v>75348</v>
      </c>
      <c r="G300" s="2" t="n">
        <v>0</v>
      </c>
      <c r="H300" s="2" t="n">
        <v>75348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17.44</v>
      </c>
      <c r="V300" s="2" t="n">
        <v>17.44</v>
      </c>
      <c r="W300" s="2" t="n">
        <v>21.06</v>
      </c>
      <c r="X300" s="2" t="n">
        <v>39.53</v>
      </c>
      <c r="Y300" s="2" t="n">
        <v>39.53</v>
      </c>
      <c r="Z300" s="2" t="n">
        <v>46.99</v>
      </c>
      <c r="AA300" s="2" t="n">
        <v>55.81</v>
      </c>
      <c r="AB300" s="2" t="n">
        <v>55.81</v>
      </c>
      <c r="AC300" s="2" t="n">
        <v>62.54</v>
      </c>
      <c r="AD300" s="2" t="n">
        <v>79.06999999999999</v>
      </c>
      <c r="AE300" s="2" t="n">
        <v>79.06999999999999</v>
      </c>
      <c r="AF300" s="2" t="n">
        <v>80.98</v>
      </c>
      <c r="AG300" s="2" t="n">
        <v>100</v>
      </c>
      <c r="AH300" s="2" t="n">
        <v>99.53</v>
      </c>
      <c r="AI300" s="2" t="n">
        <v>94.31</v>
      </c>
      <c r="AJ300" s="2" t="n">
        <v>100</v>
      </c>
      <c r="AK300" s="2" t="n">
        <v>100</v>
      </c>
      <c r="AL300" s="2" t="n">
        <v>99.53</v>
      </c>
      <c r="AM300" s="2" t="n">
        <v>100</v>
      </c>
      <c r="AN300" s="2" t="n">
        <v>100</v>
      </c>
      <c r="AO300" s="2" t="n">
        <v>99.53</v>
      </c>
      <c r="AP300" s="2" t="n">
        <v>100</v>
      </c>
      <c r="AQ300" s="2" t="n">
        <v>100</v>
      </c>
      <c r="AR300" s="2" t="n">
        <v>99.53</v>
      </c>
      <c r="AS300" s="2" t="n">
        <v>100</v>
      </c>
      <c r="AT300" s="2" t="n">
        <v>100</v>
      </c>
      <c r="AU300" s="2" t="n">
        <v>99.53</v>
      </c>
      <c r="AV300" s="2" t="n">
        <v>100</v>
      </c>
      <c r="AW300" s="2" t="n">
        <v>100</v>
      </c>
      <c r="AX300" s="2" t="n">
        <v>99.53</v>
      </c>
      <c r="AY300" s="2" t="n">
        <v>100</v>
      </c>
      <c r="AZ300" s="2" t="n">
        <v>100</v>
      </c>
      <c r="BA300" s="2" t="n">
        <v>99.53</v>
      </c>
      <c r="BB300" s="2" t="n">
        <v>100</v>
      </c>
      <c r="BC300" s="2" t="n">
        <v>100</v>
      </c>
      <c r="BD300" s="2" t="n">
        <v>99.53</v>
      </c>
      <c r="BE300" s="2" t="n">
        <v>100</v>
      </c>
      <c r="BF300" s="2" t="n">
        <v>100</v>
      </c>
      <c r="BG300" s="2" t="n">
        <v>99.53</v>
      </c>
      <c r="BH300" s="2" t="n">
        <v>100</v>
      </c>
      <c r="BI300" s="2" t="n">
        <v>100</v>
      </c>
      <c r="BJ300" s="2" t="n">
        <v>99.53</v>
      </c>
      <c r="BK300" s="2" t="n">
        <v>100</v>
      </c>
      <c r="BL300" s="2" t="n">
        <v>100</v>
      </c>
      <c r="BM300" s="2" t="n">
        <v>99.53</v>
      </c>
      <c r="BN300" s="2" t="n">
        <v>100</v>
      </c>
      <c r="BO300" s="2" t="n">
        <v>100</v>
      </c>
      <c r="BP300" s="2" t="n">
        <v>99.53</v>
      </c>
      <c r="BQ300" s="2" t="n">
        <v>100</v>
      </c>
      <c r="BR300" s="2" t="n">
        <v>100</v>
      </c>
      <c r="BS300" s="2" t="n">
        <v>99.53</v>
      </c>
      <c r="BT300" s="2" t="n">
        <v>100</v>
      </c>
      <c r="BU300" s="2" t="n">
        <v>100</v>
      </c>
      <c r="BV300" s="2" t="n">
        <v>99.53</v>
      </c>
      <c r="BW300" s="2" t="n">
        <v>100</v>
      </c>
      <c r="BX300" s="2" t="n">
        <v>100</v>
      </c>
      <c r="BY300" s="2" t="n">
        <v>99.53</v>
      </c>
      <c r="BZ300" s="2" t="n">
        <v>100</v>
      </c>
      <c r="CA300" s="2" t="n">
        <v>100</v>
      </c>
      <c r="CB300" s="2" t="n">
        <v>99.53</v>
      </c>
      <c r="CC300" s="2" t="n">
        <v>100</v>
      </c>
      <c r="CD300" s="2" t="n">
        <v>100</v>
      </c>
      <c r="CE300" s="2" t="n">
        <v>99.53</v>
      </c>
      <c r="CF300" s="2" t="n">
        <v>100</v>
      </c>
      <c r="CG300" s="2" t="n">
        <v>100</v>
      </c>
      <c r="CH300" s="2" t="n">
        <v>99.53</v>
      </c>
      <c r="CI300" s="2" t="n">
        <v>100</v>
      </c>
      <c r="CJ300" s="2" t="n">
        <v>100</v>
      </c>
      <c r="CK300" s="2" t="n">
        <v>99.53</v>
      </c>
      <c r="CL300" s="2" t="n">
        <v>100</v>
      </c>
      <c r="CM300" s="2" t="n">
        <v>100</v>
      </c>
      <c r="CN300" s="2" t="n">
        <v>99.53</v>
      </c>
      <c r="CO300" s="2" t="n">
        <v>100</v>
      </c>
      <c r="CP300" s="2" t="n">
        <v>100</v>
      </c>
      <c r="CQ300" s="2" t="n">
        <v>99.53</v>
      </c>
      <c r="CR300" s="2" t="n">
        <v>100</v>
      </c>
      <c r="CS300" s="2" t="n">
        <v>100</v>
      </c>
      <c r="CT300" s="2" t="n">
        <v>99.53</v>
      </c>
      <c r="CU300" s="2" t="n">
        <v>100</v>
      </c>
      <c r="CV300" s="2" t="n">
        <v>100</v>
      </c>
      <c r="CW300" s="2" t="n">
        <v>99.53</v>
      </c>
      <c r="CX300" s="2" t="n">
        <v>100</v>
      </c>
      <c r="CY300" s="2" t="n">
        <v>100</v>
      </c>
      <c r="CZ300" s="2" t="n">
        <v>99.53</v>
      </c>
      <c r="DA300" s="2" t="n">
        <v>100</v>
      </c>
      <c r="DB300" s="2" t="n">
        <v>100</v>
      </c>
      <c r="DC300" s="2" t="n">
        <v>99.53</v>
      </c>
      <c r="DD300" s="2" t="n">
        <v>100</v>
      </c>
      <c r="DE300" s="2" t="n">
        <v>100</v>
      </c>
      <c r="DF300" s="2" t="n">
        <v>99.53</v>
      </c>
      <c r="DG300" s="2" t="n">
        <v>100</v>
      </c>
      <c r="DH300" s="2" t="n">
        <v>100</v>
      </c>
      <c r="DI300" s="2" t="n">
        <v>99.53</v>
      </c>
      <c r="DJ300" s="2" t="n">
        <v>100</v>
      </c>
      <c r="DK300" s="2" t="n">
        <v>100</v>
      </c>
      <c r="DL300" s="2" t="n">
        <v>99.53</v>
      </c>
      <c r="DM300" s="2" t="n">
        <v>100</v>
      </c>
      <c r="DN300" s="2" t="n">
        <v>100</v>
      </c>
      <c r="DO300" s="2" t="n">
        <v>99.53</v>
      </c>
      <c r="DP300" s="2" t="n">
        <v>100</v>
      </c>
      <c r="DQ300" s="2" t="n">
        <v>100</v>
      </c>
      <c r="DR300" s="2" t="n">
        <v>99.53</v>
      </c>
      <c r="DS300" s="2" t="n">
        <v>100</v>
      </c>
      <c r="DT300" s="2" t="n">
        <v>100</v>
      </c>
      <c r="DU300" s="2" t="n">
        <v>99.53</v>
      </c>
      <c r="DV300" s="2" t="n">
        <v>100</v>
      </c>
      <c r="DW300" s="2" t="n">
        <v>100</v>
      </c>
      <c r="DX300" s="2" t="n">
        <v>99.53</v>
      </c>
      <c r="DY300" s="2" t="n">
        <v>100</v>
      </c>
      <c r="DZ300" s="2" t="n">
        <v>100</v>
      </c>
      <c r="EA300" s="2" t="n">
        <v>99.53</v>
      </c>
      <c r="EB300" s="2" t="n">
        <v>100</v>
      </c>
      <c r="EC300" s="2" t="n">
        <v>100</v>
      </c>
      <c r="ED300" s="2" t="n">
        <v>99.53</v>
      </c>
      <c r="EE300" s="2" t="n">
        <v>100</v>
      </c>
      <c r="EF300" s="2" t="n">
        <v>100</v>
      </c>
      <c r="EG300" s="2" t="n">
        <v>99.53</v>
      </c>
      <c r="EH300" s="2" t="n">
        <v>100</v>
      </c>
      <c r="EI300" s="2" t="n">
        <v>100</v>
      </c>
      <c r="EJ300" s="2" t="n">
        <v>99.53</v>
      </c>
      <c r="EK300" s="2" t="n">
        <v>100</v>
      </c>
      <c r="EL300" s="2" t="n">
        <v>100</v>
      </c>
      <c r="EM300" s="2" t="n">
        <v>99.53</v>
      </c>
      <c r="EN300" s="2" t="n">
        <v>100</v>
      </c>
      <c r="EO300" s="2" t="n">
        <v>100</v>
      </c>
      <c r="EP300" s="2" t="n">
        <v>99.53</v>
      </c>
      <c r="EQ300" s="2" t="n">
        <v>100</v>
      </c>
      <c r="ER300" s="2" t="n">
        <v>100</v>
      </c>
      <c r="ES300" s="2" t="n">
        <v>99.53</v>
      </c>
    </row>
    <row r="301">
      <c r="A301" s="2" t="n">
        <v>3</v>
      </c>
      <c r="B301" s="2" t="inlineStr">
        <is>
          <t>15.03.04</t>
        </is>
      </c>
      <c r="C301" s="2" t="inlineStr">
        <is>
          <t>Perfuração com Ø 120cm - com lama</t>
        </is>
      </c>
      <c r="D301" s="2" t="inlineStr">
        <is>
          <t>13/10/2025</t>
        </is>
      </c>
      <c r="E301" s="2" t="inlineStr">
        <is>
          <t>03/03/2026</t>
        </is>
      </c>
      <c r="F301" s="2" t="n">
        <v>10488</v>
      </c>
      <c r="G301" s="2" t="n">
        <v>0</v>
      </c>
      <c r="H301" s="2" t="n">
        <v>10488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17.44</v>
      </c>
      <c r="V301" s="2" t="n">
        <v>17.44</v>
      </c>
      <c r="W301" s="2" t="n">
        <v>21.06</v>
      </c>
      <c r="X301" s="2" t="n">
        <v>39.53</v>
      </c>
      <c r="Y301" s="2" t="n">
        <v>39.53</v>
      </c>
      <c r="Z301" s="2" t="n">
        <v>46.99</v>
      </c>
      <c r="AA301" s="2" t="n">
        <v>55.81</v>
      </c>
      <c r="AB301" s="2" t="n">
        <v>55.81</v>
      </c>
      <c r="AC301" s="2" t="n">
        <v>62.54</v>
      </c>
      <c r="AD301" s="2" t="n">
        <v>79.06999999999999</v>
      </c>
      <c r="AE301" s="2" t="n">
        <v>79.06999999999999</v>
      </c>
      <c r="AF301" s="2" t="n">
        <v>80.98</v>
      </c>
      <c r="AG301" s="2" t="n">
        <v>100</v>
      </c>
      <c r="AH301" s="2" t="n">
        <v>99.53</v>
      </c>
      <c r="AI301" s="2" t="n">
        <v>94.31</v>
      </c>
      <c r="AJ301" s="2" t="n">
        <v>100</v>
      </c>
      <c r="AK301" s="2" t="n">
        <v>100</v>
      </c>
      <c r="AL301" s="2" t="n">
        <v>99.53</v>
      </c>
      <c r="AM301" s="2" t="n">
        <v>100</v>
      </c>
      <c r="AN301" s="2" t="n">
        <v>100</v>
      </c>
      <c r="AO301" s="2" t="n">
        <v>99.53</v>
      </c>
      <c r="AP301" s="2" t="n">
        <v>100</v>
      </c>
      <c r="AQ301" s="2" t="n">
        <v>100</v>
      </c>
      <c r="AR301" s="2" t="n">
        <v>99.53</v>
      </c>
      <c r="AS301" s="2" t="n">
        <v>100</v>
      </c>
      <c r="AT301" s="2" t="n">
        <v>100</v>
      </c>
      <c r="AU301" s="2" t="n">
        <v>99.53</v>
      </c>
      <c r="AV301" s="2" t="n">
        <v>100</v>
      </c>
      <c r="AW301" s="2" t="n">
        <v>100</v>
      </c>
      <c r="AX301" s="2" t="n">
        <v>99.53</v>
      </c>
      <c r="AY301" s="2" t="n">
        <v>100</v>
      </c>
      <c r="AZ301" s="2" t="n">
        <v>100</v>
      </c>
      <c r="BA301" s="2" t="n">
        <v>99.53</v>
      </c>
      <c r="BB301" s="2" t="n">
        <v>100</v>
      </c>
      <c r="BC301" s="2" t="n">
        <v>100</v>
      </c>
      <c r="BD301" s="2" t="n">
        <v>99.53</v>
      </c>
      <c r="BE301" s="2" t="n">
        <v>100</v>
      </c>
      <c r="BF301" s="2" t="n">
        <v>100</v>
      </c>
      <c r="BG301" s="2" t="n">
        <v>99.53</v>
      </c>
      <c r="BH301" s="2" t="n">
        <v>100</v>
      </c>
      <c r="BI301" s="2" t="n">
        <v>100</v>
      </c>
      <c r="BJ301" s="2" t="n">
        <v>99.53</v>
      </c>
      <c r="BK301" s="2" t="n">
        <v>100</v>
      </c>
      <c r="BL301" s="2" t="n">
        <v>100</v>
      </c>
      <c r="BM301" s="2" t="n">
        <v>99.53</v>
      </c>
      <c r="BN301" s="2" t="n">
        <v>100</v>
      </c>
      <c r="BO301" s="2" t="n">
        <v>100</v>
      </c>
      <c r="BP301" s="2" t="n">
        <v>99.53</v>
      </c>
      <c r="BQ301" s="2" t="n">
        <v>100</v>
      </c>
      <c r="BR301" s="2" t="n">
        <v>100</v>
      </c>
      <c r="BS301" s="2" t="n">
        <v>99.53</v>
      </c>
      <c r="BT301" s="2" t="n">
        <v>100</v>
      </c>
      <c r="BU301" s="2" t="n">
        <v>100</v>
      </c>
      <c r="BV301" s="2" t="n">
        <v>99.53</v>
      </c>
      <c r="BW301" s="2" t="n">
        <v>100</v>
      </c>
      <c r="BX301" s="2" t="n">
        <v>100</v>
      </c>
      <c r="BY301" s="2" t="n">
        <v>99.53</v>
      </c>
      <c r="BZ301" s="2" t="n">
        <v>100</v>
      </c>
      <c r="CA301" s="2" t="n">
        <v>100</v>
      </c>
      <c r="CB301" s="2" t="n">
        <v>99.53</v>
      </c>
      <c r="CC301" s="2" t="n">
        <v>100</v>
      </c>
      <c r="CD301" s="2" t="n">
        <v>100</v>
      </c>
      <c r="CE301" s="2" t="n">
        <v>99.53</v>
      </c>
      <c r="CF301" s="2" t="n">
        <v>100</v>
      </c>
      <c r="CG301" s="2" t="n">
        <v>100</v>
      </c>
      <c r="CH301" s="2" t="n">
        <v>99.53</v>
      </c>
      <c r="CI301" s="2" t="n">
        <v>100</v>
      </c>
      <c r="CJ301" s="2" t="n">
        <v>100</v>
      </c>
      <c r="CK301" s="2" t="n">
        <v>99.53</v>
      </c>
      <c r="CL301" s="2" t="n">
        <v>100</v>
      </c>
      <c r="CM301" s="2" t="n">
        <v>100</v>
      </c>
      <c r="CN301" s="2" t="n">
        <v>99.53</v>
      </c>
      <c r="CO301" s="2" t="n">
        <v>100</v>
      </c>
      <c r="CP301" s="2" t="n">
        <v>100</v>
      </c>
      <c r="CQ301" s="2" t="n">
        <v>99.53</v>
      </c>
      <c r="CR301" s="2" t="n">
        <v>100</v>
      </c>
      <c r="CS301" s="2" t="n">
        <v>100</v>
      </c>
      <c r="CT301" s="2" t="n">
        <v>99.53</v>
      </c>
      <c r="CU301" s="2" t="n">
        <v>100</v>
      </c>
      <c r="CV301" s="2" t="n">
        <v>100</v>
      </c>
      <c r="CW301" s="2" t="n">
        <v>99.53</v>
      </c>
      <c r="CX301" s="2" t="n">
        <v>100</v>
      </c>
      <c r="CY301" s="2" t="n">
        <v>100</v>
      </c>
      <c r="CZ301" s="2" t="n">
        <v>99.53</v>
      </c>
      <c r="DA301" s="2" t="n">
        <v>100</v>
      </c>
      <c r="DB301" s="2" t="n">
        <v>100</v>
      </c>
      <c r="DC301" s="2" t="n">
        <v>99.53</v>
      </c>
      <c r="DD301" s="2" t="n">
        <v>100</v>
      </c>
      <c r="DE301" s="2" t="n">
        <v>100</v>
      </c>
      <c r="DF301" s="2" t="n">
        <v>99.53</v>
      </c>
      <c r="DG301" s="2" t="n">
        <v>100</v>
      </c>
      <c r="DH301" s="2" t="n">
        <v>100</v>
      </c>
      <c r="DI301" s="2" t="n">
        <v>99.53</v>
      </c>
      <c r="DJ301" s="2" t="n">
        <v>100</v>
      </c>
      <c r="DK301" s="2" t="n">
        <v>100</v>
      </c>
      <c r="DL301" s="2" t="n">
        <v>99.53</v>
      </c>
      <c r="DM301" s="2" t="n">
        <v>100</v>
      </c>
      <c r="DN301" s="2" t="n">
        <v>100</v>
      </c>
      <c r="DO301" s="2" t="n">
        <v>99.53</v>
      </c>
      <c r="DP301" s="2" t="n">
        <v>100</v>
      </c>
      <c r="DQ301" s="2" t="n">
        <v>100</v>
      </c>
      <c r="DR301" s="2" t="n">
        <v>99.53</v>
      </c>
      <c r="DS301" s="2" t="n">
        <v>100</v>
      </c>
      <c r="DT301" s="2" t="n">
        <v>100</v>
      </c>
      <c r="DU301" s="2" t="n">
        <v>99.53</v>
      </c>
      <c r="DV301" s="2" t="n">
        <v>100</v>
      </c>
      <c r="DW301" s="2" t="n">
        <v>100</v>
      </c>
      <c r="DX301" s="2" t="n">
        <v>99.53</v>
      </c>
      <c r="DY301" s="2" t="n">
        <v>100</v>
      </c>
      <c r="DZ301" s="2" t="n">
        <v>100</v>
      </c>
      <c r="EA301" s="2" t="n">
        <v>99.53</v>
      </c>
      <c r="EB301" s="2" t="n">
        <v>100</v>
      </c>
      <c r="EC301" s="2" t="n">
        <v>100</v>
      </c>
      <c r="ED301" s="2" t="n">
        <v>99.53</v>
      </c>
      <c r="EE301" s="2" t="n">
        <v>100</v>
      </c>
      <c r="EF301" s="2" t="n">
        <v>100</v>
      </c>
      <c r="EG301" s="2" t="n">
        <v>99.53</v>
      </c>
      <c r="EH301" s="2" t="n">
        <v>100</v>
      </c>
      <c r="EI301" s="2" t="n">
        <v>100</v>
      </c>
      <c r="EJ301" s="2" t="n">
        <v>99.53</v>
      </c>
      <c r="EK301" s="2" t="n">
        <v>100</v>
      </c>
      <c r="EL301" s="2" t="n">
        <v>100</v>
      </c>
      <c r="EM301" s="2" t="n">
        <v>99.53</v>
      </c>
      <c r="EN301" s="2" t="n">
        <v>100</v>
      </c>
      <c r="EO301" s="2" t="n">
        <v>100</v>
      </c>
      <c r="EP301" s="2" t="n">
        <v>99.53</v>
      </c>
      <c r="EQ301" s="2" t="n">
        <v>100</v>
      </c>
      <c r="ER301" s="2" t="n">
        <v>100</v>
      </c>
      <c r="ES301" s="2" t="n">
        <v>99.53</v>
      </c>
    </row>
    <row r="302">
      <c r="A302" s="2" t="n">
        <v>3</v>
      </c>
      <c r="B302" s="2" t="inlineStr">
        <is>
          <t>15.03.05</t>
        </is>
      </c>
      <c r="C302" s="2" t="inlineStr">
        <is>
          <t>Perfuração com Ø 130cm - com lama</t>
        </is>
      </c>
      <c r="D302" s="2" t="inlineStr">
        <is>
          <t>13/10/2025</t>
        </is>
      </c>
      <c r="E302" s="2" t="inlineStr">
        <is>
          <t>03/03/2026</t>
        </is>
      </c>
      <c r="F302" s="2" t="n">
        <v>91963.2</v>
      </c>
      <c r="G302" s="2" t="n">
        <v>0</v>
      </c>
      <c r="H302" s="2" t="n">
        <v>91963.2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17.44</v>
      </c>
      <c r="V302" s="2" t="n">
        <v>17.44</v>
      </c>
      <c r="W302" s="2" t="n">
        <v>21.06</v>
      </c>
      <c r="X302" s="2" t="n">
        <v>39.53</v>
      </c>
      <c r="Y302" s="2" t="n">
        <v>39.53</v>
      </c>
      <c r="Z302" s="2" t="n">
        <v>46.99</v>
      </c>
      <c r="AA302" s="2" t="n">
        <v>55.81</v>
      </c>
      <c r="AB302" s="2" t="n">
        <v>55.81</v>
      </c>
      <c r="AC302" s="2" t="n">
        <v>62.54</v>
      </c>
      <c r="AD302" s="2" t="n">
        <v>79.06999999999999</v>
      </c>
      <c r="AE302" s="2" t="n">
        <v>79.06999999999999</v>
      </c>
      <c r="AF302" s="2" t="n">
        <v>80.98</v>
      </c>
      <c r="AG302" s="2" t="n">
        <v>100</v>
      </c>
      <c r="AH302" s="2" t="n">
        <v>99.53</v>
      </c>
      <c r="AI302" s="2" t="n">
        <v>94.31</v>
      </c>
      <c r="AJ302" s="2" t="n">
        <v>100</v>
      </c>
      <c r="AK302" s="2" t="n">
        <v>100</v>
      </c>
      <c r="AL302" s="2" t="n">
        <v>99.53</v>
      </c>
      <c r="AM302" s="2" t="n">
        <v>100</v>
      </c>
      <c r="AN302" s="2" t="n">
        <v>100</v>
      </c>
      <c r="AO302" s="2" t="n">
        <v>99.53</v>
      </c>
      <c r="AP302" s="2" t="n">
        <v>100</v>
      </c>
      <c r="AQ302" s="2" t="n">
        <v>100</v>
      </c>
      <c r="AR302" s="2" t="n">
        <v>99.53</v>
      </c>
      <c r="AS302" s="2" t="n">
        <v>100</v>
      </c>
      <c r="AT302" s="2" t="n">
        <v>100</v>
      </c>
      <c r="AU302" s="2" t="n">
        <v>99.53</v>
      </c>
      <c r="AV302" s="2" t="n">
        <v>100</v>
      </c>
      <c r="AW302" s="2" t="n">
        <v>100</v>
      </c>
      <c r="AX302" s="2" t="n">
        <v>99.53</v>
      </c>
      <c r="AY302" s="2" t="n">
        <v>100</v>
      </c>
      <c r="AZ302" s="2" t="n">
        <v>100</v>
      </c>
      <c r="BA302" s="2" t="n">
        <v>99.53</v>
      </c>
      <c r="BB302" s="2" t="n">
        <v>100</v>
      </c>
      <c r="BC302" s="2" t="n">
        <v>100</v>
      </c>
      <c r="BD302" s="2" t="n">
        <v>99.53</v>
      </c>
      <c r="BE302" s="2" t="n">
        <v>100</v>
      </c>
      <c r="BF302" s="2" t="n">
        <v>100</v>
      </c>
      <c r="BG302" s="2" t="n">
        <v>99.53</v>
      </c>
      <c r="BH302" s="2" t="n">
        <v>100</v>
      </c>
      <c r="BI302" s="2" t="n">
        <v>100</v>
      </c>
      <c r="BJ302" s="2" t="n">
        <v>99.53</v>
      </c>
      <c r="BK302" s="2" t="n">
        <v>100</v>
      </c>
      <c r="BL302" s="2" t="n">
        <v>100</v>
      </c>
      <c r="BM302" s="2" t="n">
        <v>99.53</v>
      </c>
      <c r="BN302" s="2" t="n">
        <v>100</v>
      </c>
      <c r="BO302" s="2" t="n">
        <v>100</v>
      </c>
      <c r="BP302" s="2" t="n">
        <v>99.53</v>
      </c>
      <c r="BQ302" s="2" t="n">
        <v>100</v>
      </c>
      <c r="BR302" s="2" t="n">
        <v>100</v>
      </c>
      <c r="BS302" s="2" t="n">
        <v>99.53</v>
      </c>
      <c r="BT302" s="2" t="n">
        <v>100</v>
      </c>
      <c r="BU302" s="2" t="n">
        <v>100</v>
      </c>
      <c r="BV302" s="2" t="n">
        <v>99.53</v>
      </c>
      <c r="BW302" s="2" t="n">
        <v>100</v>
      </c>
      <c r="BX302" s="2" t="n">
        <v>100</v>
      </c>
      <c r="BY302" s="2" t="n">
        <v>99.53</v>
      </c>
      <c r="BZ302" s="2" t="n">
        <v>100</v>
      </c>
      <c r="CA302" s="2" t="n">
        <v>100</v>
      </c>
      <c r="CB302" s="2" t="n">
        <v>99.53</v>
      </c>
      <c r="CC302" s="2" t="n">
        <v>100</v>
      </c>
      <c r="CD302" s="2" t="n">
        <v>100</v>
      </c>
      <c r="CE302" s="2" t="n">
        <v>99.53</v>
      </c>
      <c r="CF302" s="2" t="n">
        <v>100</v>
      </c>
      <c r="CG302" s="2" t="n">
        <v>100</v>
      </c>
      <c r="CH302" s="2" t="n">
        <v>99.53</v>
      </c>
      <c r="CI302" s="2" t="n">
        <v>100</v>
      </c>
      <c r="CJ302" s="2" t="n">
        <v>100</v>
      </c>
      <c r="CK302" s="2" t="n">
        <v>99.53</v>
      </c>
      <c r="CL302" s="2" t="n">
        <v>100</v>
      </c>
      <c r="CM302" s="2" t="n">
        <v>100</v>
      </c>
      <c r="CN302" s="2" t="n">
        <v>99.53</v>
      </c>
      <c r="CO302" s="2" t="n">
        <v>100</v>
      </c>
      <c r="CP302" s="2" t="n">
        <v>100</v>
      </c>
      <c r="CQ302" s="2" t="n">
        <v>99.53</v>
      </c>
      <c r="CR302" s="2" t="n">
        <v>100</v>
      </c>
      <c r="CS302" s="2" t="n">
        <v>100</v>
      </c>
      <c r="CT302" s="2" t="n">
        <v>99.53</v>
      </c>
      <c r="CU302" s="2" t="n">
        <v>100</v>
      </c>
      <c r="CV302" s="2" t="n">
        <v>100</v>
      </c>
      <c r="CW302" s="2" t="n">
        <v>99.53</v>
      </c>
      <c r="CX302" s="2" t="n">
        <v>100</v>
      </c>
      <c r="CY302" s="2" t="n">
        <v>100</v>
      </c>
      <c r="CZ302" s="2" t="n">
        <v>99.53</v>
      </c>
      <c r="DA302" s="2" t="n">
        <v>100</v>
      </c>
      <c r="DB302" s="2" t="n">
        <v>100</v>
      </c>
      <c r="DC302" s="2" t="n">
        <v>99.53</v>
      </c>
      <c r="DD302" s="2" t="n">
        <v>100</v>
      </c>
      <c r="DE302" s="2" t="n">
        <v>100</v>
      </c>
      <c r="DF302" s="2" t="n">
        <v>99.53</v>
      </c>
      <c r="DG302" s="2" t="n">
        <v>100</v>
      </c>
      <c r="DH302" s="2" t="n">
        <v>100</v>
      </c>
      <c r="DI302" s="2" t="n">
        <v>99.53</v>
      </c>
      <c r="DJ302" s="2" t="n">
        <v>100</v>
      </c>
      <c r="DK302" s="2" t="n">
        <v>100</v>
      </c>
      <c r="DL302" s="2" t="n">
        <v>99.53</v>
      </c>
      <c r="DM302" s="2" t="n">
        <v>100</v>
      </c>
      <c r="DN302" s="2" t="n">
        <v>100</v>
      </c>
      <c r="DO302" s="2" t="n">
        <v>99.53</v>
      </c>
      <c r="DP302" s="2" t="n">
        <v>100</v>
      </c>
      <c r="DQ302" s="2" t="n">
        <v>100</v>
      </c>
      <c r="DR302" s="2" t="n">
        <v>99.53</v>
      </c>
      <c r="DS302" s="2" t="n">
        <v>100</v>
      </c>
      <c r="DT302" s="2" t="n">
        <v>100</v>
      </c>
      <c r="DU302" s="2" t="n">
        <v>99.53</v>
      </c>
      <c r="DV302" s="2" t="n">
        <v>100</v>
      </c>
      <c r="DW302" s="2" t="n">
        <v>100</v>
      </c>
      <c r="DX302" s="2" t="n">
        <v>99.53</v>
      </c>
      <c r="DY302" s="2" t="n">
        <v>100</v>
      </c>
      <c r="DZ302" s="2" t="n">
        <v>100</v>
      </c>
      <c r="EA302" s="2" t="n">
        <v>99.53</v>
      </c>
      <c r="EB302" s="2" t="n">
        <v>100</v>
      </c>
      <c r="EC302" s="2" t="n">
        <v>100</v>
      </c>
      <c r="ED302" s="2" t="n">
        <v>99.53</v>
      </c>
      <c r="EE302" s="2" t="n">
        <v>100</v>
      </c>
      <c r="EF302" s="2" t="n">
        <v>100</v>
      </c>
      <c r="EG302" s="2" t="n">
        <v>99.53</v>
      </c>
      <c r="EH302" s="2" t="n">
        <v>100</v>
      </c>
      <c r="EI302" s="2" t="n">
        <v>100</v>
      </c>
      <c r="EJ302" s="2" t="n">
        <v>99.53</v>
      </c>
      <c r="EK302" s="2" t="n">
        <v>100</v>
      </c>
      <c r="EL302" s="2" t="n">
        <v>100</v>
      </c>
      <c r="EM302" s="2" t="n">
        <v>99.53</v>
      </c>
      <c r="EN302" s="2" t="n">
        <v>100</v>
      </c>
      <c r="EO302" s="2" t="n">
        <v>100</v>
      </c>
      <c r="EP302" s="2" t="n">
        <v>99.53</v>
      </c>
      <c r="EQ302" s="2" t="n">
        <v>100</v>
      </c>
      <c r="ER302" s="2" t="n">
        <v>100</v>
      </c>
      <c r="ES302" s="2" t="n">
        <v>99.53</v>
      </c>
    </row>
    <row r="303">
      <c r="A303" s="2" t="n">
        <v>3</v>
      </c>
      <c r="B303" s="2" t="inlineStr">
        <is>
          <t>15.03.06</t>
        </is>
      </c>
      <c r="C303" s="2" t="inlineStr">
        <is>
          <t>Perfuração com Ø 140cm - com lama</t>
        </is>
      </c>
      <c r="D303" s="2" t="inlineStr">
        <is>
          <t>13/10/2025</t>
        </is>
      </c>
      <c r="E303" s="2" t="inlineStr">
        <is>
          <t>03/03/2026</t>
        </is>
      </c>
      <c r="F303" s="2" t="n">
        <v>391552</v>
      </c>
      <c r="G303" s="2" t="n">
        <v>0</v>
      </c>
      <c r="H303" s="2" t="n">
        <v>391552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17.44</v>
      </c>
      <c r="V303" s="2" t="n">
        <v>17.44</v>
      </c>
      <c r="W303" s="2" t="n">
        <v>21.06</v>
      </c>
      <c r="X303" s="2" t="n">
        <v>39.53</v>
      </c>
      <c r="Y303" s="2" t="n">
        <v>39.53</v>
      </c>
      <c r="Z303" s="2" t="n">
        <v>46.99</v>
      </c>
      <c r="AA303" s="2" t="n">
        <v>55.81</v>
      </c>
      <c r="AB303" s="2" t="n">
        <v>55.81</v>
      </c>
      <c r="AC303" s="2" t="n">
        <v>62.54</v>
      </c>
      <c r="AD303" s="2" t="n">
        <v>79.06999999999999</v>
      </c>
      <c r="AE303" s="2" t="n">
        <v>79.06999999999999</v>
      </c>
      <c r="AF303" s="2" t="n">
        <v>80.98</v>
      </c>
      <c r="AG303" s="2" t="n">
        <v>100</v>
      </c>
      <c r="AH303" s="2" t="n">
        <v>99.53</v>
      </c>
      <c r="AI303" s="2" t="n">
        <v>94.31</v>
      </c>
      <c r="AJ303" s="2" t="n">
        <v>100</v>
      </c>
      <c r="AK303" s="2" t="n">
        <v>100</v>
      </c>
      <c r="AL303" s="2" t="n">
        <v>99.53</v>
      </c>
      <c r="AM303" s="2" t="n">
        <v>100</v>
      </c>
      <c r="AN303" s="2" t="n">
        <v>100</v>
      </c>
      <c r="AO303" s="2" t="n">
        <v>99.53</v>
      </c>
      <c r="AP303" s="2" t="n">
        <v>100</v>
      </c>
      <c r="AQ303" s="2" t="n">
        <v>100</v>
      </c>
      <c r="AR303" s="2" t="n">
        <v>99.53</v>
      </c>
      <c r="AS303" s="2" t="n">
        <v>100</v>
      </c>
      <c r="AT303" s="2" t="n">
        <v>100</v>
      </c>
      <c r="AU303" s="2" t="n">
        <v>99.53</v>
      </c>
      <c r="AV303" s="2" t="n">
        <v>100</v>
      </c>
      <c r="AW303" s="2" t="n">
        <v>100</v>
      </c>
      <c r="AX303" s="2" t="n">
        <v>99.53</v>
      </c>
      <c r="AY303" s="2" t="n">
        <v>100</v>
      </c>
      <c r="AZ303" s="2" t="n">
        <v>100</v>
      </c>
      <c r="BA303" s="2" t="n">
        <v>99.53</v>
      </c>
      <c r="BB303" s="2" t="n">
        <v>100</v>
      </c>
      <c r="BC303" s="2" t="n">
        <v>100</v>
      </c>
      <c r="BD303" s="2" t="n">
        <v>99.53</v>
      </c>
      <c r="BE303" s="2" t="n">
        <v>100</v>
      </c>
      <c r="BF303" s="2" t="n">
        <v>100</v>
      </c>
      <c r="BG303" s="2" t="n">
        <v>99.53</v>
      </c>
      <c r="BH303" s="2" t="n">
        <v>100</v>
      </c>
      <c r="BI303" s="2" t="n">
        <v>100</v>
      </c>
      <c r="BJ303" s="2" t="n">
        <v>99.53</v>
      </c>
      <c r="BK303" s="2" t="n">
        <v>100</v>
      </c>
      <c r="BL303" s="2" t="n">
        <v>100</v>
      </c>
      <c r="BM303" s="2" t="n">
        <v>99.53</v>
      </c>
      <c r="BN303" s="2" t="n">
        <v>100</v>
      </c>
      <c r="BO303" s="2" t="n">
        <v>100</v>
      </c>
      <c r="BP303" s="2" t="n">
        <v>99.53</v>
      </c>
      <c r="BQ303" s="2" t="n">
        <v>100</v>
      </c>
      <c r="BR303" s="2" t="n">
        <v>100</v>
      </c>
      <c r="BS303" s="2" t="n">
        <v>99.53</v>
      </c>
      <c r="BT303" s="2" t="n">
        <v>100</v>
      </c>
      <c r="BU303" s="2" t="n">
        <v>100</v>
      </c>
      <c r="BV303" s="2" t="n">
        <v>99.53</v>
      </c>
      <c r="BW303" s="2" t="n">
        <v>100</v>
      </c>
      <c r="BX303" s="2" t="n">
        <v>100</v>
      </c>
      <c r="BY303" s="2" t="n">
        <v>99.53</v>
      </c>
      <c r="BZ303" s="2" t="n">
        <v>100</v>
      </c>
      <c r="CA303" s="2" t="n">
        <v>100</v>
      </c>
      <c r="CB303" s="2" t="n">
        <v>99.53</v>
      </c>
      <c r="CC303" s="2" t="n">
        <v>100</v>
      </c>
      <c r="CD303" s="2" t="n">
        <v>100</v>
      </c>
      <c r="CE303" s="2" t="n">
        <v>99.53</v>
      </c>
      <c r="CF303" s="2" t="n">
        <v>100</v>
      </c>
      <c r="CG303" s="2" t="n">
        <v>100</v>
      </c>
      <c r="CH303" s="2" t="n">
        <v>99.53</v>
      </c>
      <c r="CI303" s="2" t="n">
        <v>100</v>
      </c>
      <c r="CJ303" s="2" t="n">
        <v>100</v>
      </c>
      <c r="CK303" s="2" t="n">
        <v>99.53</v>
      </c>
      <c r="CL303" s="2" t="n">
        <v>100</v>
      </c>
      <c r="CM303" s="2" t="n">
        <v>100</v>
      </c>
      <c r="CN303" s="2" t="n">
        <v>99.53</v>
      </c>
      <c r="CO303" s="2" t="n">
        <v>100</v>
      </c>
      <c r="CP303" s="2" t="n">
        <v>100</v>
      </c>
      <c r="CQ303" s="2" t="n">
        <v>99.53</v>
      </c>
      <c r="CR303" s="2" t="n">
        <v>100</v>
      </c>
      <c r="CS303" s="2" t="n">
        <v>100</v>
      </c>
      <c r="CT303" s="2" t="n">
        <v>99.53</v>
      </c>
      <c r="CU303" s="2" t="n">
        <v>100</v>
      </c>
      <c r="CV303" s="2" t="n">
        <v>100</v>
      </c>
      <c r="CW303" s="2" t="n">
        <v>99.53</v>
      </c>
      <c r="CX303" s="2" t="n">
        <v>100</v>
      </c>
      <c r="CY303" s="2" t="n">
        <v>100</v>
      </c>
      <c r="CZ303" s="2" t="n">
        <v>99.53</v>
      </c>
      <c r="DA303" s="2" t="n">
        <v>100</v>
      </c>
      <c r="DB303" s="2" t="n">
        <v>100</v>
      </c>
      <c r="DC303" s="2" t="n">
        <v>99.53</v>
      </c>
      <c r="DD303" s="2" t="n">
        <v>100</v>
      </c>
      <c r="DE303" s="2" t="n">
        <v>100</v>
      </c>
      <c r="DF303" s="2" t="n">
        <v>99.53</v>
      </c>
      <c r="DG303" s="2" t="n">
        <v>100</v>
      </c>
      <c r="DH303" s="2" t="n">
        <v>100</v>
      </c>
      <c r="DI303" s="2" t="n">
        <v>99.53</v>
      </c>
      <c r="DJ303" s="2" t="n">
        <v>100</v>
      </c>
      <c r="DK303" s="2" t="n">
        <v>100</v>
      </c>
      <c r="DL303" s="2" t="n">
        <v>99.53</v>
      </c>
      <c r="DM303" s="2" t="n">
        <v>100</v>
      </c>
      <c r="DN303" s="2" t="n">
        <v>100</v>
      </c>
      <c r="DO303" s="2" t="n">
        <v>99.53</v>
      </c>
      <c r="DP303" s="2" t="n">
        <v>100</v>
      </c>
      <c r="DQ303" s="2" t="n">
        <v>100</v>
      </c>
      <c r="DR303" s="2" t="n">
        <v>99.53</v>
      </c>
      <c r="DS303" s="2" t="n">
        <v>100</v>
      </c>
      <c r="DT303" s="2" t="n">
        <v>100</v>
      </c>
      <c r="DU303" s="2" t="n">
        <v>99.53</v>
      </c>
      <c r="DV303" s="2" t="n">
        <v>100</v>
      </c>
      <c r="DW303" s="2" t="n">
        <v>100</v>
      </c>
      <c r="DX303" s="2" t="n">
        <v>99.53</v>
      </c>
      <c r="DY303" s="2" t="n">
        <v>100</v>
      </c>
      <c r="DZ303" s="2" t="n">
        <v>100</v>
      </c>
      <c r="EA303" s="2" t="n">
        <v>99.53</v>
      </c>
      <c r="EB303" s="2" t="n">
        <v>100</v>
      </c>
      <c r="EC303" s="2" t="n">
        <v>100</v>
      </c>
      <c r="ED303" s="2" t="n">
        <v>99.53</v>
      </c>
      <c r="EE303" s="2" t="n">
        <v>100</v>
      </c>
      <c r="EF303" s="2" t="n">
        <v>100</v>
      </c>
      <c r="EG303" s="2" t="n">
        <v>99.53</v>
      </c>
      <c r="EH303" s="2" t="n">
        <v>100</v>
      </c>
      <c r="EI303" s="2" t="n">
        <v>100</v>
      </c>
      <c r="EJ303" s="2" t="n">
        <v>99.53</v>
      </c>
      <c r="EK303" s="2" t="n">
        <v>100</v>
      </c>
      <c r="EL303" s="2" t="n">
        <v>100</v>
      </c>
      <c r="EM303" s="2" t="n">
        <v>99.53</v>
      </c>
      <c r="EN303" s="2" t="n">
        <v>100</v>
      </c>
      <c r="EO303" s="2" t="n">
        <v>100</v>
      </c>
      <c r="EP303" s="2" t="n">
        <v>99.53</v>
      </c>
      <c r="EQ303" s="2" t="n">
        <v>100</v>
      </c>
      <c r="ER303" s="2" t="n">
        <v>100</v>
      </c>
      <c r="ES303" s="2" t="n">
        <v>99.53</v>
      </c>
    </row>
    <row r="304">
      <c r="A304" s="2" t="n">
        <v>3</v>
      </c>
      <c r="B304" s="2" t="inlineStr">
        <is>
          <t>15.03.07</t>
        </is>
      </c>
      <c r="C304" s="2" t="inlineStr">
        <is>
          <t>Perfuração com Ø 150cm - com lama</t>
        </is>
      </c>
      <c r="D304" s="2" t="inlineStr">
        <is>
          <t>13/10/2025</t>
        </is>
      </c>
      <c r="E304" s="2" t="inlineStr">
        <is>
          <t>03/03/2026</t>
        </is>
      </c>
      <c r="F304" s="2" t="n">
        <v>96677.28</v>
      </c>
      <c r="G304" s="2" t="n">
        <v>0</v>
      </c>
      <c r="H304" s="2" t="n">
        <v>96677.28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17.44</v>
      </c>
      <c r="V304" s="2" t="n">
        <v>17.44</v>
      </c>
      <c r="W304" s="2" t="n">
        <v>21.06</v>
      </c>
      <c r="X304" s="2" t="n">
        <v>39.53</v>
      </c>
      <c r="Y304" s="2" t="n">
        <v>39.53</v>
      </c>
      <c r="Z304" s="2" t="n">
        <v>46.99</v>
      </c>
      <c r="AA304" s="2" t="n">
        <v>55.81</v>
      </c>
      <c r="AB304" s="2" t="n">
        <v>55.81</v>
      </c>
      <c r="AC304" s="2" t="n">
        <v>62.54</v>
      </c>
      <c r="AD304" s="2" t="n">
        <v>79.06999999999999</v>
      </c>
      <c r="AE304" s="2" t="n">
        <v>79.06999999999999</v>
      </c>
      <c r="AF304" s="2" t="n">
        <v>80.98</v>
      </c>
      <c r="AG304" s="2" t="n">
        <v>100</v>
      </c>
      <c r="AH304" s="2" t="n">
        <v>99.53</v>
      </c>
      <c r="AI304" s="2" t="n">
        <v>94.31</v>
      </c>
      <c r="AJ304" s="2" t="n">
        <v>100</v>
      </c>
      <c r="AK304" s="2" t="n">
        <v>100</v>
      </c>
      <c r="AL304" s="2" t="n">
        <v>99.53</v>
      </c>
      <c r="AM304" s="2" t="n">
        <v>100</v>
      </c>
      <c r="AN304" s="2" t="n">
        <v>100</v>
      </c>
      <c r="AO304" s="2" t="n">
        <v>99.53</v>
      </c>
      <c r="AP304" s="2" t="n">
        <v>100</v>
      </c>
      <c r="AQ304" s="2" t="n">
        <v>100</v>
      </c>
      <c r="AR304" s="2" t="n">
        <v>99.53</v>
      </c>
      <c r="AS304" s="2" t="n">
        <v>100</v>
      </c>
      <c r="AT304" s="2" t="n">
        <v>100</v>
      </c>
      <c r="AU304" s="2" t="n">
        <v>99.53</v>
      </c>
      <c r="AV304" s="2" t="n">
        <v>100</v>
      </c>
      <c r="AW304" s="2" t="n">
        <v>100</v>
      </c>
      <c r="AX304" s="2" t="n">
        <v>99.53</v>
      </c>
      <c r="AY304" s="2" t="n">
        <v>100</v>
      </c>
      <c r="AZ304" s="2" t="n">
        <v>100</v>
      </c>
      <c r="BA304" s="2" t="n">
        <v>99.53</v>
      </c>
      <c r="BB304" s="2" t="n">
        <v>100</v>
      </c>
      <c r="BC304" s="2" t="n">
        <v>100</v>
      </c>
      <c r="BD304" s="2" t="n">
        <v>99.53</v>
      </c>
      <c r="BE304" s="2" t="n">
        <v>100</v>
      </c>
      <c r="BF304" s="2" t="n">
        <v>100</v>
      </c>
      <c r="BG304" s="2" t="n">
        <v>99.53</v>
      </c>
      <c r="BH304" s="2" t="n">
        <v>100</v>
      </c>
      <c r="BI304" s="2" t="n">
        <v>100</v>
      </c>
      <c r="BJ304" s="2" t="n">
        <v>99.53</v>
      </c>
      <c r="BK304" s="2" t="n">
        <v>100</v>
      </c>
      <c r="BL304" s="2" t="n">
        <v>100</v>
      </c>
      <c r="BM304" s="2" t="n">
        <v>99.53</v>
      </c>
      <c r="BN304" s="2" t="n">
        <v>100</v>
      </c>
      <c r="BO304" s="2" t="n">
        <v>100</v>
      </c>
      <c r="BP304" s="2" t="n">
        <v>99.53</v>
      </c>
      <c r="BQ304" s="2" t="n">
        <v>100</v>
      </c>
      <c r="BR304" s="2" t="n">
        <v>100</v>
      </c>
      <c r="BS304" s="2" t="n">
        <v>99.53</v>
      </c>
      <c r="BT304" s="2" t="n">
        <v>100</v>
      </c>
      <c r="BU304" s="2" t="n">
        <v>100</v>
      </c>
      <c r="BV304" s="2" t="n">
        <v>99.53</v>
      </c>
      <c r="BW304" s="2" t="n">
        <v>100</v>
      </c>
      <c r="BX304" s="2" t="n">
        <v>100</v>
      </c>
      <c r="BY304" s="2" t="n">
        <v>99.53</v>
      </c>
      <c r="BZ304" s="2" t="n">
        <v>100</v>
      </c>
      <c r="CA304" s="2" t="n">
        <v>100</v>
      </c>
      <c r="CB304" s="2" t="n">
        <v>99.53</v>
      </c>
      <c r="CC304" s="2" t="n">
        <v>100</v>
      </c>
      <c r="CD304" s="2" t="n">
        <v>100</v>
      </c>
      <c r="CE304" s="2" t="n">
        <v>99.53</v>
      </c>
      <c r="CF304" s="2" t="n">
        <v>100</v>
      </c>
      <c r="CG304" s="2" t="n">
        <v>100</v>
      </c>
      <c r="CH304" s="2" t="n">
        <v>99.53</v>
      </c>
      <c r="CI304" s="2" t="n">
        <v>100</v>
      </c>
      <c r="CJ304" s="2" t="n">
        <v>100</v>
      </c>
      <c r="CK304" s="2" t="n">
        <v>99.53</v>
      </c>
      <c r="CL304" s="2" t="n">
        <v>100</v>
      </c>
      <c r="CM304" s="2" t="n">
        <v>100</v>
      </c>
      <c r="CN304" s="2" t="n">
        <v>99.53</v>
      </c>
      <c r="CO304" s="2" t="n">
        <v>100</v>
      </c>
      <c r="CP304" s="2" t="n">
        <v>100</v>
      </c>
      <c r="CQ304" s="2" t="n">
        <v>99.53</v>
      </c>
      <c r="CR304" s="2" t="n">
        <v>100</v>
      </c>
      <c r="CS304" s="2" t="n">
        <v>100</v>
      </c>
      <c r="CT304" s="2" t="n">
        <v>99.53</v>
      </c>
      <c r="CU304" s="2" t="n">
        <v>100</v>
      </c>
      <c r="CV304" s="2" t="n">
        <v>100</v>
      </c>
      <c r="CW304" s="2" t="n">
        <v>99.53</v>
      </c>
      <c r="CX304" s="2" t="n">
        <v>100</v>
      </c>
      <c r="CY304" s="2" t="n">
        <v>100</v>
      </c>
      <c r="CZ304" s="2" t="n">
        <v>99.53</v>
      </c>
      <c r="DA304" s="2" t="n">
        <v>100</v>
      </c>
      <c r="DB304" s="2" t="n">
        <v>100</v>
      </c>
      <c r="DC304" s="2" t="n">
        <v>99.53</v>
      </c>
      <c r="DD304" s="2" t="n">
        <v>100</v>
      </c>
      <c r="DE304" s="2" t="n">
        <v>100</v>
      </c>
      <c r="DF304" s="2" t="n">
        <v>99.53</v>
      </c>
      <c r="DG304" s="2" t="n">
        <v>100</v>
      </c>
      <c r="DH304" s="2" t="n">
        <v>100</v>
      </c>
      <c r="DI304" s="2" t="n">
        <v>99.53</v>
      </c>
      <c r="DJ304" s="2" t="n">
        <v>100</v>
      </c>
      <c r="DK304" s="2" t="n">
        <v>100</v>
      </c>
      <c r="DL304" s="2" t="n">
        <v>99.53</v>
      </c>
      <c r="DM304" s="2" t="n">
        <v>100</v>
      </c>
      <c r="DN304" s="2" t="n">
        <v>100</v>
      </c>
      <c r="DO304" s="2" t="n">
        <v>99.53</v>
      </c>
      <c r="DP304" s="2" t="n">
        <v>100</v>
      </c>
      <c r="DQ304" s="2" t="n">
        <v>100</v>
      </c>
      <c r="DR304" s="2" t="n">
        <v>99.53</v>
      </c>
      <c r="DS304" s="2" t="n">
        <v>100</v>
      </c>
      <c r="DT304" s="2" t="n">
        <v>100</v>
      </c>
      <c r="DU304" s="2" t="n">
        <v>99.53</v>
      </c>
      <c r="DV304" s="2" t="n">
        <v>100</v>
      </c>
      <c r="DW304" s="2" t="n">
        <v>100</v>
      </c>
      <c r="DX304" s="2" t="n">
        <v>99.53</v>
      </c>
      <c r="DY304" s="2" t="n">
        <v>100</v>
      </c>
      <c r="DZ304" s="2" t="n">
        <v>100</v>
      </c>
      <c r="EA304" s="2" t="n">
        <v>99.53</v>
      </c>
      <c r="EB304" s="2" t="n">
        <v>100</v>
      </c>
      <c r="EC304" s="2" t="n">
        <v>100</v>
      </c>
      <c r="ED304" s="2" t="n">
        <v>99.53</v>
      </c>
      <c r="EE304" s="2" t="n">
        <v>100</v>
      </c>
      <c r="EF304" s="2" t="n">
        <v>100</v>
      </c>
      <c r="EG304" s="2" t="n">
        <v>99.53</v>
      </c>
      <c r="EH304" s="2" t="n">
        <v>100</v>
      </c>
      <c r="EI304" s="2" t="n">
        <v>100</v>
      </c>
      <c r="EJ304" s="2" t="n">
        <v>99.53</v>
      </c>
      <c r="EK304" s="2" t="n">
        <v>100</v>
      </c>
      <c r="EL304" s="2" t="n">
        <v>100</v>
      </c>
      <c r="EM304" s="2" t="n">
        <v>99.53</v>
      </c>
      <c r="EN304" s="2" t="n">
        <v>100</v>
      </c>
      <c r="EO304" s="2" t="n">
        <v>100</v>
      </c>
      <c r="EP304" s="2" t="n">
        <v>99.53</v>
      </c>
      <c r="EQ304" s="2" t="n">
        <v>100</v>
      </c>
      <c r="ER304" s="2" t="n">
        <v>100</v>
      </c>
      <c r="ES304" s="2" t="n">
        <v>99.53</v>
      </c>
    </row>
    <row r="305">
      <c r="A305" s="2" t="n">
        <v>2</v>
      </c>
      <c r="B305" s="2" t="inlineStr">
        <is>
          <t>15.04</t>
        </is>
      </c>
      <c r="C305" s="2" t="inlineStr">
        <is>
          <t>Itens complementares</t>
        </is>
      </c>
      <c r="D305" s="2" t="inlineStr">
        <is>
          <t>13/10/2025</t>
        </is>
      </c>
      <c r="E305" s="2" t="inlineStr">
        <is>
          <t>03/03/2026</t>
        </is>
      </c>
      <c r="F305" s="2" t="n">
        <v>4327134.83786988</v>
      </c>
      <c r="G305" s="2" t="n">
        <v>0</v>
      </c>
      <c r="H305" s="2" t="n">
        <v>4327134.83786988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17.44</v>
      </c>
      <c r="V305" s="2" t="n">
        <v>17.44</v>
      </c>
      <c r="W305" s="2" t="n">
        <v>21.06</v>
      </c>
      <c r="X305" s="2" t="n">
        <v>39.53</v>
      </c>
      <c r="Y305" s="2" t="n">
        <v>39.53</v>
      </c>
      <c r="Z305" s="2" t="n">
        <v>46.99</v>
      </c>
      <c r="AA305" s="2" t="n">
        <v>55.81</v>
      </c>
      <c r="AB305" s="2" t="n">
        <v>55.81</v>
      </c>
      <c r="AC305" s="2" t="n">
        <v>62.54</v>
      </c>
      <c r="AD305" s="2" t="n">
        <v>79.06999999999999</v>
      </c>
      <c r="AE305" s="2" t="n">
        <v>79.06999999999999</v>
      </c>
      <c r="AF305" s="2" t="n">
        <v>80.98</v>
      </c>
      <c r="AG305" s="2" t="n">
        <v>100</v>
      </c>
      <c r="AH305" s="2" t="n">
        <v>99.53</v>
      </c>
      <c r="AI305" s="2" t="n">
        <v>94.31</v>
      </c>
      <c r="AJ305" s="2" t="n">
        <v>100</v>
      </c>
      <c r="AK305" s="2" t="n">
        <v>100</v>
      </c>
      <c r="AL305" s="2" t="n">
        <v>99.53</v>
      </c>
      <c r="AM305" s="2" t="n">
        <v>100</v>
      </c>
      <c r="AN305" s="2" t="n">
        <v>100</v>
      </c>
      <c r="AO305" s="2" t="n">
        <v>99.53</v>
      </c>
      <c r="AP305" s="2" t="n">
        <v>100</v>
      </c>
      <c r="AQ305" s="2" t="n">
        <v>100</v>
      </c>
      <c r="AR305" s="2" t="n">
        <v>99.53</v>
      </c>
      <c r="AS305" s="2" t="n">
        <v>100</v>
      </c>
      <c r="AT305" s="2" t="n">
        <v>100</v>
      </c>
      <c r="AU305" s="2" t="n">
        <v>99.53</v>
      </c>
      <c r="AV305" s="2" t="n">
        <v>100</v>
      </c>
      <c r="AW305" s="2" t="n">
        <v>100</v>
      </c>
      <c r="AX305" s="2" t="n">
        <v>99.53</v>
      </c>
      <c r="AY305" s="2" t="n">
        <v>100</v>
      </c>
      <c r="AZ305" s="2" t="n">
        <v>100</v>
      </c>
      <c r="BA305" s="2" t="n">
        <v>99.53</v>
      </c>
      <c r="BB305" s="2" t="n">
        <v>100</v>
      </c>
      <c r="BC305" s="2" t="n">
        <v>100</v>
      </c>
      <c r="BD305" s="2" t="n">
        <v>99.53</v>
      </c>
      <c r="BE305" s="2" t="n">
        <v>100</v>
      </c>
      <c r="BF305" s="2" t="n">
        <v>100</v>
      </c>
      <c r="BG305" s="2" t="n">
        <v>99.53</v>
      </c>
      <c r="BH305" s="2" t="n">
        <v>100</v>
      </c>
      <c r="BI305" s="2" t="n">
        <v>100</v>
      </c>
      <c r="BJ305" s="2" t="n">
        <v>99.53</v>
      </c>
      <c r="BK305" s="2" t="n">
        <v>100</v>
      </c>
      <c r="BL305" s="2" t="n">
        <v>100</v>
      </c>
      <c r="BM305" s="2" t="n">
        <v>99.53</v>
      </c>
      <c r="BN305" s="2" t="n">
        <v>100</v>
      </c>
      <c r="BO305" s="2" t="n">
        <v>100</v>
      </c>
      <c r="BP305" s="2" t="n">
        <v>99.53</v>
      </c>
      <c r="BQ305" s="2" t="n">
        <v>100</v>
      </c>
      <c r="BR305" s="2" t="n">
        <v>100</v>
      </c>
      <c r="BS305" s="2" t="n">
        <v>99.53</v>
      </c>
      <c r="BT305" s="2" t="n">
        <v>100</v>
      </c>
      <c r="BU305" s="2" t="n">
        <v>100</v>
      </c>
      <c r="BV305" s="2" t="n">
        <v>99.53</v>
      </c>
      <c r="BW305" s="2" t="n">
        <v>100</v>
      </c>
      <c r="BX305" s="2" t="n">
        <v>100</v>
      </c>
      <c r="BY305" s="2" t="n">
        <v>99.53</v>
      </c>
      <c r="BZ305" s="2" t="n">
        <v>100</v>
      </c>
      <c r="CA305" s="2" t="n">
        <v>100</v>
      </c>
      <c r="CB305" s="2" t="n">
        <v>99.53</v>
      </c>
      <c r="CC305" s="2" t="n">
        <v>100</v>
      </c>
      <c r="CD305" s="2" t="n">
        <v>100</v>
      </c>
      <c r="CE305" s="2" t="n">
        <v>99.53</v>
      </c>
      <c r="CF305" s="2" t="n">
        <v>100</v>
      </c>
      <c r="CG305" s="2" t="n">
        <v>100</v>
      </c>
      <c r="CH305" s="2" t="n">
        <v>99.53</v>
      </c>
      <c r="CI305" s="2" t="n">
        <v>100</v>
      </c>
      <c r="CJ305" s="2" t="n">
        <v>100</v>
      </c>
      <c r="CK305" s="2" t="n">
        <v>99.53</v>
      </c>
      <c r="CL305" s="2" t="n">
        <v>100</v>
      </c>
      <c r="CM305" s="2" t="n">
        <v>100</v>
      </c>
      <c r="CN305" s="2" t="n">
        <v>99.53</v>
      </c>
      <c r="CO305" s="2" t="n">
        <v>100</v>
      </c>
      <c r="CP305" s="2" t="n">
        <v>100</v>
      </c>
      <c r="CQ305" s="2" t="n">
        <v>99.53</v>
      </c>
      <c r="CR305" s="2" t="n">
        <v>100</v>
      </c>
      <c r="CS305" s="2" t="n">
        <v>100</v>
      </c>
      <c r="CT305" s="2" t="n">
        <v>99.53</v>
      </c>
      <c r="CU305" s="2" t="n">
        <v>100</v>
      </c>
      <c r="CV305" s="2" t="n">
        <v>100</v>
      </c>
      <c r="CW305" s="2" t="n">
        <v>99.53</v>
      </c>
      <c r="CX305" s="2" t="n">
        <v>100</v>
      </c>
      <c r="CY305" s="2" t="n">
        <v>100</v>
      </c>
      <c r="CZ305" s="2" t="n">
        <v>99.53</v>
      </c>
      <c r="DA305" s="2" t="n">
        <v>100</v>
      </c>
      <c r="DB305" s="2" t="n">
        <v>100</v>
      </c>
      <c r="DC305" s="2" t="n">
        <v>99.53</v>
      </c>
      <c r="DD305" s="2" t="n">
        <v>100</v>
      </c>
      <c r="DE305" s="2" t="n">
        <v>100</v>
      </c>
      <c r="DF305" s="2" t="n">
        <v>99.53</v>
      </c>
      <c r="DG305" s="2" t="n">
        <v>100</v>
      </c>
      <c r="DH305" s="2" t="n">
        <v>100</v>
      </c>
      <c r="DI305" s="2" t="n">
        <v>99.53</v>
      </c>
      <c r="DJ305" s="2" t="n">
        <v>100</v>
      </c>
      <c r="DK305" s="2" t="n">
        <v>100</v>
      </c>
      <c r="DL305" s="2" t="n">
        <v>99.53</v>
      </c>
      <c r="DM305" s="2" t="n">
        <v>100</v>
      </c>
      <c r="DN305" s="2" t="n">
        <v>100</v>
      </c>
      <c r="DO305" s="2" t="n">
        <v>99.53</v>
      </c>
      <c r="DP305" s="2" t="n">
        <v>100</v>
      </c>
      <c r="DQ305" s="2" t="n">
        <v>100</v>
      </c>
      <c r="DR305" s="2" t="n">
        <v>99.53</v>
      </c>
      <c r="DS305" s="2" t="n">
        <v>100</v>
      </c>
      <c r="DT305" s="2" t="n">
        <v>100</v>
      </c>
      <c r="DU305" s="2" t="n">
        <v>99.53</v>
      </c>
      <c r="DV305" s="2" t="n">
        <v>100</v>
      </c>
      <c r="DW305" s="2" t="n">
        <v>100</v>
      </c>
      <c r="DX305" s="2" t="n">
        <v>99.53</v>
      </c>
      <c r="DY305" s="2" t="n">
        <v>100</v>
      </c>
      <c r="DZ305" s="2" t="n">
        <v>100</v>
      </c>
      <c r="EA305" s="2" t="n">
        <v>99.53</v>
      </c>
      <c r="EB305" s="2" t="n">
        <v>100</v>
      </c>
      <c r="EC305" s="2" t="n">
        <v>100</v>
      </c>
      <c r="ED305" s="2" t="n">
        <v>99.53</v>
      </c>
      <c r="EE305" s="2" t="n">
        <v>100</v>
      </c>
      <c r="EF305" s="2" t="n">
        <v>100</v>
      </c>
      <c r="EG305" s="2" t="n">
        <v>99.53</v>
      </c>
      <c r="EH305" s="2" t="n">
        <v>100</v>
      </c>
      <c r="EI305" s="2" t="n">
        <v>100</v>
      </c>
      <c r="EJ305" s="2" t="n">
        <v>99.53</v>
      </c>
      <c r="EK305" s="2" t="n">
        <v>100</v>
      </c>
      <c r="EL305" s="2" t="n">
        <v>100</v>
      </c>
      <c r="EM305" s="2" t="n">
        <v>99.53</v>
      </c>
      <c r="EN305" s="2" t="n">
        <v>100</v>
      </c>
      <c r="EO305" s="2" t="n">
        <v>100</v>
      </c>
      <c r="EP305" s="2" t="n">
        <v>99.53</v>
      </c>
      <c r="EQ305" s="2" t="n">
        <v>100</v>
      </c>
      <c r="ER305" s="2" t="n">
        <v>100</v>
      </c>
      <c r="ES305" s="2" t="n">
        <v>99.53</v>
      </c>
    </row>
    <row r="306">
      <c r="A306" s="2" t="n">
        <v>3</v>
      </c>
      <c r="B306" s="2" t="inlineStr">
        <is>
          <t>15.04.01</t>
        </is>
      </c>
      <c r="C306" s="2" t="inlineStr">
        <is>
          <t>Polímero</t>
        </is>
      </c>
      <c r="D306" s="2" t="inlineStr">
        <is>
          <t>13/10/2025</t>
        </is>
      </c>
      <c r="E306" s="2" t="inlineStr">
        <is>
          <t>03/03/2026</t>
        </is>
      </c>
      <c r="F306" s="2" t="n">
        <v>330809.7</v>
      </c>
      <c r="G306" s="2" t="n">
        <v>0</v>
      </c>
      <c r="H306" s="2" t="n">
        <v>330809.7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17.44</v>
      </c>
      <c r="V306" s="2" t="n">
        <v>17.44</v>
      </c>
      <c r="W306" s="2" t="n">
        <v>21.06</v>
      </c>
      <c r="X306" s="2" t="n">
        <v>39.53</v>
      </c>
      <c r="Y306" s="2" t="n">
        <v>39.53</v>
      </c>
      <c r="Z306" s="2" t="n">
        <v>46.99</v>
      </c>
      <c r="AA306" s="2" t="n">
        <v>55.81</v>
      </c>
      <c r="AB306" s="2" t="n">
        <v>55.81</v>
      </c>
      <c r="AC306" s="2" t="n">
        <v>62.54</v>
      </c>
      <c r="AD306" s="2" t="n">
        <v>79.06999999999999</v>
      </c>
      <c r="AE306" s="2" t="n">
        <v>79.06999999999999</v>
      </c>
      <c r="AF306" s="2" t="n">
        <v>80.98</v>
      </c>
      <c r="AG306" s="2" t="n">
        <v>100</v>
      </c>
      <c r="AH306" s="2" t="n">
        <v>99.53</v>
      </c>
      <c r="AI306" s="2" t="n">
        <v>94.31</v>
      </c>
      <c r="AJ306" s="2" t="n">
        <v>100</v>
      </c>
      <c r="AK306" s="2" t="n">
        <v>100</v>
      </c>
      <c r="AL306" s="2" t="n">
        <v>99.53</v>
      </c>
      <c r="AM306" s="2" t="n">
        <v>100</v>
      </c>
      <c r="AN306" s="2" t="n">
        <v>100</v>
      </c>
      <c r="AO306" s="2" t="n">
        <v>99.53</v>
      </c>
      <c r="AP306" s="2" t="n">
        <v>100</v>
      </c>
      <c r="AQ306" s="2" t="n">
        <v>100</v>
      </c>
      <c r="AR306" s="2" t="n">
        <v>99.53</v>
      </c>
      <c r="AS306" s="2" t="n">
        <v>100</v>
      </c>
      <c r="AT306" s="2" t="n">
        <v>100</v>
      </c>
      <c r="AU306" s="2" t="n">
        <v>99.53</v>
      </c>
      <c r="AV306" s="2" t="n">
        <v>100</v>
      </c>
      <c r="AW306" s="2" t="n">
        <v>100</v>
      </c>
      <c r="AX306" s="2" t="n">
        <v>99.53</v>
      </c>
      <c r="AY306" s="2" t="n">
        <v>100</v>
      </c>
      <c r="AZ306" s="2" t="n">
        <v>100</v>
      </c>
      <c r="BA306" s="2" t="n">
        <v>99.53</v>
      </c>
      <c r="BB306" s="2" t="n">
        <v>100</v>
      </c>
      <c r="BC306" s="2" t="n">
        <v>100</v>
      </c>
      <c r="BD306" s="2" t="n">
        <v>99.53</v>
      </c>
      <c r="BE306" s="2" t="n">
        <v>100</v>
      </c>
      <c r="BF306" s="2" t="n">
        <v>100</v>
      </c>
      <c r="BG306" s="2" t="n">
        <v>99.53</v>
      </c>
      <c r="BH306" s="2" t="n">
        <v>100</v>
      </c>
      <c r="BI306" s="2" t="n">
        <v>100</v>
      </c>
      <c r="BJ306" s="2" t="n">
        <v>99.53</v>
      </c>
      <c r="BK306" s="2" t="n">
        <v>100</v>
      </c>
      <c r="BL306" s="2" t="n">
        <v>100</v>
      </c>
      <c r="BM306" s="2" t="n">
        <v>99.53</v>
      </c>
      <c r="BN306" s="2" t="n">
        <v>100</v>
      </c>
      <c r="BO306" s="2" t="n">
        <v>100</v>
      </c>
      <c r="BP306" s="2" t="n">
        <v>99.53</v>
      </c>
      <c r="BQ306" s="2" t="n">
        <v>100</v>
      </c>
      <c r="BR306" s="2" t="n">
        <v>100</v>
      </c>
      <c r="BS306" s="2" t="n">
        <v>99.53</v>
      </c>
      <c r="BT306" s="2" t="n">
        <v>100</v>
      </c>
      <c r="BU306" s="2" t="n">
        <v>100</v>
      </c>
      <c r="BV306" s="2" t="n">
        <v>99.53</v>
      </c>
      <c r="BW306" s="2" t="n">
        <v>100</v>
      </c>
      <c r="BX306" s="2" t="n">
        <v>100</v>
      </c>
      <c r="BY306" s="2" t="n">
        <v>99.53</v>
      </c>
      <c r="BZ306" s="2" t="n">
        <v>100</v>
      </c>
      <c r="CA306" s="2" t="n">
        <v>100</v>
      </c>
      <c r="CB306" s="2" t="n">
        <v>99.53</v>
      </c>
      <c r="CC306" s="2" t="n">
        <v>100</v>
      </c>
      <c r="CD306" s="2" t="n">
        <v>100</v>
      </c>
      <c r="CE306" s="2" t="n">
        <v>99.53</v>
      </c>
      <c r="CF306" s="2" t="n">
        <v>100</v>
      </c>
      <c r="CG306" s="2" t="n">
        <v>100</v>
      </c>
      <c r="CH306" s="2" t="n">
        <v>99.53</v>
      </c>
      <c r="CI306" s="2" t="n">
        <v>100</v>
      </c>
      <c r="CJ306" s="2" t="n">
        <v>100</v>
      </c>
      <c r="CK306" s="2" t="n">
        <v>99.53</v>
      </c>
      <c r="CL306" s="2" t="n">
        <v>100</v>
      </c>
      <c r="CM306" s="2" t="n">
        <v>100</v>
      </c>
      <c r="CN306" s="2" t="n">
        <v>99.53</v>
      </c>
      <c r="CO306" s="2" t="n">
        <v>100</v>
      </c>
      <c r="CP306" s="2" t="n">
        <v>100</v>
      </c>
      <c r="CQ306" s="2" t="n">
        <v>99.53</v>
      </c>
      <c r="CR306" s="2" t="n">
        <v>100</v>
      </c>
      <c r="CS306" s="2" t="n">
        <v>100</v>
      </c>
      <c r="CT306" s="2" t="n">
        <v>99.53</v>
      </c>
      <c r="CU306" s="2" t="n">
        <v>100</v>
      </c>
      <c r="CV306" s="2" t="n">
        <v>100</v>
      </c>
      <c r="CW306" s="2" t="n">
        <v>99.53</v>
      </c>
      <c r="CX306" s="2" t="n">
        <v>100</v>
      </c>
      <c r="CY306" s="2" t="n">
        <v>100</v>
      </c>
      <c r="CZ306" s="2" t="n">
        <v>99.53</v>
      </c>
      <c r="DA306" s="2" t="n">
        <v>100</v>
      </c>
      <c r="DB306" s="2" t="n">
        <v>100</v>
      </c>
      <c r="DC306" s="2" t="n">
        <v>99.53</v>
      </c>
      <c r="DD306" s="2" t="n">
        <v>100</v>
      </c>
      <c r="DE306" s="2" t="n">
        <v>100</v>
      </c>
      <c r="DF306" s="2" t="n">
        <v>99.53</v>
      </c>
      <c r="DG306" s="2" t="n">
        <v>100</v>
      </c>
      <c r="DH306" s="2" t="n">
        <v>100</v>
      </c>
      <c r="DI306" s="2" t="n">
        <v>99.53</v>
      </c>
      <c r="DJ306" s="2" t="n">
        <v>100</v>
      </c>
      <c r="DK306" s="2" t="n">
        <v>100</v>
      </c>
      <c r="DL306" s="2" t="n">
        <v>99.53</v>
      </c>
      <c r="DM306" s="2" t="n">
        <v>100</v>
      </c>
      <c r="DN306" s="2" t="n">
        <v>100</v>
      </c>
      <c r="DO306" s="2" t="n">
        <v>99.53</v>
      </c>
      <c r="DP306" s="2" t="n">
        <v>100</v>
      </c>
      <c r="DQ306" s="2" t="n">
        <v>100</v>
      </c>
      <c r="DR306" s="2" t="n">
        <v>99.53</v>
      </c>
      <c r="DS306" s="2" t="n">
        <v>100</v>
      </c>
      <c r="DT306" s="2" t="n">
        <v>100</v>
      </c>
      <c r="DU306" s="2" t="n">
        <v>99.53</v>
      </c>
      <c r="DV306" s="2" t="n">
        <v>100</v>
      </c>
      <c r="DW306" s="2" t="n">
        <v>100</v>
      </c>
      <c r="DX306" s="2" t="n">
        <v>99.53</v>
      </c>
      <c r="DY306" s="2" t="n">
        <v>100</v>
      </c>
      <c r="DZ306" s="2" t="n">
        <v>100</v>
      </c>
      <c r="EA306" s="2" t="n">
        <v>99.53</v>
      </c>
      <c r="EB306" s="2" t="n">
        <v>100</v>
      </c>
      <c r="EC306" s="2" t="n">
        <v>100</v>
      </c>
      <c r="ED306" s="2" t="n">
        <v>99.53</v>
      </c>
      <c r="EE306" s="2" t="n">
        <v>100</v>
      </c>
      <c r="EF306" s="2" t="n">
        <v>100</v>
      </c>
      <c r="EG306" s="2" t="n">
        <v>99.53</v>
      </c>
      <c r="EH306" s="2" t="n">
        <v>100</v>
      </c>
      <c r="EI306" s="2" t="n">
        <v>100</v>
      </c>
      <c r="EJ306" s="2" t="n">
        <v>99.53</v>
      </c>
      <c r="EK306" s="2" t="n">
        <v>100</v>
      </c>
      <c r="EL306" s="2" t="n">
        <v>100</v>
      </c>
      <c r="EM306" s="2" t="n">
        <v>99.53</v>
      </c>
      <c r="EN306" s="2" t="n">
        <v>100</v>
      </c>
      <c r="EO306" s="2" t="n">
        <v>100</v>
      </c>
      <c r="EP306" s="2" t="n">
        <v>99.53</v>
      </c>
      <c r="EQ306" s="2" t="n">
        <v>100</v>
      </c>
      <c r="ER306" s="2" t="n">
        <v>100</v>
      </c>
      <c r="ES306" s="2" t="n">
        <v>99.53</v>
      </c>
    </row>
    <row r="307">
      <c r="A307" s="2" t="n">
        <v>3</v>
      </c>
      <c r="B307" s="2" t="inlineStr">
        <is>
          <t>15.04.02</t>
        </is>
      </c>
      <c r="C307" s="2" t="inlineStr">
        <is>
          <t>Concreto bombeável fck=30Mpa com alto Slump com brita 0, sobreconsumo de 40% incluído na cpu.</t>
        </is>
      </c>
      <c r="D307" s="2" t="inlineStr">
        <is>
          <t>13/10/2025</t>
        </is>
      </c>
      <c r="E307" s="2" t="inlineStr">
        <is>
          <t>03/03/2026</t>
        </is>
      </c>
      <c r="F307" s="2" t="n">
        <v>2230818.14424</v>
      </c>
      <c r="G307" s="2" t="n">
        <v>0</v>
      </c>
      <c r="H307" s="2" t="n">
        <v>2230818.14424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17.44</v>
      </c>
      <c r="V307" s="2" t="n">
        <v>17.44</v>
      </c>
      <c r="W307" s="2" t="n">
        <v>21.06</v>
      </c>
      <c r="X307" s="2" t="n">
        <v>39.53</v>
      </c>
      <c r="Y307" s="2" t="n">
        <v>39.53</v>
      </c>
      <c r="Z307" s="2" t="n">
        <v>46.99</v>
      </c>
      <c r="AA307" s="2" t="n">
        <v>55.81</v>
      </c>
      <c r="AB307" s="2" t="n">
        <v>55.81</v>
      </c>
      <c r="AC307" s="2" t="n">
        <v>62.54</v>
      </c>
      <c r="AD307" s="2" t="n">
        <v>79.06999999999999</v>
      </c>
      <c r="AE307" s="2" t="n">
        <v>79.06999999999999</v>
      </c>
      <c r="AF307" s="2" t="n">
        <v>80.98</v>
      </c>
      <c r="AG307" s="2" t="n">
        <v>100</v>
      </c>
      <c r="AH307" s="2" t="n">
        <v>99.53</v>
      </c>
      <c r="AI307" s="2" t="n">
        <v>94.31</v>
      </c>
      <c r="AJ307" s="2" t="n">
        <v>100</v>
      </c>
      <c r="AK307" s="2" t="n">
        <v>100</v>
      </c>
      <c r="AL307" s="2" t="n">
        <v>99.53</v>
      </c>
      <c r="AM307" s="2" t="n">
        <v>100</v>
      </c>
      <c r="AN307" s="2" t="n">
        <v>100</v>
      </c>
      <c r="AO307" s="2" t="n">
        <v>99.53</v>
      </c>
      <c r="AP307" s="2" t="n">
        <v>100</v>
      </c>
      <c r="AQ307" s="2" t="n">
        <v>100</v>
      </c>
      <c r="AR307" s="2" t="n">
        <v>99.53</v>
      </c>
      <c r="AS307" s="2" t="n">
        <v>100</v>
      </c>
      <c r="AT307" s="2" t="n">
        <v>100</v>
      </c>
      <c r="AU307" s="2" t="n">
        <v>99.53</v>
      </c>
      <c r="AV307" s="2" t="n">
        <v>100</v>
      </c>
      <c r="AW307" s="2" t="n">
        <v>100</v>
      </c>
      <c r="AX307" s="2" t="n">
        <v>99.53</v>
      </c>
      <c r="AY307" s="2" t="n">
        <v>100</v>
      </c>
      <c r="AZ307" s="2" t="n">
        <v>100</v>
      </c>
      <c r="BA307" s="2" t="n">
        <v>99.53</v>
      </c>
      <c r="BB307" s="2" t="n">
        <v>100</v>
      </c>
      <c r="BC307" s="2" t="n">
        <v>100</v>
      </c>
      <c r="BD307" s="2" t="n">
        <v>99.53</v>
      </c>
      <c r="BE307" s="2" t="n">
        <v>100</v>
      </c>
      <c r="BF307" s="2" t="n">
        <v>100</v>
      </c>
      <c r="BG307" s="2" t="n">
        <v>99.53</v>
      </c>
      <c r="BH307" s="2" t="n">
        <v>100</v>
      </c>
      <c r="BI307" s="2" t="n">
        <v>100</v>
      </c>
      <c r="BJ307" s="2" t="n">
        <v>99.53</v>
      </c>
      <c r="BK307" s="2" t="n">
        <v>100</v>
      </c>
      <c r="BL307" s="2" t="n">
        <v>100</v>
      </c>
      <c r="BM307" s="2" t="n">
        <v>99.53</v>
      </c>
      <c r="BN307" s="2" t="n">
        <v>100</v>
      </c>
      <c r="BO307" s="2" t="n">
        <v>100</v>
      </c>
      <c r="BP307" s="2" t="n">
        <v>99.53</v>
      </c>
      <c r="BQ307" s="2" t="n">
        <v>100</v>
      </c>
      <c r="BR307" s="2" t="n">
        <v>100</v>
      </c>
      <c r="BS307" s="2" t="n">
        <v>99.53</v>
      </c>
      <c r="BT307" s="2" t="n">
        <v>100</v>
      </c>
      <c r="BU307" s="2" t="n">
        <v>100</v>
      </c>
      <c r="BV307" s="2" t="n">
        <v>99.53</v>
      </c>
      <c r="BW307" s="2" t="n">
        <v>100</v>
      </c>
      <c r="BX307" s="2" t="n">
        <v>100</v>
      </c>
      <c r="BY307" s="2" t="n">
        <v>99.53</v>
      </c>
      <c r="BZ307" s="2" t="n">
        <v>100</v>
      </c>
      <c r="CA307" s="2" t="n">
        <v>100</v>
      </c>
      <c r="CB307" s="2" t="n">
        <v>99.53</v>
      </c>
      <c r="CC307" s="2" t="n">
        <v>100</v>
      </c>
      <c r="CD307" s="2" t="n">
        <v>100</v>
      </c>
      <c r="CE307" s="2" t="n">
        <v>99.53</v>
      </c>
      <c r="CF307" s="2" t="n">
        <v>100</v>
      </c>
      <c r="CG307" s="2" t="n">
        <v>100</v>
      </c>
      <c r="CH307" s="2" t="n">
        <v>99.53</v>
      </c>
      <c r="CI307" s="2" t="n">
        <v>100</v>
      </c>
      <c r="CJ307" s="2" t="n">
        <v>100</v>
      </c>
      <c r="CK307" s="2" t="n">
        <v>99.53</v>
      </c>
      <c r="CL307" s="2" t="n">
        <v>100</v>
      </c>
      <c r="CM307" s="2" t="n">
        <v>100</v>
      </c>
      <c r="CN307" s="2" t="n">
        <v>99.53</v>
      </c>
      <c r="CO307" s="2" t="n">
        <v>100</v>
      </c>
      <c r="CP307" s="2" t="n">
        <v>100</v>
      </c>
      <c r="CQ307" s="2" t="n">
        <v>99.53</v>
      </c>
      <c r="CR307" s="2" t="n">
        <v>100</v>
      </c>
      <c r="CS307" s="2" t="n">
        <v>100</v>
      </c>
      <c r="CT307" s="2" t="n">
        <v>99.53</v>
      </c>
      <c r="CU307" s="2" t="n">
        <v>100</v>
      </c>
      <c r="CV307" s="2" t="n">
        <v>100</v>
      </c>
      <c r="CW307" s="2" t="n">
        <v>99.53</v>
      </c>
      <c r="CX307" s="2" t="n">
        <v>100</v>
      </c>
      <c r="CY307" s="2" t="n">
        <v>100</v>
      </c>
      <c r="CZ307" s="2" t="n">
        <v>99.53</v>
      </c>
      <c r="DA307" s="2" t="n">
        <v>100</v>
      </c>
      <c r="DB307" s="2" t="n">
        <v>100</v>
      </c>
      <c r="DC307" s="2" t="n">
        <v>99.53</v>
      </c>
      <c r="DD307" s="2" t="n">
        <v>100</v>
      </c>
      <c r="DE307" s="2" t="n">
        <v>100</v>
      </c>
      <c r="DF307" s="2" t="n">
        <v>99.53</v>
      </c>
      <c r="DG307" s="2" t="n">
        <v>100</v>
      </c>
      <c r="DH307" s="2" t="n">
        <v>100</v>
      </c>
      <c r="DI307" s="2" t="n">
        <v>99.53</v>
      </c>
      <c r="DJ307" s="2" t="n">
        <v>100</v>
      </c>
      <c r="DK307" s="2" t="n">
        <v>100</v>
      </c>
      <c r="DL307" s="2" t="n">
        <v>99.53</v>
      </c>
      <c r="DM307" s="2" t="n">
        <v>100</v>
      </c>
      <c r="DN307" s="2" t="n">
        <v>100</v>
      </c>
      <c r="DO307" s="2" t="n">
        <v>99.53</v>
      </c>
      <c r="DP307" s="2" t="n">
        <v>100</v>
      </c>
      <c r="DQ307" s="2" t="n">
        <v>100</v>
      </c>
      <c r="DR307" s="2" t="n">
        <v>99.53</v>
      </c>
      <c r="DS307" s="2" t="n">
        <v>100</v>
      </c>
      <c r="DT307" s="2" t="n">
        <v>100</v>
      </c>
      <c r="DU307" s="2" t="n">
        <v>99.53</v>
      </c>
      <c r="DV307" s="2" t="n">
        <v>100</v>
      </c>
      <c r="DW307" s="2" t="n">
        <v>100</v>
      </c>
      <c r="DX307" s="2" t="n">
        <v>99.53</v>
      </c>
      <c r="DY307" s="2" t="n">
        <v>100</v>
      </c>
      <c r="DZ307" s="2" t="n">
        <v>100</v>
      </c>
      <c r="EA307" s="2" t="n">
        <v>99.53</v>
      </c>
      <c r="EB307" s="2" t="n">
        <v>100</v>
      </c>
      <c r="EC307" s="2" t="n">
        <v>100</v>
      </c>
      <c r="ED307" s="2" t="n">
        <v>99.53</v>
      </c>
      <c r="EE307" s="2" t="n">
        <v>100</v>
      </c>
      <c r="EF307" s="2" t="n">
        <v>100</v>
      </c>
      <c r="EG307" s="2" t="n">
        <v>99.53</v>
      </c>
      <c r="EH307" s="2" t="n">
        <v>100</v>
      </c>
      <c r="EI307" s="2" t="n">
        <v>100</v>
      </c>
      <c r="EJ307" s="2" t="n">
        <v>99.53</v>
      </c>
      <c r="EK307" s="2" t="n">
        <v>100</v>
      </c>
      <c r="EL307" s="2" t="n">
        <v>100</v>
      </c>
      <c r="EM307" s="2" t="n">
        <v>99.53</v>
      </c>
      <c r="EN307" s="2" t="n">
        <v>100</v>
      </c>
      <c r="EO307" s="2" t="n">
        <v>100</v>
      </c>
      <c r="EP307" s="2" t="n">
        <v>99.53</v>
      </c>
      <c r="EQ307" s="2" t="n">
        <v>100</v>
      </c>
      <c r="ER307" s="2" t="n">
        <v>100</v>
      </c>
      <c r="ES307" s="2" t="n">
        <v>99.53</v>
      </c>
    </row>
    <row r="308">
      <c r="A308" s="2" t="n">
        <v>3</v>
      </c>
      <c r="B308" s="2" t="inlineStr">
        <is>
          <t>15.04.03</t>
        </is>
      </c>
      <c r="C308" s="2" t="inlineStr">
        <is>
          <t>Preenchimento de estacas/ recompactação do solo com bica corrida</t>
        </is>
      </c>
      <c r="D308" s="2" t="inlineStr">
        <is>
          <t>13/10/2025</t>
        </is>
      </c>
      <c r="E308" s="2" t="inlineStr">
        <is>
          <t>03/03/2026</t>
        </is>
      </c>
      <c r="F308" s="2" t="n">
        <v>346872.5</v>
      </c>
      <c r="G308" s="2" t="n">
        <v>0</v>
      </c>
      <c r="H308" s="2" t="n">
        <v>346872.5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17.44</v>
      </c>
      <c r="V308" s="2" t="n">
        <v>17.44</v>
      </c>
      <c r="W308" s="2" t="n">
        <v>21.06</v>
      </c>
      <c r="X308" s="2" t="n">
        <v>39.53</v>
      </c>
      <c r="Y308" s="2" t="n">
        <v>39.53</v>
      </c>
      <c r="Z308" s="2" t="n">
        <v>46.99</v>
      </c>
      <c r="AA308" s="2" t="n">
        <v>55.81</v>
      </c>
      <c r="AB308" s="2" t="n">
        <v>55.81</v>
      </c>
      <c r="AC308" s="2" t="n">
        <v>62.54</v>
      </c>
      <c r="AD308" s="2" t="n">
        <v>79.06999999999999</v>
      </c>
      <c r="AE308" s="2" t="n">
        <v>79.06999999999999</v>
      </c>
      <c r="AF308" s="2" t="n">
        <v>80.98</v>
      </c>
      <c r="AG308" s="2" t="n">
        <v>100</v>
      </c>
      <c r="AH308" s="2" t="n">
        <v>99.53</v>
      </c>
      <c r="AI308" s="2" t="n">
        <v>94.31</v>
      </c>
      <c r="AJ308" s="2" t="n">
        <v>100</v>
      </c>
      <c r="AK308" s="2" t="n">
        <v>100</v>
      </c>
      <c r="AL308" s="2" t="n">
        <v>99.53</v>
      </c>
      <c r="AM308" s="2" t="n">
        <v>100</v>
      </c>
      <c r="AN308" s="2" t="n">
        <v>100</v>
      </c>
      <c r="AO308" s="2" t="n">
        <v>99.53</v>
      </c>
      <c r="AP308" s="2" t="n">
        <v>100</v>
      </c>
      <c r="AQ308" s="2" t="n">
        <v>100</v>
      </c>
      <c r="AR308" s="2" t="n">
        <v>99.53</v>
      </c>
      <c r="AS308" s="2" t="n">
        <v>100</v>
      </c>
      <c r="AT308" s="2" t="n">
        <v>100</v>
      </c>
      <c r="AU308" s="2" t="n">
        <v>99.53</v>
      </c>
      <c r="AV308" s="2" t="n">
        <v>100</v>
      </c>
      <c r="AW308" s="2" t="n">
        <v>100</v>
      </c>
      <c r="AX308" s="2" t="n">
        <v>99.53</v>
      </c>
      <c r="AY308" s="2" t="n">
        <v>100</v>
      </c>
      <c r="AZ308" s="2" t="n">
        <v>100</v>
      </c>
      <c r="BA308" s="2" t="n">
        <v>99.53</v>
      </c>
      <c r="BB308" s="2" t="n">
        <v>100</v>
      </c>
      <c r="BC308" s="2" t="n">
        <v>100</v>
      </c>
      <c r="BD308" s="2" t="n">
        <v>99.53</v>
      </c>
      <c r="BE308" s="2" t="n">
        <v>100</v>
      </c>
      <c r="BF308" s="2" t="n">
        <v>100</v>
      </c>
      <c r="BG308" s="2" t="n">
        <v>99.53</v>
      </c>
      <c r="BH308" s="2" t="n">
        <v>100</v>
      </c>
      <c r="BI308" s="2" t="n">
        <v>100</v>
      </c>
      <c r="BJ308" s="2" t="n">
        <v>99.53</v>
      </c>
      <c r="BK308" s="2" t="n">
        <v>100</v>
      </c>
      <c r="BL308" s="2" t="n">
        <v>100</v>
      </c>
      <c r="BM308" s="2" t="n">
        <v>99.53</v>
      </c>
      <c r="BN308" s="2" t="n">
        <v>100</v>
      </c>
      <c r="BO308" s="2" t="n">
        <v>100</v>
      </c>
      <c r="BP308" s="2" t="n">
        <v>99.53</v>
      </c>
      <c r="BQ308" s="2" t="n">
        <v>100</v>
      </c>
      <c r="BR308" s="2" t="n">
        <v>100</v>
      </c>
      <c r="BS308" s="2" t="n">
        <v>99.53</v>
      </c>
      <c r="BT308" s="2" t="n">
        <v>100</v>
      </c>
      <c r="BU308" s="2" t="n">
        <v>100</v>
      </c>
      <c r="BV308" s="2" t="n">
        <v>99.53</v>
      </c>
      <c r="BW308" s="2" t="n">
        <v>100</v>
      </c>
      <c r="BX308" s="2" t="n">
        <v>100</v>
      </c>
      <c r="BY308" s="2" t="n">
        <v>99.53</v>
      </c>
      <c r="BZ308" s="2" t="n">
        <v>100</v>
      </c>
      <c r="CA308" s="2" t="n">
        <v>100</v>
      </c>
      <c r="CB308" s="2" t="n">
        <v>99.53</v>
      </c>
      <c r="CC308" s="2" t="n">
        <v>100</v>
      </c>
      <c r="CD308" s="2" t="n">
        <v>100</v>
      </c>
      <c r="CE308" s="2" t="n">
        <v>99.53</v>
      </c>
      <c r="CF308" s="2" t="n">
        <v>100</v>
      </c>
      <c r="CG308" s="2" t="n">
        <v>100</v>
      </c>
      <c r="CH308" s="2" t="n">
        <v>99.53</v>
      </c>
      <c r="CI308" s="2" t="n">
        <v>100</v>
      </c>
      <c r="CJ308" s="2" t="n">
        <v>100</v>
      </c>
      <c r="CK308" s="2" t="n">
        <v>99.53</v>
      </c>
      <c r="CL308" s="2" t="n">
        <v>100</v>
      </c>
      <c r="CM308" s="2" t="n">
        <v>100</v>
      </c>
      <c r="CN308" s="2" t="n">
        <v>99.53</v>
      </c>
      <c r="CO308" s="2" t="n">
        <v>100</v>
      </c>
      <c r="CP308" s="2" t="n">
        <v>100</v>
      </c>
      <c r="CQ308" s="2" t="n">
        <v>99.53</v>
      </c>
      <c r="CR308" s="2" t="n">
        <v>100</v>
      </c>
      <c r="CS308" s="2" t="n">
        <v>100</v>
      </c>
      <c r="CT308" s="2" t="n">
        <v>99.53</v>
      </c>
      <c r="CU308" s="2" t="n">
        <v>100</v>
      </c>
      <c r="CV308" s="2" t="n">
        <v>100</v>
      </c>
      <c r="CW308" s="2" t="n">
        <v>99.53</v>
      </c>
      <c r="CX308" s="2" t="n">
        <v>100</v>
      </c>
      <c r="CY308" s="2" t="n">
        <v>100</v>
      </c>
      <c r="CZ308" s="2" t="n">
        <v>99.53</v>
      </c>
      <c r="DA308" s="2" t="n">
        <v>100</v>
      </c>
      <c r="DB308" s="2" t="n">
        <v>100</v>
      </c>
      <c r="DC308" s="2" t="n">
        <v>99.53</v>
      </c>
      <c r="DD308" s="2" t="n">
        <v>100</v>
      </c>
      <c r="DE308" s="2" t="n">
        <v>100</v>
      </c>
      <c r="DF308" s="2" t="n">
        <v>99.53</v>
      </c>
      <c r="DG308" s="2" t="n">
        <v>100</v>
      </c>
      <c r="DH308" s="2" t="n">
        <v>100</v>
      </c>
      <c r="DI308" s="2" t="n">
        <v>99.53</v>
      </c>
      <c r="DJ308" s="2" t="n">
        <v>100</v>
      </c>
      <c r="DK308" s="2" t="n">
        <v>100</v>
      </c>
      <c r="DL308" s="2" t="n">
        <v>99.53</v>
      </c>
      <c r="DM308" s="2" t="n">
        <v>100</v>
      </c>
      <c r="DN308" s="2" t="n">
        <v>100</v>
      </c>
      <c r="DO308" s="2" t="n">
        <v>99.53</v>
      </c>
      <c r="DP308" s="2" t="n">
        <v>100</v>
      </c>
      <c r="DQ308" s="2" t="n">
        <v>100</v>
      </c>
      <c r="DR308" s="2" t="n">
        <v>99.53</v>
      </c>
      <c r="DS308" s="2" t="n">
        <v>100</v>
      </c>
      <c r="DT308" s="2" t="n">
        <v>100</v>
      </c>
      <c r="DU308" s="2" t="n">
        <v>99.53</v>
      </c>
      <c r="DV308" s="2" t="n">
        <v>100</v>
      </c>
      <c r="DW308" s="2" t="n">
        <v>100</v>
      </c>
      <c r="DX308" s="2" t="n">
        <v>99.53</v>
      </c>
      <c r="DY308" s="2" t="n">
        <v>100</v>
      </c>
      <c r="DZ308" s="2" t="n">
        <v>100</v>
      </c>
      <c r="EA308" s="2" t="n">
        <v>99.53</v>
      </c>
      <c r="EB308" s="2" t="n">
        <v>100</v>
      </c>
      <c r="EC308" s="2" t="n">
        <v>100</v>
      </c>
      <c r="ED308" s="2" t="n">
        <v>99.53</v>
      </c>
      <c r="EE308" s="2" t="n">
        <v>100</v>
      </c>
      <c r="EF308" s="2" t="n">
        <v>100</v>
      </c>
      <c r="EG308" s="2" t="n">
        <v>99.53</v>
      </c>
      <c r="EH308" s="2" t="n">
        <v>100</v>
      </c>
      <c r="EI308" s="2" t="n">
        <v>100</v>
      </c>
      <c r="EJ308" s="2" t="n">
        <v>99.53</v>
      </c>
      <c r="EK308" s="2" t="n">
        <v>100</v>
      </c>
      <c r="EL308" s="2" t="n">
        <v>100</v>
      </c>
      <c r="EM308" s="2" t="n">
        <v>99.53</v>
      </c>
      <c r="EN308" s="2" t="n">
        <v>100</v>
      </c>
      <c r="EO308" s="2" t="n">
        <v>100</v>
      </c>
      <c r="EP308" s="2" t="n">
        <v>99.53</v>
      </c>
      <c r="EQ308" s="2" t="n">
        <v>100</v>
      </c>
      <c r="ER308" s="2" t="n">
        <v>100</v>
      </c>
      <c r="ES308" s="2" t="n">
        <v>99.53</v>
      </c>
    </row>
    <row r="309">
      <c r="A309" s="2" t="n">
        <v>3</v>
      </c>
      <c r="B309" s="2" t="inlineStr">
        <is>
          <t>15.04.04</t>
        </is>
      </c>
      <c r="C309" s="2" t="inlineStr">
        <is>
          <t>Locação de bomba de concreto estacionária para concretagens de estaca</t>
        </is>
      </c>
      <c r="D309" s="2" t="inlineStr">
        <is>
          <t>13/10/2025</t>
        </is>
      </c>
      <c r="E309" s="2" t="inlineStr">
        <is>
          <t>03/03/2026</t>
        </is>
      </c>
      <c r="F309" s="2" t="n">
        <v>60000</v>
      </c>
      <c r="G309" s="2" t="n">
        <v>0</v>
      </c>
      <c r="H309" s="2" t="n">
        <v>60000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17.44</v>
      </c>
      <c r="V309" s="2" t="n">
        <v>17.44</v>
      </c>
      <c r="W309" s="2" t="n">
        <v>21.06</v>
      </c>
      <c r="X309" s="2" t="n">
        <v>39.53</v>
      </c>
      <c r="Y309" s="2" t="n">
        <v>39.53</v>
      </c>
      <c r="Z309" s="2" t="n">
        <v>46.99</v>
      </c>
      <c r="AA309" s="2" t="n">
        <v>55.81</v>
      </c>
      <c r="AB309" s="2" t="n">
        <v>55.81</v>
      </c>
      <c r="AC309" s="2" t="n">
        <v>62.54</v>
      </c>
      <c r="AD309" s="2" t="n">
        <v>79.06999999999999</v>
      </c>
      <c r="AE309" s="2" t="n">
        <v>79.06999999999999</v>
      </c>
      <c r="AF309" s="2" t="n">
        <v>80.98</v>
      </c>
      <c r="AG309" s="2" t="n">
        <v>100</v>
      </c>
      <c r="AH309" s="2" t="n">
        <v>99.53</v>
      </c>
      <c r="AI309" s="2" t="n">
        <v>94.31</v>
      </c>
      <c r="AJ309" s="2" t="n">
        <v>100</v>
      </c>
      <c r="AK309" s="2" t="n">
        <v>100</v>
      </c>
      <c r="AL309" s="2" t="n">
        <v>99.53</v>
      </c>
      <c r="AM309" s="2" t="n">
        <v>100</v>
      </c>
      <c r="AN309" s="2" t="n">
        <v>100</v>
      </c>
      <c r="AO309" s="2" t="n">
        <v>99.53</v>
      </c>
      <c r="AP309" s="2" t="n">
        <v>100</v>
      </c>
      <c r="AQ309" s="2" t="n">
        <v>100</v>
      </c>
      <c r="AR309" s="2" t="n">
        <v>99.53</v>
      </c>
      <c r="AS309" s="2" t="n">
        <v>100</v>
      </c>
      <c r="AT309" s="2" t="n">
        <v>100</v>
      </c>
      <c r="AU309" s="2" t="n">
        <v>99.53</v>
      </c>
      <c r="AV309" s="2" t="n">
        <v>100</v>
      </c>
      <c r="AW309" s="2" t="n">
        <v>100</v>
      </c>
      <c r="AX309" s="2" t="n">
        <v>99.53</v>
      </c>
      <c r="AY309" s="2" t="n">
        <v>100</v>
      </c>
      <c r="AZ309" s="2" t="n">
        <v>100</v>
      </c>
      <c r="BA309" s="2" t="n">
        <v>99.53</v>
      </c>
      <c r="BB309" s="2" t="n">
        <v>100</v>
      </c>
      <c r="BC309" s="2" t="n">
        <v>100</v>
      </c>
      <c r="BD309" s="2" t="n">
        <v>99.53</v>
      </c>
      <c r="BE309" s="2" t="n">
        <v>100</v>
      </c>
      <c r="BF309" s="2" t="n">
        <v>100</v>
      </c>
      <c r="BG309" s="2" t="n">
        <v>99.53</v>
      </c>
      <c r="BH309" s="2" t="n">
        <v>100</v>
      </c>
      <c r="BI309" s="2" t="n">
        <v>100</v>
      </c>
      <c r="BJ309" s="2" t="n">
        <v>99.53</v>
      </c>
      <c r="BK309" s="2" t="n">
        <v>100</v>
      </c>
      <c r="BL309" s="2" t="n">
        <v>100</v>
      </c>
      <c r="BM309" s="2" t="n">
        <v>99.53</v>
      </c>
      <c r="BN309" s="2" t="n">
        <v>100</v>
      </c>
      <c r="BO309" s="2" t="n">
        <v>100</v>
      </c>
      <c r="BP309" s="2" t="n">
        <v>99.53</v>
      </c>
      <c r="BQ309" s="2" t="n">
        <v>100</v>
      </c>
      <c r="BR309" s="2" t="n">
        <v>100</v>
      </c>
      <c r="BS309" s="2" t="n">
        <v>99.53</v>
      </c>
      <c r="BT309" s="2" t="n">
        <v>100</v>
      </c>
      <c r="BU309" s="2" t="n">
        <v>100</v>
      </c>
      <c r="BV309" s="2" t="n">
        <v>99.53</v>
      </c>
      <c r="BW309" s="2" t="n">
        <v>100</v>
      </c>
      <c r="BX309" s="2" t="n">
        <v>100</v>
      </c>
      <c r="BY309" s="2" t="n">
        <v>99.53</v>
      </c>
      <c r="BZ309" s="2" t="n">
        <v>100</v>
      </c>
      <c r="CA309" s="2" t="n">
        <v>100</v>
      </c>
      <c r="CB309" s="2" t="n">
        <v>99.53</v>
      </c>
      <c r="CC309" s="2" t="n">
        <v>100</v>
      </c>
      <c r="CD309" s="2" t="n">
        <v>100</v>
      </c>
      <c r="CE309" s="2" t="n">
        <v>99.53</v>
      </c>
      <c r="CF309" s="2" t="n">
        <v>100</v>
      </c>
      <c r="CG309" s="2" t="n">
        <v>100</v>
      </c>
      <c r="CH309" s="2" t="n">
        <v>99.53</v>
      </c>
      <c r="CI309" s="2" t="n">
        <v>100</v>
      </c>
      <c r="CJ309" s="2" t="n">
        <v>100</v>
      </c>
      <c r="CK309" s="2" t="n">
        <v>99.53</v>
      </c>
      <c r="CL309" s="2" t="n">
        <v>100</v>
      </c>
      <c r="CM309" s="2" t="n">
        <v>100</v>
      </c>
      <c r="CN309" s="2" t="n">
        <v>99.53</v>
      </c>
      <c r="CO309" s="2" t="n">
        <v>100</v>
      </c>
      <c r="CP309" s="2" t="n">
        <v>100</v>
      </c>
      <c r="CQ309" s="2" t="n">
        <v>99.53</v>
      </c>
      <c r="CR309" s="2" t="n">
        <v>100</v>
      </c>
      <c r="CS309" s="2" t="n">
        <v>100</v>
      </c>
      <c r="CT309" s="2" t="n">
        <v>99.53</v>
      </c>
      <c r="CU309" s="2" t="n">
        <v>100</v>
      </c>
      <c r="CV309" s="2" t="n">
        <v>100</v>
      </c>
      <c r="CW309" s="2" t="n">
        <v>99.53</v>
      </c>
      <c r="CX309" s="2" t="n">
        <v>100</v>
      </c>
      <c r="CY309" s="2" t="n">
        <v>100</v>
      </c>
      <c r="CZ309" s="2" t="n">
        <v>99.53</v>
      </c>
      <c r="DA309" s="2" t="n">
        <v>100</v>
      </c>
      <c r="DB309" s="2" t="n">
        <v>100</v>
      </c>
      <c r="DC309" s="2" t="n">
        <v>99.53</v>
      </c>
      <c r="DD309" s="2" t="n">
        <v>100</v>
      </c>
      <c r="DE309" s="2" t="n">
        <v>100</v>
      </c>
      <c r="DF309" s="2" t="n">
        <v>99.53</v>
      </c>
      <c r="DG309" s="2" t="n">
        <v>100</v>
      </c>
      <c r="DH309" s="2" t="n">
        <v>100</v>
      </c>
      <c r="DI309" s="2" t="n">
        <v>99.53</v>
      </c>
      <c r="DJ309" s="2" t="n">
        <v>100</v>
      </c>
      <c r="DK309" s="2" t="n">
        <v>100</v>
      </c>
      <c r="DL309" s="2" t="n">
        <v>99.53</v>
      </c>
      <c r="DM309" s="2" t="n">
        <v>100</v>
      </c>
      <c r="DN309" s="2" t="n">
        <v>100</v>
      </c>
      <c r="DO309" s="2" t="n">
        <v>99.53</v>
      </c>
      <c r="DP309" s="2" t="n">
        <v>100</v>
      </c>
      <c r="DQ309" s="2" t="n">
        <v>100</v>
      </c>
      <c r="DR309" s="2" t="n">
        <v>99.53</v>
      </c>
      <c r="DS309" s="2" t="n">
        <v>100</v>
      </c>
      <c r="DT309" s="2" t="n">
        <v>100</v>
      </c>
      <c r="DU309" s="2" t="n">
        <v>99.53</v>
      </c>
      <c r="DV309" s="2" t="n">
        <v>100</v>
      </c>
      <c r="DW309" s="2" t="n">
        <v>100</v>
      </c>
      <c r="DX309" s="2" t="n">
        <v>99.53</v>
      </c>
      <c r="DY309" s="2" t="n">
        <v>100</v>
      </c>
      <c r="DZ309" s="2" t="n">
        <v>100</v>
      </c>
      <c r="EA309" s="2" t="n">
        <v>99.53</v>
      </c>
      <c r="EB309" s="2" t="n">
        <v>100</v>
      </c>
      <c r="EC309" s="2" t="n">
        <v>100</v>
      </c>
      <c r="ED309" s="2" t="n">
        <v>99.53</v>
      </c>
      <c r="EE309" s="2" t="n">
        <v>100</v>
      </c>
      <c r="EF309" s="2" t="n">
        <v>100</v>
      </c>
      <c r="EG309" s="2" t="n">
        <v>99.53</v>
      </c>
      <c r="EH309" s="2" t="n">
        <v>100</v>
      </c>
      <c r="EI309" s="2" t="n">
        <v>100</v>
      </c>
      <c r="EJ309" s="2" t="n">
        <v>99.53</v>
      </c>
      <c r="EK309" s="2" t="n">
        <v>100</v>
      </c>
      <c r="EL309" s="2" t="n">
        <v>100</v>
      </c>
      <c r="EM309" s="2" t="n">
        <v>99.53</v>
      </c>
      <c r="EN309" s="2" t="n">
        <v>100</v>
      </c>
      <c r="EO309" s="2" t="n">
        <v>100</v>
      </c>
      <c r="EP309" s="2" t="n">
        <v>99.53</v>
      </c>
      <c r="EQ309" s="2" t="n">
        <v>100</v>
      </c>
      <c r="ER309" s="2" t="n">
        <v>100</v>
      </c>
      <c r="ES309" s="2" t="n">
        <v>99.53</v>
      </c>
    </row>
    <row r="310">
      <c r="A310" s="2" t="n">
        <v>3</v>
      </c>
      <c r="B310" s="2" t="inlineStr">
        <is>
          <t>15.04.05</t>
        </is>
      </c>
      <c r="C310" s="2" t="inlineStr">
        <is>
          <t>Bucha de argamassa de cimento e areia para limpeza e lubrificação de bomba</t>
        </is>
      </c>
      <c r="D310" s="2" t="inlineStr">
        <is>
          <t>13/10/2025</t>
        </is>
      </c>
      <c r="E310" s="2" t="inlineStr">
        <is>
          <t>03/03/2026</t>
        </is>
      </c>
      <c r="F310" s="2" t="n">
        <v>5209.406746388207</v>
      </c>
      <c r="G310" s="2" t="n">
        <v>0</v>
      </c>
      <c r="H310" s="2" t="n">
        <v>5209.406746388207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17.44</v>
      </c>
      <c r="V310" s="2" t="n">
        <v>17.44</v>
      </c>
      <c r="W310" s="2" t="n">
        <v>21.06</v>
      </c>
      <c r="X310" s="2" t="n">
        <v>39.53</v>
      </c>
      <c r="Y310" s="2" t="n">
        <v>39.53</v>
      </c>
      <c r="Z310" s="2" t="n">
        <v>46.99</v>
      </c>
      <c r="AA310" s="2" t="n">
        <v>55.81</v>
      </c>
      <c r="AB310" s="2" t="n">
        <v>55.81</v>
      </c>
      <c r="AC310" s="2" t="n">
        <v>62.54</v>
      </c>
      <c r="AD310" s="2" t="n">
        <v>79.06999999999999</v>
      </c>
      <c r="AE310" s="2" t="n">
        <v>79.06999999999999</v>
      </c>
      <c r="AF310" s="2" t="n">
        <v>80.98</v>
      </c>
      <c r="AG310" s="2" t="n">
        <v>100</v>
      </c>
      <c r="AH310" s="2" t="n">
        <v>99.53</v>
      </c>
      <c r="AI310" s="2" t="n">
        <v>94.31</v>
      </c>
      <c r="AJ310" s="2" t="n">
        <v>100</v>
      </c>
      <c r="AK310" s="2" t="n">
        <v>100</v>
      </c>
      <c r="AL310" s="2" t="n">
        <v>99.53</v>
      </c>
      <c r="AM310" s="2" t="n">
        <v>100</v>
      </c>
      <c r="AN310" s="2" t="n">
        <v>100</v>
      </c>
      <c r="AO310" s="2" t="n">
        <v>99.53</v>
      </c>
      <c r="AP310" s="2" t="n">
        <v>100</v>
      </c>
      <c r="AQ310" s="2" t="n">
        <v>100</v>
      </c>
      <c r="AR310" s="2" t="n">
        <v>99.53</v>
      </c>
      <c r="AS310" s="2" t="n">
        <v>100</v>
      </c>
      <c r="AT310" s="2" t="n">
        <v>100</v>
      </c>
      <c r="AU310" s="2" t="n">
        <v>99.53</v>
      </c>
      <c r="AV310" s="2" t="n">
        <v>100</v>
      </c>
      <c r="AW310" s="2" t="n">
        <v>100</v>
      </c>
      <c r="AX310" s="2" t="n">
        <v>99.53</v>
      </c>
      <c r="AY310" s="2" t="n">
        <v>100</v>
      </c>
      <c r="AZ310" s="2" t="n">
        <v>100</v>
      </c>
      <c r="BA310" s="2" t="n">
        <v>99.53</v>
      </c>
      <c r="BB310" s="2" t="n">
        <v>100</v>
      </c>
      <c r="BC310" s="2" t="n">
        <v>100</v>
      </c>
      <c r="BD310" s="2" t="n">
        <v>99.53</v>
      </c>
      <c r="BE310" s="2" t="n">
        <v>100</v>
      </c>
      <c r="BF310" s="2" t="n">
        <v>100</v>
      </c>
      <c r="BG310" s="2" t="n">
        <v>99.53</v>
      </c>
      <c r="BH310" s="2" t="n">
        <v>100</v>
      </c>
      <c r="BI310" s="2" t="n">
        <v>100</v>
      </c>
      <c r="BJ310" s="2" t="n">
        <v>99.53</v>
      </c>
      <c r="BK310" s="2" t="n">
        <v>100</v>
      </c>
      <c r="BL310" s="2" t="n">
        <v>100</v>
      </c>
      <c r="BM310" s="2" t="n">
        <v>99.53</v>
      </c>
      <c r="BN310" s="2" t="n">
        <v>100</v>
      </c>
      <c r="BO310" s="2" t="n">
        <v>100</v>
      </c>
      <c r="BP310" s="2" t="n">
        <v>99.53</v>
      </c>
      <c r="BQ310" s="2" t="n">
        <v>100</v>
      </c>
      <c r="BR310" s="2" t="n">
        <v>100</v>
      </c>
      <c r="BS310" s="2" t="n">
        <v>99.53</v>
      </c>
      <c r="BT310" s="2" t="n">
        <v>100</v>
      </c>
      <c r="BU310" s="2" t="n">
        <v>100</v>
      </c>
      <c r="BV310" s="2" t="n">
        <v>99.53</v>
      </c>
      <c r="BW310" s="2" t="n">
        <v>100</v>
      </c>
      <c r="BX310" s="2" t="n">
        <v>100</v>
      </c>
      <c r="BY310" s="2" t="n">
        <v>99.53</v>
      </c>
      <c r="BZ310" s="2" t="n">
        <v>100</v>
      </c>
      <c r="CA310" s="2" t="n">
        <v>100</v>
      </c>
      <c r="CB310" s="2" t="n">
        <v>99.53</v>
      </c>
      <c r="CC310" s="2" t="n">
        <v>100</v>
      </c>
      <c r="CD310" s="2" t="n">
        <v>100</v>
      </c>
      <c r="CE310" s="2" t="n">
        <v>99.53</v>
      </c>
      <c r="CF310" s="2" t="n">
        <v>100</v>
      </c>
      <c r="CG310" s="2" t="n">
        <v>100</v>
      </c>
      <c r="CH310" s="2" t="n">
        <v>99.53</v>
      </c>
      <c r="CI310" s="2" t="n">
        <v>100</v>
      </c>
      <c r="CJ310" s="2" t="n">
        <v>100</v>
      </c>
      <c r="CK310" s="2" t="n">
        <v>99.53</v>
      </c>
      <c r="CL310" s="2" t="n">
        <v>100</v>
      </c>
      <c r="CM310" s="2" t="n">
        <v>100</v>
      </c>
      <c r="CN310" s="2" t="n">
        <v>99.53</v>
      </c>
      <c r="CO310" s="2" t="n">
        <v>100</v>
      </c>
      <c r="CP310" s="2" t="n">
        <v>100</v>
      </c>
      <c r="CQ310" s="2" t="n">
        <v>99.53</v>
      </c>
      <c r="CR310" s="2" t="n">
        <v>100</v>
      </c>
      <c r="CS310" s="2" t="n">
        <v>100</v>
      </c>
      <c r="CT310" s="2" t="n">
        <v>99.53</v>
      </c>
      <c r="CU310" s="2" t="n">
        <v>100</v>
      </c>
      <c r="CV310" s="2" t="n">
        <v>100</v>
      </c>
      <c r="CW310" s="2" t="n">
        <v>99.53</v>
      </c>
      <c r="CX310" s="2" t="n">
        <v>100</v>
      </c>
      <c r="CY310" s="2" t="n">
        <v>100</v>
      </c>
      <c r="CZ310" s="2" t="n">
        <v>99.53</v>
      </c>
      <c r="DA310" s="2" t="n">
        <v>100</v>
      </c>
      <c r="DB310" s="2" t="n">
        <v>100</v>
      </c>
      <c r="DC310" s="2" t="n">
        <v>99.53</v>
      </c>
      <c r="DD310" s="2" t="n">
        <v>100</v>
      </c>
      <c r="DE310" s="2" t="n">
        <v>100</v>
      </c>
      <c r="DF310" s="2" t="n">
        <v>99.53</v>
      </c>
      <c r="DG310" s="2" t="n">
        <v>100</v>
      </c>
      <c r="DH310" s="2" t="n">
        <v>100</v>
      </c>
      <c r="DI310" s="2" t="n">
        <v>99.53</v>
      </c>
      <c r="DJ310" s="2" t="n">
        <v>100</v>
      </c>
      <c r="DK310" s="2" t="n">
        <v>100</v>
      </c>
      <c r="DL310" s="2" t="n">
        <v>99.53</v>
      </c>
      <c r="DM310" s="2" t="n">
        <v>100</v>
      </c>
      <c r="DN310" s="2" t="n">
        <v>100</v>
      </c>
      <c r="DO310" s="2" t="n">
        <v>99.53</v>
      </c>
      <c r="DP310" s="2" t="n">
        <v>100</v>
      </c>
      <c r="DQ310" s="2" t="n">
        <v>100</v>
      </c>
      <c r="DR310" s="2" t="n">
        <v>99.53</v>
      </c>
      <c r="DS310" s="2" t="n">
        <v>100</v>
      </c>
      <c r="DT310" s="2" t="n">
        <v>100</v>
      </c>
      <c r="DU310" s="2" t="n">
        <v>99.53</v>
      </c>
      <c r="DV310" s="2" t="n">
        <v>100</v>
      </c>
      <c r="DW310" s="2" t="n">
        <v>100</v>
      </c>
      <c r="DX310" s="2" t="n">
        <v>99.53</v>
      </c>
      <c r="DY310" s="2" t="n">
        <v>100</v>
      </c>
      <c r="DZ310" s="2" t="n">
        <v>100</v>
      </c>
      <c r="EA310" s="2" t="n">
        <v>99.53</v>
      </c>
      <c r="EB310" s="2" t="n">
        <v>100</v>
      </c>
      <c r="EC310" s="2" t="n">
        <v>100</v>
      </c>
      <c r="ED310" s="2" t="n">
        <v>99.53</v>
      </c>
      <c r="EE310" s="2" t="n">
        <v>100</v>
      </c>
      <c r="EF310" s="2" t="n">
        <v>100</v>
      </c>
      <c r="EG310" s="2" t="n">
        <v>99.53</v>
      </c>
      <c r="EH310" s="2" t="n">
        <v>100</v>
      </c>
      <c r="EI310" s="2" t="n">
        <v>100</v>
      </c>
      <c r="EJ310" s="2" t="n">
        <v>99.53</v>
      </c>
      <c r="EK310" s="2" t="n">
        <v>100</v>
      </c>
      <c r="EL310" s="2" t="n">
        <v>100</v>
      </c>
      <c r="EM310" s="2" t="n">
        <v>99.53</v>
      </c>
      <c r="EN310" s="2" t="n">
        <v>100</v>
      </c>
      <c r="EO310" s="2" t="n">
        <v>100</v>
      </c>
      <c r="EP310" s="2" t="n">
        <v>99.53</v>
      </c>
      <c r="EQ310" s="2" t="n">
        <v>100</v>
      </c>
      <c r="ER310" s="2" t="n">
        <v>100</v>
      </c>
      <c r="ES310" s="2" t="n">
        <v>99.53</v>
      </c>
    </row>
    <row r="311">
      <c r="A311" s="2" t="n">
        <v>3</v>
      </c>
      <c r="B311" s="2" t="inlineStr">
        <is>
          <t>15.04.06</t>
        </is>
      </c>
      <c r="C311" s="2" t="inlineStr">
        <is>
          <t>&lt;html&gt;Armadura Ca-50 adquirido cortado e dobrado, montagem e posicionamento no canteiro - &lt;b&gt;Quant. de projeto&lt;/b&gt;&lt;/html&gt;</t>
        </is>
      </c>
      <c r="D311" s="2" t="inlineStr">
        <is>
          <t>13/10/2025</t>
        </is>
      </c>
      <c r="E311" s="2" t="inlineStr">
        <is>
          <t>03/03/2026</t>
        </is>
      </c>
      <c r="F311" s="2" t="n">
        <v>869895.4798834921</v>
      </c>
      <c r="G311" s="2" t="n">
        <v>0</v>
      </c>
      <c r="H311" s="2" t="n">
        <v>869895.4798834921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17.44</v>
      </c>
      <c r="V311" s="2" t="n">
        <v>17.44</v>
      </c>
      <c r="W311" s="2" t="n">
        <v>21.06</v>
      </c>
      <c r="X311" s="2" t="n">
        <v>39.53</v>
      </c>
      <c r="Y311" s="2" t="n">
        <v>39.53</v>
      </c>
      <c r="Z311" s="2" t="n">
        <v>46.99</v>
      </c>
      <c r="AA311" s="2" t="n">
        <v>55.81</v>
      </c>
      <c r="AB311" s="2" t="n">
        <v>55.81</v>
      </c>
      <c r="AC311" s="2" t="n">
        <v>62.54</v>
      </c>
      <c r="AD311" s="2" t="n">
        <v>79.06999999999999</v>
      </c>
      <c r="AE311" s="2" t="n">
        <v>79.06999999999999</v>
      </c>
      <c r="AF311" s="2" t="n">
        <v>80.98</v>
      </c>
      <c r="AG311" s="2" t="n">
        <v>100</v>
      </c>
      <c r="AH311" s="2" t="n">
        <v>99.53</v>
      </c>
      <c r="AI311" s="2" t="n">
        <v>94.31</v>
      </c>
      <c r="AJ311" s="2" t="n">
        <v>100</v>
      </c>
      <c r="AK311" s="2" t="n">
        <v>100</v>
      </c>
      <c r="AL311" s="2" t="n">
        <v>99.53</v>
      </c>
      <c r="AM311" s="2" t="n">
        <v>100</v>
      </c>
      <c r="AN311" s="2" t="n">
        <v>100</v>
      </c>
      <c r="AO311" s="2" t="n">
        <v>99.53</v>
      </c>
      <c r="AP311" s="2" t="n">
        <v>100</v>
      </c>
      <c r="AQ311" s="2" t="n">
        <v>100</v>
      </c>
      <c r="AR311" s="2" t="n">
        <v>99.53</v>
      </c>
      <c r="AS311" s="2" t="n">
        <v>100</v>
      </c>
      <c r="AT311" s="2" t="n">
        <v>100</v>
      </c>
      <c r="AU311" s="2" t="n">
        <v>99.53</v>
      </c>
      <c r="AV311" s="2" t="n">
        <v>100</v>
      </c>
      <c r="AW311" s="2" t="n">
        <v>100</v>
      </c>
      <c r="AX311" s="2" t="n">
        <v>99.53</v>
      </c>
      <c r="AY311" s="2" t="n">
        <v>100</v>
      </c>
      <c r="AZ311" s="2" t="n">
        <v>100</v>
      </c>
      <c r="BA311" s="2" t="n">
        <v>99.53</v>
      </c>
      <c r="BB311" s="2" t="n">
        <v>100</v>
      </c>
      <c r="BC311" s="2" t="n">
        <v>100</v>
      </c>
      <c r="BD311" s="2" t="n">
        <v>99.53</v>
      </c>
      <c r="BE311" s="2" t="n">
        <v>100</v>
      </c>
      <c r="BF311" s="2" t="n">
        <v>100</v>
      </c>
      <c r="BG311" s="2" t="n">
        <v>99.53</v>
      </c>
      <c r="BH311" s="2" t="n">
        <v>100</v>
      </c>
      <c r="BI311" s="2" t="n">
        <v>100</v>
      </c>
      <c r="BJ311" s="2" t="n">
        <v>99.53</v>
      </c>
      <c r="BK311" s="2" t="n">
        <v>100</v>
      </c>
      <c r="BL311" s="2" t="n">
        <v>100</v>
      </c>
      <c r="BM311" s="2" t="n">
        <v>99.53</v>
      </c>
      <c r="BN311" s="2" t="n">
        <v>100</v>
      </c>
      <c r="BO311" s="2" t="n">
        <v>100</v>
      </c>
      <c r="BP311" s="2" t="n">
        <v>99.53</v>
      </c>
      <c r="BQ311" s="2" t="n">
        <v>100</v>
      </c>
      <c r="BR311" s="2" t="n">
        <v>100</v>
      </c>
      <c r="BS311" s="2" t="n">
        <v>99.53</v>
      </c>
      <c r="BT311" s="2" t="n">
        <v>100</v>
      </c>
      <c r="BU311" s="2" t="n">
        <v>100</v>
      </c>
      <c r="BV311" s="2" t="n">
        <v>99.53</v>
      </c>
      <c r="BW311" s="2" t="n">
        <v>100</v>
      </c>
      <c r="BX311" s="2" t="n">
        <v>100</v>
      </c>
      <c r="BY311" s="2" t="n">
        <v>99.53</v>
      </c>
      <c r="BZ311" s="2" t="n">
        <v>100</v>
      </c>
      <c r="CA311" s="2" t="n">
        <v>100</v>
      </c>
      <c r="CB311" s="2" t="n">
        <v>99.53</v>
      </c>
      <c r="CC311" s="2" t="n">
        <v>100</v>
      </c>
      <c r="CD311" s="2" t="n">
        <v>100</v>
      </c>
      <c r="CE311" s="2" t="n">
        <v>99.53</v>
      </c>
      <c r="CF311" s="2" t="n">
        <v>100</v>
      </c>
      <c r="CG311" s="2" t="n">
        <v>100</v>
      </c>
      <c r="CH311" s="2" t="n">
        <v>99.53</v>
      </c>
      <c r="CI311" s="2" t="n">
        <v>100</v>
      </c>
      <c r="CJ311" s="2" t="n">
        <v>100</v>
      </c>
      <c r="CK311" s="2" t="n">
        <v>99.53</v>
      </c>
      <c r="CL311" s="2" t="n">
        <v>100</v>
      </c>
      <c r="CM311" s="2" t="n">
        <v>100</v>
      </c>
      <c r="CN311" s="2" t="n">
        <v>99.53</v>
      </c>
      <c r="CO311" s="2" t="n">
        <v>100</v>
      </c>
      <c r="CP311" s="2" t="n">
        <v>100</v>
      </c>
      <c r="CQ311" s="2" t="n">
        <v>99.53</v>
      </c>
      <c r="CR311" s="2" t="n">
        <v>100</v>
      </c>
      <c r="CS311" s="2" t="n">
        <v>100</v>
      </c>
      <c r="CT311" s="2" t="n">
        <v>99.53</v>
      </c>
      <c r="CU311" s="2" t="n">
        <v>100</v>
      </c>
      <c r="CV311" s="2" t="n">
        <v>100</v>
      </c>
      <c r="CW311" s="2" t="n">
        <v>99.53</v>
      </c>
      <c r="CX311" s="2" t="n">
        <v>100</v>
      </c>
      <c r="CY311" s="2" t="n">
        <v>100</v>
      </c>
      <c r="CZ311" s="2" t="n">
        <v>99.53</v>
      </c>
      <c r="DA311" s="2" t="n">
        <v>100</v>
      </c>
      <c r="DB311" s="2" t="n">
        <v>100</v>
      </c>
      <c r="DC311" s="2" t="n">
        <v>99.53</v>
      </c>
      <c r="DD311" s="2" t="n">
        <v>100</v>
      </c>
      <c r="DE311" s="2" t="n">
        <v>100</v>
      </c>
      <c r="DF311" s="2" t="n">
        <v>99.53</v>
      </c>
      <c r="DG311" s="2" t="n">
        <v>100</v>
      </c>
      <c r="DH311" s="2" t="n">
        <v>100</v>
      </c>
      <c r="DI311" s="2" t="n">
        <v>99.53</v>
      </c>
      <c r="DJ311" s="2" t="n">
        <v>100</v>
      </c>
      <c r="DK311" s="2" t="n">
        <v>100</v>
      </c>
      <c r="DL311" s="2" t="n">
        <v>99.53</v>
      </c>
      <c r="DM311" s="2" t="n">
        <v>100</v>
      </c>
      <c r="DN311" s="2" t="n">
        <v>100</v>
      </c>
      <c r="DO311" s="2" t="n">
        <v>99.53</v>
      </c>
      <c r="DP311" s="2" t="n">
        <v>100</v>
      </c>
      <c r="DQ311" s="2" t="n">
        <v>100</v>
      </c>
      <c r="DR311" s="2" t="n">
        <v>99.53</v>
      </c>
      <c r="DS311" s="2" t="n">
        <v>100</v>
      </c>
      <c r="DT311" s="2" t="n">
        <v>100</v>
      </c>
      <c r="DU311" s="2" t="n">
        <v>99.53</v>
      </c>
      <c r="DV311" s="2" t="n">
        <v>100</v>
      </c>
      <c r="DW311" s="2" t="n">
        <v>100</v>
      </c>
      <c r="DX311" s="2" t="n">
        <v>99.53</v>
      </c>
      <c r="DY311" s="2" t="n">
        <v>100</v>
      </c>
      <c r="DZ311" s="2" t="n">
        <v>100</v>
      </c>
      <c r="EA311" s="2" t="n">
        <v>99.53</v>
      </c>
      <c r="EB311" s="2" t="n">
        <v>100</v>
      </c>
      <c r="EC311" s="2" t="n">
        <v>100</v>
      </c>
      <c r="ED311" s="2" t="n">
        <v>99.53</v>
      </c>
      <c r="EE311" s="2" t="n">
        <v>100</v>
      </c>
      <c r="EF311" s="2" t="n">
        <v>100</v>
      </c>
      <c r="EG311" s="2" t="n">
        <v>99.53</v>
      </c>
      <c r="EH311" s="2" t="n">
        <v>100</v>
      </c>
      <c r="EI311" s="2" t="n">
        <v>100</v>
      </c>
      <c r="EJ311" s="2" t="n">
        <v>99.53</v>
      </c>
      <c r="EK311" s="2" t="n">
        <v>100</v>
      </c>
      <c r="EL311" s="2" t="n">
        <v>100</v>
      </c>
      <c r="EM311" s="2" t="n">
        <v>99.53</v>
      </c>
      <c r="EN311" s="2" t="n">
        <v>100</v>
      </c>
      <c r="EO311" s="2" t="n">
        <v>100</v>
      </c>
      <c r="EP311" s="2" t="n">
        <v>99.53</v>
      </c>
      <c r="EQ311" s="2" t="n">
        <v>100</v>
      </c>
      <c r="ER311" s="2" t="n">
        <v>100</v>
      </c>
      <c r="ES311" s="2" t="n">
        <v>99.53</v>
      </c>
    </row>
    <row r="312">
      <c r="A312" s="2" t="n">
        <v>3</v>
      </c>
      <c r="B312" s="2" t="inlineStr">
        <is>
          <t>15.04.07</t>
        </is>
      </c>
      <c r="C312" s="2" t="inlineStr">
        <is>
          <t>Arrasamento de cabeça de estacas com martelete</t>
        </is>
      </c>
      <c r="D312" s="2" t="inlineStr">
        <is>
          <t>13/10/2025</t>
        </is>
      </c>
      <c r="E312" s="2" t="inlineStr">
        <is>
          <t>03/03/2026</t>
        </is>
      </c>
      <c r="F312" s="2" t="n">
        <v>63200</v>
      </c>
      <c r="G312" s="2" t="n">
        <v>0</v>
      </c>
      <c r="H312" s="2" t="n">
        <v>63200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17.44</v>
      </c>
      <c r="V312" s="2" t="n">
        <v>17.44</v>
      </c>
      <c r="W312" s="2" t="n">
        <v>21.06</v>
      </c>
      <c r="X312" s="2" t="n">
        <v>39.53</v>
      </c>
      <c r="Y312" s="2" t="n">
        <v>39.53</v>
      </c>
      <c r="Z312" s="2" t="n">
        <v>46.99</v>
      </c>
      <c r="AA312" s="2" t="n">
        <v>55.81</v>
      </c>
      <c r="AB312" s="2" t="n">
        <v>55.81</v>
      </c>
      <c r="AC312" s="2" t="n">
        <v>62.54</v>
      </c>
      <c r="AD312" s="2" t="n">
        <v>79.06999999999999</v>
      </c>
      <c r="AE312" s="2" t="n">
        <v>79.06999999999999</v>
      </c>
      <c r="AF312" s="2" t="n">
        <v>80.98</v>
      </c>
      <c r="AG312" s="2" t="n">
        <v>100</v>
      </c>
      <c r="AH312" s="2" t="n">
        <v>99.53</v>
      </c>
      <c r="AI312" s="2" t="n">
        <v>94.31</v>
      </c>
      <c r="AJ312" s="2" t="n">
        <v>100</v>
      </c>
      <c r="AK312" s="2" t="n">
        <v>100</v>
      </c>
      <c r="AL312" s="2" t="n">
        <v>99.53</v>
      </c>
      <c r="AM312" s="2" t="n">
        <v>100</v>
      </c>
      <c r="AN312" s="2" t="n">
        <v>100</v>
      </c>
      <c r="AO312" s="2" t="n">
        <v>99.53</v>
      </c>
      <c r="AP312" s="2" t="n">
        <v>100</v>
      </c>
      <c r="AQ312" s="2" t="n">
        <v>100</v>
      </c>
      <c r="AR312" s="2" t="n">
        <v>99.53</v>
      </c>
      <c r="AS312" s="2" t="n">
        <v>100</v>
      </c>
      <c r="AT312" s="2" t="n">
        <v>100</v>
      </c>
      <c r="AU312" s="2" t="n">
        <v>99.53</v>
      </c>
      <c r="AV312" s="2" t="n">
        <v>100</v>
      </c>
      <c r="AW312" s="2" t="n">
        <v>100</v>
      </c>
      <c r="AX312" s="2" t="n">
        <v>99.53</v>
      </c>
      <c r="AY312" s="2" t="n">
        <v>100</v>
      </c>
      <c r="AZ312" s="2" t="n">
        <v>100</v>
      </c>
      <c r="BA312" s="2" t="n">
        <v>99.53</v>
      </c>
      <c r="BB312" s="2" t="n">
        <v>100</v>
      </c>
      <c r="BC312" s="2" t="n">
        <v>100</v>
      </c>
      <c r="BD312" s="2" t="n">
        <v>99.53</v>
      </c>
      <c r="BE312" s="2" t="n">
        <v>100</v>
      </c>
      <c r="BF312" s="2" t="n">
        <v>100</v>
      </c>
      <c r="BG312" s="2" t="n">
        <v>99.53</v>
      </c>
      <c r="BH312" s="2" t="n">
        <v>100</v>
      </c>
      <c r="BI312" s="2" t="n">
        <v>100</v>
      </c>
      <c r="BJ312" s="2" t="n">
        <v>99.53</v>
      </c>
      <c r="BK312" s="2" t="n">
        <v>100</v>
      </c>
      <c r="BL312" s="2" t="n">
        <v>100</v>
      </c>
      <c r="BM312" s="2" t="n">
        <v>99.53</v>
      </c>
      <c r="BN312" s="2" t="n">
        <v>100</v>
      </c>
      <c r="BO312" s="2" t="n">
        <v>100</v>
      </c>
      <c r="BP312" s="2" t="n">
        <v>99.53</v>
      </c>
      <c r="BQ312" s="2" t="n">
        <v>100</v>
      </c>
      <c r="BR312" s="2" t="n">
        <v>100</v>
      </c>
      <c r="BS312" s="2" t="n">
        <v>99.53</v>
      </c>
      <c r="BT312" s="2" t="n">
        <v>100</v>
      </c>
      <c r="BU312" s="2" t="n">
        <v>100</v>
      </c>
      <c r="BV312" s="2" t="n">
        <v>99.53</v>
      </c>
      <c r="BW312" s="2" t="n">
        <v>100</v>
      </c>
      <c r="BX312" s="2" t="n">
        <v>100</v>
      </c>
      <c r="BY312" s="2" t="n">
        <v>99.53</v>
      </c>
      <c r="BZ312" s="2" t="n">
        <v>100</v>
      </c>
      <c r="CA312" s="2" t="n">
        <v>100</v>
      </c>
      <c r="CB312" s="2" t="n">
        <v>99.53</v>
      </c>
      <c r="CC312" s="2" t="n">
        <v>100</v>
      </c>
      <c r="CD312" s="2" t="n">
        <v>100</v>
      </c>
      <c r="CE312" s="2" t="n">
        <v>99.53</v>
      </c>
      <c r="CF312" s="2" t="n">
        <v>100</v>
      </c>
      <c r="CG312" s="2" t="n">
        <v>100</v>
      </c>
      <c r="CH312" s="2" t="n">
        <v>99.53</v>
      </c>
      <c r="CI312" s="2" t="n">
        <v>100</v>
      </c>
      <c r="CJ312" s="2" t="n">
        <v>100</v>
      </c>
      <c r="CK312" s="2" t="n">
        <v>99.53</v>
      </c>
      <c r="CL312" s="2" t="n">
        <v>100</v>
      </c>
      <c r="CM312" s="2" t="n">
        <v>100</v>
      </c>
      <c r="CN312" s="2" t="n">
        <v>99.53</v>
      </c>
      <c r="CO312" s="2" t="n">
        <v>100</v>
      </c>
      <c r="CP312" s="2" t="n">
        <v>100</v>
      </c>
      <c r="CQ312" s="2" t="n">
        <v>99.53</v>
      </c>
      <c r="CR312" s="2" t="n">
        <v>100</v>
      </c>
      <c r="CS312" s="2" t="n">
        <v>100</v>
      </c>
      <c r="CT312" s="2" t="n">
        <v>99.53</v>
      </c>
      <c r="CU312" s="2" t="n">
        <v>100</v>
      </c>
      <c r="CV312" s="2" t="n">
        <v>100</v>
      </c>
      <c r="CW312" s="2" t="n">
        <v>99.53</v>
      </c>
      <c r="CX312" s="2" t="n">
        <v>100</v>
      </c>
      <c r="CY312" s="2" t="n">
        <v>100</v>
      </c>
      <c r="CZ312" s="2" t="n">
        <v>99.53</v>
      </c>
      <c r="DA312" s="2" t="n">
        <v>100</v>
      </c>
      <c r="DB312" s="2" t="n">
        <v>100</v>
      </c>
      <c r="DC312" s="2" t="n">
        <v>99.53</v>
      </c>
      <c r="DD312" s="2" t="n">
        <v>100</v>
      </c>
      <c r="DE312" s="2" t="n">
        <v>100</v>
      </c>
      <c r="DF312" s="2" t="n">
        <v>99.53</v>
      </c>
      <c r="DG312" s="2" t="n">
        <v>100</v>
      </c>
      <c r="DH312" s="2" t="n">
        <v>100</v>
      </c>
      <c r="DI312" s="2" t="n">
        <v>99.53</v>
      </c>
      <c r="DJ312" s="2" t="n">
        <v>100</v>
      </c>
      <c r="DK312" s="2" t="n">
        <v>100</v>
      </c>
      <c r="DL312" s="2" t="n">
        <v>99.53</v>
      </c>
      <c r="DM312" s="2" t="n">
        <v>100</v>
      </c>
      <c r="DN312" s="2" t="n">
        <v>100</v>
      </c>
      <c r="DO312" s="2" t="n">
        <v>99.53</v>
      </c>
      <c r="DP312" s="2" t="n">
        <v>100</v>
      </c>
      <c r="DQ312" s="2" t="n">
        <v>100</v>
      </c>
      <c r="DR312" s="2" t="n">
        <v>99.53</v>
      </c>
      <c r="DS312" s="2" t="n">
        <v>100</v>
      </c>
      <c r="DT312" s="2" t="n">
        <v>100</v>
      </c>
      <c r="DU312" s="2" t="n">
        <v>99.53</v>
      </c>
      <c r="DV312" s="2" t="n">
        <v>100</v>
      </c>
      <c r="DW312" s="2" t="n">
        <v>100</v>
      </c>
      <c r="DX312" s="2" t="n">
        <v>99.53</v>
      </c>
      <c r="DY312" s="2" t="n">
        <v>100</v>
      </c>
      <c r="DZ312" s="2" t="n">
        <v>100</v>
      </c>
      <c r="EA312" s="2" t="n">
        <v>99.53</v>
      </c>
      <c r="EB312" s="2" t="n">
        <v>100</v>
      </c>
      <c r="EC312" s="2" t="n">
        <v>100</v>
      </c>
      <c r="ED312" s="2" t="n">
        <v>99.53</v>
      </c>
      <c r="EE312" s="2" t="n">
        <v>100</v>
      </c>
      <c r="EF312" s="2" t="n">
        <v>100</v>
      </c>
      <c r="EG312" s="2" t="n">
        <v>99.53</v>
      </c>
      <c r="EH312" s="2" t="n">
        <v>100</v>
      </c>
      <c r="EI312" s="2" t="n">
        <v>100</v>
      </c>
      <c r="EJ312" s="2" t="n">
        <v>99.53</v>
      </c>
      <c r="EK312" s="2" t="n">
        <v>100</v>
      </c>
      <c r="EL312" s="2" t="n">
        <v>100</v>
      </c>
      <c r="EM312" s="2" t="n">
        <v>99.53</v>
      </c>
      <c r="EN312" s="2" t="n">
        <v>100</v>
      </c>
      <c r="EO312" s="2" t="n">
        <v>100</v>
      </c>
      <c r="EP312" s="2" t="n">
        <v>99.53</v>
      </c>
      <c r="EQ312" s="2" t="n">
        <v>100</v>
      </c>
      <c r="ER312" s="2" t="n">
        <v>100</v>
      </c>
      <c r="ES312" s="2" t="n">
        <v>99.53</v>
      </c>
    </row>
    <row r="313">
      <c r="A313" s="2" t="n">
        <v>3</v>
      </c>
      <c r="B313" s="2" t="inlineStr">
        <is>
          <t>15.04.08</t>
        </is>
      </c>
      <c r="C313" s="2" t="inlineStr">
        <is>
          <t>Embocamento</t>
        </is>
      </c>
      <c r="D313" s="2" t="inlineStr">
        <is>
          <t>13/10/2025</t>
        </is>
      </c>
      <c r="E313" s="2" t="inlineStr">
        <is>
          <t>03/03/2026</t>
        </is>
      </c>
      <c r="F313" s="2" t="n">
        <v>14220</v>
      </c>
      <c r="G313" s="2" t="n">
        <v>0</v>
      </c>
      <c r="H313" s="2" t="n">
        <v>14220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17.44</v>
      </c>
      <c r="V313" s="2" t="n">
        <v>17.44</v>
      </c>
      <c r="W313" s="2" t="n">
        <v>21.06</v>
      </c>
      <c r="X313" s="2" t="n">
        <v>39.53</v>
      </c>
      <c r="Y313" s="2" t="n">
        <v>39.53</v>
      </c>
      <c r="Z313" s="2" t="n">
        <v>46.99</v>
      </c>
      <c r="AA313" s="2" t="n">
        <v>55.81</v>
      </c>
      <c r="AB313" s="2" t="n">
        <v>55.81</v>
      </c>
      <c r="AC313" s="2" t="n">
        <v>62.54</v>
      </c>
      <c r="AD313" s="2" t="n">
        <v>79.06999999999999</v>
      </c>
      <c r="AE313" s="2" t="n">
        <v>79.06999999999999</v>
      </c>
      <c r="AF313" s="2" t="n">
        <v>80.98</v>
      </c>
      <c r="AG313" s="2" t="n">
        <v>100</v>
      </c>
      <c r="AH313" s="2" t="n">
        <v>99.53</v>
      </c>
      <c r="AI313" s="2" t="n">
        <v>94.31</v>
      </c>
      <c r="AJ313" s="2" t="n">
        <v>100</v>
      </c>
      <c r="AK313" s="2" t="n">
        <v>100</v>
      </c>
      <c r="AL313" s="2" t="n">
        <v>99.53</v>
      </c>
      <c r="AM313" s="2" t="n">
        <v>100</v>
      </c>
      <c r="AN313" s="2" t="n">
        <v>100</v>
      </c>
      <c r="AO313" s="2" t="n">
        <v>99.53</v>
      </c>
      <c r="AP313" s="2" t="n">
        <v>100</v>
      </c>
      <c r="AQ313" s="2" t="n">
        <v>100</v>
      </c>
      <c r="AR313" s="2" t="n">
        <v>99.53</v>
      </c>
      <c r="AS313" s="2" t="n">
        <v>100</v>
      </c>
      <c r="AT313" s="2" t="n">
        <v>100</v>
      </c>
      <c r="AU313" s="2" t="n">
        <v>99.53</v>
      </c>
      <c r="AV313" s="2" t="n">
        <v>100</v>
      </c>
      <c r="AW313" s="2" t="n">
        <v>100</v>
      </c>
      <c r="AX313" s="2" t="n">
        <v>99.53</v>
      </c>
      <c r="AY313" s="2" t="n">
        <v>100</v>
      </c>
      <c r="AZ313" s="2" t="n">
        <v>100</v>
      </c>
      <c r="BA313" s="2" t="n">
        <v>99.53</v>
      </c>
      <c r="BB313" s="2" t="n">
        <v>100</v>
      </c>
      <c r="BC313" s="2" t="n">
        <v>100</v>
      </c>
      <c r="BD313" s="2" t="n">
        <v>99.53</v>
      </c>
      <c r="BE313" s="2" t="n">
        <v>100</v>
      </c>
      <c r="BF313" s="2" t="n">
        <v>100</v>
      </c>
      <c r="BG313" s="2" t="n">
        <v>99.53</v>
      </c>
      <c r="BH313" s="2" t="n">
        <v>100</v>
      </c>
      <c r="BI313" s="2" t="n">
        <v>100</v>
      </c>
      <c r="BJ313" s="2" t="n">
        <v>99.53</v>
      </c>
      <c r="BK313" s="2" t="n">
        <v>100</v>
      </c>
      <c r="BL313" s="2" t="n">
        <v>100</v>
      </c>
      <c r="BM313" s="2" t="n">
        <v>99.53</v>
      </c>
      <c r="BN313" s="2" t="n">
        <v>100</v>
      </c>
      <c r="BO313" s="2" t="n">
        <v>100</v>
      </c>
      <c r="BP313" s="2" t="n">
        <v>99.53</v>
      </c>
      <c r="BQ313" s="2" t="n">
        <v>100</v>
      </c>
      <c r="BR313" s="2" t="n">
        <v>100</v>
      </c>
      <c r="BS313" s="2" t="n">
        <v>99.53</v>
      </c>
      <c r="BT313" s="2" t="n">
        <v>100</v>
      </c>
      <c r="BU313" s="2" t="n">
        <v>100</v>
      </c>
      <c r="BV313" s="2" t="n">
        <v>99.53</v>
      </c>
      <c r="BW313" s="2" t="n">
        <v>100</v>
      </c>
      <c r="BX313" s="2" t="n">
        <v>100</v>
      </c>
      <c r="BY313" s="2" t="n">
        <v>99.53</v>
      </c>
      <c r="BZ313" s="2" t="n">
        <v>100</v>
      </c>
      <c r="CA313" s="2" t="n">
        <v>100</v>
      </c>
      <c r="CB313" s="2" t="n">
        <v>99.53</v>
      </c>
      <c r="CC313" s="2" t="n">
        <v>100</v>
      </c>
      <c r="CD313" s="2" t="n">
        <v>100</v>
      </c>
      <c r="CE313" s="2" t="n">
        <v>99.53</v>
      </c>
      <c r="CF313" s="2" t="n">
        <v>100</v>
      </c>
      <c r="CG313" s="2" t="n">
        <v>100</v>
      </c>
      <c r="CH313" s="2" t="n">
        <v>99.53</v>
      </c>
      <c r="CI313" s="2" t="n">
        <v>100</v>
      </c>
      <c r="CJ313" s="2" t="n">
        <v>100</v>
      </c>
      <c r="CK313" s="2" t="n">
        <v>99.53</v>
      </c>
      <c r="CL313" s="2" t="n">
        <v>100</v>
      </c>
      <c r="CM313" s="2" t="n">
        <v>100</v>
      </c>
      <c r="CN313" s="2" t="n">
        <v>99.53</v>
      </c>
      <c r="CO313" s="2" t="n">
        <v>100</v>
      </c>
      <c r="CP313" s="2" t="n">
        <v>100</v>
      </c>
      <c r="CQ313" s="2" t="n">
        <v>99.53</v>
      </c>
      <c r="CR313" s="2" t="n">
        <v>100</v>
      </c>
      <c r="CS313" s="2" t="n">
        <v>100</v>
      </c>
      <c r="CT313" s="2" t="n">
        <v>99.53</v>
      </c>
      <c r="CU313" s="2" t="n">
        <v>100</v>
      </c>
      <c r="CV313" s="2" t="n">
        <v>100</v>
      </c>
      <c r="CW313" s="2" t="n">
        <v>99.53</v>
      </c>
      <c r="CX313" s="2" t="n">
        <v>100</v>
      </c>
      <c r="CY313" s="2" t="n">
        <v>100</v>
      </c>
      <c r="CZ313" s="2" t="n">
        <v>99.53</v>
      </c>
      <c r="DA313" s="2" t="n">
        <v>100</v>
      </c>
      <c r="DB313" s="2" t="n">
        <v>100</v>
      </c>
      <c r="DC313" s="2" t="n">
        <v>99.53</v>
      </c>
      <c r="DD313" s="2" t="n">
        <v>100</v>
      </c>
      <c r="DE313" s="2" t="n">
        <v>100</v>
      </c>
      <c r="DF313" s="2" t="n">
        <v>99.53</v>
      </c>
      <c r="DG313" s="2" t="n">
        <v>100</v>
      </c>
      <c r="DH313" s="2" t="n">
        <v>100</v>
      </c>
      <c r="DI313" s="2" t="n">
        <v>99.53</v>
      </c>
      <c r="DJ313" s="2" t="n">
        <v>100</v>
      </c>
      <c r="DK313" s="2" t="n">
        <v>100</v>
      </c>
      <c r="DL313" s="2" t="n">
        <v>99.53</v>
      </c>
      <c r="DM313" s="2" t="n">
        <v>100</v>
      </c>
      <c r="DN313" s="2" t="n">
        <v>100</v>
      </c>
      <c r="DO313" s="2" t="n">
        <v>99.53</v>
      </c>
      <c r="DP313" s="2" t="n">
        <v>100</v>
      </c>
      <c r="DQ313" s="2" t="n">
        <v>100</v>
      </c>
      <c r="DR313" s="2" t="n">
        <v>99.53</v>
      </c>
      <c r="DS313" s="2" t="n">
        <v>100</v>
      </c>
      <c r="DT313" s="2" t="n">
        <v>100</v>
      </c>
      <c r="DU313" s="2" t="n">
        <v>99.53</v>
      </c>
      <c r="DV313" s="2" t="n">
        <v>100</v>
      </c>
      <c r="DW313" s="2" t="n">
        <v>100</v>
      </c>
      <c r="DX313" s="2" t="n">
        <v>99.53</v>
      </c>
      <c r="DY313" s="2" t="n">
        <v>100</v>
      </c>
      <c r="DZ313" s="2" t="n">
        <v>100</v>
      </c>
      <c r="EA313" s="2" t="n">
        <v>99.53</v>
      </c>
      <c r="EB313" s="2" t="n">
        <v>100</v>
      </c>
      <c r="EC313" s="2" t="n">
        <v>100</v>
      </c>
      <c r="ED313" s="2" t="n">
        <v>99.53</v>
      </c>
      <c r="EE313" s="2" t="n">
        <v>100</v>
      </c>
      <c r="EF313" s="2" t="n">
        <v>100</v>
      </c>
      <c r="EG313" s="2" t="n">
        <v>99.53</v>
      </c>
      <c r="EH313" s="2" t="n">
        <v>100</v>
      </c>
      <c r="EI313" s="2" t="n">
        <v>100</v>
      </c>
      <c r="EJ313" s="2" t="n">
        <v>99.53</v>
      </c>
      <c r="EK313" s="2" t="n">
        <v>100</v>
      </c>
      <c r="EL313" s="2" t="n">
        <v>100</v>
      </c>
      <c r="EM313" s="2" t="n">
        <v>99.53</v>
      </c>
      <c r="EN313" s="2" t="n">
        <v>100</v>
      </c>
      <c r="EO313" s="2" t="n">
        <v>100</v>
      </c>
      <c r="EP313" s="2" t="n">
        <v>99.53</v>
      </c>
      <c r="EQ313" s="2" t="n">
        <v>100</v>
      </c>
      <c r="ER313" s="2" t="n">
        <v>100</v>
      </c>
      <c r="ES313" s="2" t="n">
        <v>99.53</v>
      </c>
    </row>
    <row r="314">
      <c r="A314" s="2" t="n">
        <v>3</v>
      </c>
      <c r="B314" s="2" t="inlineStr">
        <is>
          <t>15.04.09</t>
        </is>
      </c>
      <c r="C314" s="2" t="inlineStr">
        <is>
          <t>Caminhao Pipa (60m3/dia)( 3 meses x 22 dias)</t>
        </is>
      </c>
      <c r="D314" s="2" t="inlineStr">
        <is>
          <t>13/10/2025</t>
        </is>
      </c>
      <c r="E314" s="2" t="inlineStr">
        <is>
          <t>03/03/2026</t>
        </is>
      </c>
      <c r="F314" s="2" t="n">
        <v>29500</v>
      </c>
      <c r="G314" s="2" t="n">
        <v>0</v>
      </c>
      <c r="H314" s="2" t="n">
        <v>29500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17.44</v>
      </c>
      <c r="V314" s="2" t="n">
        <v>17.44</v>
      </c>
      <c r="W314" s="2" t="n">
        <v>21.06</v>
      </c>
      <c r="X314" s="2" t="n">
        <v>39.53</v>
      </c>
      <c r="Y314" s="2" t="n">
        <v>39.53</v>
      </c>
      <c r="Z314" s="2" t="n">
        <v>46.99</v>
      </c>
      <c r="AA314" s="2" t="n">
        <v>55.81</v>
      </c>
      <c r="AB314" s="2" t="n">
        <v>55.81</v>
      </c>
      <c r="AC314" s="2" t="n">
        <v>62.54</v>
      </c>
      <c r="AD314" s="2" t="n">
        <v>79.06999999999999</v>
      </c>
      <c r="AE314" s="2" t="n">
        <v>79.06999999999999</v>
      </c>
      <c r="AF314" s="2" t="n">
        <v>80.98</v>
      </c>
      <c r="AG314" s="2" t="n">
        <v>100</v>
      </c>
      <c r="AH314" s="2" t="n">
        <v>99.53</v>
      </c>
      <c r="AI314" s="2" t="n">
        <v>94.31</v>
      </c>
      <c r="AJ314" s="2" t="n">
        <v>100</v>
      </c>
      <c r="AK314" s="2" t="n">
        <v>100</v>
      </c>
      <c r="AL314" s="2" t="n">
        <v>99.53</v>
      </c>
      <c r="AM314" s="2" t="n">
        <v>100</v>
      </c>
      <c r="AN314" s="2" t="n">
        <v>100</v>
      </c>
      <c r="AO314" s="2" t="n">
        <v>99.53</v>
      </c>
      <c r="AP314" s="2" t="n">
        <v>100</v>
      </c>
      <c r="AQ314" s="2" t="n">
        <v>100</v>
      </c>
      <c r="AR314" s="2" t="n">
        <v>99.53</v>
      </c>
      <c r="AS314" s="2" t="n">
        <v>100</v>
      </c>
      <c r="AT314" s="2" t="n">
        <v>100</v>
      </c>
      <c r="AU314" s="2" t="n">
        <v>99.53</v>
      </c>
      <c r="AV314" s="2" t="n">
        <v>100</v>
      </c>
      <c r="AW314" s="2" t="n">
        <v>100</v>
      </c>
      <c r="AX314" s="2" t="n">
        <v>99.53</v>
      </c>
      <c r="AY314" s="2" t="n">
        <v>100</v>
      </c>
      <c r="AZ314" s="2" t="n">
        <v>100</v>
      </c>
      <c r="BA314" s="2" t="n">
        <v>99.53</v>
      </c>
      <c r="BB314" s="2" t="n">
        <v>100</v>
      </c>
      <c r="BC314" s="2" t="n">
        <v>100</v>
      </c>
      <c r="BD314" s="2" t="n">
        <v>99.53</v>
      </c>
      <c r="BE314" s="2" t="n">
        <v>100</v>
      </c>
      <c r="BF314" s="2" t="n">
        <v>100</v>
      </c>
      <c r="BG314" s="2" t="n">
        <v>99.53</v>
      </c>
      <c r="BH314" s="2" t="n">
        <v>100</v>
      </c>
      <c r="BI314" s="2" t="n">
        <v>100</v>
      </c>
      <c r="BJ314" s="2" t="n">
        <v>99.53</v>
      </c>
      <c r="BK314" s="2" t="n">
        <v>100</v>
      </c>
      <c r="BL314" s="2" t="n">
        <v>100</v>
      </c>
      <c r="BM314" s="2" t="n">
        <v>99.53</v>
      </c>
      <c r="BN314" s="2" t="n">
        <v>100</v>
      </c>
      <c r="BO314" s="2" t="n">
        <v>100</v>
      </c>
      <c r="BP314" s="2" t="n">
        <v>99.53</v>
      </c>
      <c r="BQ314" s="2" t="n">
        <v>100</v>
      </c>
      <c r="BR314" s="2" t="n">
        <v>100</v>
      </c>
      <c r="BS314" s="2" t="n">
        <v>99.53</v>
      </c>
      <c r="BT314" s="2" t="n">
        <v>100</v>
      </c>
      <c r="BU314" s="2" t="n">
        <v>100</v>
      </c>
      <c r="BV314" s="2" t="n">
        <v>99.53</v>
      </c>
      <c r="BW314" s="2" t="n">
        <v>100</v>
      </c>
      <c r="BX314" s="2" t="n">
        <v>100</v>
      </c>
      <c r="BY314" s="2" t="n">
        <v>99.53</v>
      </c>
      <c r="BZ314" s="2" t="n">
        <v>100</v>
      </c>
      <c r="CA314" s="2" t="n">
        <v>100</v>
      </c>
      <c r="CB314" s="2" t="n">
        <v>99.53</v>
      </c>
      <c r="CC314" s="2" t="n">
        <v>100</v>
      </c>
      <c r="CD314" s="2" t="n">
        <v>100</v>
      </c>
      <c r="CE314" s="2" t="n">
        <v>99.53</v>
      </c>
      <c r="CF314" s="2" t="n">
        <v>100</v>
      </c>
      <c r="CG314" s="2" t="n">
        <v>100</v>
      </c>
      <c r="CH314" s="2" t="n">
        <v>99.53</v>
      </c>
      <c r="CI314" s="2" t="n">
        <v>100</v>
      </c>
      <c r="CJ314" s="2" t="n">
        <v>100</v>
      </c>
      <c r="CK314" s="2" t="n">
        <v>99.53</v>
      </c>
      <c r="CL314" s="2" t="n">
        <v>100</v>
      </c>
      <c r="CM314" s="2" t="n">
        <v>100</v>
      </c>
      <c r="CN314" s="2" t="n">
        <v>99.53</v>
      </c>
      <c r="CO314" s="2" t="n">
        <v>100</v>
      </c>
      <c r="CP314" s="2" t="n">
        <v>100</v>
      </c>
      <c r="CQ314" s="2" t="n">
        <v>99.53</v>
      </c>
      <c r="CR314" s="2" t="n">
        <v>100</v>
      </c>
      <c r="CS314" s="2" t="n">
        <v>100</v>
      </c>
      <c r="CT314" s="2" t="n">
        <v>99.53</v>
      </c>
      <c r="CU314" s="2" t="n">
        <v>100</v>
      </c>
      <c r="CV314" s="2" t="n">
        <v>100</v>
      </c>
      <c r="CW314" s="2" t="n">
        <v>99.53</v>
      </c>
      <c r="CX314" s="2" t="n">
        <v>100</v>
      </c>
      <c r="CY314" s="2" t="n">
        <v>100</v>
      </c>
      <c r="CZ314" s="2" t="n">
        <v>99.53</v>
      </c>
      <c r="DA314" s="2" t="n">
        <v>100</v>
      </c>
      <c r="DB314" s="2" t="n">
        <v>100</v>
      </c>
      <c r="DC314" s="2" t="n">
        <v>99.53</v>
      </c>
      <c r="DD314" s="2" t="n">
        <v>100</v>
      </c>
      <c r="DE314" s="2" t="n">
        <v>100</v>
      </c>
      <c r="DF314" s="2" t="n">
        <v>99.53</v>
      </c>
      <c r="DG314" s="2" t="n">
        <v>100</v>
      </c>
      <c r="DH314" s="2" t="n">
        <v>100</v>
      </c>
      <c r="DI314" s="2" t="n">
        <v>99.53</v>
      </c>
      <c r="DJ314" s="2" t="n">
        <v>100</v>
      </c>
      <c r="DK314" s="2" t="n">
        <v>100</v>
      </c>
      <c r="DL314" s="2" t="n">
        <v>99.53</v>
      </c>
      <c r="DM314" s="2" t="n">
        <v>100</v>
      </c>
      <c r="DN314" s="2" t="n">
        <v>100</v>
      </c>
      <c r="DO314" s="2" t="n">
        <v>99.53</v>
      </c>
      <c r="DP314" s="2" t="n">
        <v>100</v>
      </c>
      <c r="DQ314" s="2" t="n">
        <v>100</v>
      </c>
      <c r="DR314" s="2" t="n">
        <v>99.53</v>
      </c>
      <c r="DS314" s="2" t="n">
        <v>100</v>
      </c>
      <c r="DT314" s="2" t="n">
        <v>100</v>
      </c>
      <c r="DU314" s="2" t="n">
        <v>99.53</v>
      </c>
      <c r="DV314" s="2" t="n">
        <v>100</v>
      </c>
      <c r="DW314" s="2" t="n">
        <v>100</v>
      </c>
      <c r="DX314" s="2" t="n">
        <v>99.53</v>
      </c>
      <c r="DY314" s="2" t="n">
        <v>100</v>
      </c>
      <c r="DZ314" s="2" t="n">
        <v>100</v>
      </c>
      <c r="EA314" s="2" t="n">
        <v>99.53</v>
      </c>
      <c r="EB314" s="2" t="n">
        <v>100</v>
      </c>
      <c r="EC314" s="2" t="n">
        <v>100</v>
      </c>
      <c r="ED314" s="2" t="n">
        <v>99.53</v>
      </c>
      <c r="EE314" s="2" t="n">
        <v>100</v>
      </c>
      <c r="EF314" s="2" t="n">
        <v>100</v>
      </c>
      <c r="EG314" s="2" t="n">
        <v>99.53</v>
      </c>
      <c r="EH314" s="2" t="n">
        <v>100</v>
      </c>
      <c r="EI314" s="2" t="n">
        <v>100</v>
      </c>
      <c r="EJ314" s="2" t="n">
        <v>99.53</v>
      </c>
      <c r="EK314" s="2" t="n">
        <v>100</v>
      </c>
      <c r="EL314" s="2" t="n">
        <v>100</v>
      </c>
      <c r="EM314" s="2" t="n">
        <v>99.53</v>
      </c>
      <c r="EN314" s="2" t="n">
        <v>100</v>
      </c>
      <c r="EO314" s="2" t="n">
        <v>100</v>
      </c>
      <c r="EP314" s="2" t="n">
        <v>99.53</v>
      </c>
      <c r="EQ314" s="2" t="n">
        <v>100</v>
      </c>
      <c r="ER314" s="2" t="n">
        <v>100</v>
      </c>
      <c r="ES314" s="2" t="n">
        <v>99.53</v>
      </c>
    </row>
    <row r="315">
      <c r="A315" s="2" t="n">
        <v>3</v>
      </c>
      <c r="B315" s="2" t="inlineStr">
        <is>
          <t>15.04.10</t>
        </is>
      </c>
      <c r="C315" s="2" t="inlineStr">
        <is>
          <t>Retirada de Terra e material demolido com caçamba</t>
        </is>
      </c>
      <c r="D315" s="2" t="inlineStr">
        <is>
          <t>13/10/2025</t>
        </is>
      </c>
      <c r="E315" s="2" t="inlineStr">
        <is>
          <t>03/03/2026</t>
        </is>
      </c>
      <c r="F315" s="2" t="n">
        <v>338609.307</v>
      </c>
      <c r="G315" s="2" t="n">
        <v>0</v>
      </c>
      <c r="H315" s="2" t="n">
        <v>338609.307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17.44</v>
      </c>
      <c r="V315" s="2" t="n">
        <v>17.44</v>
      </c>
      <c r="W315" s="2" t="n">
        <v>21.06</v>
      </c>
      <c r="X315" s="2" t="n">
        <v>39.53</v>
      </c>
      <c r="Y315" s="2" t="n">
        <v>39.53</v>
      </c>
      <c r="Z315" s="2" t="n">
        <v>46.99</v>
      </c>
      <c r="AA315" s="2" t="n">
        <v>55.81</v>
      </c>
      <c r="AB315" s="2" t="n">
        <v>55.81</v>
      </c>
      <c r="AC315" s="2" t="n">
        <v>62.54</v>
      </c>
      <c r="AD315" s="2" t="n">
        <v>79.06999999999999</v>
      </c>
      <c r="AE315" s="2" t="n">
        <v>79.06999999999999</v>
      </c>
      <c r="AF315" s="2" t="n">
        <v>80.98</v>
      </c>
      <c r="AG315" s="2" t="n">
        <v>100</v>
      </c>
      <c r="AH315" s="2" t="n">
        <v>99.53</v>
      </c>
      <c r="AI315" s="2" t="n">
        <v>94.31</v>
      </c>
      <c r="AJ315" s="2" t="n">
        <v>100</v>
      </c>
      <c r="AK315" s="2" t="n">
        <v>100</v>
      </c>
      <c r="AL315" s="2" t="n">
        <v>99.53</v>
      </c>
      <c r="AM315" s="2" t="n">
        <v>100</v>
      </c>
      <c r="AN315" s="2" t="n">
        <v>100</v>
      </c>
      <c r="AO315" s="2" t="n">
        <v>99.53</v>
      </c>
      <c r="AP315" s="2" t="n">
        <v>100</v>
      </c>
      <c r="AQ315" s="2" t="n">
        <v>100</v>
      </c>
      <c r="AR315" s="2" t="n">
        <v>99.53</v>
      </c>
      <c r="AS315" s="2" t="n">
        <v>100</v>
      </c>
      <c r="AT315" s="2" t="n">
        <v>100</v>
      </c>
      <c r="AU315" s="2" t="n">
        <v>99.53</v>
      </c>
      <c r="AV315" s="2" t="n">
        <v>100</v>
      </c>
      <c r="AW315" s="2" t="n">
        <v>100</v>
      </c>
      <c r="AX315" s="2" t="n">
        <v>99.53</v>
      </c>
      <c r="AY315" s="2" t="n">
        <v>100</v>
      </c>
      <c r="AZ315" s="2" t="n">
        <v>100</v>
      </c>
      <c r="BA315" s="2" t="n">
        <v>99.53</v>
      </c>
      <c r="BB315" s="2" t="n">
        <v>100</v>
      </c>
      <c r="BC315" s="2" t="n">
        <v>100</v>
      </c>
      <c r="BD315" s="2" t="n">
        <v>99.53</v>
      </c>
      <c r="BE315" s="2" t="n">
        <v>100</v>
      </c>
      <c r="BF315" s="2" t="n">
        <v>100</v>
      </c>
      <c r="BG315" s="2" t="n">
        <v>99.53</v>
      </c>
      <c r="BH315" s="2" t="n">
        <v>100</v>
      </c>
      <c r="BI315" s="2" t="n">
        <v>100</v>
      </c>
      <c r="BJ315" s="2" t="n">
        <v>99.53</v>
      </c>
      <c r="BK315" s="2" t="n">
        <v>100</v>
      </c>
      <c r="BL315" s="2" t="n">
        <v>100</v>
      </c>
      <c r="BM315" s="2" t="n">
        <v>99.53</v>
      </c>
      <c r="BN315" s="2" t="n">
        <v>100</v>
      </c>
      <c r="BO315" s="2" t="n">
        <v>100</v>
      </c>
      <c r="BP315" s="2" t="n">
        <v>99.53</v>
      </c>
      <c r="BQ315" s="2" t="n">
        <v>100</v>
      </c>
      <c r="BR315" s="2" t="n">
        <v>100</v>
      </c>
      <c r="BS315" s="2" t="n">
        <v>99.53</v>
      </c>
      <c r="BT315" s="2" t="n">
        <v>100</v>
      </c>
      <c r="BU315" s="2" t="n">
        <v>100</v>
      </c>
      <c r="BV315" s="2" t="n">
        <v>99.53</v>
      </c>
      <c r="BW315" s="2" t="n">
        <v>100</v>
      </c>
      <c r="BX315" s="2" t="n">
        <v>100</v>
      </c>
      <c r="BY315" s="2" t="n">
        <v>99.53</v>
      </c>
      <c r="BZ315" s="2" t="n">
        <v>100</v>
      </c>
      <c r="CA315" s="2" t="n">
        <v>100</v>
      </c>
      <c r="CB315" s="2" t="n">
        <v>99.53</v>
      </c>
      <c r="CC315" s="2" t="n">
        <v>100</v>
      </c>
      <c r="CD315" s="2" t="n">
        <v>100</v>
      </c>
      <c r="CE315" s="2" t="n">
        <v>99.53</v>
      </c>
      <c r="CF315" s="2" t="n">
        <v>100</v>
      </c>
      <c r="CG315" s="2" t="n">
        <v>100</v>
      </c>
      <c r="CH315" s="2" t="n">
        <v>99.53</v>
      </c>
      <c r="CI315" s="2" t="n">
        <v>100</v>
      </c>
      <c r="CJ315" s="2" t="n">
        <v>100</v>
      </c>
      <c r="CK315" s="2" t="n">
        <v>99.53</v>
      </c>
      <c r="CL315" s="2" t="n">
        <v>100</v>
      </c>
      <c r="CM315" s="2" t="n">
        <v>100</v>
      </c>
      <c r="CN315" s="2" t="n">
        <v>99.53</v>
      </c>
      <c r="CO315" s="2" t="n">
        <v>100</v>
      </c>
      <c r="CP315" s="2" t="n">
        <v>100</v>
      </c>
      <c r="CQ315" s="2" t="n">
        <v>99.53</v>
      </c>
      <c r="CR315" s="2" t="n">
        <v>100</v>
      </c>
      <c r="CS315" s="2" t="n">
        <v>100</v>
      </c>
      <c r="CT315" s="2" t="n">
        <v>99.53</v>
      </c>
      <c r="CU315" s="2" t="n">
        <v>100</v>
      </c>
      <c r="CV315" s="2" t="n">
        <v>100</v>
      </c>
      <c r="CW315" s="2" t="n">
        <v>99.53</v>
      </c>
      <c r="CX315" s="2" t="n">
        <v>100</v>
      </c>
      <c r="CY315" s="2" t="n">
        <v>100</v>
      </c>
      <c r="CZ315" s="2" t="n">
        <v>99.53</v>
      </c>
      <c r="DA315" s="2" t="n">
        <v>100</v>
      </c>
      <c r="DB315" s="2" t="n">
        <v>100</v>
      </c>
      <c r="DC315" s="2" t="n">
        <v>99.53</v>
      </c>
      <c r="DD315" s="2" t="n">
        <v>100</v>
      </c>
      <c r="DE315" s="2" t="n">
        <v>100</v>
      </c>
      <c r="DF315" s="2" t="n">
        <v>99.53</v>
      </c>
      <c r="DG315" s="2" t="n">
        <v>100</v>
      </c>
      <c r="DH315" s="2" t="n">
        <v>100</v>
      </c>
      <c r="DI315" s="2" t="n">
        <v>99.53</v>
      </c>
      <c r="DJ315" s="2" t="n">
        <v>100</v>
      </c>
      <c r="DK315" s="2" t="n">
        <v>100</v>
      </c>
      <c r="DL315" s="2" t="n">
        <v>99.53</v>
      </c>
      <c r="DM315" s="2" t="n">
        <v>100</v>
      </c>
      <c r="DN315" s="2" t="n">
        <v>100</v>
      </c>
      <c r="DO315" s="2" t="n">
        <v>99.53</v>
      </c>
      <c r="DP315" s="2" t="n">
        <v>100</v>
      </c>
      <c r="DQ315" s="2" t="n">
        <v>100</v>
      </c>
      <c r="DR315" s="2" t="n">
        <v>99.53</v>
      </c>
      <c r="DS315" s="2" t="n">
        <v>100</v>
      </c>
      <c r="DT315" s="2" t="n">
        <v>100</v>
      </c>
      <c r="DU315" s="2" t="n">
        <v>99.53</v>
      </c>
      <c r="DV315" s="2" t="n">
        <v>100</v>
      </c>
      <c r="DW315" s="2" t="n">
        <v>100</v>
      </c>
      <c r="DX315" s="2" t="n">
        <v>99.53</v>
      </c>
      <c r="DY315" s="2" t="n">
        <v>100</v>
      </c>
      <c r="DZ315" s="2" t="n">
        <v>100</v>
      </c>
      <c r="EA315" s="2" t="n">
        <v>99.53</v>
      </c>
      <c r="EB315" s="2" t="n">
        <v>100</v>
      </c>
      <c r="EC315" s="2" t="n">
        <v>100</v>
      </c>
      <c r="ED315" s="2" t="n">
        <v>99.53</v>
      </c>
      <c r="EE315" s="2" t="n">
        <v>100</v>
      </c>
      <c r="EF315" s="2" t="n">
        <v>100</v>
      </c>
      <c r="EG315" s="2" t="n">
        <v>99.53</v>
      </c>
      <c r="EH315" s="2" t="n">
        <v>100</v>
      </c>
      <c r="EI315" s="2" t="n">
        <v>100</v>
      </c>
      <c r="EJ315" s="2" t="n">
        <v>99.53</v>
      </c>
      <c r="EK315" s="2" t="n">
        <v>100</v>
      </c>
      <c r="EL315" s="2" t="n">
        <v>100</v>
      </c>
      <c r="EM315" s="2" t="n">
        <v>99.53</v>
      </c>
      <c r="EN315" s="2" t="n">
        <v>100</v>
      </c>
      <c r="EO315" s="2" t="n">
        <v>100</v>
      </c>
      <c r="EP315" s="2" t="n">
        <v>99.53</v>
      </c>
      <c r="EQ315" s="2" t="n">
        <v>100</v>
      </c>
      <c r="ER315" s="2" t="n">
        <v>100</v>
      </c>
      <c r="ES315" s="2" t="n">
        <v>99.53</v>
      </c>
    </row>
    <row r="316">
      <c r="A316" s="2" t="n">
        <v>3</v>
      </c>
      <c r="B316" s="2" t="inlineStr">
        <is>
          <t>15.04.11</t>
        </is>
      </c>
      <c r="C316" s="2" t="inlineStr">
        <is>
          <t>Locação de gerador para atender central de polimero com mob e desmob - com diesel</t>
        </is>
      </c>
      <c r="D316" s="2" t="inlineStr">
        <is>
          <t>13/10/2025</t>
        </is>
      </c>
      <c r="E316" s="2" t="inlineStr">
        <is>
          <t>03/03/2026</t>
        </is>
      </c>
      <c r="F316" s="2" t="n">
        <v>38000.3</v>
      </c>
      <c r="G316" s="2" t="n">
        <v>0</v>
      </c>
      <c r="H316" s="2" t="n">
        <v>38000.3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17.44</v>
      </c>
      <c r="V316" s="2" t="n">
        <v>17.44</v>
      </c>
      <c r="W316" s="2" t="n">
        <v>21.06</v>
      </c>
      <c r="X316" s="2" t="n">
        <v>39.53</v>
      </c>
      <c r="Y316" s="2" t="n">
        <v>39.53</v>
      </c>
      <c r="Z316" s="2" t="n">
        <v>46.99</v>
      </c>
      <c r="AA316" s="2" t="n">
        <v>55.81</v>
      </c>
      <c r="AB316" s="2" t="n">
        <v>55.81</v>
      </c>
      <c r="AC316" s="2" t="n">
        <v>62.54</v>
      </c>
      <c r="AD316" s="2" t="n">
        <v>79.06999999999999</v>
      </c>
      <c r="AE316" s="2" t="n">
        <v>79.06999999999999</v>
      </c>
      <c r="AF316" s="2" t="n">
        <v>80.98</v>
      </c>
      <c r="AG316" s="2" t="n">
        <v>100</v>
      </c>
      <c r="AH316" s="2" t="n">
        <v>99.53</v>
      </c>
      <c r="AI316" s="2" t="n">
        <v>94.31</v>
      </c>
      <c r="AJ316" s="2" t="n">
        <v>100</v>
      </c>
      <c r="AK316" s="2" t="n">
        <v>100</v>
      </c>
      <c r="AL316" s="2" t="n">
        <v>99.53</v>
      </c>
      <c r="AM316" s="2" t="n">
        <v>100</v>
      </c>
      <c r="AN316" s="2" t="n">
        <v>100</v>
      </c>
      <c r="AO316" s="2" t="n">
        <v>99.53</v>
      </c>
      <c r="AP316" s="2" t="n">
        <v>100</v>
      </c>
      <c r="AQ316" s="2" t="n">
        <v>100</v>
      </c>
      <c r="AR316" s="2" t="n">
        <v>99.53</v>
      </c>
      <c r="AS316" s="2" t="n">
        <v>100</v>
      </c>
      <c r="AT316" s="2" t="n">
        <v>100</v>
      </c>
      <c r="AU316" s="2" t="n">
        <v>99.53</v>
      </c>
      <c r="AV316" s="2" t="n">
        <v>100</v>
      </c>
      <c r="AW316" s="2" t="n">
        <v>100</v>
      </c>
      <c r="AX316" s="2" t="n">
        <v>99.53</v>
      </c>
      <c r="AY316" s="2" t="n">
        <v>100</v>
      </c>
      <c r="AZ316" s="2" t="n">
        <v>100</v>
      </c>
      <c r="BA316" s="2" t="n">
        <v>99.53</v>
      </c>
      <c r="BB316" s="2" t="n">
        <v>100</v>
      </c>
      <c r="BC316" s="2" t="n">
        <v>100</v>
      </c>
      <c r="BD316" s="2" t="n">
        <v>99.53</v>
      </c>
      <c r="BE316" s="2" t="n">
        <v>100</v>
      </c>
      <c r="BF316" s="2" t="n">
        <v>100</v>
      </c>
      <c r="BG316" s="2" t="n">
        <v>99.53</v>
      </c>
      <c r="BH316" s="2" t="n">
        <v>100</v>
      </c>
      <c r="BI316" s="2" t="n">
        <v>100</v>
      </c>
      <c r="BJ316" s="2" t="n">
        <v>99.53</v>
      </c>
      <c r="BK316" s="2" t="n">
        <v>100</v>
      </c>
      <c r="BL316" s="2" t="n">
        <v>100</v>
      </c>
      <c r="BM316" s="2" t="n">
        <v>99.53</v>
      </c>
      <c r="BN316" s="2" t="n">
        <v>100</v>
      </c>
      <c r="BO316" s="2" t="n">
        <v>100</v>
      </c>
      <c r="BP316" s="2" t="n">
        <v>99.53</v>
      </c>
      <c r="BQ316" s="2" t="n">
        <v>100</v>
      </c>
      <c r="BR316" s="2" t="n">
        <v>100</v>
      </c>
      <c r="BS316" s="2" t="n">
        <v>99.53</v>
      </c>
      <c r="BT316" s="2" t="n">
        <v>100</v>
      </c>
      <c r="BU316" s="2" t="n">
        <v>100</v>
      </c>
      <c r="BV316" s="2" t="n">
        <v>99.53</v>
      </c>
      <c r="BW316" s="2" t="n">
        <v>100</v>
      </c>
      <c r="BX316" s="2" t="n">
        <v>100</v>
      </c>
      <c r="BY316" s="2" t="n">
        <v>99.53</v>
      </c>
      <c r="BZ316" s="2" t="n">
        <v>100</v>
      </c>
      <c r="CA316" s="2" t="n">
        <v>100</v>
      </c>
      <c r="CB316" s="2" t="n">
        <v>99.53</v>
      </c>
      <c r="CC316" s="2" t="n">
        <v>100</v>
      </c>
      <c r="CD316" s="2" t="n">
        <v>100</v>
      </c>
      <c r="CE316" s="2" t="n">
        <v>99.53</v>
      </c>
      <c r="CF316" s="2" t="n">
        <v>100</v>
      </c>
      <c r="CG316" s="2" t="n">
        <v>100</v>
      </c>
      <c r="CH316" s="2" t="n">
        <v>99.53</v>
      </c>
      <c r="CI316" s="2" t="n">
        <v>100</v>
      </c>
      <c r="CJ316" s="2" t="n">
        <v>100</v>
      </c>
      <c r="CK316" s="2" t="n">
        <v>99.53</v>
      </c>
      <c r="CL316" s="2" t="n">
        <v>100</v>
      </c>
      <c r="CM316" s="2" t="n">
        <v>100</v>
      </c>
      <c r="CN316" s="2" t="n">
        <v>99.53</v>
      </c>
      <c r="CO316" s="2" t="n">
        <v>100</v>
      </c>
      <c r="CP316" s="2" t="n">
        <v>100</v>
      </c>
      <c r="CQ316" s="2" t="n">
        <v>99.53</v>
      </c>
      <c r="CR316" s="2" t="n">
        <v>100</v>
      </c>
      <c r="CS316" s="2" t="n">
        <v>100</v>
      </c>
      <c r="CT316" s="2" t="n">
        <v>99.53</v>
      </c>
      <c r="CU316" s="2" t="n">
        <v>100</v>
      </c>
      <c r="CV316" s="2" t="n">
        <v>100</v>
      </c>
      <c r="CW316" s="2" t="n">
        <v>99.53</v>
      </c>
      <c r="CX316" s="2" t="n">
        <v>100</v>
      </c>
      <c r="CY316" s="2" t="n">
        <v>100</v>
      </c>
      <c r="CZ316" s="2" t="n">
        <v>99.53</v>
      </c>
      <c r="DA316" s="2" t="n">
        <v>100</v>
      </c>
      <c r="DB316" s="2" t="n">
        <v>100</v>
      </c>
      <c r="DC316" s="2" t="n">
        <v>99.53</v>
      </c>
      <c r="DD316" s="2" t="n">
        <v>100</v>
      </c>
      <c r="DE316" s="2" t="n">
        <v>100</v>
      </c>
      <c r="DF316" s="2" t="n">
        <v>99.53</v>
      </c>
      <c r="DG316" s="2" t="n">
        <v>100</v>
      </c>
      <c r="DH316" s="2" t="n">
        <v>100</v>
      </c>
      <c r="DI316" s="2" t="n">
        <v>99.53</v>
      </c>
      <c r="DJ316" s="2" t="n">
        <v>100</v>
      </c>
      <c r="DK316" s="2" t="n">
        <v>100</v>
      </c>
      <c r="DL316" s="2" t="n">
        <v>99.53</v>
      </c>
      <c r="DM316" s="2" t="n">
        <v>100</v>
      </c>
      <c r="DN316" s="2" t="n">
        <v>100</v>
      </c>
      <c r="DO316" s="2" t="n">
        <v>99.53</v>
      </c>
      <c r="DP316" s="2" t="n">
        <v>100</v>
      </c>
      <c r="DQ316" s="2" t="n">
        <v>100</v>
      </c>
      <c r="DR316" s="2" t="n">
        <v>99.53</v>
      </c>
      <c r="DS316" s="2" t="n">
        <v>100</v>
      </c>
      <c r="DT316" s="2" t="n">
        <v>100</v>
      </c>
      <c r="DU316" s="2" t="n">
        <v>99.53</v>
      </c>
      <c r="DV316" s="2" t="n">
        <v>100</v>
      </c>
      <c r="DW316" s="2" t="n">
        <v>100</v>
      </c>
      <c r="DX316" s="2" t="n">
        <v>99.53</v>
      </c>
      <c r="DY316" s="2" t="n">
        <v>100</v>
      </c>
      <c r="DZ316" s="2" t="n">
        <v>100</v>
      </c>
      <c r="EA316" s="2" t="n">
        <v>99.53</v>
      </c>
      <c r="EB316" s="2" t="n">
        <v>100</v>
      </c>
      <c r="EC316" s="2" t="n">
        <v>100</v>
      </c>
      <c r="ED316" s="2" t="n">
        <v>99.53</v>
      </c>
      <c r="EE316" s="2" t="n">
        <v>100</v>
      </c>
      <c r="EF316" s="2" t="n">
        <v>100</v>
      </c>
      <c r="EG316" s="2" t="n">
        <v>99.53</v>
      </c>
      <c r="EH316" s="2" t="n">
        <v>100</v>
      </c>
      <c r="EI316" s="2" t="n">
        <v>100</v>
      </c>
      <c r="EJ316" s="2" t="n">
        <v>99.53</v>
      </c>
      <c r="EK316" s="2" t="n">
        <v>100</v>
      </c>
      <c r="EL316" s="2" t="n">
        <v>100</v>
      </c>
      <c r="EM316" s="2" t="n">
        <v>99.53</v>
      </c>
      <c r="EN316" s="2" t="n">
        <v>100</v>
      </c>
      <c r="EO316" s="2" t="n">
        <v>100</v>
      </c>
      <c r="EP316" s="2" t="n">
        <v>99.53</v>
      </c>
      <c r="EQ316" s="2" t="n">
        <v>100</v>
      </c>
      <c r="ER316" s="2" t="n">
        <v>100</v>
      </c>
      <c r="ES316" s="2" t="n">
        <v>99.53</v>
      </c>
    </row>
    <row r="317">
      <c r="A317" s="2" t="n">
        <v>1</v>
      </c>
      <c r="B317" s="2" t="inlineStr">
        <is>
          <t>16</t>
        </is>
      </c>
      <c r="C317" s="2" t="inlineStr">
        <is>
          <t>FUNDAÇÃO SUPERFICIAL</t>
        </is>
      </c>
      <c r="D317" s="2" t="inlineStr">
        <is>
          <t>13/04/2026</t>
        </is>
      </c>
      <c r="E317" s="2" t="inlineStr">
        <is>
          <t>06/12/2027</t>
        </is>
      </c>
      <c r="F317" s="2" t="n">
        <v>4057797.911143023</v>
      </c>
      <c r="G317" s="2" t="n">
        <v>0</v>
      </c>
      <c r="H317" s="2" t="n">
        <v>4057797.911143023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0</v>
      </c>
      <c r="AB317" s="2" t="n">
        <v>0</v>
      </c>
      <c r="AC317" s="2" t="n">
        <v>0</v>
      </c>
      <c r="AD317" s="2" t="n">
        <v>0</v>
      </c>
      <c r="AE317" s="2" t="n">
        <v>0</v>
      </c>
      <c r="AF317" s="2" t="n">
        <v>0</v>
      </c>
      <c r="AG317" s="2" t="n">
        <v>0</v>
      </c>
      <c r="AH317" s="2" t="n">
        <v>0</v>
      </c>
      <c r="AI317" s="2" t="n">
        <v>0</v>
      </c>
      <c r="AJ317" s="2" t="n">
        <v>0</v>
      </c>
      <c r="AK317" s="2" t="n">
        <v>0</v>
      </c>
      <c r="AL317" s="2" t="n">
        <v>0</v>
      </c>
      <c r="AM317" s="2" t="n">
        <v>9.800000000000001</v>
      </c>
      <c r="AN317" s="2" t="n">
        <v>12.28</v>
      </c>
      <c r="AO317" s="2" t="n">
        <v>9.029999999999999</v>
      </c>
      <c r="AP317" s="2" t="n">
        <v>29.41</v>
      </c>
      <c r="AQ317" s="2" t="n">
        <v>31.16</v>
      </c>
      <c r="AR317" s="2" t="n">
        <v>36.07</v>
      </c>
      <c r="AS317" s="2" t="n">
        <v>49.99</v>
      </c>
      <c r="AT317" s="2" t="n">
        <v>50.99</v>
      </c>
      <c r="AU317" s="2" t="n">
        <v>66.15000000000001</v>
      </c>
      <c r="AV317" s="2" t="n">
        <v>72.53</v>
      </c>
      <c r="AW317" s="2" t="n">
        <v>72.70999999999999</v>
      </c>
      <c r="AX317" s="2" t="n">
        <v>76.66</v>
      </c>
      <c r="AY317" s="2" t="n">
        <v>77.44</v>
      </c>
      <c r="AZ317" s="2" t="n">
        <v>77.44</v>
      </c>
      <c r="BA317" s="2" t="n">
        <v>76.66</v>
      </c>
      <c r="BB317" s="2" t="n">
        <v>77.44</v>
      </c>
      <c r="BC317" s="2" t="n">
        <v>77.44</v>
      </c>
      <c r="BD317" s="2" t="n">
        <v>76.66</v>
      </c>
      <c r="BE317" s="2" t="n">
        <v>77.44</v>
      </c>
      <c r="BF317" s="2" t="n">
        <v>77.44</v>
      </c>
      <c r="BG317" s="2" t="n">
        <v>76.66</v>
      </c>
      <c r="BH317" s="2" t="n">
        <v>77.44</v>
      </c>
      <c r="BI317" s="2" t="n">
        <v>77.44</v>
      </c>
      <c r="BJ317" s="2" t="n">
        <v>76.66</v>
      </c>
      <c r="BK317" s="2" t="n">
        <v>77.44</v>
      </c>
      <c r="BL317" s="2" t="n">
        <v>77.44</v>
      </c>
      <c r="BM317" s="2" t="n">
        <v>76.66</v>
      </c>
      <c r="BN317" s="2" t="n">
        <v>77.44</v>
      </c>
      <c r="BO317" s="2" t="n">
        <v>77.44</v>
      </c>
      <c r="BP317" s="2" t="n">
        <v>76.66</v>
      </c>
      <c r="BQ317" s="2" t="n">
        <v>80.01000000000001</v>
      </c>
      <c r="BR317" s="2" t="n">
        <v>86.22</v>
      </c>
      <c r="BS317" s="2" t="n">
        <v>76.66</v>
      </c>
      <c r="BT317" s="2" t="n">
        <v>90.31999999999999</v>
      </c>
      <c r="BU317" s="2" t="n">
        <v>91.37</v>
      </c>
      <c r="BV317" s="2" t="n">
        <v>76.66</v>
      </c>
      <c r="BW317" s="2" t="n">
        <v>90.31999999999999</v>
      </c>
      <c r="BX317" s="2" t="n">
        <v>93.84</v>
      </c>
      <c r="BY317" s="2" t="n">
        <v>76.66</v>
      </c>
      <c r="BZ317" s="2" t="n">
        <v>90.31999999999999</v>
      </c>
      <c r="CA317" s="2" t="n">
        <v>93.84</v>
      </c>
      <c r="CB317" s="2" t="n">
        <v>76.66</v>
      </c>
      <c r="CC317" s="2" t="n">
        <v>90.31999999999999</v>
      </c>
      <c r="CD317" s="2" t="n">
        <v>93.84</v>
      </c>
      <c r="CE317" s="2" t="n">
        <v>76.66</v>
      </c>
      <c r="CF317" s="2" t="n">
        <v>90.31999999999999</v>
      </c>
      <c r="CG317" s="2" t="n">
        <v>93.84</v>
      </c>
      <c r="CH317" s="2" t="n">
        <v>76.66</v>
      </c>
      <c r="CI317" s="2" t="n">
        <v>90.31999999999999</v>
      </c>
      <c r="CJ317" s="2" t="n">
        <v>93.84</v>
      </c>
      <c r="CK317" s="2" t="n">
        <v>76.66</v>
      </c>
      <c r="CL317" s="2" t="n">
        <v>90.31999999999999</v>
      </c>
      <c r="CM317" s="2" t="n">
        <v>93.84</v>
      </c>
      <c r="CN317" s="2" t="n">
        <v>76.66</v>
      </c>
      <c r="CO317" s="2" t="n">
        <v>91.81</v>
      </c>
      <c r="CP317" s="2" t="n">
        <v>95.52</v>
      </c>
      <c r="CQ317" s="2" t="n">
        <v>76.66</v>
      </c>
      <c r="CR317" s="2" t="n">
        <v>95.54000000000001</v>
      </c>
      <c r="CS317" s="2" t="n">
        <v>99.25</v>
      </c>
      <c r="CT317" s="2" t="n">
        <v>76.66</v>
      </c>
      <c r="CU317" s="2" t="n">
        <v>96.48</v>
      </c>
      <c r="CV317" s="2" t="n">
        <v>100</v>
      </c>
      <c r="CW317" s="2" t="n">
        <v>76.66</v>
      </c>
      <c r="CX317" s="2" t="n">
        <v>96.48</v>
      </c>
      <c r="CY317" s="2" t="n">
        <v>100</v>
      </c>
      <c r="CZ317" s="2" t="n">
        <v>76.66</v>
      </c>
      <c r="DA317" s="2" t="n">
        <v>96.48</v>
      </c>
      <c r="DB317" s="2" t="n">
        <v>100</v>
      </c>
      <c r="DC317" s="2" t="n">
        <v>76.66</v>
      </c>
      <c r="DD317" s="2" t="n">
        <v>96.48</v>
      </c>
      <c r="DE317" s="2" t="n">
        <v>100</v>
      </c>
      <c r="DF317" s="2" t="n">
        <v>76.66</v>
      </c>
      <c r="DG317" s="2" t="n">
        <v>96.48</v>
      </c>
      <c r="DH317" s="2" t="n">
        <v>100</v>
      </c>
      <c r="DI317" s="2" t="n">
        <v>76.66</v>
      </c>
      <c r="DJ317" s="2" t="n">
        <v>96.48</v>
      </c>
      <c r="DK317" s="2" t="n">
        <v>100</v>
      </c>
      <c r="DL317" s="2" t="n">
        <v>76.66</v>
      </c>
      <c r="DM317" s="2" t="n">
        <v>96.48</v>
      </c>
      <c r="DN317" s="2" t="n">
        <v>100</v>
      </c>
      <c r="DO317" s="2" t="n">
        <v>76.66</v>
      </c>
      <c r="DP317" s="2" t="n">
        <v>96.48</v>
      </c>
      <c r="DQ317" s="2" t="n">
        <v>100</v>
      </c>
      <c r="DR317" s="2" t="n">
        <v>76.66</v>
      </c>
      <c r="DS317" s="2" t="n">
        <v>96.48</v>
      </c>
      <c r="DT317" s="2" t="n">
        <v>100</v>
      </c>
      <c r="DU317" s="2" t="n">
        <v>76.66</v>
      </c>
      <c r="DV317" s="2" t="n">
        <v>96.48</v>
      </c>
      <c r="DW317" s="2" t="n">
        <v>100</v>
      </c>
      <c r="DX317" s="2" t="n">
        <v>76.66</v>
      </c>
      <c r="DY317" s="2" t="n">
        <v>96.48</v>
      </c>
      <c r="DZ317" s="2" t="n">
        <v>100</v>
      </c>
      <c r="EA317" s="2" t="n">
        <v>76.66</v>
      </c>
      <c r="EB317" s="2" t="n">
        <v>96.48</v>
      </c>
      <c r="EC317" s="2" t="n">
        <v>100</v>
      </c>
      <c r="ED317" s="2" t="n">
        <v>76.66</v>
      </c>
      <c r="EE317" s="2" t="n">
        <v>96.48</v>
      </c>
      <c r="EF317" s="2" t="n">
        <v>100</v>
      </c>
      <c r="EG317" s="2" t="n">
        <v>76.66</v>
      </c>
      <c r="EH317" s="2" t="n">
        <v>96.48</v>
      </c>
      <c r="EI317" s="2" t="n">
        <v>100</v>
      </c>
      <c r="EJ317" s="2" t="n">
        <v>76.66</v>
      </c>
      <c r="EK317" s="2" t="n">
        <v>96.48</v>
      </c>
      <c r="EL317" s="2" t="n">
        <v>100</v>
      </c>
      <c r="EM317" s="2" t="n">
        <v>76.66</v>
      </c>
      <c r="EN317" s="2" t="n">
        <v>96.48</v>
      </c>
      <c r="EO317" s="2" t="n">
        <v>100</v>
      </c>
      <c r="EP317" s="2" t="n">
        <v>76.66</v>
      </c>
      <c r="EQ317" s="2" t="n">
        <v>96.48</v>
      </c>
      <c r="ER317" s="2" t="n">
        <v>100</v>
      </c>
      <c r="ES317" s="2" t="n">
        <v>76.66</v>
      </c>
    </row>
    <row r="318">
      <c r="A318" s="2" t="n">
        <v>2</v>
      </c>
      <c r="B318" s="2" t="inlineStr">
        <is>
          <t>16.01</t>
        </is>
      </c>
      <c r="C318" s="2" t="inlineStr">
        <is>
          <t>Blocos</t>
        </is>
      </c>
      <c r="D318" s="2" t="inlineStr">
        <is>
          <t>13/04/2026</t>
        </is>
      </c>
      <c r="E318" s="2" t="inlineStr">
        <is>
          <t>09/04/2027</t>
        </is>
      </c>
      <c r="F318" s="2" t="n">
        <v>3285089.331107711</v>
      </c>
      <c r="G318" s="2" t="n">
        <v>0</v>
      </c>
      <c r="H318" s="2" t="n">
        <v>3285089.331107711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0</v>
      </c>
      <c r="AB318" s="2" t="n">
        <v>0</v>
      </c>
      <c r="AC318" s="2" t="n">
        <v>0</v>
      </c>
      <c r="AD318" s="2" t="n">
        <v>0</v>
      </c>
      <c r="AE318" s="2" t="n">
        <v>0</v>
      </c>
      <c r="AF318" s="2" t="n">
        <v>0</v>
      </c>
      <c r="AG318" s="2" t="n">
        <v>0</v>
      </c>
      <c r="AH318" s="2" t="n">
        <v>0</v>
      </c>
      <c r="AI318" s="2" t="n">
        <v>0</v>
      </c>
      <c r="AJ318" s="2" t="n">
        <v>0</v>
      </c>
      <c r="AK318" s="2" t="n">
        <v>0</v>
      </c>
      <c r="AL318" s="2" t="n">
        <v>0</v>
      </c>
      <c r="AM318" s="2" t="n">
        <v>12.11</v>
      </c>
      <c r="AN318" s="2" t="n">
        <v>15.16</v>
      </c>
      <c r="AO318" s="2" t="n">
        <v>11.15</v>
      </c>
      <c r="AP318" s="2" t="n">
        <v>36.32</v>
      </c>
      <c r="AQ318" s="2" t="n">
        <v>38.49</v>
      </c>
      <c r="AR318" s="2" t="n">
        <v>44.55</v>
      </c>
      <c r="AS318" s="2" t="n">
        <v>61.75</v>
      </c>
      <c r="AT318" s="2" t="n">
        <v>62.99</v>
      </c>
      <c r="AU318" s="2" t="n">
        <v>81.7</v>
      </c>
      <c r="AV318" s="2" t="n">
        <v>89.59999999999999</v>
      </c>
      <c r="AW318" s="2" t="n">
        <v>89.81999999999999</v>
      </c>
      <c r="AX318" s="2" t="n">
        <v>94.69</v>
      </c>
      <c r="AY318" s="2" t="n">
        <v>95.65000000000001</v>
      </c>
      <c r="AZ318" s="2" t="n">
        <v>95.65000000000001</v>
      </c>
      <c r="BA318" s="2" t="n">
        <v>94.69</v>
      </c>
      <c r="BB318" s="2" t="n">
        <v>95.65000000000001</v>
      </c>
      <c r="BC318" s="2" t="n">
        <v>95.65000000000001</v>
      </c>
      <c r="BD318" s="2" t="n">
        <v>94.69</v>
      </c>
      <c r="BE318" s="2" t="n">
        <v>95.65000000000001</v>
      </c>
      <c r="BF318" s="2" t="n">
        <v>95.65000000000001</v>
      </c>
      <c r="BG318" s="2" t="n">
        <v>94.69</v>
      </c>
      <c r="BH318" s="2" t="n">
        <v>95.65000000000001</v>
      </c>
      <c r="BI318" s="2" t="n">
        <v>95.65000000000001</v>
      </c>
      <c r="BJ318" s="2" t="n">
        <v>94.69</v>
      </c>
      <c r="BK318" s="2" t="n">
        <v>95.65000000000001</v>
      </c>
      <c r="BL318" s="2" t="n">
        <v>95.65000000000001</v>
      </c>
      <c r="BM318" s="2" t="n">
        <v>94.69</v>
      </c>
      <c r="BN318" s="2" t="n">
        <v>95.65000000000001</v>
      </c>
      <c r="BO318" s="2" t="n">
        <v>95.65000000000001</v>
      </c>
      <c r="BP318" s="2" t="n">
        <v>94.69</v>
      </c>
      <c r="BQ318" s="2" t="n">
        <v>95.65000000000001</v>
      </c>
      <c r="BR318" s="2" t="n">
        <v>95.65000000000001</v>
      </c>
      <c r="BS318" s="2" t="n">
        <v>94.69</v>
      </c>
      <c r="BT318" s="2" t="n">
        <v>95.65000000000001</v>
      </c>
      <c r="BU318" s="2" t="n">
        <v>96.95999999999999</v>
      </c>
      <c r="BV318" s="2" t="n">
        <v>94.69</v>
      </c>
      <c r="BW318" s="2" t="n">
        <v>95.65000000000001</v>
      </c>
      <c r="BX318" s="2" t="n">
        <v>100</v>
      </c>
      <c r="BY318" s="2" t="n">
        <v>94.69</v>
      </c>
      <c r="BZ318" s="2" t="n">
        <v>95.65000000000001</v>
      </c>
      <c r="CA318" s="2" t="n">
        <v>100</v>
      </c>
      <c r="CB318" s="2" t="n">
        <v>94.69</v>
      </c>
      <c r="CC318" s="2" t="n">
        <v>95.65000000000001</v>
      </c>
      <c r="CD318" s="2" t="n">
        <v>100</v>
      </c>
      <c r="CE318" s="2" t="n">
        <v>94.69</v>
      </c>
      <c r="CF318" s="2" t="n">
        <v>95.65000000000001</v>
      </c>
      <c r="CG318" s="2" t="n">
        <v>100</v>
      </c>
      <c r="CH318" s="2" t="n">
        <v>94.69</v>
      </c>
      <c r="CI318" s="2" t="n">
        <v>95.65000000000001</v>
      </c>
      <c r="CJ318" s="2" t="n">
        <v>100</v>
      </c>
      <c r="CK318" s="2" t="n">
        <v>94.69</v>
      </c>
      <c r="CL318" s="2" t="n">
        <v>95.65000000000001</v>
      </c>
      <c r="CM318" s="2" t="n">
        <v>100</v>
      </c>
      <c r="CN318" s="2" t="n">
        <v>94.69</v>
      </c>
      <c r="CO318" s="2" t="n">
        <v>95.65000000000001</v>
      </c>
      <c r="CP318" s="2" t="n">
        <v>100</v>
      </c>
      <c r="CQ318" s="2" t="n">
        <v>94.69</v>
      </c>
      <c r="CR318" s="2" t="n">
        <v>95.65000000000001</v>
      </c>
      <c r="CS318" s="2" t="n">
        <v>100</v>
      </c>
      <c r="CT318" s="2" t="n">
        <v>94.69</v>
      </c>
      <c r="CU318" s="2" t="n">
        <v>95.65000000000001</v>
      </c>
      <c r="CV318" s="2" t="n">
        <v>100</v>
      </c>
      <c r="CW318" s="2" t="n">
        <v>94.69</v>
      </c>
      <c r="CX318" s="2" t="n">
        <v>95.65000000000001</v>
      </c>
      <c r="CY318" s="2" t="n">
        <v>100</v>
      </c>
      <c r="CZ318" s="2" t="n">
        <v>94.69</v>
      </c>
      <c r="DA318" s="2" t="n">
        <v>95.65000000000001</v>
      </c>
      <c r="DB318" s="2" t="n">
        <v>100</v>
      </c>
      <c r="DC318" s="2" t="n">
        <v>94.69</v>
      </c>
      <c r="DD318" s="2" t="n">
        <v>95.65000000000001</v>
      </c>
      <c r="DE318" s="2" t="n">
        <v>100</v>
      </c>
      <c r="DF318" s="2" t="n">
        <v>94.69</v>
      </c>
      <c r="DG318" s="2" t="n">
        <v>95.65000000000001</v>
      </c>
      <c r="DH318" s="2" t="n">
        <v>100</v>
      </c>
      <c r="DI318" s="2" t="n">
        <v>94.69</v>
      </c>
      <c r="DJ318" s="2" t="n">
        <v>95.65000000000001</v>
      </c>
      <c r="DK318" s="2" t="n">
        <v>100</v>
      </c>
      <c r="DL318" s="2" t="n">
        <v>94.69</v>
      </c>
      <c r="DM318" s="2" t="n">
        <v>95.65000000000001</v>
      </c>
      <c r="DN318" s="2" t="n">
        <v>100</v>
      </c>
      <c r="DO318" s="2" t="n">
        <v>94.69</v>
      </c>
      <c r="DP318" s="2" t="n">
        <v>95.65000000000001</v>
      </c>
      <c r="DQ318" s="2" t="n">
        <v>100</v>
      </c>
      <c r="DR318" s="2" t="n">
        <v>94.69</v>
      </c>
      <c r="DS318" s="2" t="n">
        <v>95.65000000000001</v>
      </c>
      <c r="DT318" s="2" t="n">
        <v>100</v>
      </c>
      <c r="DU318" s="2" t="n">
        <v>94.69</v>
      </c>
      <c r="DV318" s="2" t="n">
        <v>95.65000000000001</v>
      </c>
      <c r="DW318" s="2" t="n">
        <v>100</v>
      </c>
      <c r="DX318" s="2" t="n">
        <v>94.69</v>
      </c>
      <c r="DY318" s="2" t="n">
        <v>95.65000000000001</v>
      </c>
      <c r="DZ318" s="2" t="n">
        <v>100</v>
      </c>
      <c r="EA318" s="2" t="n">
        <v>94.69</v>
      </c>
      <c r="EB318" s="2" t="n">
        <v>95.65000000000001</v>
      </c>
      <c r="EC318" s="2" t="n">
        <v>100</v>
      </c>
      <c r="ED318" s="2" t="n">
        <v>94.69</v>
      </c>
      <c r="EE318" s="2" t="n">
        <v>95.65000000000001</v>
      </c>
      <c r="EF318" s="2" t="n">
        <v>100</v>
      </c>
      <c r="EG318" s="2" t="n">
        <v>94.69</v>
      </c>
      <c r="EH318" s="2" t="n">
        <v>95.65000000000001</v>
      </c>
      <c r="EI318" s="2" t="n">
        <v>100</v>
      </c>
      <c r="EJ318" s="2" t="n">
        <v>94.69</v>
      </c>
      <c r="EK318" s="2" t="n">
        <v>95.65000000000001</v>
      </c>
      <c r="EL318" s="2" t="n">
        <v>100</v>
      </c>
      <c r="EM318" s="2" t="n">
        <v>94.69</v>
      </c>
      <c r="EN318" s="2" t="n">
        <v>95.65000000000001</v>
      </c>
      <c r="EO318" s="2" t="n">
        <v>100</v>
      </c>
      <c r="EP318" s="2" t="n">
        <v>94.69</v>
      </c>
      <c r="EQ318" s="2" t="n">
        <v>95.65000000000001</v>
      </c>
      <c r="ER318" s="2" t="n">
        <v>100</v>
      </c>
      <c r="ES318" s="2" t="n">
        <v>94.69</v>
      </c>
    </row>
    <row r="319">
      <c r="A319" s="2" t="n">
        <v>3</v>
      </c>
      <c r="B319" s="2" t="inlineStr">
        <is>
          <t>16.01.01</t>
        </is>
      </c>
      <c r="C319" s="2" t="inlineStr">
        <is>
          <t>Escavação manual</t>
        </is>
      </c>
      <c r="D319" s="2" t="inlineStr">
        <is>
          <t>13/04/2026</t>
        </is>
      </c>
      <c r="E319" s="2" t="inlineStr">
        <is>
          <t>09/04/2027</t>
        </is>
      </c>
      <c r="F319" s="2" t="n">
        <v>400968.4924497214</v>
      </c>
      <c r="G319" s="2" t="n">
        <v>0</v>
      </c>
      <c r="H319" s="2" t="n">
        <v>400968.4924497214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0</v>
      </c>
      <c r="AB319" s="2" t="n">
        <v>0</v>
      </c>
      <c r="AC319" s="2" t="n">
        <v>0</v>
      </c>
      <c r="AD319" s="2" t="n">
        <v>0</v>
      </c>
      <c r="AE319" s="2" t="n">
        <v>0</v>
      </c>
      <c r="AF319" s="2" t="n">
        <v>0</v>
      </c>
      <c r="AG319" s="2" t="n">
        <v>0</v>
      </c>
      <c r="AH319" s="2" t="n">
        <v>0</v>
      </c>
      <c r="AI319" s="2" t="n">
        <v>0</v>
      </c>
      <c r="AJ319" s="2" t="n">
        <v>0</v>
      </c>
      <c r="AK319" s="2" t="n">
        <v>0</v>
      </c>
      <c r="AL319" s="2" t="n">
        <v>0</v>
      </c>
      <c r="AM319" s="2" t="n">
        <v>12.11</v>
      </c>
      <c r="AN319" s="2" t="n">
        <v>15.16</v>
      </c>
      <c r="AO319" s="2" t="n">
        <v>11.15</v>
      </c>
      <c r="AP319" s="2" t="n">
        <v>36.32</v>
      </c>
      <c r="AQ319" s="2" t="n">
        <v>38.49</v>
      </c>
      <c r="AR319" s="2" t="n">
        <v>44.55</v>
      </c>
      <c r="AS319" s="2" t="n">
        <v>61.75</v>
      </c>
      <c r="AT319" s="2" t="n">
        <v>62.99</v>
      </c>
      <c r="AU319" s="2" t="n">
        <v>81.7</v>
      </c>
      <c r="AV319" s="2" t="n">
        <v>89.59999999999999</v>
      </c>
      <c r="AW319" s="2" t="n">
        <v>89.81999999999999</v>
      </c>
      <c r="AX319" s="2" t="n">
        <v>94.69</v>
      </c>
      <c r="AY319" s="2" t="n">
        <v>95.65000000000001</v>
      </c>
      <c r="AZ319" s="2" t="n">
        <v>95.65000000000001</v>
      </c>
      <c r="BA319" s="2" t="n">
        <v>94.69</v>
      </c>
      <c r="BB319" s="2" t="n">
        <v>95.65000000000001</v>
      </c>
      <c r="BC319" s="2" t="n">
        <v>95.65000000000001</v>
      </c>
      <c r="BD319" s="2" t="n">
        <v>94.69</v>
      </c>
      <c r="BE319" s="2" t="n">
        <v>95.65000000000001</v>
      </c>
      <c r="BF319" s="2" t="n">
        <v>95.65000000000001</v>
      </c>
      <c r="BG319" s="2" t="n">
        <v>94.69</v>
      </c>
      <c r="BH319" s="2" t="n">
        <v>95.65000000000001</v>
      </c>
      <c r="BI319" s="2" t="n">
        <v>95.65000000000001</v>
      </c>
      <c r="BJ319" s="2" t="n">
        <v>94.69</v>
      </c>
      <c r="BK319" s="2" t="n">
        <v>95.65000000000001</v>
      </c>
      <c r="BL319" s="2" t="n">
        <v>95.65000000000001</v>
      </c>
      <c r="BM319" s="2" t="n">
        <v>94.69</v>
      </c>
      <c r="BN319" s="2" t="n">
        <v>95.65000000000001</v>
      </c>
      <c r="BO319" s="2" t="n">
        <v>95.65000000000001</v>
      </c>
      <c r="BP319" s="2" t="n">
        <v>94.69</v>
      </c>
      <c r="BQ319" s="2" t="n">
        <v>95.65000000000001</v>
      </c>
      <c r="BR319" s="2" t="n">
        <v>95.65000000000001</v>
      </c>
      <c r="BS319" s="2" t="n">
        <v>94.69</v>
      </c>
      <c r="BT319" s="2" t="n">
        <v>95.65000000000001</v>
      </c>
      <c r="BU319" s="2" t="n">
        <v>96.95999999999999</v>
      </c>
      <c r="BV319" s="2" t="n">
        <v>94.69</v>
      </c>
      <c r="BW319" s="2" t="n">
        <v>95.65000000000001</v>
      </c>
      <c r="BX319" s="2" t="n">
        <v>100</v>
      </c>
      <c r="BY319" s="2" t="n">
        <v>94.69</v>
      </c>
      <c r="BZ319" s="2" t="n">
        <v>95.65000000000001</v>
      </c>
      <c r="CA319" s="2" t="n">
        <v>100</v>
      </c>
      <c r="CB319" s="2" t="n">
        <v>94.69</v>
      </c>
      <c r="CC319" s="2" t="n">
        <v>95.65000000000001</v>
      </c>
      <c r="CD319" s="2" t="n">
        <v>100</v>
      </c>
      <c r="CE319" s="2" t="n">
        <v>94.69</v>
      </c>
      <c r="CF319" s="2" t="n">
        <v>95.65000000000001</v>
      </c>
      <c r="CG319" s="2" t="n">
        <v>100</v>
      </c>
      <c r="CH319" s="2" t="n">
        <v>94.69</v>
      </c>
      <c r="CI319" s="2" t="n">
        <v>95.65000000000001</v>
      </c>
      <c r="CJ319" s="2" t="n">
        <v>100</v>
      </c>
      <c r="CK319" s="2" t="n">
        <v>94.69</v>
      </c>
      <c r="CL319" s="2" t="n">
        <v>95.65000000000001</v>
      </c>
      <c r="CM319" s="2" t="n">
        <v>100</v>
      </c>
      <c r="CN319" s="2" t="n">
        <v>94.69</v>
      </c>
      <c r="CO319" s="2" t="n">
        <v>95.65000000000001</v>
      </c>
      <c r="CP319" s="2" t="n">
        <v>100</v>
      </c>
      <c r="CQ319" s="2" t="n">
        <v>94.69</v>
      </c>
      <c r="CR319" s="2" t="n">
        <v>95.65000000000001</v>
      </c>
      <c r="CS319" s="2" t="n">
        <v>100</v>
      </c>
      <c r="CT319" s="2" t="n">
        <v>94.69</v>
      </c>
      <c r="CU319" s="2" t="n">
        <v>95.65000000000001</v>
      </c>
      <c r="CV319" s="2" t="n">
        <v>100</v>
      </c>
      <c r="CW319" s="2" t="n">
        <v>94.69</v>
      </c>
      <c r="CX319" s="2" t="n">
        <v>95.65000000000001</v>
      </c>
      <c r="CY319" s="2" t="n">
        <v>100</v>
      </c>
      <c r="CZ319" s="2" t="n">
        <v>94.69</v>
      </c>
      <c r="DA319" s="2" t="n">
        <v>95.65000000000001</v>
      </c>
      <c r="DB319" s="2" t="n">
        <v>100</v>
      </c>
      <c r="DC319" s="2" t="n">
        <v>94.69</v>
      </c>
      <c r="DD319" s="2" t="n">
        <v>95.65000000000001</v>
      </c>
      <c r="DE319" s="2" t="n">
        <v>100</v>
      </c>
      <c r="DF319" s="2" t="n">
        <v>94.69</v>
      </c>
      <c r="DG319" s="2" t="n">
        <v>95.65000000000001</v>
      </c>
      <c r="DH319" s="2" t="n">
        <v>100</v>
      </c>
      <c r="DI319" s="2" t="n">
        <v>94.69</v>
      </c>
      <c r="DJ319" s="2" t="n">
        <v>95.65000000000001</v>
      </c>
      <c r="DK319" s="2" t="n">
        <v>100</v>
      </c>
      <c r="DL319" s="2" t="n">
        <v>94.69</v>
      </c>
      <c r="DM319" s="2" t="n">
        <v>95.65000000000001</v>
      </c>
      <c r="DN319" s="2" t="n">
        <v>100</v>
      </c>
      <c r="DO319" s="2" t="n">
        <v>94.69</v>
      </c>
      <c r="DP319" s="2" t="n">
        <v>95.65000000000001</v>
      </c>
      <c r="DQ319" s="2" t="n">
        <v>100</v>
      </c>
      <c r="DR319" s="2" t="n">
        <v>94.69</v>
      </c>
      <c r="DS319" s="2" t="n">
        <v>95.65000000000001</v>
      </c>
      <c r="DT319" s="2" t="n">
        <v>100</v>
      </c>
      <c r="DU319" s="2" t="n">
        <v>94.69</v>
      </c>
      <c r="DV319" s="2" t="n">
        <v>95.65000000000001</v>
      </c>
      <c r="DW319" s="2" t="n">
        <v>100</v>
      </c>
      <c r="DX319" s="2" t="n">
        <v>94.69</v>
      </c>
      <c r="DY319" s="2" t="n">
        <v>95.65000000000001</v>
      </c>
      <c r="DZ319" s="2" t="n">
        <v>100</v>
      </c>
      <c r="EA319" s="2" t="n">
        <v>94.69</v>
      </c>
      <c r="EB319" s="2" t="n">
        <v>95.65000000000001</v>
      </c>
      <c r="EC319" s="2" t="n">
        <v>100</v>
      </c>
      <c r="ED319" s="2" t="n">
        <v>94.69</v>
      </c>
      <c r="EE319" s="2" t="n">
        <v>95.65000000000001</v>
      </c>
      <c r="EF319" s="2" t="n">
        <v>100</v>
      </c>
      <c r="EG319" s="2" t="n">
        <v>94.69</v>
      </c>
      <c r="EH319" s="2" t="n">
        <v>95.65000000000001</v>
      </c>
      <c r="EI319" s="2" t="n">
        <v>100</v>
      </c>
      <c r="EJ319" s="2" t="n">
        <v>94.69</v>
      </c>
      <c r="EK319" s="2" t="n">
        <v>95.65000000000001</v>
      </c>
      <c r="EL319" s="2" t="n">
        <v>100</v>
      </c>
      <c r="EM319" s="2" t="n">
        <v>94.69</v>
      </c>
      <c r="EN319" s="2" t="n">
        <v>95.65000000000001</v>
      </c>
      <c r="EO319" s="2" t="n">
        <v>100</v>
      </c>
      <c r="EP319" s="2" t="n">
        <v>94.69</v>
      </c>
      <c r="EQ319" s="2" t="n">
        <v>95.65000000000001</v>
      </c>
      <c r="ER319" s="2" t="n">
        <v>100</v>
      </c>
      <c r="ES319" s="2" t="n">
        <v>94.69</v>
      </c>
    </row>
    <row r="320">
      <c r="A320" s="2" t="n">
        <v>3</v>
      </c>
      <c r="B320" s="2" t="inlineStr">
        <is>
          <t>16.01.02</t>
        </is>
      </c>
      <c r="C320" s="2" t="inlineStr">
        <is>
          <t>Apiloamento</t>
        </is>
      </c>
      <c r="D320" s="2" t="inlineStr">
        <is>
          <t>13/04/2026</t>
        </is>
      </c>
      <c r="E320" s="2" t="inlineStr">
        <is>
          <t>09/04/2027</t>
        </is>
      </c>
      <c r="F320" s="2" t="n">
        <v>9062.334339783918</v>
      </c>
      <c r="G320" s="2" t="n">
        <v>0</v>
      </c>
      <c r="H320" s="2" t="n">
        <v>9062.334339783918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0</v>
      </c>
      <c r="AB320" s="2" t="n">
        <v>0</v>
      </c>
      <c r="AC320" s="2" t="n">
        <v>0</v>
      </c>
      <c r="AD320" s="2" t="n">
        <v>0</v>
      </c>
      <c r="AE320" s="2" t="n">
        <v>0</v>
      </c>
      <c r="AF320" s="2" t="n">
        <v>0</v>
      </c>
      <c r="AG320" s="2" t="n">
        <v>0</v>
      </c>
      <c r="AH320" s="2" t="n">
        <v>0</v>
      </c>
      <c r="AI320" s="2" t="n">
        <v>0</v>
      </c>
      <c r="AJ320" s="2" t="n">
        <v>0</v>
      </c>
      <c r="AK320" s="2" t="n">
        <v>0</v>
      </c>
      <c r="AL320" s="2" t="n">
        <v>0</v>
      </c>
      <c r="AM320" s="2" t="n">
        <v>12.11</v>
      </c>
      <c r="AN320" s="2" t="n">
        <v>15.16</v>
      </c>
      <c r="AO320" s="2" t="n">
        <v>11.15</v>
      </c>
      <c r="AP320" s="2" t="n">
        <v>36.32</v>
      </c>
      <c r="AQ320" s="2" t="n">
        <v>38.49</v>
      </c>
      <c r="AR320" s="2" t="n">
        <v>44.55</v>
      </c>
      <c r="AS320" s="2" t="n">
        <v>61.75</v>
      </c>
      <c r="AT320" s="2" t="n">
        <v>62.99</v>
      </c>
      <c r="AU320" s="2" t="n">
        <v>81.7</v>
      </c>
      <c r="AV320" s="2" t="n">
        <v>89.59999999999999</v>
      </c>
      <c r="AW320" s="2" t="n">
        <v>89.81999999999999</v>
      </c>
      <c r="AX320" s="2" t="n">
        <v>94.69</v>
      </c>
      <c r="AY320" s="2" t="n">
        <v>95.65000000000001</v>
      </c>
      <c r="AZ320" s="2" t="n">
        <v>95.65000000000001</v>
      </c>
      <c r="BA320" s="2" t="n">
        <v>94.69</v>
      </c>
      <c r="BB320" s="2" t="n">
        <v>95.65000000000001</v>
      </c>
      <c r="BC320" s="2" t="n">
        <v>95.65000000000001</v>
      </c>
      <c r="BD320" s="2" t="n">
        <v>94.69</v>
      </c>
      <c r="BE320" s="2" t="n">
        <v>95.65000000000001</v>
      </c>
      <c r="BF320" s="2" t="n">
        <v>95.65000000000001</v>
      </c>
      <c r="BG320" s="2" t="n">
        <v>94.69</v>
      </c>
      <c r="BH320" s="2" t="n">
        <v>95.65000000000001</v>
      </c>
      <c r="BI320" s="2" t="n">
        <v>95.65000000000001</v>
      </c>
      <c r="BJ320" s="2" t="n">
        <v>94.69</v>
      </c>
      <c r="BK320" s="2" t="n">
        <v>95.65000000000001</v>
      </c>
      <c r="BL320" s="2" t="n">
        <v>95.65000000000001</v>
      </c>
      <c r="BM320" s="2" t="n">
        <v>94.69</v>
      </c>
      <c r="BN320" s="2" t="n">
        <v>95.65000000000001</v>
      </c>
      <c r="BO320" s="2" t="n">
        <v>95.65000000000001</v>
      </c>
      <c r="BP320" s="2" t="n">
        <v>94.69</v>
      </c>
      <c r="BQ320" s="2" t="n">
        <v>95.65000000000001</v>
      </c>
      <c r="BR320" s="2" t="n">
        <v>95.65000000000001</v>
      </c>
      <c r="BS320" s="2" t="n">
        <v>94.69</v>
      </c>
      <c r="BT320" s="2" t="n">
        <v>95.65000000000001</v>
      </c>
      <c r="BU320" s="2" t="n">
        <v>96.95999999999999</v>
      </c>
      <c r="BV320" s="2" t="n">
        <v>94.69</v>
      </c>
      <c r="BW320" s="2" t="n">
        <v>95.65000000000001</v>
      </c>
      <c r="BX320" s="2" t="n">
        <v>100</v>
      </c>
      <c r="BY320" s="2" t="n">
        <v>94.69</v>
      </c>
      <c r="BZ320" s="2" t="n">
        <v>95.65000000000001</v>
      </c>
      <c r="CA320" s="2" t="n">
        <v>100</v>
      </c>
      <c r="CB320" s="2" t="n">
        <v>94.69</v>
      </c>
      <c r="CC320" s="2" t="n">
        <v>95.65000000000001</v>
      </c>
      <c r="CD320" s="2" t="n">
        <v>100</v>
      </c>
      <c r="CE320" s="2" t="n">
        <v>94.69</v>
      </c>
      <c r="CF320" s="2" t="n">
        <v>95.65000000000001</v>
      </c>
      <c r="CG320" s="2" t="n">
        <v>100</v>
      </c>
      <c r="CH320" s="2" t="n">
        <v>94.69</v>
      </c>
      <c r="CI320" s="2" t="n">
        <v>95.65000000000001</v>
      </c>
      <c r="CJ320" s="2" t="n">
        <v>100</v>
      </c>
      <c r="CK320" s="2" t="n">
        <v>94.69</v>
      </c>
      <c r="CL320" s="2" t="n">
        <v>95.65000000000001</v>
      </c>
      <c r="CM320" s="2" t="n">
        <v>100</v>
      </c>
      <c r="CN320" s="2" t="n">
        <v>94.69</v>
      </c>
      <c r="CO320" s="2" t="n">
        <v>95.65000000000001</v>
      </c>
      <c r="CP320" s="2" t="n">
        <v>100</v>
      </c>
      <c r="CQ320" s="2" t="n">
        <v>94.69</v>
      </c>
      <c r="CR320" s="2" t="n">
        <v>95.65000000000001</v>
      </c>
      <c r="CS320" s="2" t="n">
        <v>100</v>
      </c>
      <c r="CT320" s="2" t="n">
        <v>94.69</v>
      </c>
      <c r="CU320" s="2" t="n">
        <v>95.65000000000001</v>
      </c>
      <c r="CV320" s="2" t="n">
        <v>100</v>
      </c>
      <c r="CW320" s="2" t="n">
        <v>94.69</v>
      </c>
      <c r="CX320" s="2" t="n">
        <v>95.65000000000001</v>
      </c>
      <c r="CY320" s="2" t="n">
        <v>100</v>
      </c>
      <c r="CZ320" s="2" t="n">
        <v>94.69</v>
      </c>
      <c r="DA320" s="2" t="n">
        <v>95.65000000000001</v>
      </c>
      <c r="DB320" s="2" t="n">
        <v>100</v>
      </c>
      <c r="DC320" s="2" t="n">
        <v>94.69</v>
      </c>
      <c r="DD320" s="2" t="n">
        <v>95.65000000000001</v>
      </c>
      <c r="DE320" s="2" t="n">
        <v>100</v>
      </c>
      <c r="DF320" s="2" t="n">
        <v>94.69</v>
      </c>
      <c r="DG320" s="2" t="n">
        <v>95.65000000000001</v>
      </c>
      <c r="DH320" s="2" t="n">
        <v>100</v>
      </c>
      <c r="DI320" s="2" t="n">
        <v>94.69</v>
      </c>
      <c r="DJ320" s="2" t="n">
        <v>95.65000000000001</v>
      </c>
      <c r="DK320" s="2" t="n">
        <v>100</v>
      </c>
      <c r="DL320" s="2" t="n">
        <v>94.69</v>
      </c>
      <c r="DM320" s="2" t="n">
        <v>95.65000000000001</v>
      </c>
      <c r="DN320" s="2" t="n">
        <v>100</v>
      </c>
      <c r="DO320" s="2" t="n">
        <v>94.69</v>
      </c>
      <c r="DP320" s="2" t="n">
        <v>95.65000000000001</v>
      </c>
      <c r="DQ320" s="2" t="n">
        <v>100</v>
      </c>
      <c r="DR320" s="2" t="n">
        <v>94.69</v>
      </c>
      <c r="DS320" s="2" t="n">
        <v>95.65000000000001</v>
      </c>
      <c r="DT320" s="2" t="n">
        <v>100</v>
      </c>
      <c r="DU320" s="2" t="n">
        <v>94.69</v>
      </c>
      <c r="DV320" s="2" t="n">
        <v>95.65000000000001</v>
      </c>
      <c r="DW320" s="2" t="n">
        <v>100</v>
      </c>
      <c r="DX320" s="2" t="n">
        <v>94.69</v>
      </c>
      <c r="DY320" s="2" t="n">
        <v>95.65000000000001</v>
      </c>
      <c r="DZ320" s="2" t="n">
        <v>100</v>
      </c>
      <c r="EA320" s="2" t="n">
        <v>94.69</v>
      </c>
      <c r="EB320" s="2" t="n">
        <v>95.65000000000001</v>
      </c>
      <c r="EC320" s="2" t="n">
        <v>100</v>
      </c>
      <c r="ED320" s="2" t="n">
        <v>94.69</v>
      </c>
      <c r="EE320" s="2" t="n">
        <v>95.65000000000001</v>
      </c>
      <c r="EF320" s="2" t="n">
        <v>100</v>
      </c>
      <c r="EG320" s="2" t="n">
        <v>94.69</v>
      </c>
      <c r="EH320" s="2" t="n">
        <v>95.65000000000001</v>
      </c>
      <c r="EI320" s="2" t="n">
        <v>100</v>
      </c>
      <c r="EJ320" s="2" t="n">
        <v>94.69</v>
      </c>
      <c r="EK320" s="2" t="n">
        <v>95.65000000000001</v>
      </c>
      <c r="EL320" s="2" t="n">
        <v>100</v>
      </c>
      <c r="EM320" s="2" t="n">
        <v>94.69</v>
      </c>
      <c r="EN320" s="2" t="n">
        <v>95.65000000000001</v>
      </c>
      <c r="EO320" s="2" t="n">
        <v>100</v>
      </c>
      <c r="EP320" s="2" t="n">
        <v>94.69</v>
      </c>
      <c r="EQ320" s="2" t="n">
        <v>95.65000000000001</v>
      </c>
      <c r="ER320" s="2" t="n">
        <v>100</v>
      </c>
      <c r="ES320" s="2" t="n">
        <v>94.69</v>
      </c>
    </row>
    <row r="321">
      <c r="A321" s="2" t="n">
        <v>3</v>
      </c>
      <c r="B321" s="2" t="inlineStr">
        <is>
          <t>16.01.03</t>
        </is>
      </c>
      <c r="C321" s="2" t="inlineStr">
        <is>
          <t>Formas para infra estrutura, compensado resinado 12mm, reaproveitamento 1,5x.</t>
        </is>
      </c>
      <c r="D321" s="2" t="inlineStr">
        <is>
          <t>13/04/2026</t>
        </is>
      </c>
      <c r="E321" s="2" t="inlineStr">
        <is>
          <t>09/04/2027</t>
        </is>
      </c>
      <c r="F321" s="2" t="n">
        <v>309181.7464264376</v>
      </c>
      <c r="G321" s="2" t="n">
        <v>0</v>
      </c>
      <c r="H321" s="2" t="n">
        <v>309181.7464264376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0</v>
      </c>
      <c r="AB321" s="2" t="n">
        <v>0</v>
      </c>
      <c r="AC321" s="2" t="n">
        <v>0</v>
      </c>
      <c r="AD321" s="2" t="n">
        <v>0</v>
      </c>
      <c r="AE321" s="2" t="n">
        <v>0</v>
      </c>
      <c r="AF321" s="2" t="n">
        <v>0</v>
      </c>
      <c r="AG321" s="2" t="n">
        <v>0</v>
      </c>
      <c r="AH321" s="2" t="n">
        <v>0</v>
      </c>
      <c r="AI321" s="2" t="n">
        <v>0</v>
      </c>
      <c r="AJ321" s="2" t="n">
        <v>0</v>
      </c>
      <c r="AK321" s="2" t="n">
        <v>0</v>
      </c>
      <c r="AL321" s="2" t="n">
        <v>0</v>
      </c>
      <c r="AM321" s="2" t="n">
        <v>12.11</v>
      </c>
      <c r="AN321" s="2" t="n">
        <v>15.16</v>
      </c>
      <c r="AO321" s="2" t="n">
        <v>11.15</v>
      </c>
      <c r="AP321" s="2" t="n">
        <v>36.32</v>
      </c>
      <c r="AQ321" s="2" t="n">
        <v>38.49</v>
      </c>
      <c r="AR321" s="2" t="n">
        <v>44.55</v>
      </c>
      <c r="AS321" s="2" t="n">
        <v>61.75</v>
      </c>
      <c r="AT321" s="2" t="n">
        <v>62.99</v>
      </c>
      <c r="AU321" s="2" t="n">
        <v>81.7</v>
      </c>
      <c r="AV321" s="2" t="n">
        <v>89.59999999999999</v>
      </c>
      <c r="AW321" s="2" t="n">
        <v>89.81999999999999</v>
      </c>
      <c r="AX321" s="2" t="n">
        <v>94.69</v>
      </c>
      <c r="AY321" s="2" t="n">
        <v>95.65000000000001</v>
      </c>
      <c r="AZ321" s="2" t="n">
        <v>95.65000000000001</v>
      </c>
      <c r="BA321" s="2" t="n">
        <v>94.69</v>
      </c>
      <c r="BB321" s="2" t="n">
        <v>95.65000000000001</v>
      </c>
      <c r="BC321" s="2" t="n">
        <v>95.65000000000001</v>
      </c>
      <c r="BD321" s="2" t="n">
        <v>94.69</v>
      </c>
      <c r="BE321" s="2" t="n">
        <v>95.65000000000001</v>
      </c>
      <c r="BF321" s="2" t="n">
        <v>95.65000000000001</v>
      </c>
      <c r="BG321" s="2" t="n">
        <v>94.69</v>
      </c>
      <c r="BH321" s="2" t="n">
        <v>95.65000000000001</v>
      </c>
      <c r="BI321" s="2" t="n">
        <v>95.65000000000001</v>
      </c>
      <c r="BJ321" s="2" t="n">
        <v>94.69</v>
      </c>
      <c r="BK321" s="2" t="n">
        <v>95.65000000000001</v>
      </c>
      <c r="BL321" s="2" t="n">
        <v>95.65000000000001</v>
      </c>
      <c r="BM321" s="2" t="n">
        <v>94.69</v>
      </c>
      <c r="BN321" s="2" t="n">
        <v>95.65000000000001</v>
      </c>
      <c r="BO321" s="2" t="n">
        <v>95.65000000000001</v>
      </c>
      <c r="BP321" s="2" t="n">
        <v>94.69</v>
      </c>
      <c r="BQ321" s="2" t="n">
        <v>95.65000000000001</v>
      </c>
      <c r="BR321" s="2" t="n">
        <v>95.65000000000001</v>
      </c>
      <c r="BS321" s="2" t="n">
        <v>94.69</v>
      </c>
      <c r="BT321" s="2" t="n">
        <v>95.65000000000001</v>
      </c>
      <c r="BU321" s="2" t="n">
        <v>96.95999999999999</v>
      </c>
      <c r="BV321" s="2" t="n">
        <v>94.69</v>
      </c>
      <c r="BW321" s="2" t="n">
        <v>95.65000000000001</v>
      </c>
      <c r="BX321" s="2" t="n">
        <v>100</v>
      </c>
      <c r="BY321" s="2" t="n">
        <v>94.69</v>
      </c>
      <c r="BZ321" s="2" t="n">
        <v>95.65000000000001</v>
      </c>
      <c r="CA321" s="2" t="n">
        <v>100</v>
      </c>
      <c r="CB321" s="2" t="n">
        <v>94.69</v>
      </c>
      <c r="CC321" s="2" t="n">
        <v>95.65000000000001</v>
      </c>
      <c r="CD321" s="2" t="n">
        <v>100</v>
      </c>
      <c r="CE321" s="2" t="n">
        <v>94.69</v>
      </c>
      <c r="CF321" s="2" t="n">
        <v>95.65000000000001</v>
      </c>
      <c r="CG321" s="2" t="n">
        <v>100</v>
      </c>
      <c r="CH321" s="2" t="n">
        <v>94.69</v>
      </c>
      <c r="CI321" s="2" t="n">
        <v>95.65000000000001</v>
      </c>
      <c r="CJ321" s="2" t="n">
        <v>100</v>
      </c>
      <c r="CK321" s="2" t="n">
        <v>94.69</v>
      </c>
      <c r="CL321" s="2" t="n">
        <v>95.65000000000001</v>
      </c>
      <c r="CM321" s="2" t="n">
        <v>100</v>
      </c>
      <c r="CN321" s="2" t="n">
        <v>94.69</v>
      </c>
      <c r="CO321" s="2" t="n">
        <v>95.65000000000001</v>
      </c>
      <c r="CP321" s="2" t="n">
        <v>100</v>
      </c>
      <c r="CQ321" s="2" t="n">
        <v>94.69</v>
      </c>
      <c r="CR321" s="2" t="n">
        <v>95.65000000000001</v>
      </c>
      <c r="CS321" s="2" t="n">
        <v>100</v>
      </c>
      <c r="CT321" s="2" t="n">
        <v>94.69</v>
      </c>
      <c r="CU321" s="2" t="n">
        <v>95.65000000000001</v>
      </c>
      <c r="CV321" s="2" t="n">
        <v>100</v>
      </c>
      <c r="CW321" s="2" t="n">
        <v>94.69</v>
      </c>
      <c r="CX321" s="2" t="n">
        <v>95.65000000000001</v>
      </c>
      <c r="CY321" s="2" t="n">
        <v>100</v>
      </c>
      <c r="CZ321" s="2" t="n">
        <v>94.69</v>
      </c>
      <c r="DA321" s="2" t="n">
        <v>95.65000000000001</v>
      </c>
      <c r="DB321" s="2" t="n">
        <v>100</v>
      </c>
      <c r="DC321" s="2" t="n">
        <v>94.69</v>
      </c>
      <c r="DD321" s="2" t="n">
        <v>95.65000000000001</v>
      </c>
      <c r="DE321" s="2" t="n">
        <v>100</v>
      </c>
      <c r="DF321" s="2" t="n">
        <v>94.69</v>
      </c>
      <c r="DG321" s="2" t="n">
        <v>95.65000000000001</v>
      </c>
      <c r="DH321" s="2" t="n">
        <v>100</v>
      </c>
      <c r="DI321" s="2" t="n">
        <v>94.69</v>
      </c>
      <c r="DJ321" s="2" t="n">
        <v>95.65000000000001</v>
      </c>
      <c r="DK321" s="2" t="n">
        <v>100</v>
      </c>
      <c r="DL321" s="2" t="n">
        <v>94.69</v>
      </c>
      <c r="DM321" s="2" t="n">
        <v>95.65000000000001</v>
      </c>
      <c r="DN321" s="2" t="n">
        <v>100</v>
      </c>
      <c r="DO321" s="2" t="n">
        <v>94.69</v>
      </c>
      <c r="DP321" s="2" t="n">
        <v>95.65000000000001</v>
      </c>
      <c r="DQ321" s="2" t="n">
        <v>100</v>
      </c>
      <c r="DR321" s="2" t="n">
        <v>94.69</v>
      </c>
      <c r="DS321" s="2" t="n">
        <v>95.65000000000001</v>
      </c>
      <c r="DT321" s="2" t="n">
        <v>100</v>
      </c>
      <c r="DU321" s="2" t="n">
        <v>94.69</v>
      </c>
      <c r="DV321" s="2" t="n">
        <v>95.65000000000001</v>
      </c>
      <c r="DW321" s="2" t="n">
        <v>100</v>
      </c>
      <c r="DX321" s="2" t="n">
        <v>94.69</v>
      </c>
      <c r="DY321" s="2" t="n">
        <v>95.65000000000001</v>
      </c>
      <c r="DZ321" s="2" t="n">
        <v>100</v>
      </c>
      <c r="EA321" s="2" t="n">
        <v>94.69</v>
      </c>
      <c r="EB321" s="2" t="n">
        <v>95.65000000000001</v>
      </c>
      <c r="EC321" s="2" t="n">
        <v>100</v>
      </c>
      <c r="ED321" s="2" t="n">
        <v>94.69</v>
      </c>
      <c r="EE321" s="2" t="n">
        <v>95.65000000000001</v>
      </c>
      <c r="EF321" s="2" t="n">
        <v>100</v>
      </c>
      <c r="EG321" s="2" t="n">
        <v>94.69</v>
      </c>
      <c r="EH321" s="2" t="n">
        <v>95.65000000000001</v>
      </c>
      <c r="EI321" s="2" t="n">
        <v>100</v>
      </c>
      <c r="EJ321" s="2" t="n">
        <v>94.69</v>
      </c>
      <c r="EK321" s="2" t="n">
        <v>95.65000000000001</v>
      </c>
      <c r="EL321" s="2" t="n">
        <v>100</v>
      </c>
      <c r="EM321" s="2" t="n">
        <v>94.69</v>
      </c>
      <c r="EN321" s="2" t="n">
        <v>95.65000000000001</v>
      </c>
      <c r="EO321" s="2" t="n">
        <v>100</v>
      </c>
      <c r="EP321" s="2" t="n">
        <v>94.69</v>
      </c>
      <c r="EQ321" s="2" t="n">
        <v>95.65000000000001</v>
      </c>
      <c r="ER321" s="2" t="n">
        <v>100</v>
      </c>
      <c r="ES321" s="2" t="n">
        <v>94.69</v>
      </c>
    </row>
    <row r="322">
      <c r="A322" s="2" t="n">
        <v>3</v>
      </c>
      <c r="B322" s="2" t="inlineStr">
        <is>
          <t>16.01.04</t>
        </is>
      </c>
      <c r="C322" s="2" t="inlineStr">
        <is>
          <t>Armadura Ca-50 adquirido cortado e dobrado, montagem e posicionamento no canteiro</t>
        </is>
      </c>
      <c r="D322" s="2" t="inlineStr">
        <is>
          <t>13/04/2026</t>
        </is>
      </c>
      <c r="E322" s="2" t="inlineStr">
        <is>
          <t>09/04/2027</t>
        </is>
      </c>
      <c r="F322" s="2" t="n">
        <v>1261409.055620938</v>
      </c>
      <c r="G322" s="2" t="n">
        <v>0</v>
      </c>
      <c r="H322" s="2" t="n">
        <v>1261409.055620938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0</v>
      </c>
      <c r="AB322" s="2" t="n">
        <v>0</v>
      </c>
      <c r="AC322" s="2" t="n">
        <v>0</v>
      </c>
      <c r="AD322" s="2" t="n">
        <v>0</v>
      </c>
      <c r="AE322" s="2" t="n">
        <v>0</v>
      </c>
      <c r="AF322" s="2" t="n">
        <v>0</v>
      </c>
      <c r="AG322" s="2" t="n">
        <v>0</v>
      </c>
      <c r="AH322" s="2" t="n">
        <v>0</v>
      </c>
      <c r="AI322" s="2" t="n">
        <v>0</v>
      </c>
      <c r="AJ322" s="2" t="n">
        <v>0</v>
      </c>
      <c r="AK322" s="2" t="n">
        <v>0</v>
      </c>
      <c r="AL322" s="2" t="n">
        <v>0</v>
      </c>
      <c r="AM322" s="2" t="n">
        <v>12.11</v>
      </c>
      <c r="AN322" s="2" t="n">
        <v>15.16</v>
      </c>
      <c r="AO322" s="2" t="n">
        <v>11.15</v>
      </c>
      <c r="AP322" s="2" t="n">
        <v>36.32</v>
      </c>
      <c r="AQ322" s="2" t="n">
        <v>38.49</v>
      </c>
      <c r="AR322" s="2" t="n">
        <v>44.55</v>
      </c>
      <c r="AS322" s="2" t="n">
        <v>61.75</v>
      </c>
      <c r="AT322" s="2" t="n">
        <v>62.99</v>
      </c>
      <c r="AU322" s="2" t="n">
        <v>81.7</v>
      </c>
      <c r="AV322" s="2" t="n">
        <v>89.59999999999999</v>
      </c>
      <c r="AW322" s="2" t="n">
        <v>89.81999999999999</v>
      </c>
      <c r="AX322" s="2" t="n">
        <v>94.69</v>
      </c>
      <c r="AY322" s="2" t="n">
        <v>95.65000000000001</v>
      </c>
      <c r="AZ322" s="2" t="n">
        <v>95.65000000000001</v>
      </c>
      <c r="BA322" s="2" t="n">
        <v>94.69</v>
      </c>
      <c r="BB322" s="2" t="n">
        <v>95.65000000000001</v>
      </c>
      <c r="BC322" s="2" t="n">
        <v>95.65000000000001</v>
      </c>
      <c r="BD322" s="2" t="n">
        <v>94.69</v>
      </c>
      <c r="BE322" s="2" t="n">
        <v>95.65000000000001</v>
      </c>
      <c r="BF322" s="2" t="n">
        <v>95.65000000000001</v>
      </c>
      <c r="BG322" s="2" t="n">
        <v>94.69</v>
      </c>
      <c r="BH322" s="2" t="n">
        <v>95.65000000000001</v>
      </c>
      <c r="BI322" s="2" t="n">
        <v>95.65000000000001</v>
      </c>
      <c r="BJ322" s="2" t="n">
        <v>94.69</v>
      </c>
      <c r="BK322" s="2" t="n">
        <v>95.65000000000001</v>
      </c>
      <c r="BL322" s="2" t="n">
        <v>95.65000000000001</v>
      </c>
      <c r="BM322" s="2" t="n">
        <v>94.69</v>
      </c>
      <c r="BN322" s="2" t="n">
        <v>95.65000000000001</v>
      </c>
      <c r="BO322" s="2" t="n">
        <v>95.65000000000001</v>
      </c>
      <c r="BP322" s="2" t="n">
        <v>94.69</v>
      </c>
      <c r="BQ322" s="2" t="n">
        <v>95.65000000000001</v>
      </c>
      <c r="BR322" s="2" t="n">
        <v>95.65000000000001</v>
      </c>
      <c r="BS322" s="2" t="n">
        <v>94.69</v>
      </c>
      <c r="BT322" s="2" t="n">
        <v>95.65000000000001</v>
      </c>
      <c r="BU322" s="2" t="n">
        <v>96.95999999999999</v>
      </c>
      <c r="BV322" s="2" t="n">
        <v>94.69</v>
      </c>
      <c r="BW322" s="2" t="n">
        <v>95.65000000000001</v>
      </c>
      <c r="BX322" s="2" t="n">
        <v>100</v>
      </c>
      <c r="BY322" s="2" t="n">
        <v>94.69</v>
      </c>
      <c r="BZ322" s="2" t="n">
        <v>95.65000000000001</v>
      </c>
      <c r="CA322" s="2" t="n">
        <v>100</v>
      </c>
      <c r="CB322" s="2" t="n">
        <v>94.69</v>
      </c>
      <c r="CC322" s="2" t="n">
        <v>95.65000000000001</v>
      </c>
      <c r="CD322" s="2" t="n">
        <v>100</v>
      </c>
      <c r="CE322" s="2" t="n">
        <v>94.69</v>
      </c>
      <c r="CF322" s="2" t="n">
        <v>95.65000000000001</v>
      </c>
      <c r="CG322" s="2" t="n">
        <v>100</v>
      </c>
      <c r="CH322" s="2" t="n">
        <v>94.69</v>
      </c>
      <c r="CI322" s="2" t="n">
        <v>95.65000000000001</v>
      </c>
      <c r="CJ322" s="2" t="n">
        <v>100</v>
      </c>
      <c r="CK322" s="2" t="n">
        <v>94.69</v>
      </c>
      <c r="CL322" s="2" t="n">
        <v>95.65000000000001</v>
      </c>
      <c r="CM322" s="2" t="n">
        <v>100</v>
      </c>
      <c r="CN322" s="2" t="n">
        <v>94.69</v>
      </c>
      <c r="CO322" s="2" t="n">
        <v>95.65000000000001</v>
      </c>
      <c r="CP322" s="2" t="n">
        <v>100</v>
      </c>
      <c r="CQ322" s="2" t="n">
        <v>94.69</v>
      </c>
      <c r="CR322" s="2" t="n">
        <v>95.65000000000001</v>
      </c>
      <c r="CS322" s="2" t="n">
        <v>100</v>
      </c>
      <c r="CT322" s="2" t="n">
        <v>94.69</v>
      </c>
      <c r="CU322" s="2" t="n">
        <v>95.65000000000001</v>
      </c>
      <c r="CV322" s="2" t="n">
        <v>100</v>
      </c>
      <c r="CW322" s="2" t="n">
        <v>94.69</v>
      </c>
      <c r="CX322" s="2" t="n">
        <v>95.65000000000001</v>
      </c>
      <c r="CY322" s="2" t="n">
        <v>100</v>
      </c>
      <c r="CZ322" s="2" t="n">
        <v>94.69</v>
      </c>
      <c r="DA322" s="2" t="n">
        <v>95.65000000000001</v>
      </c>
      <c r="DB322" s="2" t="n">
        <v>100</v>
      </c>
      <c r="DC322" s="2" t="n">
        <v>94.69</v>
      </c>
      <c r="DD322" s="2" t="n">
        <v>95.65000000000001</v>
      </c>
      <c r="DE322" s="2" t="n">
        <v>100</v>
      </c>
      <c r="DF322" s="2" t="n">
        <v>94.69</v>
      </c>
      <c r="DG322" s="2" t="n">
        <v>95.65000000000001</v>
      </c>
      <c r="DH322" s="2" t="n">
        <v>100</v>
      </c>
      <c r="DI322" s="2" t="n">
        <v>94.69</v>
      </c>
      <c r="DJ322" s="2" t="n">
        <v>95.65000000000001</v>
      </c>
      <c r="DK322" s="2" t="n">
        <v>100</v>
      </c>
      <c r="DL322" s="2" t="n">
        <v>94.69</v>
      </c>
      <c r="DM322" s="2" t="n">
        <v>95.65000000000001</v>
      </c>
      <c r="DN322" s="2" t="n">
        <v>100</v>
      </c>
      <c r="DO322" s="2" t="n">
        <v>94.69</v>
      </c>
      <c r="DP322" s="2" t="n">
        <v>95.65000000000001</v>
      </c>
      <c r="DQ322" s="2" t="n">
        <v>100</v>
      </c>
      <c r="DR322" s="2" t="n">
        <v>94.69</v>
      </c>
      <c r="DS322" s="2" t="n">
        <v>95.65000000000001</v>
      </c>
      <c r="DT322" s="2" t="n">
        <v>100</v>
      </c>
      <c r="DU322" s="2" t="n">
        <v>94.69</v>
      </c>
      <c r="DV322" s="2" t="n">
        <v>95.65000000000001</v>
      </c>
      <c r="DW322" s="2" t="n">
        <v>100</v>
      </c>
      <c r="DX322" s="2" t="n">
        <v>94.69</v>
      </c>
      <c r="DY322" s="2" t="n">
        <v>95.65000000000001</v>
      </c>
      <c r="DZ322" s="2" t="n">
        <v>100</v>
      </c>
      <c r="EA322" s="2" t="n">
        <v>94.69</v>
      </c>
      <c r="EB322" s="2" t="n">
        <v>95.65000000000001</v>
      </c>
      <c r="EC322" s="2" t="n">
        <v>100</v>
      </c>
      <c r="ED322" s="2" t="n">
        <v>94.69</v>
      </c>
      <c r="EE322" s="2" t="n">
        <v>95.65000000000001</v>
      </c>
      <c r="EF322" s="2" t="n">
        <v>100</v>
      </c>
      <c r="EG322" s="2" t="n">
        <v>94.69</v>
      </c>
      <c r="EH322" s="2" t="n">
        <v>95.65000000000001</v>
      </c>
      <c r="EI322" s="2" t="n">
        <v>100</v>
      </c>
      <c r="EJ322" s="2" t="n">
        <v>94.69</v>
      </c>
      <c r="EK322" s="2" t="n">
        <v>95.65000000000001</v>
      </c>
      <c r="EL322" s="2" t="n">
        <v>100</v>
      </c>
      <c r="EM322" s="2" t="n">
        <v>94.69</v>
      </c>
      <c r="EN322" s="2" t="n">
        <v>95.65000000000001</v>
      </c>
      <c r="EO322" s="2" t="n">
        <v>100</v>
      </c>
      <c r="EP322" s="2" t="n">
        <v>94.69</v>
      </c>
      <c r="EQ322" s="2" t="n">
        <v>95.65000000000001</v>
      </c>
      <c r="ER322" s="2" t="n">
        <v>100</v>
      </c>
      <c r="ES322" s="2" t="n">
        <v>94.69</v>
      </c>
    </row>
    <row r="323">
      <c r="A323" s="2" t="n">
        <v>3</v>
      </c>
      <c r="B323" s="2" t="inlineStr">
        <is>
          <t>16.01.05</t>
        </is>
      </c>
      <c r="C323" s="2" t="inlineStr">
        <is>
          <t>Armadura Ca-60 adquirido cortado e dobrado, montagem e posicionamento no canteiro</t>
        </is>
      </c>
      <c r="D323" s="2" t="inlineStr">
        <is>
          <t>13/04/2026</t>
        </is>
      </c>
      <c r="E323" s="2" t="inlineStr">
        <is>
          <t>09/04/2027</t>
        </is>
      </c>
      <c r="F323" s="2" t="n">
        <v>15736.4390810629</v>
      </c>
      <c r="G323" s="2" t="n">
        <v>0</v>
      </c>
      <c r="H323" s="2" t="n">
        <v>15736.4390810629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0</v>
      </c>
      <c r="AB323" s="2" t="n">
        <v>0</v>
      </c>
      <c r="AC323" s="2" t="n">
        <v>0</v>
      </c>
      <c r="AD323" s="2" t="n">
        <v>0</v>
      </c>
      <c r="AE323" s="2" t="n">
        <v>0</v>
      </c>
      <c r="AF323" s="2" t="n">
        <v>0</v>
      </c>
      <c r="AG323" s="2" t="n">
        <v>0</v>
      </c>
      <c r="AH323" s="2" t="n">
        <v>0</v>
      </c>
      <c r="AI323" s="2" t="n">
        <v>0</v>
      </c>
      <c r="AJ323" s="2" t="n">
        <v>0</v>
      </c>
      <c r="AK323" s="2" t="n">
        <v>0</v>
      </c>
      <c r="AL323" s="2" t="n">
        <v>0</v>
      </c>
      <c r="AM323" s="2" t="n">
        <v>12.11</v>
      </c>
      <c r="AN323" s="2" t="n">
        <v>15.16</v>
      </c>
      <c r="AO323" s="2" t="n">
        <v>11.15</v>
      </c>
      <c r="AP323" s="2" t="n">
        <v>36.32</v>
      </c>
      <c r="AQ323" s="2" t="n">
        <v>38.49</v>
      </c>
      <c r="AR323" s="2" t="n">
        <v>44.55</v>
      </c>
      <c r="AS323" s="2" t="n">
        <v>61.75</v>
      </c>
      <c r="AT323" s="2" t="n">
        <v>62.99</v>
      </c>
      <c r="AU323" s="2" t="n">
        <v>81.7</v>
      </c>
      <c r="AV323" s="2" t="n">
        <v>89.59999999999999</v>
      </c>
      <c r="AW323" s="2" t="n">
        <v>89.81999999999999</v>
      </c>
      <c r="AX323" s="2" t="n">
        <v>94.69</v>
      </c>
      <c r="AY323" s="2" t="n">
        <v>95.65000000000001</v>
      </c>
      <c r="AZ323" s="2" t="n">
        <v>95.65000000000001</v>
      </c>
      <c r="BA323" s="2" t="n">
        <v>94.69</v>
      </c>
      <c r="BB323" s="2" t="n">
        <v>95.65000000000001</v>
      </c>
      <c r="BC323" s="2" t="n">
        <v>95.65000000000001</v>
      </c>
      <c r="BD323" s="2" t="n">
        <v>94.69</v>
      </c>
      <c r="BE323" s="2" t="n">
        <v>95.65000000000001</v>
      </c>
      <c r="BF323" s="2" t="n">
        <v>95.65000000000001</v>
      </c>
      <c r="BG323" s="2" t="n">
        <v>94.69</v>
      </c>
      <c r="BH323" s="2" t="n">
        <v>95.65000000000001</v>
      </c>
      <c r="BI323" s="2" t="n">
        <v>95.65000000000001</v>
      </c>
      <c r="BJ323" s="2" t="n">
        <v>94.69</v>
      </c>
      <c r="BK323" s="2" t="n">
        <v>95.65000000000001</v>
      </c>
      <c r="BL323" s="2" t="n">
        <v>95.65000000000001</v>
      </c>
      <c r="BM323" s="2" t="n">
        <v>94.69</v>
      </c>
      <c r="BN323" s="2" t="n">
        <v>95.65000000000001</v>
      </c>
      <c r="BO323" s="2" t="n">
        <v>95.65000000000001</v>
      </c>
      <c r="BP323" s="2" t="n">
        <v>94.69</v>
      </c>
      <c r="BQ323" s="2" t="n">
        <v>95.65000000000001</v>
      </c>
      <c r="BR323" s="2" t="n">
        <v>95.65000000000001</v>
      </c>
      <c r="BS323" s="2" t="n">
        <v>94.69</v>
      </c>
      <c r="BT323" s="2" t="n">
        <v>95.65000000000001</v>
      </c>
      <c r="BU323" s="2" t="n">
        <v>96.95999999999999</v>
      </c>
      <c r="BV323" s="2" t="n">
        <v>94.69</v>
      </c>
      <c r="BW323" s="2" t="n">
        <v>95.65000000000001</v>
      </c>
      <c r="BX323" s="2" t="n">
        <v>100</v>
      </c>
      <c r="BY323" s="2" t="n">
        <v>94.69</v>
      </c>
      <c r="BZ323" s="2" t="n">
        <v>95.65000000000001</v>
      </c>
      <c r="CA323" s="2" t="n">
        <v>100</v>
      </c>
      <c r="CB323" s="2" t="n">
        <v>94.69</v>
      </c>
      <c r="CC323" s="2" t="n">
        <v>95.65000000000001</v>
      </c>
      <c r="CD323" s="2" t="n">
        <v>100</v>
      </c>
      <c r="CE323" s="2" t="n">
        <v>94.69</v>
      </c>
      <c r="CF323" s="2" t="n">
        <v>95.65000000000001</v>
      </c>
      <c r="CG323" s="2" t="n">
        <v>100</v>
      </c>
      <c r="CH323" s="2" t="n">
        <v>94.69</v>
      </c>
      <c r="CI323" s="2" t="n">
        <v>95.65000000000001</v>
      </c>
      <c r="CJ323" s="2" t="n">
        <v>100</v>
      </c>
      <c r="CK323" s="2" t="n">
        <v>94.69</v>
      </c>
      <c r="CL323" s="2" t="n">
        <v>95.65000000000001</v>
      </c>
      <c r="CM323" s="2" t="n">
        <v>100</v>
      </c>
      <c r="CN323" s="2" t="n">
        <v>94.69</v>
      </c>
      <c r="CO323" s="2" t="n">
        <v>95.65000000000001</v>
      </c>
      <c r="CP323" s="2" t="n">
        <v>100</v>
      </c>
      <c r="CQ323" s="2" t="n">
        <v>94.69</v>
      </c>
      <c r="CR323" s="2" t="n">
        <v>95.65000000000001</v>
      </c>
      <c r="CS323" s="2" t="n">
        <v>100</v>
      </c>
      <c r="CT323" s="2" t="n">
        <v>94.69</v>
      </c>
      <c r="CU323" s="2" t="n">
        <v>95.65000000000001</v>
      </c>
      <c r="CV323" s="2" t="n">
        <v>100</v>
      </c>
      <c r="CW323" s="2" t="n">
        <v>94.69</v>
      </c>
      <c r="CX323" s="2" t="n">
        <v>95.65000000000001</v>
      </c>
      <c r="CY323" s="2" t="n">
        <v>100</v>
      </c>
      <c r="CZ323" s="2" t="n">
        <v>94.69</v>
      </c>
      <c r="DA323" s="2" t="n">
        <v>95.65000000000001</v>
      </c>
      <c r="DB323" s="2" t="n">
        <v>100</v>
      </c>
      <c r="DC323" s="2" t="n">
        <v>94.69</v>
      </c>
      <c r="DD323" s="2" t="n">
        <v>95.65000000000001</v>
      </c>
      <c r="DE323" s="2" t="n">
        <v>100</v>
      </c>
      <c r="DF323" s="2" t="n">
        <v>94.69</v>
      </c>
      <c r="DG323" s="2" t="n">
        <v>95.65000000000001</v>
      </c>
      <c r="DH323" s="2" t="n">
        <v>100</v>
      </c>
      <c r="DI323" s="2" t="n">
        <v>94.69</v>
      </c>
      <c r="DJ323" s="2" t="n">
        <v>95.65000000000001</v>
      </c>
      <c r="DK323" s="2" t="n">
        <v>100</v>
      </c>
      <c r="DL323" s="2" t="n">
        <v>94.69</v>
      </c>
      <c r="DM323" s="2" t="n">
        <v>95.65000000000001</v>
      </c>
      <c r="DN323" s="2" t="n">
        <v>100</v>
      </c>
      <c r="DO323" s="2" t="n">
        <v>94.69</v>
      </c>
      <c r="DP323" s="2" t="n">
        <v>95.65000000000001</v>
      </c>
      <c r="DQ323" s="2" t="n">
        <v>100</v>
      </c>
      <c r="DR323" s="2" t="n">
        <v>94.69</v>
      </c>
      <c r="DS323" s="2" t="n">
        <v>95.65000000000001</v>
      </c>
      <c r="DT323" s="2" t="n">
        <v>100</v>
      </c>
      <c r="DU323" s="2" t="n">
        <v>94.69</v>
      </c>
      <c r="DV323" s="2" t="n">
        <v>95.65000000000001</v>
      </c>
      <c r="DW323" s="2" t="n">
        <v>100</v>
      </c>
      <c r="DX323" s="2" t="n">
        <v>94.69</v>
      </c>
      <c r="DY323" s="2" t="n">
        <v>95.65000000000001</v>
      </c>
      <c r="DZ323" s="2" t="n">
        <v>100</v>
      </c>
      <c r="EA323" s="2" t="n">
        <v>94.69</v>
      </c>
      <c r="EB323" s="2" t="n">
        <v>95.65000000000001</v>
      </c>
      <c r="EC323" s="2" t="n">
        <v>100</v>
      </c>
      <c r="ED323" s="2" t="n">
        <v>94.69</v>
      </c>
      <c r="EE323" s="2" t="n">
        <v>95.65000000000001</v>
      </c>
      <c r="EF323" s="2" t="n">
        <v>100</v>
      </c>
      <c r="EG323" s="2" t="n">
        <v>94.69</v>
      </c>
      <c r="EH323" s="2" t="n">
        <v>95.65000000000001</v>
      </c>
      <c r="EI323" s="2" t="n">
        <v>100</v>
      </c>
      <c r="EJ323" s="2" t="n">
        <v>94.69</v>
      </c>
      <c r="EK323" s="2" t="n">
        <v>95.65000000000001</v>
      </c>
      <c r="EL323" s="2" t="n">
        <v>100</v>
      </c>
      <c r="EM323" s="2" t="n">
        <v>94.69</v>
      </c>
      <c r="EN323" s="2" t="n">
        <v>95.65000000000001</v>
      </c>
      <c r="EO323" s="2" t="n">
        <v>100</v>
      </c>
      <c r="EP323" s="2" t="n">
        <v>94.69</v>
      </c>
      <c r="EQ323" s="2" t="n">
        <v>95.65000000000001</v>
      </c>
      <c r="ER323" s="2" t="n">
        <v>100</v>
      </c>
      <c r="ES323" s="2" t="n">
        <v>94.69</v>
      </c>
    </row>
    <row r="324">
      <c r="A324" s="2" t="n">
        <v>3</v>
      </c>
      <c r="B324" s="2" t="inlineStr">
        <is>
          <t>16.01.06</t>
        </is>
      </c>
      <c r="C324" s="2" t="inlineStr">
        <is>
          <t>Lastro de concreto magro rodado em betoneira</t>
        </is>
      </c>
      <c r="D324" s="2" t="inlineStr">
        <is>
          <t>13/04/2026</t>
        </is>
      </c>
      <c r="E324" s="2" t="inlineStr">
        <is>
          <t>09/04/2027</t>
        </is>
      </c>
      <c r="F324" s="2" t="n">
        <v>17625.88062702769</v>
      </c>
      <c r="G324" s="2" t="n">
        <v>0</v>
      </c>
      <c r="H324" s="2" t="n">
        <v>17625.88062702769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0</v>
      </c>
      <c r="AB324" s="2" t="n">
        <v>0</v>
      </c>
      <c r="AC324" s="2" t="n">
        <v>0</v>
      </c>
      <c r="AD324" s="2" t="n">
        <v>0</v>
      </c>
      <c r="AE324" s="2" t="n">
        <v>0</v>
      </c>
      <c r="AF324" s="2" t="n">
        <v>0</v>
      </c>
      <c r="AG324" s="2" t="n">
        <v>0</v>
      </c>
      <c r="AH324" s="2" t="n">
        <v>0</v>
      </c>
      <c r="AI324" s="2" t="n">
        <v>0</v>
      </c>
      <c r="AJ324" s="2" t="n">
        <v>0</v>
      </c>
      <c r="AK324" s="2" t="n">
        <v>0</v>
      </c>
      <c r="AL324" s="2" t="n">
        <v>0</v>
      </c>
      <c r="AM324" s="2" t="n">
        <v>12.11</v>
      </c>
      <c r="AN324" s="2" t="n">
        <v>15.16</v>
      </c>
      <c r="AO324" s="2" t="n">
        <v>11.15</v>
      </c>
      <c r="AP324" s="2" t="n">
        <v>36.32</v>
      </c>
      <c r="AQ324" s="2" t="n">
        <v>38.49</v>
      </c>
      <c r="AR324" s="2" t="n">
        <v>44.55</v>
      </c>
      <c r="AS324" s="2" t="n">
        <v>61.75</v>
      </c>
      <c r="AT324" s="2" t="n">
        <v>62.99</v>
      </c>
      <c r="AU324" s="2" t="n">
        <v>81.7</v>
      </c>
      <c r="AV324" s="2" t="n">
        <v>89.59999999999999</v>
      </c>
      <c r="AW324" s="2" t="n">
        <v>89.81999999999999</v>
      </c>
      <c r="AX324" s="2" t="n">
        <v>94.69</v>
      </c>
      <c r="AY324" s="2" t="n">
        <v>95.65000000000001</v>
      </c>
      <c r="AZ324" s="2" t="n">
        <v>95.65000000000001</v>
      </c>
      <c r="BA324" s="2" t="n">
        <v>94.69</v>
      </c>
      <c r="BB324" s="2" t="n">
        <v>95.65000000000001</v>
      </c>
      <c r="BC324" s="2" t="n">
        <v>95.65000000000001</v>
      </c>
      <c r="BD324" s="2" t="n">
        <v>94.69</v>
      </c>
      <c r="BE324" s="2" t="n">
        <v>95.65000000000001</v>
      </c>
      <c r="BF324" s="2" t="n">
        <v>95.65000000000001</v>
      </c>
      <c r="BG324" s="2" t="n">
        <v>94.69</v>
      </c>
      <c r="BH324" s="2" t="n">
        <v>95.65000000000001</v>
      </c>
      <c r="BI324" s="2" t="n">
        <v>95.65000000000001</v>
      </c>
      <c r="BJ324" s="2" t="n">
        <v>94.69</v>
      </c>
      <c r="BK324" s="2" t="n">
        <v>95.65000000000001</v>
      </c>
      <c r="BL324" s="2" t="n">
        <v>95.65000000000001</v>
      </c>
      <c r="BM324" s="2" t="n">
        <v>94.69</v>
      </c>
      <c r="BN324" s="2" t="n">
        <v>95.65000000000001</v>
      </c>
      <c r="BO324" s="2" t="n">
        <v>95.65000000000001</v>
      </c>
      <c r="BP324" s="2" t="n">
        <v>94.69</v>
      </c>
      <c r="BQ324" s="2" t="n">
        <v>95.65000000000001</v>
      </c>
      <c r="BR324" s="2" t="n">
        <v>95.65000000000001</v>
      </c>
      <c r="BS324" s="2" t="n">
        <v>94.69</v>
      </c>
      <c r="BT324" s="2" t="n">
        <v>95.65000000000001</v>
      </c>
      <c r="BU324" s="2" t="n">
        <v>96.95999999999999</v>
      </c>
      <c r="BV324" s="2" t="n">
        <v>94.69</v>
      </c>
      <c r="BW324" s="2" t="n">
        <v>95.65000000000001</v>
      </c>
      <c r="BX324" s="2" t="n">
        <v>100</v>
      </c>
      <c r="BY324" s="2" t="n">
        <v>94.69</v>
      </c>
      <c r="BZ324" s="2" t="n">
        <v>95.65000000000001</v>
      </c>
      <c r="CA324" s="2" t="n">
        <v>100</v>
      </c>
      <c r="CB324" s="2" t="n">
        <v>94.69</v>
      </c>
      <c r="CC324" s="2" t="n">
        <v>95.65000000000001</v>
      </c>
      <c r="CD324" s="2" t="n">
        <v>100</v>
      </c>
      <c r="CE324" s="2" t="n">
        <v>94.69</v>
      </c>
      <c r="CF324" s="2" t="n">
        <v>95.65000000000001</v>
      </c>
      <c r="CG324" s="2" t="n">
        <v>100</v>
      </c>
      <c r="CH324" s="2" t="n">
        <v>94.69</v>
      </c>
      <c r="CI324" s="2" t="n">
        <v>95.65000000000001</v>
      </c>
      <c r="CJ324" s="2" t="n">
        <v>100</v>
      </c>
      <c r="CK324" s="2" t="n">
        <v>94.69</v>
      </c>
      <c r="CL324" s="2" t="n">
        <v>95.65000000000001</v>
      </c>
      <c r="CM324" s="2" t="n">
        <v>100</v>
      </c>
      <c r="CN324" s="2" t="n">
        <v>94.69</v>
      </c>
      <c r="CO324" s="2" t="n">
        <v>95.65000000000001</v>
      </c>
      <c r="CP324" s="2" t="n">
        <v>100</v>
      </c>
      <c r="CQ324" s="2" t="n">
        <v>94.69</v>
      </c>
      <c r="CR324" s="2" t="n">
        <v>95.65000000000001</v>
      </c>
      <c r="CS324" s="2" t="n">
        <v>100</v>
      </c>
      <c r="CT324" s="2" t="n">
        <v>94.69</v>
      </c>
      <c r="CU324" s="2" t="n">
        <v>95.65000000000001</v>
      </c>
      <c r="CV324" s="2" t="n">
        <v>100</v>
      </c>
      <c r="CW324" s="2" t="n">
        <v>94.69</v>
      </c>
      <c r="CX324" s="2" t="n">
        <v>95.65000000000001</v>
      </c>
      <c r="CY324" s="2" t="n">
        <v>100</v>
      </c>
      <c r="CZ324" s="2" t="n">
        <v>94.69</v>
      </c>
      <c r="DA324" s="2" t="n">
        <v>95.65000000000001</v>
      </c>
      <c r="DB324" s="2" t="n">
        <v>100</v>
      </c>
      <c r="DC324" s="2" t="n">
        <v>94.69</v>
      </c>
      <c r="DD324" s="2" t="n">
        <v>95.65000000000001</v>
      </c>
      <c r="DE324" s="2" t="n">
        <v>100</v>
      </c>
      <c r="DF324" s="2" t="n">
        <v>94.69</v>
      </c>
      <c r="DG324" s="2" t="n">
        <v>95.65000000000001</v>
      </c>
      <c r="DH324" s="2" t="n">
        <v>100</v>
      </c>
      <c r="DI324" s="2" t="n">
        <v>94.69</v>
      </c>
      <c r="DJ324" s="2" t="n">
        <v>95.65000000000001</v>
      </c>
      <c r="DK324" s="2" t="n">
        <v>100</v>
      </c>
      <c r="DL324" s="2" t="n">
        <v>94.69</v>
      </c>
      <c r="DM324" s="2" t="n">
        <v>95.65000000000001</v>
      </c>
      <c r="DN324" s="2" t="n">
        <v>100</v>
      </c>
      <c r="DO324" s="2" t="n">
        <v>94.69</v>
      </c>
      <c r="DP324" s="2" t="n">
        <v>95.65000000000001</v>
      </c>
      <c r="DQ324" s="2" t="n">
        <v>100</v>
      </c>
      <c r="DR324" s="2" t="n">
        <v>94.69</v>
      </c>
      <c r="DS324" s="2" t="n">
        <v>95.65000000000001</v>
      </c>
      <c r="DT324" s="2" t="n">
        <v>100</v>
      </c>
      <c r="DU324" s="2" t="n">
        <v>94.69</v>
      </c>
      <c r="DV324" s="2" t="n">
        <v>95.65000000000001</v>
      </c>
      <c r="DW324" s="2" t="n">
        <v>100</v>
      </c>
      <c r="DX324" s="2" t="n">
        <v>94.69</v>
      </c>
      <c r="DY324" s="2" t="n">
        <v>95.65000000000001</v>
      </c>
      <c r="DZ324" s="2" t="n">
        <v>100</v>
      </c>
      <c r="EA324" s="2" t="n">
        <v>94.69</v>
      </c>
      <c r="EB324" s="2" t="n">
        <v>95.65000000000001</v>
      </c>
      <c r="EC324" s="2" t="n">
        <v>100</v>
      </c>
      <c r="ED324" s="2" t="n">
        <v>94.69</v>
      </c>
      <c r="EE324" s="2" t="n">
        <v>95.65000000000001</v>
      </c>
      <c r="EF324" s="2" t="n">
        <v>100</v>
      </c>
      <c r="EG324" s="2" t="n">
        <v>94.69</v>
      </c>
      <c r="EH324" s="2" t="n">
        <v>95.65000000000001</v>
      </c>
      <c r="EI324" s="2" t="n">
        <v>100</v>
      </c>
      <c r="EJ324" s="2" t="n">
        <v>94.69</v>
      </c>
      <c r="EK324" s="2" t="n">
        <v>95.65000000000001</v>
      </c>
      <c r="EL324" s="2" t="n">
        <v>100</v>
      </c>
      <c r="EM324" s="2" t="n">
        <v>94.69</v>
      </c>
      <c r="EN324" s="2" t="n">
        <v>95.65000000000001</v>
      </c>
      <c r="EO324" s="2" t="n">
        <v>100</v>
      </c>
      <c r="EP324" s="2" t="n">
        <v>94.69</v>
      </c>
      <c r="EQ324" s="2" t="n">
        <v>95.65000000000001</v>
      </c>
      <c r="ER324" s="2" t="n">
        <v>100</v>
      </c>
      <c r="ES324" s="2" t="n">
        <v>94.69</v>
      </c>
    </row>
    <row r="325">
      <c r="A325" s="2" t="n">
        <v>3</v>
      </c>
      <c r="B325" s="2" t="inlineStr">
        <is>
          <t>16.01.07</t>
        </is>
      </c>
      <c r="C325" s="2" t="inlineStr">
        <is>
          <t>Concreto bombeado Fck=40Mpa para superestrutura</t>
        </is>
      </c>
      <c r="D325" s="2" t="inlineStr">
        <is>
          <t>13/04/2026</t>
        </is>
      </c>
      <c r="E325" s="2" t="inlineStr">
        <is>
          <t>09/04/2027</t>
        </is>
      </c>
      <c r="F325" s="2" t="n">
        <v>990678.1200000002</v>
      </c>
      <c r="G325" s="2" t="n">
        <v>0</v>
      </c>
      <c r="H325" s="2" t="n">
        <v>990678.1200000002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0</v>
      </c>
      <c r="AB325" s="2" t="n">
        <v>0</v>
      </c>
      <c r="AC325" s="2" t="n">
        <v>0</v>
      </c>
      <c r="AD325" s="2" t="n">
        <v>0</v>
      </c>
      <c r="AE325" s="2" t="n">
        <v>0</v>
      </c>
      <c r="AF325" s="2" t="n">
        <v>0</v>
      </c>
      <c r="AG325" s="2" t="n">
        <v>0</v>
      </c>
      <c r="AH325" s="2" t="n">
        <v>0</v>
      </c>
      <c r="AI325" s="2" t="n">
        <v>0</v>
      </c>
      <c r="AJ325" s="2" t="n">
        <v>0</v>
      </c>
      <c r="AK325" s="2" t="n">
        <v>0</v>
      </c>
      <c r="AL325" s="2" t="n">
        <v>0</v>
      </c>
      <c r="AM325" s="2" t="n">
        <v>12.11</v>
      </c>
      <c r="AN325" s="2" t="n">
        <v>15.16</v>
      </c>
      <c r="AO325" s="2" t="n">
        <v>11.15</v>
      </c>
      <c r="AP325" s="2" t="n">
        <v>36.32</v>
      </c>
      <c r="AQ325" s="2" t="n">
        <v>38.49</v>
      </c>
      <c r="AR325" s="2" t="n">
        <v>44.55</v>
      </c>
      <c r="AS325" s="2" t="n">
        <v>61.75</v>
      </c>
      <c r="AT325" s="2" t="n">
        <v>62.99</v>
      </c>
      <c r="AU325" s="2" t="n">
        <v>81.7</v>
      </c>
      <c r="AV325" s="2" t="n">
        <v>89.59999999999999</v>
      </c>
      <c r="AW325" s="2" t="n">
        <v>89.81999999999999</v>
      </c>
      <c r="AX325" s="2" t="n">
        <v>94.69</v>
      </c>
      <c r="AY325" s="2" t="n">
        <v>95.65000000000001</v>
      </c>
      <c r="AZ325" s="2" t="n">
        <v>95.65000000000001</v>
      </c>
      <c r="BA325" s="2" t="n">
        <v>94.69</v>
      </c>
      <c r="BB325" s="2" t="n">
        <v>95.65000000000001</v>
      </c>
      <c r="BC325" s="2" t="n">
        <v>95.65000000000001</v>
      </c>
      <c r="BD325" s="2" t="n">
        <v>94.69</v>
      </c>
      <c r="BE325" s="2" t="n">
        <v>95.65000000000001</v>
      </c>
      <c r="BF325" s="2" t="n">
        <v>95.65000000000001</v>
      </c>
      <c r="BG325" s="2" t="n">
        <v>94.69</v>
      </c>
      <c r="BH325" s="2" t="n">
        <v>95.65000000000001</v>
      </c>
      <c r="BI325" s="2" t="n">
        <v>95.65000000000001</v>
      </c>
      <c r="BJ325" s="2" t="n">
        <v>94.69</v>
      </c>
      <c r="BK325" s="2" t="n">
        <v>95.65000000000001</v>
      </c>
      <c r="BL325" s="2" t="n">
        <v>95.65000000000001</v>
      </c>
      <c r="BM325" s="2" t="n">
        <v>94.69</v>
      </c>
      <c r="BN325" s="2" t="n">
        <v>95.65000000000001</v>
      </c>
      <c r="BO325" s="2" t="n">
        <v>95.65000000000001</v>
      </c>
      <c r="BP325" s="2" t="n">
        <v>94.69</v>
      </c>
      <c r="BQ325" s="2" t="n">
        <v>95.65000000000001</v>
      </c>
      <c r="BR325" s="2" t="n">
        <v>95.65000000000001</v>
      </c>
      <c r="BS325" s="2" t="n">
        <v>94.69</v>
      </c>
      <c r="BT325" s="2" t="n">
        <v>95.65000000000001</v>
      </c>
      <c r="BU325" s="2" t="n">
        <v>96.95999999999999</v>
      </c>
      <c r="BV325" s="2" t="n">
        <v>94.69</v>
      </c>
      <c r="BW325" s="2" t="n">
        <v>95.65000000000001</v>
      </c>
      <c r="BX325" s="2" t="n">
        <v>100</v>
      </c>
      <c r="BY325" s="2" t="n">
        <v>94.69</v>
      </c>
      <c r="BZ325" s="2" t="n">
        <v>95.65000000000001</v>
      </c>
      <c r="CA325" s="2" t="n">
        <v>100</v>
      </c>
      <c r="CB325" s="2" t="n">
        <v>94.69</v>
      </c>
      <c r="CC325" s="2" t="n">
        <v>95.65000000000001</v>
      </c>
      <c r="CD325" s="2" t="n">
        <v>100</v>
      </c>
      <c r="CE325" s="2" t="n">
        <v>94.69</v>
      </c>
      <c r="CF325" s="2" t="n">
        <v>95.65000000000001</v>
      </c>
      <c r="CG325" s="2" t="n">
        <v>100</v>
      </c>
      <c r="CH325" s="2" t="n">
        <v>94.69</v>
      </c>
      <c r="CI325" s="2" t="n">
        <v>95.65000000000001</v>
      </c>
      <c r="CJ325" s="2" t="n">
        <v>100</v>
      </c>
      <c r="CK325" s="2" t="n">
        <v>94.69</v>
      </c>
      <c r="CL325" s="2" t="n">
        <v>95.65000000000001</v>
      </c>
      <c r="CM325" s="2" t="n">
        <v>100</v>
      </c>
      <c r="CN325" s="2" t="n">
        <v>94.69</v>
      </c>
      <c r="CO325" s="2" t="n">
        <v>95.65000000000001</v>
      </c>
      <c r="CP325" s="2" t="n">
        <v>100</v>
      </c>
      <c r="CQ325" s="2" t="n">
        <v>94.69</v>
      </c>
      <c r="CR325" s="2" t="n">
        <v>95.65000000000001</v>
      </c>
      <c r="CS325" s="2" t="n">
        <v>100</v>
      </c>
      <c r="CT325" s="2" t="n">
        <v>94.69</v>
      </c>
      <c r="CU325" s="2" t="n">
        <v>95.65000000000001</v>
      </c>
      <c r="CV325" s="2" t="n">
        <v>100</v>
      </c>
      <c r="CW325" s="2" t="n">
        <v>94.69</v>
      </c>
      <c r="CX325" s="2" t="n">
        <v>95.65000000000001</v>
      </c>
      <c r="CY325" s="2" t="n">
        <v>100</v>
      </c>
      <c r="CZ325" s="2" t="n">
        <v>94.69</v>
      </c>
      <c r="DA325" s="2" t="n">
        <v>95.65000000000001</v>
      </c>
      <c r="DB325" s="2" t="n">
        <v>100</v>
      </c>
      <c r="DC325" s="2" t="n">
        <v>94.69</v>
      </c>
      <c r="DD325" s="2" t="n">
        <v>95.65000000000001</v>
      </c>
      <c r="DE325" s="2" t="n">
        <v>100</v>
      </c>
      <c r="DF325" s="2" t="n">
        <v>94.69</v>
      </c>
      <c r="DG325" s="2" t="n">
        <v>95.65000000000001</v>
      </c>
      <c r="DH325" s="2" t="n">
        <v>100</v>
      </c>
      <c r="DI325" s="2" t="n">
        <v>94.69</v>
      </c>
      <c r="DJ325" s="2" t="n">
        <v>95.65000000000001</v>
      </c>
      <c r="DK325" s="2" t="n">
        <v>100</v>
      </c>
      <c r="DL325" s="2" t="n">
        <v>94.69</v>
      </c>
      <c r="DM325" s="2" t="n">
        <v>95.65000000000001</v>
      </c>
      <c r="DN325" s="2" t="n">
        <v>100</v>
      </c>
      <c r="DO325" s="2" t="n">
        <v>94.69</v>
      </c>
      <c r="DP325" s="2" t="n">
        <v>95.65000000000001</v>
      </c>
      <c r="DQ325" s="2" t="n">
        <v>100</v>
      </c>
      <c r="DR325" s="2" t="n">
        <v>94.69</v>
      </c>
      <c r="DS325" s="2" t="n">
        <v>95.65000000000001</v>
      </c>
      <c r="DT325" s="2" t="n">
        <v>100</v>
      </c>
      <c r="DU325" s="2" t="n">
        <v>94.69</v>
      </c>
      <c r="DV325" s="2" t="n">
        <v>95.65000000000001</v>
      </c>
      <c r="DW325" s="2" t="n">
        <v>100</v>
      </c>
      <c r="DX325" s="2" t="n">
        <v>94.69</v>
      </c>
      <c r="DY325" s="2" t="n">
        <v>95.65000000000001</v>
      </c>
      <c r="DZ325" s="2" t="n">
        <v>100</v>
      </c>
      <c r="EA325" s="2" t="n">
        <v>94.69</v>
      </c>
      <c r="EB325" s="2" t="n">
        <v>95.65000000000001</v>
      </c>
      <c r="EC325" s="2" t="n">
        <v>100</v>
      </c>
      <c r="ED325" s="2" t="n">
        <v>94.69</v>
      </c>
      <c r="EE325" s="2" t="n">
        <v>95.65000000000001</v>
      </c>
      <c r="EF325" s="2" t="n">
        <v>100</v>
      </c>
      <c r="EG325" s="2" t="n">
        <v>94.69</v>
      </c>
      <c r="EH325" s="2" t="n">
        <v>95.65000000000001</v>
      </c>
      <c r="EI325" s="2" t="n">
        <v>100</v>
      </c>
      <c r="EJ325" s="2" t="n">
        <v>94.69</v>
      </c>
      <c r="EK325" s="2" t="n">
        <v>95.65000000000001</v>
      </c>
      <c r="EL325" s="2" t="n">
        <v>100</v>
      </c>
      <c r="EM325" s="2" t="n">
        <v>94.69</v>
      </c>
      <c r="EN325" s="2" t="n">
        <v>95.65000000000001</v>
      </c>
      <c r="EO325" s="2" t="n">
        <v>100</v>
      </c>
      <c r="EP325" s="2" t="n">
        <v>94.69</v>
      </c>
      <c r="EQ325" s="2" t="n">
        <v>95.65000000000001</v>
      </c>
      <c r="ER325" s="2" t="n">
        <v>100</v>
      </c>
      <c r="ES325" s="2" t="n">
        <v>94.69</v>
      </c>
    </row>
    <row r="326">
      <c r="A326" s="2" t="n">
        <v>3</v>
      </c>
      <c r="B326" s="2" t="inlineStr">
        <is>
          <t>16.01.08</t>
        </is>
      </c>
      <c r="C326" s="2" t="inlineStr">
        <is>
          <t>Gelo para blocos (100kg/m³)</t>
        </is>
      </c>
      <c r="D326" s="2" t="inlineStr">
        <is>
          <t>13/04/2026</t>
        </is>
      </c>
      <c r="E326" s="2" t="inlineStr">
        <is>
          <t>09/04/2027</t>
        </is>
      </c>
      <c r="F326" s="2" t="n">
        <v>57600</v>
      </c>
      <c r="G326" s="2" t="n">
        <v>0</v>
      </c>
      <c r="H326" s="2" t="n">
        <v>57600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0</v>
      </c>
      <c r="AB326" s="2" t="n">
        <v>0</v>
      </c>
      <c r="AC326" s="2" t="n">
        <v>0</v>
      </c>
      <c r="AD326" s="2" t="n">
        <v>0</v>
      </c>
      <c r="AE326" s="2" t="n">
        <v>0</v>
      </c>
      <c r="AF326" s="2" t="n">
        <v>0</v>
      </c>
      <c r="AG326" s="2" t="n">
        <v>0</v>
      </c>
      <c r="AH326" s="2" t="n">
        <v>0</v>
      </c>
      <c r="AI326" s="2" t="n">
        <v>0</v>
      </c>
      <c r="AJ326" s="2" t="n">
        <v>0</v>
      </c>
      <c r="AK326" s="2" t="n">
        <v>0</v>
      </c>
      <c r="AL326" s="2" t="n">
        <v>0</v>
      </c>
      <c r="AM326" s="2" t="n">
        <v>12.11</v>
      </c>
      <c r="AN326" s="2" t="n">
        <v>15.16</v>
      </c>
      <c r="AO326" s="2" t="n">
        <v>11.15</v>
      </c>
      <c r="AP326" s="2" t="n">
        <v>36.32</v>
      </c>
      <c r="AQ326" s="2" t="n">
        <v>38.49</v>
      </c>
      <c r="AR326" s="2" t="n">
        <v>44.55</v>
      </c>
      <c r="AS326" s="2" t="n">
        <v>61.75</v>
      </c>
      <c r="AT326" s="2" t="n">
        <v>62.99</v>
      </c>
      <c r="AU326" s="2" t="n">
        <v>81.7</v>
      </c>
      <c r="AV326" s="2" t="n">
        <v>89.59999999999999</v>
      </c>
      <c r="AW326" s="2" t="n">
        <v>89.81999999999999</v>
      </c>
      <c r="AX326" s="2" t="n">
        <v>94.69</v>
      </c>
      <c r="AY326" s="2" t="n">
        <v>95.65000000000001</v>
      </c>
      <c r="AZ326" s="2" t="n">
        <v>95.65000000000001</v>
      </c>
      <c r="BA326" s="2" t="n">
        <v>94.69</v>
      </c>
      <c r="BB326" s="2" t="n">
        <v>95.65000000000001</v>
      </c>
      <c r="BC326" s="2" t="n">
        <v>95.65000000000001</v>
      </c>
      <c r="BD326" s="2" t="n">
        <v>94.69</v>
      </c>
      <c r="BE326" s="2" t="n">
        <v>95.65000000000001</v>
      </c>
      <c r="BF326" s="2" t="n">
        <v>95.65000000000001</v>
      </c>
      <c r="BG326" s="2" t="n">
        <v>94.69</v>
      </c>
      <c r="BH326" s="2" t="n">
        <v>95.65000000000001</v>
      </c>
      <c r="BI326" s="2" t="n">
        <v>95.65000000000001</v>
      </c>
      <c r="BJ326" s="2" t="n">
        <v>94.69</v>
      </c>
      <c r="BK326" s="2" t="n">
        <v>95.65000000000001</v>
      </c>
      <c r="BL326" s="2" t="n">
        <v>95.65000000000001</v>
      </c>
      <c r="BM326" s="2" t="n">
        <v>94.69</v>
      </c>
      <c r="BN326" s="2" t="n">
        <v>95.65000000000001</v>
      </c>
      <c r="BO326" s="2" t="n">
        <v>95.65000000000001</v>
      </c>
      <c r="BP326" s="2" t="n">
        <v>94.69</v>
      </c>
      <c r="BQ326" s="2" t="n">
        <v>95.65000000000001</v>
      </c>
      <c r="BR326" s="2" t="n">
        <v>95.65000000000001</v>
      </c>
      <c r="BS326" s="2" t="n">
        <v>94.69</v>
      </c>
      <c r="BT326" s="2" t="n">
        <v>95.65000000000001</v>
      </c>
      <c r="BU326" s="2" t="n">
        <v>96.95999999999999</v>
      </c>
      <c r="BV326" s="2" t="n">
        <v>94.69</v>
      </c>
      <c r="BW326" s="2" t="n">
        <v>95.65000000000001</v>
      </c>
      <c r="BX326" s="2" t="n">
        <v>100</v>
      </c>
      <c r="BY326" s="2" t="n">
        <v>94.69</v>
      </c>
      <c r="BZ326" s="2" t="n">
        <v>95.65000000000001</v>
      </c>
      <c r="CA326" s="2" t="n">
        <v>100</v>
      </c>
      <c r="CB326" s="2" t="n">
        <v>94.69</v>
      </c>
      <c r="CC326" s="2" t="n">
        <v>95.65000000000001</v>
      </c>
      <c r="CD326" s="2" t="n">
        <v>100</v>
      </c>
      <c r="CE326" s="2" t="n">
        <v>94.69</v>
      </c>
      <c r="CF326" s="2" t="n">
        <v>95.65000000000001</v>
      </c>
      <c r="CG326" s="2" t="n">
        <v>100</v>
      </c>
      <c r="CH326" s="2" t="n">
        <v>94.69</v>
      </c>
      <c r="CI326" s="2" t="n">
        <v>95.65000000000001</v>
      </c>
      <c r="CJ326" s="2" t="n">
        <v>100</v>
      </c>
      <c r="CK326" s="2" t="n">
        <v>94.69</v>
      </c>
      <c r="CL326" s="2" t="n">
        <v>95.65000000000001</v>
      </c>
      <c r="CM326" s="2" t="n">
        <v>100</v>
      </c>
      <c r="CN326" s="2" t="n">
        <v>94.69</v>
      </c>
      <c r="CO326" s="2" t="n">
        <v>95.65000000000001</v>
      </c>
      <c r="CP326" s="2" t="n">
        <v>100</v>
      </c>
      <c r="CQ326" s="2" t="n">
        <v>94.69</v>
      </c>
      <c r="CR326" s="2" t="n">
        <v>95.65000000000001</v>
      </c>
      <c r="CS326" s="2" t="n">
        <v>100</v>
      </c>
      <c r="CT326" s="2" t="n">
        <v>94.69</v>
      </c>
      <c r="CU326" s="2" t="n">
        <v>95.65000000000001</v>
      </c>
      <c r="CV326" s="2" t="n">
        <v>100</v>
      </c>
      <c r="CW326" s="2" t="n">
        <v>94.69</v>
      </c>
      <c r="CX326" s="2" t="n">
        <v>95.65000000000001</v>
      </c>
      <c r="CY326" s="2" t="n">
        <v>100</v>
      </c>
      <c r="CZ326" s="2" t="n">
        <v>94.69</v>
      </c>
      <c r="DA326" s="2" t="n">
        <v>95.65000000000001</v>
      </c>
      <c r="DB326" s="2" t="n">
        <v>100</v>
      </c>
      <c r="DC326" s="2" t="n">
        <v>94.69</v>
      </c>
      <c r="DD326" s="2" t="n">
        <v>95.65000000000001</v>
      </c>
      <c r="DE326" s="2" t="n">
        <v>100</v>
      </c>
      <c r="DF326" s="2" t="n">
        <v>94.69</v>
      </c>
      <c r="DG326" s="2" t="n">
        <v>95.65000000000001</v>
      </c>
      <c r="DH326" s="2" t="n">
        <v>100</v>
      </c>
      <c r="DI326" s="2" t="n">
        <v>94.69</v>
      </c>
      <c r="DJ326" s="2" t="n">
        <v>95.65000000000001</v>
      </c>
      <c r="DK326" s="2" t="n">
        <v>100</v>
      </c>
      <c r="DL326" s="2" t="n">
        <v>94.69</v>
      </c>
      <c r="DM326" s="2" t="n">
        <v>95.65000000000001</v>
      </c>
      <c r="DN326" s="2" t="n">
        <v>100</v>
      </c>
      <c r="DO326" s="2" t="n">
        <v>94.69</v>
      </c>
      <c r="DP326" s="2" t="n">
        <v>95.65000000000001</v>
      </c>
      <c r="DQ326" s="2" t="n">
        <v>100</v>
      </c>
      <c r="DR326" s="2" t="n">
        <v>94.69</v>
      </c>
      <c r="DS326" s="2" t="n">
        <v>95.65000000000001</v>
      </c>
      <c r="DT326" s="2" t="n">
        <v>100</v>
      </c>
      <c r="DU326" s="2" t="n">
        <v>94.69</v>
      </c>
      <c r="DV326" s="2" t="n">
        <v>95.65000000000001</v>
      </c>
      <c r="DW326" s="2" t="n">
        <v>100</v>
      </c>
      <c r="DX326" s="2" t="n">
        <v>94.69</v>
      </c>
      <c r="DY326" s="2" t="n">
        <v>95.65000000000001</v>
      </c>
      <c r="DZ326" s="2" t="n">
        <v>100</v>
      </c>
      <c r="EA326" s="2" t="n">
        <v>94.69</v>
      </c>
      <c r="EB326" s="2" t="n">
        <v>95.65000000000001</v>
      </c>
      <c r="EC326" s="2" t="n">
        <v>100</v>
      </c>
      <c r="ED326" s="2" t="n">
        <v>94.69</v>
      </c>
      <c r="EE326" s="2" t="n">
        <v>95.65000000000001</v>
      </c>
      <c r="EF326" s="2" t="n">
        <v>100</v>
      </c>
      <c r="EG326" s="2" t="n">
        <v>94.69</v>
      </c>
      <c r="EH326" s="2" t="n">
        <v>95.65000000000001</v>
      </c>
      <c r="EI326" s="2" t="n">
        <v>100</v>
      </c>
      <c r="EJ326" s="2" t="n">
        <v>94.69</v>
      </c>
      <c r="EK326" s="2" t="n">
        <v>95.65000000000001</v>
      </c>
      <c r="EL326" s="2" t="n">
        <v>100</v>
      </c>
      <c r="EM326" s="2" t="n">
        <v>94.69</v>
      </c>
      <c r="EN326" s="2" t="n">
        <v>95.65000000000001</v>
      </c>
      <c r="EO326" s="2" t="n">
        <v>100</v>
      </c>
      <c r="EP326" s="2" t="n">
        <v>94.69</v>
      </c>
      <c r="EQ326" s="2" t="n">
        <v>95.65000000000001</v>
      </c>
      <c r="ER326" s="2" t="n">
        <v>100</v>
      </c>
      <c r="ES326" s="2" t="n">
        <v>94.69</v>
      </c>
    </row>
    <row r="327">
      <c r="A327" s="2" t="n">
        <v>3</v>
      </c>
      <c r="B327" s="2" t="inlineStr">
        <is>
          <t>16.01.09</t>
        </is>
      </c>
      <c r="C327" s="2" t="inlineStr">
        <is>
          <t>Aterro manual</t>
        </is>
      </c>
      <c r="D327" s="2" t="inlineStr">
        <is>
          <t>13/04/2026</t>
        </is>
      </c>
      <c r="E327" s="2" t="inlineStr">
        <is>
          <t>09/04/2027</t>
        </is>
      </c>
      <c r="F327" s="2" t="n">
        <v>57321.02314093693</v>
      </c>
      <c r="G327" s="2" t="n">
        <v>0</v>
      </c>
      <c r="H327" s="2" t="n">
        <v>57321.02314093693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0</v>
      </c>
      <c r="AB327" s="2" t="n">
        <v>0</v>
      </c>
      <c r="AC327" s="2" t="n">
        <v>0</v>
      </c>
      <c r="AD327" s="2" t="n">
        <v>0</v>
      </c>
      <c r="AE327" s="2" t="n">
        <v>0</v>
      </c>
      <c r="AF327" s="2" t="n">
        <v>0</v>
      </c>
      <c r="AG327" s="2" t="n">
        <v>0</v>
      </c>
      <c r="AH327" s="2" t="n">
        <v>0</v>
      </c>
      <c r="AI327" s="2" t="n">
        <v>0</v>
      </c>
      <c r="AJ327" s="2" t="n">
        <v>0</v>
      </c>
      <c r="AK327" s="2" t="n">
        <v>0</v>
      </c>
      <c r="AL327" s="2" t="n">
        <v>0</v>
      </c>
      <c r="AM327" s="2" t="n">
        <v>12.11</v>
      </c>
      <c r="AN327" s="2" t="n">
        <v>15.16</v>
      </c>
      <c r="AO327" s="2" t="n">
        <v>11.15</v>
      </c>
      <c r="AP327" s="2" t="n">
        <v>36.32</v>
      </c>
      <c r="AQ327" s="2" t="n">
        <v>38.49</v>
      </c>
      <c r="AR327" s="2" t="n">
        <v>44.55</v>
      </c>
      <c r="AS327" s="2" t="n">
        <v>61.75</v>
      </c>
      <c r="AT327" s="2" t="n">
        <v>62.99</v>
      </c>
      <c r="AU327" s="2" t="n">
        <v>81.7</v>
      </c>
      <c r="AV327" s="2" t="n">
        <v>89.59999999999999</v>
      </c>
      <c r="AW327" s="2" t="n">
        <v>89.81999999999999</v>
      </c>
      <c r="AX327" s="2" t="n">
        <v>94.69</v>
      </c>
      <c r="AY327" s="2" t="n">
        <v>95.65000000000001</v>
      </c>
      <c r="AZ327" s="2" t="n">
        <v>95.65000000000001</v>
      </c>
      <c r="BA327" s="2" t="n">
        <v>94.69</v>
      </c>
      <c r="BB327" s="2" t="n">
        <v>95.65000000000001</v>
      </c>
      <c r="BC327" s="2" t="n">
        <v>95.65000000000001</v>
      </c>
      <c r="BD327" s="2" t="n">
        <v>94.69</v>
      </c>
      <c r="BE327" s="2" t="n">
        <v>95.65000000000001</v>
      </c>
      <c r="BF327" s="2" t="n">
        <v>95.65000000000001</v>
      </c>
      <c r="BG327" s="2" t="n">
        <v>94.69</v>
      </c>
      <c r="BH327" s="2" t="n">
        <v>95.65000000000001</v>
      </c>
      <c r="BI327" s="2" t="n">
        <v>95.65000000000001</v>
      </c>
      <c r="BJ327" s="2" t="n">
        <v>94.69</v>
      </c>
      <c r="BK327" s="2" t="n">
        <v>95.65000000000001</v>
      </c>
      <c r="BL327" s="2" t="n">
        <v>95.65000000000001</v>
      </c>
      <c r="BM327" s="2" t="n">
        <v>94.69</v>
      </c>
      <c r="BN327" s="2" t="n">
        <v>95.65000000000001</v>
      </c>
      <c r="BO327" s="2" t="n">
        <v>95.65000000000001</v>
      </c>
      <c r="BP327" s="2" t="n">
        <v>94.69</v>
      </c>
      <c r="BQ327" s="2" t="n">
        <v>95.65000000000001</v>
      </c>
      <c r="BR327" s="2" t="n">
        <v>95.65000000000001</v>
      </c>
      <c r="BS327" s="2" t="n">
        <v>94.69</v>
      </c>
      <c r="BT327" s="2" t="n">
        <v>95.65000000000001</v>
      </c>
      <c r="BU327" s="2" t="n">
        <v>96.95999999999999</v>
      </c>
      <c r="BV327" s="2" t="n">
        <v>94.69</v>
      </c>
      <c r="BW327" s="2" t="n">
        <v>95.65000000000001</v>
      </c>
      <c r="BX327" s="2" t="n">
        <v>100</v>
      </c>
      <c r="BY327" s="2" t="n">
        <v>94.69</v>
      </c>
      <c r="BZ327" s="2" t="n">
        <v>95.65000000000001</v>
      </c>
      <c r="CA327" s="2" t="n">
        <v>100</v>
      </c>
      <c r="CB327" s="2" t="n">
        <v>94.69</v>
      </c>
      <c r="CC327" s="2" t="n">
        <v>95.65000000000001</v>
      </c>
      <c r="CD327" s="2" t="n">
        <v>100</v>
      </c>
      <c r="CE327" s="2" t="n">
        <v>94.69</v>
      </c>
      <c r="CF327" s="2" t="n">
        <v>95.65000000000001</v>
      </c>
      <c r="CG327" s="2" t="n">
        <v>100</v>
      </c>
      <c r="CH327" s="2" t="n">
        <v>94.69</v>
      </c>
      <c r="CI327" s="2" t="n">
        <v>95.65000000000001</v>
      </c>
      <c r="CJ327" s="2" t="n">
        <v>100</v>
      </c>
      <c r="CK327" s="2" t="n">
        <v>94.69</v>
      </c>
      <c r="CL327" s="2" t="n">
        <v>95.65000000000001</v>
      </c>
      <c r="CM327" s="2" t="n">
        <v>100</v>
      </c>
      <c r="CN327" s="2" t="n">
        <v>94.69</v>
      </c>
      <c r="CO327" s="2" t="n">
        <v>95.65000000000001</v>
      </c>
      <c r="CP327" s="2" t="n">
        <v>100</v>
      </c>
      <c r="CQ327" s="2" t="n">
        <v>94.69</v>
      </c>
      <c r="CR327" s="2" t="n">
        <v>95.65000000000001</v>
      </c>
      <c r="CS327" s="2" t="n">
        <v>100</v>
      </c>
      <c r="CT327" s="2" t="n">
        <v>94.69</v>
      </c>
      <c r="CU327" s="2" t="n">
        <v>95.65000000000001</v>
      </c>
      <c r="CV327" s="2" t="n">
        <v>100</v>
      </c>
      <c r="CW327" s="2" t="n">
        <v>94.69</v>
      </c>
      <c r="CX327" s="2" t="n">
        <v>95.65000000000001</v>
      </c>
      <c r="CY327" s="2" t="n">
        <v>100</v>
      </c>
      <c r="CZ327" s="2" t="n">
        <v>94.69</v>
      </c>
      <c r="DA327" s="2" t="n">
        <v>95.65000000000001</v>
      </c>
      <c r="DB327" s="2" t="n">
        <v>100</v>
      </c>
      <c r="DC327" s="2" t="n">
        <v>94.69</v>
      </c>
      <c r="DD327" s="2" t="n">
        <v>95.65000000000001</v>
      </c>
      <c r="DE327" s="2" t="n">
        <v>100</v>
      </c>
      <c r="DF327" s="2" t="n">
        <v>94.69</v>
      </c>
      <c r="DG327" s="2" t="n">
        <v>95.65000000000001</v>
      </c>
      <c r="DH327" s="2" t="n">
        <v>100</v>
      </c>
      <c r="DI327" s="2" t="n">
        <v>94.69</v>
      </c>
      <c r="DJ327" s="2" t="n">
        <v>95.65000000000001</v>
      </c>
      <c r="DK327" s="2" t="n">
        <v>100</v>
      </c>
      <c r="DL327" s="2" t="n">
        <v>94.69</v>
      </c>
      <c r="DM327" s="2" t="n">
        <v>95.65000000000001</v>
      </c>
      <c r="DN327" s="2" t="n">
        <v>100</v>
      </c>
      <c r="DO327" s="2" t="n">
        <v>94.69</v>
      </c>
      <c r="DP327" s="2" t="n">
        <v>95.65000000000001</v>
      </c>
      <c r="DQ327" s="2" t="n">
        <v>100</v>
      </c>
      <c r="DR327" s="2" t="n">
        <v>94.69</v>
      </c>
      <c r="DS327" s="2" t="n">
        <v>95.65000000000001</v>
      </c>
      <c r="DT327" s="2" t="n">
        <v>100</v>
      </c>
      <c r="DU327" s="2" t="n">
        <v>94.69</v>
      </c>
      <c r="DV327" s="2" t="n">
        <v>95.65000000000001</v>
      </c>
      <c r="DW327" s="2" t="n">
        <v>100</v>
      </c>
      <c r="DX327" s="2" t="n">
        <v>94.69</v>
      </c>
      <c r="DY327" s="2" t="n">
        <v>95.65000000000001</v>
      </c>
      <c r="DZ327" s="2" t="n">
        <v>100</v>
      </c>
      <c r="EA327" s="2" t="n">
        <v>94.69</v>
      </c>
      <c r="EB327" s="2" t="n">
        <v>95.65000000000001</v>
      </c>
      <c r="EC327" s="2" t="n">
        <v>100</v>
      </c>
      <c r="ED327" s="2" t="n">
        <v>94.69</v>
      </c>
      <c r="EE327" s="2" t="n">
        <v>95.65000000000001</v>
      </c>
      <c r="EF327" s="2" t="n">
        <v>100</v>
      </c>
      <c r="EG327" s="2" t="n">
        <v>94.69</v>
      </c>
      <c r="EH327" s="2" t="n">
        <v>95.65000000000001</v>
      </c>
      <c r="EI327" s="2" t="n">
        <v>100</v>
      </c>
      <c r="EJ327" s="2" t="n">
        <v>94.69</v>
      </c>
      <c r="EK327" s="2" t="n">
        <v>95.65000000000001</v>
      </c>
      <c r="EL327" s="2" t="n">
        <v>100</v>
      </c>
      <c r="EM327" s="2" t="n">
        <v>94.69</v>
      </c>
      <c r="EN327" s="2" t="n">
        <v>95.65000000000001</v>
      </c>
      <c r="EO327" s="2" t="n">
        <v>100</v>
      </c>
      <c r="EP327" s="2" t="n">
        <v>94.69</v>
      </c>
      <c r="EQ327" s="2" t="n">
        <v>95.65000000000001</v>
      </c>
      <c r="ER327" s="2" t="n">
        <v>100</v>
      </c>
      <c r="ES327" s="2" t="n">
        <v>94.69</v>
      </c>
    </row>
    <row r="328">
      <c r="A328" s="2" t="n">
        <v>3</v>
      </c>
      <c r="B328" s="2" t="inlineStr">
        <is>
          <t>16.01.10</t>
        </is>
      </c>
      <c r="C328" s="2" t="inlineStr">
        <is>
          <t>Retirada de terra com caminhão basculante</t>
        </is>
      </c>
      <c r="D328" s="2" t="inlineStr">
        <is>
          <t>13/04/2026</t>
        </is>
      </c>
      <c r="E328" s="2" t="inlineStr">
        <is>
          <t>09/04/2027</t>
        </is>
      </c>
      <c r="F328" s="2" t="n">
        <v>114885.51</v>
      </c>
      <c r="G328" s="2" t="n">
        <v>0</v>
      </c>
      <c r="H328" s="2" t="n">
        <v>114885.51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0</v>
      </c>
      <c r="AB328" s="2" t="n">
        <v>0</v>
      </c>
      <c r="AC328" s="2" t="n">
        <v>0</v>
      </c>
      <c r="AD328" s="2" t="n">
        <v>0</v>
      </c>
      <c r="AE328" s="2" t="n">
        <v>0</v>
      </c>
      <c r="AF328" s="2" t="n">
        <v>0</v>
      </c>
      <c r="AG328" s="2" t="n">
        <v>0</v>
      </c>
      <c r="AH328" s="2" t="n">
        <v>0</v>
      </c>
      <c r="AI328" s="2" t="n">
        <v>0</v>
      </c>
      <c r="AJ328" s="2" t="n">
        <v>0</v>
      </c>
      <c r="AK328" s="2" t="n">
        <v>0</v>
      </c>
      <c r="AL328" s="2" t="n">
        <v>0</v>
      </c>
      <c r="AM328" s="2" t="n">
        <v>12.11</v>
      </c>
      <c r="AN328" s="2" t="n">
        <v>15.16</v>
      </c>
      <c r="AO328" s="2" t="n">
        <v>11.15</v>
      </c>
      <c r="AP328" s="2" t="n">
        <v>36.32</v>
      </c>
      <c r="AQ328" s="2" t="n">
        <v>38.49</v>
      </c>
      <c r="AR328" s="2" t="n">
        <v>44.55</v>
      </c>
      <c r="AS328" s="2" t="n">
        <v>61.75</v>
      </c>
      <c r="AT328" s="2" t="n">
        <v>62.99</v>
      </c>
      <c r="AU328" s="2" t="n">
        <v>81.7</v>
      </c>
      <c r="AV328" s="2" t="n">
        <v>89.59999999999999</v>
      </c>
      <c r="AW328" s="2" t="n">
        <v>89.81999999999999</v>
      </c>
      <c r="AX328" s="2" t="n">
        <v>94.69</v>
      </c>
      <c r="AY328" s="2" t="n">
        <v>95.65000000000001</v>
      </c>
      <c r="AZ328" s="2" t="n">
        <v>95.65000000000001</v>
      </c>
      <c r="BA328" s="2" t="n">
        <v>94.69</v>
      </c>
      <c r="BB328" s="2" t="n">
        <v>95.65000000000001</v>
      </c>
      <c r="BC328" s="2" t="n">
        <v>95.65000000000001</v>
      </c>
      <c r="BD328" s="2" t="n">
        <v>94.69</v>
      </c>
      <c r="BE328" s="2" t="n">
        <v>95.65000000000001</v>
      </c>
      <c r="BF328" s="2" t="n">
        <v>95.65000000000001</v>
      </c>
      <c r="BG328" s="2" t="n">
        <v>94.69</v>
      </c>
      <c r="BH328" s="2" t="n">
        <v>95.65000000000001</v>
      </c>
      <c r="BI328" s="2" t="n">
        <v>95.65000000000001</v>
      </c>
      <c r="BJ328" s="2" t="n">
        <v>94.69</v>
      </c>
      <c r="BK328" s="2" t="n">
        <v>95.65000000000001</v>
      </c>
      <c r="BL328" s="2" t="n">
        <v>95.65000000000001</v>
      </c>
      <c r="BM328" s="2" t="n">
        <v>94.69</v>
      </c>
      <c r="BN328" s="2" t="n">
        <v>95.65000000000001</v>
      </c>
      <c r="BO328" s="2" t="n">
        <v>95.65000000000001</v>
      </c>
      <c r="BP328" s="2" t="n">
        <v>94.69</v>
      </c>
      <c r="BQ328" s="2" t="n">
        <v>95.65000000000001</v>
      </c>
      <c r="BR328" s="2" t="n">
        <v>95.65000000000001</v>
      </c>
      <c r="BS328" s="2" t="n">
        <v>94.69</v>
      </c>
      <c r="BT328" s="2" t="n">
        <v>95.65000000000001</v>
      </c>
      <c r="BU328" s="2" t="n">
        <v>96.95999999999999</v>
      </c>
      <c r="BV328" s="2" t="n">
        <v>94.69</v>
      </c>
      <c r="BW328" s="2" t="n">
        <v>95.65000000000001</v>
      </c>
      <c r="BX328" s="2" t="n">
        <v>100</v>
      </c>
      <c r="BY328" s="2" t="n">
        <v>94.69</v>
      </c>
      <c r="BZ328" s="2" t="n">
        <v>95.65000000000001</v>
      </c>
      <c r="CA328" s="2" t="n">
        <v>100</v>
      </c>
      <c r="CB328" s="2" t="n">
        <v>94.69</v>
      </c>
      <c r="CC328" s="2" t="n">
        <v>95.65000000000001</v>
      </c>
      <c r="CD328" s="2" t="n">
        <v>100</v>
      </c>
      <c r="CE328" s="2" t="n">
        <v>94.69</v>
      </c>
      <c r="CF328" s="2" t="n">
        <v>95.65000000000001</v>
      </c>
      <c r="CG328" s="2" t="n">
        <v>100</v>
      </c>
      <c r="CH328" s="2" t="n">
        <v>94.69</v>
      </c>
      <c r="CI328" s="2" t="n">
        <v>95.65000000000001</v>
      </c>
      <c r="CJ328" s="2" t="n">
        <v>100</v>
      </c>
      <c r="CK328" s="2" t="n">
        <v>94.69</v>
      </c>
      <c r="CL328" s="2" t="n">
        <v>95.65000000000001</v>
      </c>
      <c r="CM328" s="2" t="n">
        <v>100</v>
      </c>
      <c r="CN328" s="2" t="n">
        <v>94.69</v>
      </c>
      <c r="CO328" s="2" t="n">
        <v>95.65000000000001</v>
      </c>
      <c r="CP328" s="2" t="n">
        <v>100</v>
      </c>
      <c r="CQ328" s="2" t="n">
        <v>94.69</v>
      </c>
      <c r="CR328" s="2" t="n">
        <v>95.65000000000001</v>
      </c>
      <c r="CS328" s="2" t="n">
        <v>100</v>
      </c>
      <c r="CT328" s="2" t="n">
        <v>94.69</v>
      </c>
      <c r="CU328" s="2" t="n">
        <v>95.65000000000001</v>
      </c>
      <c r="CV328" s="2" t="n">
        <v>100</v>
      </c>
      <c r="CW328" s="2" t="n">
        <v>94.69</v>
      </c>
      <c r="CX328" s="2" t="n">
        <v>95.65000000000001</v>
      </c>
      <c r="CY328" s="2" t="n">
        <v>100</v>
      </c>
      <c r="CZ328" s="2" t="n">
        <v>94.69</v>
      </c>
      <c r="DA328" s="2" t="n">
        <v>95.65000000000001</v>
      </c>
      <c r="DB328" s="2" t="n">
        <v>100</v>
      </c>
      <c r="DC328" s="2" t="n">
        <v>94.69</v>
      </c>
      <c r="DD328" s="2" t="n">
        <v>95.65000000000001</v>
      </c>
      <c r="DE328" s="2" t="n">
        <v>100</v>
      </c>
      <c r="DF328" s="2" t="n">
        <v>94.69</v>
      </c>
      <c r="DG328" s="2" t="n">
        <v>95.65000000000001</v>
      </c>
      <c r="DH328" s="2" t="n">
        <v>100</v>
      </c>
      <c r="DI328" s="2" t="n">
        <v>94.69</v>
      </c>
      <c r="DJ328" s="2" t="n">
        <v>95.65000000000001</v>
      </c>
      <c r="DK328" s="2" t="n">
        <v>100</v>
      </c>
      <c r="DL328" s="2" t="n">
        <v>94.69</v>
      </c>
      <c r="DM328" s="2" t="n">
        <v>95.65000000000001</v>
      </c>
      <c r="DN328" s="2" t="n">
        <v>100</v>
      </c>
      <c r="DO328" s="2" t="n">
        <v>94.69</v>
      </c>
      <c r="DP328" s="2" t="n">
        <v>95.65000000000001</v>
      </c>
      <c r="DQ328" s="2" t="n">
        <v>100</v>
      </c>
      <c r="DR328" s="2" t="n">
        <v>94.69</v>
      </c>
      <c r="DS328" s="2" t="n">
        <v>95.65000000000001</v>
      </c>
      <c r="DT328" s="2" t="n">
        <v>100</v>
      </c>
      <c r="DU328" s="2" t="n">
        <v>94.69</v>
      </c>
      <c r="DV328" s="2" t="n">
        <v>95.65000000000001</v>
      </c>
      <c r="DW328" s="2" t="n">
        <v>100</v>
      </c>
      <c r="DX328" s="2" t="n">
        <v>94.69</v>
      </c>
      <c r="DY328" s="2" t="n">
        <v>95.65000000000001</v>
      </c>
      <c r="DZ328" s="2" t="n">
        <v>100</v>
      </c>
      <c r="EA328" s="2" t="n">
        <v>94.69</v>
      </c>
      <c r="EB328" s="2" t="n">
        <v>95.65000000000001</v>
      </c>
      <c r="EC328" s="2" t="n">
        <v>100</v>
      </c>
      <c r="ED328" s="2" t="n">
        <v>94.69</v>
      </c>
      <c r="EE328" s="2" t="n">
        <v>95.65000000000001</v>
      </c>
      <c r="EF328" s="2" t="n">
        <v>100</v>
      </c>
      <c r="EG328" s="2" t="n">
        <v>94.69</v>
      </c>
      <c r="EH328" s="2" t="n">
        <v>95.65000000000001</v>
      </c>
      <c r="EI328" s="2" t="n">
        <v>100</v>
      </c>
      <c r="EJ328" s="2" t="n">
        <v>94.69</v>
      </c>
      <c r="EK328" s="2" t="n">
        <v>95.65000000000001</v>
      </c>
      <c r="EL328" s="2" t="n">
        <v>100</v>
      </c>
      <c r="EM328" s="2" t="n">
        <v>94.69</v>
      </c>
      <c r="EN328" s="2" t="n">
        <v>95.65000000000001</v>
      </c>
      <c r="EO328" s="2" t="n">
        <v>100</v>
      </c>
      <c r="EP328" s="2" t="n">
        <v>94.69</v>
      </c>
      <c r="EQ328" s="2" t="n">
        <v>95.65000000000001</v>
      </c>
      <c r="ER328" s="2" t="n">
        <v>100</v>
      </c>
      <c r="ES328" s="2" t="n">
        <v>94.69</v>
      </c>
    </row>
    <row r="329">
      <c r="A329" s="2" t="n">
        <v>3</v>
      </c>
      <c r="B329" s="2" t="inlineStr">
        <is>
          <t>16.01.11</t>
        </is>
      </c>
      <c r="C329" s="2" t="inlineStr">
        <is>
          <t>Impermeabilização de cintas e blocos com pintura asfáltica tipo neutrol ou similar</t>
        </is>
      </c>
      <c r="D329" s="2" t="inlineStr">
        <is>
          <t>13/04/2026</t>
        </is>
      </c>
      <c r="E329" s="2" t="inlineStr">
        <is>
          <t>09/04/2027</t>
        </is>
      </c>
      <c r="F329" s="2" t="n">
        <v>50620.72942180271</v>
      </c>
      <c r="G329" s="2" t="n">
        <v>0</v>
      </c>
      <c r="H329" s="2" t="n">
        <v>50620.72942180271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0</v>
      </c>
      <c r="AB329" s="2" t="n">
        <v>0</v>
      </c>
      <c r="AC329" s="2" t="n">
        <v>0</v>
      </c>
      <c r="AD329" s="2" t="n">
        <v>0</v>
      </c>
      <c r="AE329" s="2" t="n">
        <v>0</v>
      </c>
      <c r="AF329" s="2" t="n">
        <v>0</v>
      </c>
      <c r="AG329" s="2" t="n">
        <v>0</v>
      </c>
      <c r="AH329" s="2" t="n">
        <v>0</v>
      </c>
      <c r="AI329" s="2" t="n">
        <v>0</v>
      </c>
      <c r="AJ329" s="2" t="n">
        <v>0</v>
      </c>
      <c r="AK329" s="2" t="n">
        <v>0</v>
      </c>
      <c r="AL329" s="2" t="n">
        <v>0</v>
      </c>
      <c r="AM329" s="2" t="n">
        <v>12.11</v>
      </c>
      <c r="AN329" s="2" t="n">
        <v>15.16</v>
      </c>
      <c r="AO329" s="2" t="n">
        <v>11.15</v>
      </c>
      <c r="AP329" s="2" t="n">
        <v>36.32</v>
      </c>
      <c r="AQ329" s="2" t="n">
        <v>38.49</v>
      </c>
      <c r="AR329" s="2" t="n">
        <v>44.55</v>
      </c>
      <c r="AS329" s="2" t="n">
        <v>61.75</v>
      </c>
      <c r="AT329" s="2" t="n">
        <v>62.99</v>
      </c>
      <c r="AU329" s="2" t="n">
        <v>81.7</v>
      </c>
      <c r="AV329" s="2" t="n">
        <v>89.59999999999999</v>
      </c>
      <c r="AW329" s="2" t="n">
        <v>89.81999999999999</v>
      </c>
      <c r="AX329" s="2" t="n">
        <v>94.69</v>
      </c>
      <c r="AY329" s="2" t="n">
        <v>95.65000000000001</v>
      </c>
      <c r="AZ329" s="2" t="n">
        <v>95.65000000000001</v>
      </c>
      <c r="BA329" s="2" t="n">
        <v>94.69</v>
      </c>
      <c r="BB329" s="2" t="n">
        <v>95.65000000000001</v>
      </c>
      <c r="BC329" s="2" t="n">
        <v>95.65000000000001</v>
      </c>
      <c r="BD329" s="2" t="n">
        <v>94.69</v>
      </c>
      <c r="BE329" s="2" t="n">
        <v>95.65000000000001</v>
      </c>
      <c r="BF329" s="2" t="n">
        <v>95.65000000000001</v>
      </c>
      <c r="BG329" s="2" t="n">
        <v>94.69</v>
      </c>
      <c r="BH329" s="2" t="n">
        <v>95.65000000000001</v>
      </c>
      <c r="BI329" s="2" t="n">
        <v>95.65000000000001</v>
      </c>
      <c r="BJ329" s="2" t="n">
        <v>94.69</v>
      </c>
      <c r="BK329" s="2" t="n">
        <v>95.65000000000001</v>
      </c>
      <c r="BL329" s="2" t="n">
        <v>95.65000000000001</v>
      </c>
      <c r="BM329" s="2" t="n">
        <v>94.69</v>
      </c>
      <c r="BN329" s="2" t="n">
        <v>95.65000000000001</v>
      </c>
      <c r="BO329" s="2" t="n">
        <v>95.65000000000001</v>
      </c>
      <c r="BP329" s="2" t="n">
        <v>94.69</v>
      </c>
      <c r="BQ329" s="2" t="n">
        <v>95.65000000000001</v>
      </c>
      <c r="BR329" s="2" t="n">
        <v>95.65000000000001</v>
      </c>
      <c r="BS329" s="2" t="n">
        <v>94.69</v>
      </c>
      <c r="BT329" s="2" t="n">
        <v>95.65000000000001</v>
      </c>
      <c r="BU329" s="2" t="n">
        <v>96.95999999999999</v>
      </c>
      <c r="BV329" s="2" t="n">
        <v>94.69</v>
      </c>
      <c r="BW329" s="2" t="n">
        <v>95.65000000000001</v>
      </c>
      <c r="BX329" s="2" t="n">
        <v>100</v>
      </c>
      <c r="BY329" s="2" t="n">
        <v>94.69</v>
      </c>
      <c r="BZ329" s="2" t="n">
        <v>95.65000000000001</v>
      </c>
      <c r="CA329" s="2" t="n">
        <v>100</v>
      </c>
      <c r="CB329" s="2" t="n">
        <v>94.69</v>
      </c>
      <c r="CC329" s="2" t="n">
        <v>95.65000000000001</v>
      </c>
      <c r="CD329" s="2" t="n">
        <v>100</v>
      </c>
      <c r="CE329" s="2" t="n">
        <v>94.69</v>
      </c>
      <c r="CF329" s="2" t="n">
        <v>95.65000000000001</v>
      </c>
      <c r="CG329" s="2" t="n">
        <v>100</v>
      </c>
      <c r="CH329" s="2" t="n">
        <v>94.69</v>
      </c>
      <c r="CI329" s="2" t="n">
        <v>95.65000000000001</v>
      </c>
      <c r="CJ329" s="2" t="n">
        <v>100</v>
      </c>
      <c r="CK329" s="2" t="n">
        <v>94.69</v>
      </c>
      <c r="CL329" s="2" t="n">
        <v>95.65000000000001</v>
      </c>
      <c r="CM329" s="2" t="n">
        <v>100</v>
      </c>
      <c r="CN329" s="2" t="n">
        <v>94.69</v>
      </c>
      <c r="CO329" s="2" t="n">
        <v>95.65000000000001</v>
      </c>
      <c r="CP329" s="2" t="n">
        <v>100</v>
      </c>
      <c r="CQ329" s="2" t="n">
        <v>94.69</v>
      </c>
      <c r="CR329" s="2" t="n">
        <v>95.65000000000001</v>
      </c>
      <c r="CS329" s="2" t="n">
        <v>100</v>
      </c>
      <c r="CT329" s="2" t="n">
        <v>94.69</v>
      </c>
      <c r="CU329" s="2" t="n">
        <v>95.65000000000001</v>
      </c>
      <c r="CV329" s="2" t="n">
        <v>100</v>
      </c>
      <c r="CW329" s="2" t="n">
        <v>94.69</v>
      </c>
      <c r="CX329" s="2" t="n">
        <v>95.65000000000001</v>
      </c>
      <c r="CY329" s="2" t="n">
        <v>100</v>
      </c>
      <c r="CZ329" s="2" t="n">
        <v>94.69</v>
      </c>
      <c r="DA329" s="2" t="n">
        <v>95.65000000000001</v>
      </c>
      <c r="DB329" s="2" t="n">
        <v>100</v>
      </c>
      <c r="DC329" s="2" t="n">
        <v>94.69</v>
      </c>
      <c r="DD329" s="2" t="n">
        <v>95.65000000000001</v>
      </c>
      <c r="DE329" s="2" t="n">
        <v>100</v>
      </c>
      <c r="DF329" s="2" t="n">
        <v>94.69</v>
      </c>
      <c r="DG329" s="2" t="n">
        <v>95.65000000000001</v>
      </c>
      <c r="DH329" s="2" t="n">
        <v>100</v>
      </c>
      <c r="DI329" s="2" t="n">
        <v>94.69</v>
      </c>
      <c r="DJ329" s="2" t="n">
        <v>95.65000000000001</v>
      </c>
      <c r="DK329" s="2" t="n">
        <v>100</v>
      </c>
      <c r="DL329" s="2" t="n">
        <v>94.69</v>
      </c>
      <c r="DM329" s="2" t="n">
        <v>95.65000000000001</v>
      </c>
      <c r="DN329" s="2" t="n">
        <v>100</v>
      </c>
      <c r="DO329" s="2" t="n">
        <v>94.69</v>
      </c>
      <c r="DP329" s="2" t="n">
        <v>95.65000000000001</v>
      </c>
      <c r="DQ329" s="2" t="n">
        <v>100</v>
      </c>
      <c r="DR329" s="2" t="n">
        <v>94.69</v>
      </c>
      <c r="DS329" s="2" t="n">
        <v>95.65000000000001</v>
      </c>
      <c r="DT329" s="2" t="n">
        <v>100</v>
      </c>
      <c r="DU329" s="2" t="n">
        <v>94.69</v>
      </c>
      <c r="DV329" s="2" t="n">
        <v>95.65000000000001</v>
      </c>
      <c r="DW329" s="2" t="n">
        <v>100</v>
      </c>
      <c r="DX329" s="2" t="n">
        <v>94.69</v>
      </c>
      <c r="DY329" s="2" t="n">
        <v>95.65000000000001</v>
      </c>
      <c r="DZ329" s="2" t="n">
        <v>100</v>
      </c>
      <c r="EA329" s="2" t="n">
        <v>94.69</v>
      </c>
      <c r="EB329" s="2" t="n">
        <v>95.65000000000001</v>
      </c>
      <c r="EC329" s="2" t="n">
        <v>100</v>
      </c>
      <c r="ED329" s="2" t="n">
        <v>94.69</v>
      </c>
      <c r="EE329" s="2" t="n">
        <v>95.65000000000001</v>
      </c>
      <c r="EF329" s="2" t="n">
        <v>100</v>
      </c>
      <c r="EG329" s="2" t="n">
        <v>94.69</v>
      </c>
      <c r="EH329" s="2" t="n">
        <v>95.65000000000001</v>
      </c>
      <c r="EI329" s="2" t="n">
        <v>100</v>
      </c>
      <c r="EJ329" s="2" t="n">
        <v>94.69</v>
      </c>
      <c r="EK329" s="2" t="n">
        <v>95.65000000000001</v>
      </c>
      <c r="EL329" s="2" t="n">
        <v>100</v>
      </c>
      <c r="EM329" s="2" t="n">
        <v>94.69</v>
      </c>
      <c r="EN329" s="2" t="n">
        <v>95.65000000000001</v>
      </c>
      <c r="EO329" s="2" t="n">
        <v>100</v>
      </c>
      <c r="EP329" s="2" t="n">
        <v>94.69</v>
      </c>
      <c r="EQ329" s="2" t="n">
        <v>95.65000000000001</v>
      </c>
      <c r="ER329" s="2" t="n">
        <v>100</v>
      </c>
      <c r="ES329" s="2" t="n">
        <v>94.69</v>
      </c>
    </row>
    <row r="330">
      <c r="A330" s="2" t="n">
        <v>2</v>
      </c>
      <c r="B330" s="2" t="inlineStr">
        <is>
          <t>16.02</t>
        </is>
      </c>
      <c r="C330" s="2" t="inlineStr">
        <is>
          <t>Lajes de contrapiso</t>
        </is>
      </c>
      <c r="D330" s="2" t="inlineStr">
        <is>
          <t>08/02/2027</t>
        </is>
      </c>
      <c r="E330" s="2" t="inlineStr">
        <is>
          <t>11/03/2027</t>
        </is>
      </c>
      <c r="F330" s="2" t="n">
        <v>522708.5800353111</v>
      </c>
      <c r="G330" s="2" t="n">
        <v>0</v>
      </c>
      <c r="H330" s="2" t="n">
        <v>522708.5800353111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0</v>
      </c>
      <c r="AB330" s="2" t="n">
        <v>0</v>
      </c>
      <c r="AC330" s="2" t="n">
        <v>0</v>
      </c>
      <c r="AD330" s="2" t="n">
        <v>0</v>
      </c>
      <c r="AE330" s="2" t="n">
        <v>0</v>
      </c>
      <c r="AF330" s="2" t="n">
        <v>0</v>
      </c>
      <c r="AG330" s="2" t="n">
        <v>0</v>
      </c>
      <c r="AH330" s="2" t="n">
        <v>0</v>
      </c>
      <c r="AI330" s="2" t="n">
        <v>0</v>
      </c>
      <c r="AJ330" s="2" t="n">
        <v>0</v>
      </c>
      <c r="AK330" s="2" t="n">
        <v>0</v>
      </c>
      <c r="AL330" s="2" t="n">
        <v>0</v>
      </c>
      <c r="AM330" s="2" t="n">
        <v>0</v>
      </c>
      <c r="AN330" s="2" t="n">
        <v>0</v>
      </c>
      <c r="AO330" s="2" t="n">
        <v>0</v>
      </c>
      <c r="AP330" s="2" t="n">
        <v>0</v>
      </c>
      <c r="AQ330" s="2" t="n">
        <v>0</v>
      </c>
      <c r="AR330" s="2" t="n">
        <v>0</v>
      </c>
      <c r="AS330" s="2" t="n">
        <v>0</v>
      </c>
      <c r="AT330" s="2" t="n">
        <v>0</v>
      </c>
      <c r="AU330" s="2" t="n">
        <v>0</v>
      </c>
      <c r="AV330" s="2" t="n">
        <v>0</v>
      </c>
      <c r="AW330" s="2" t="n">
        <v>0</v>
      </c>
      <c r="AX330" s="2" t="n">
        <v>0</v>
      </c>
      <c r="AY330" s="2" t="n">
        <v>0</v>
      </c>
      <c r="AZ330" s="2" t="n">
        <v>0</v>
      </c>
      <c r="BA330" s="2" t="n">
        <v>0</v>
      </c>
      <c r="BB330" s="2" t="n">
        <v>0</v>
      </c>
      <c r="BC330" s="2" t="n">
        <v>0</v>
      </c>
      <c r="BD330" s="2" t="n">
        <v>0</v>
      </c>
      <c r="BE330" s="2" t="n">
        <v>0</v>
      </c>
      <c r="BF330" s="2" t="n">
        <v>0</v>
      </c>
      <c r="BG330" s="2" t="n">
        <v>0</v>
      </c>
      <c r="BH330" s="2" t="n">
        <v>0</v>
      </c>
      <c r="BI330" s="2" t="n">
        <v>0</v>
      </c>
      <c r="BJ330" s="2" t="n">
        <v>0</v>
      </c>
      <c r="BK330" s="2" t="n">
        <v>0</v>
      </c>
      <c r="BL330" s="2" t="n">
        <v>0</v>
      </c>
      <c r="BM330" s="2" t="n">
        <v>0</v>
      </c>
      <c r="BN330" s="2" t="n">
        <v>0</v>
      </c>
      <c r="BO330" s="2" t="n">
        <v>0</v>
      </c>
      <c r="BP330" s="2" t="n">
        <v>0</v>
      </c>
      <c r="BQ330" s="2" t="n">
        <v>20</v>
      </c>
      <c r="BR330" s="2" t="n">
        <v>68.18000000000001</v>
      </c>
      <c r="BS330" s="2" t="n">
        <v>0</v>
      </c>
      <c r="BT330" s="2" t="n">
        <v>100</v>
      </c>
      <c r="BU330" s="2" t="n">
        <v>100</v>
      </c>
      <c r="BV330" s="2" t="n">
        <v>0</v>
      </c>
      <c r="BW330" s="2" t="n">
        <v>100</v>
      </c>
      <c r="BX330" s="2" t="n">
        <v>100</v>
      </c>
      <c r="BY330" s="2" t="n">
        <v>0</v>
      </c>
      <c r="BZ330" s="2" t="n">
        <v>100</v>
      </c>
      <c r="CA330" s="2" t="n">
        <v>100</v>
      </c>
      <c r="CB330" s="2" t="n">
        <v>0</v>
      </c>
      <c r="CC330" s="2" t="n">
        <v>100</v>
      </c>
      <c r="CD330" s="2" t="n">
        <v>100</v>
      </c>
      <c r="CE330" s="2" t="n">
        <v>0</v>
      </c>
      <c r="CF330" s="2" t="n">
        <v>100</v>
      </c>
      <c r="CG330" s="2" t="n">
        <v>100</v>
      </c>
      <c r="CH330" s="2" t="n">
        <v>0</v>
      </c>
      <c r="CI330" s="2" t="n">
        <v>100</v>
      </c>
      <c r="CJ330" s="2" t="n">
        <v>100</v>
      </c>
      <c r="CK330" s="2" t="n">
        <v>0</v>
      </c>
      <c r="CL330" s="2" t="n">
        <v>100</v>
      </c>
      <c r="CM330" s="2" t="n">
        <v>100</v>
      </c>
      <c r="CN330" s="2" t="n">
        <v>0</v>
      </c>
      <c r="CO330" s="2" t="n">
        <v>100</v>
      </c>
      <c r="CP330" s="2" t="n">
        <v>100</v>
      </c>
      <c r="CQ330" s="2" t="n">
        <v>0</v>
      </c>
      <c r="CR330" s="2" t="n">
        <v>100</v>
      </c>
      <c r="CS330" s="2" t="n">
        <v>100</v>
      </c>
      <c r="CT330" s="2" t="n">
        <v>0</v>
      </c>
      <c r="CU330" s="2" t="n">
        <v>100</v>
      </c>
      <c r="CV330" s="2" t="n">
        <v>100</v>
      </c>
      <c r="CW330" s="2" t="n">
        <v>0</v>
      </c>
      <c r="CX330" s="2" t="n">
        <v>100</v>
      </c>
      <c r="CY330" s="2" t="n">
        <v>100</v>
      </c>
      <c r="CZ330" s="2" t="n">
        <v>0</v>
      </c>
      <c r="DA330" s="2" t="n">
        <v>100</v>
      </c>
      <c r="DB330" s="2" t="n">
        <v>100</v>
      </c>
      <c r="DC330" s="2" t="n">
        <v>0</v>
      </c>
      <c r="DD330" s="2" t="n">
        <v>100</v>
      </c>
      <c r="DE330" s="2" t="n">
        <v>100</v>
      </c>
      <c r="DF330" s="2" t="n">
        <v>0</v>
      </c>
      <c r="DG330" s="2" t="n">
        <v>100</v>
      </c>
      <c r="DH330" s="2" t="n">
        <v>100</v>
      </c>
      <c r="DI330" s="2" t="n">
        <v>0</v>
      </c>
      <c r="DJ330" s="2" t="n">
        <v>100</v>
      </c>
      <c r="DK330" s="2" t="n">
        <v>100</v>
      </c>
      <c r="DL330" s="2" t="n">
        <v>0</v>
      </c>
      <c r="DM330" s="2" t="n">
        <v>100</v>
      </c>
      <c r="DN330" s="2" t="n">
        <v>100</v>
      </c>
      <c r="DO330" s="2" t="n">
        <v>0</v>
      </c>
      <c r="DP330" s="2" t="n">
        <v>100</v>
      </c>
      <c r="DQ330" s="2" t="n">
        <v>100</v>
      </c>
      <c r="DR330" s="2" t="n">
        <v>0</v>
      </c>
      <c r="DS330" s="2" t="n">
        <v>100</v>
      </c>
      <c r="DT330" s="2" t="n">
        <v>100</v>
      </c>
      <c r="DU330" s="2" t="n">
        <v>0</v>
      </c>
      <c r="DV330" s="2" t="n">
        <v>100</v>
      </c>
      <c r="DW330" s="2" t="n">
        <v>100</v>
      </c>
      <c r="DX330" s="2" t="n">
        <v>0</v>
      </c>
      <c r="DY330" s="2" t="n">
        <v>100</v>
      </c>
      <c r="DZ330" s="2" t="n">
        <v>100</v>
      </c>
      <c r="EA330" s="2" t="n">
        <v>0</v>
      </c>
      <c r="EB330" s="2" t="n">
        <v>100</v>
      </c>
      <c r="EC330" s="2" t="n">
        <v>100</v>
      </c>
      <c r="ED330" s="2" t="n">
        <v>0</v>
      </c>
      <c r="EE330" s="2" t="n">
        <v>100</v>
      </c>
      <c r="EF330" s="2" t="n">
        <v>100</v>
      </c>
      <c r="EG330" s="2" t="n">
        <v>0</v>
      </c>
      <c r="EH330" s="2" t="n">
        <v>100</v>
      </c>
      <c r="EI330" s="2" t="n">
        <v>100</v>
      </c>
      <c r="EJ330" s="2" t="n">
        <v>0</v>
      </c>
      <c r="EK330" s="2" t="n">
        <v>100</v>
      </c>
      <c r="EL330" s="2" t="n">
        <v>100</v>
      </c>
      <c r="EM330" s="2" t="n">
        <v>0</v>
      </c>
      <c r="EN330" s="2" t="n">
        <v>100</v>
      </c>
      <c r="EO330" s="2" t="n">
        <v>100</v>
      </c>
      <c r="EP330" s="2" t="n">
        <v>0</v>
      </c>
      <c r="EQ330" s="2" t="n">
        <v>100</v>
      </c>
      <c r="ER330" s="2" t="n">
        <v>100</v>
      </c>
      <c r="ES330" s="2" t="n">
        <v>0</v>
      </c>
    </row>
    <row r="331">
      <c r="A331" s="2" t="n">
        <v>3</v>
      </c>
      <c r="B331" s="2" t="inlineStr">
        <is>
          <t>16.02.01</t>
        </is>
      </c>
      <c r="C331" s="2" t="inlineStr">
        <is>
          <t>Apiloamento</t>
        </is>
      </c>
      <c r="D331" s="2" t="inlineStr">
        <is>
          <t>08/02/2027</t>
        </is>
      </c>
      <c r="E331" s="2" t="inlineStr">
        <is>
          <t>11/03/2027</t>
        </is>
      </c>
      <c r="F331" s="2" t="n">
        <v>23940.2482166588</v>
      </c>
      <c r="G331" s="2" t="n">
        <v>0</v>
      </c>
      <c r="H331" s="2" t="n">
        <v>23940.2482166588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0</v>
      </c>
      <c r="AB331" s="2" t="n">
        <v>0</v>
      </c>
      <c r="AC331" s="2" t="n">
        <v>0</v>
      </c>
      <c r="AD331" s="2" t="n">
        <v>0</v>
      </c>
      <c r="AE331" s="2" t="n">
        <v>0</v>
      </c>
      <c r="AF331" s="2" t="n">
        <v>0</v>
      </c>
      <c r="AG331" s="2" t="n">
        <v>0</v>
      </c>
      <c r="AH331" s="2" t="n">
        <v>0</v>
      </c>
      <c r="AI331" s="2" t="n">
        <v>0</v>
      </c>
      <c r="AJ331" s="2" t="n">
        <v>0</v>
      </c>
      <c r="AK331" s="2" t="n">
        <v>0</v>
      </c>
      <c r="AL331" s="2" t="n">
        <v>0</v>
      </c>
      <c r="AM331" s="2" t="n">
        <v>0</v>
      </c>
      <c r="AN331" s="2" t="n">
        <v>0</v>
      </c>
      <c r="AO331" s="2" t="n">
        <v>0</v>
      </c>
      <c r="AP331" s="2" t="n">
        <v>0</v>
      </c>
      <c r="AQ331" s="2" t="n">
        <v>0</v>
      </c>
      <c r="AR331" s="2" t="n">
        <v>0</v>
      </c>
      <c r="AS331" s="2" t="n">
        <v>0</v>
      </c>
      <c r="AT331" s="2" t="n">
        <v>0</v>
      </c>
      <c r="AU331" s="2" t="n">
        <v>0</v>
      </c>
      <c r="AV331" s="2" t="n">
        <v>0</v>
      </c>
      <c r="AW331" s="2" t="n">
        <v>0</v>
      </c>
      <c r="AX331" s="2" t="n">
        <v>0</v>
      </c>
      <c r="AY331" s="2" t="n">
        <v>0</v>
      </c>
      <c r="AZ331" s="2" t="n">
        <v>0</v>
      </c>
      <c r="BA331" s="2" t="n">
        <v>0</v>
      </c>
      <c r="BB331" s="2" t="n">
        <v>0</v>
      </c>
      <c r="BC331" s="2" t="n">
        <v>0</v>
      </c>
      <c r="BD331" s="2" t="n">
        <v>0</v>
      </c>
      <c r="BE331" s="2" t="n">
        <v>0</v>
      </c>
      <c r="BF331" s="2" t="n">
        <v>0</v>
      </c>
      <c r="BG331" s="2" t="n">
        <v>0</v>
      </c>
      <c r="BH331" s="2" t="n">
        <v>0</v>
      </c>
      <c r="BI331" s="2" t="n">
        <v>0</v>
      </c>
      <c r="BJ331" s="2" t="n">
        <v>0</v>
      </c>
      <c r="BK331" s="2" t="n">
        <v>0</v>
      </c>
      <c r="BL331" s="2" t="n">
        <v>0</v>
      </c>
      <c r="BM331" s="2" t="n">
        <v>0</v>
      </c>
      <c r="BN331" s="2" t="n">
        <v>0</v>
      </c>
      <c r="BO331" s="2" t="n">
        <v>0</v>
      </c>
      <c r="BP331" s="2" t="n">
        <v>0</v>
      </c>
      <c r="BQ331" s="2" t="n">
        <v>20</v>
      </c>
      <c r="BR331" s="2" t="n">
        <v>68.18000000000001</v>
      </c>
      <c r="BS331" s="2" t="n">
        <v>0</v>
      </c>
      <c r="BT331" s="2" t="n">
        <v>100</v>
      </c>
      <c r="BU331" s="2" t="n">
        <v>100</v>
      </c>
      <c r="BV331" s="2" t="n">
        <v>0</v>
      </c>
      <c r="BW331" s="2" t="n">
        <v>100</v>
      </c>
      <c r="BX331" s="2" t="n">
        <v>100</v>
      </c>
      <c r="BY331" s="2" t="n">
        <v>0</v>
      </c>
      <c r="BZ331" s="2" t="n">
        <v>100</v>
      </c>
      <c r="CA331" s="2" t="n">
        <v>100</v>
      </c>
      <c r="CB331" s="2" t="n">
        <v>0</v>
      </c>
      <c r="CC331" s="2" t="n">
        <v>100</v>
      </c>
      <c r="CD331" s="2" t="n">
        <v>100</v>
      </c>
      <c r="CE331" s="2" t="n">
        <v>0</v>
      </c>
      <c r="CF331" s="2" t="n">
        <v>100</v>
      </c>
      <c r="CG331" s="2" t="n">
        <v>100</v>
      </c>
      <c r="CH331" s="2" t="n">
        <v>0</v>
      </c>
      <c r="CI331" s="2" t="n">
        <v>100</v>
      </c>
      <c r="CJ331" s="2" t="n">
        <v>100</v>
      </c>
      <c r="CK331" s="2" t="n">
        <v>0</v>
      </c>
      <c r="CL331" s="2" t="n">
        <v>100</v>
      </c>
      <c r="CM331" s="2" t="n">
        <v>100</v>
      </c>
      <c r="CN331" s="2" t="n">
        <v>0</v>
      </c>
      <c r="CO331" s="2" t="n">
        <v>100</v>
      </c>
      <c r="CP331" s="2" t="n">
        <v>100</v>
      </c>
      <c r="CQ331" s="2" t="n">
        <v>0</v>
      </c>
      <c r="CR331" s="2" t="n">
        <v>100</v>
      </c>
      <c r="CS331" s="2" t="n">
        <v>100</v>
      </c>
      <c r="CT331" s="2" t="n">
        <v>0</v>
      </c>
      <c r="CU331" s="2" t="n">
        <v>100</v>
      </c>
      <c r="CV331" s="2" t="n">
        <v>100</v>
      </c>
      <c r="CW331" s="2" t="n">
        <v>0</v>
      </c>
      <c r="CX331" s="2" t="n">
        <v>100</v>
      </c>
      <c r="CY331" s="2" t="n">
        <v>100</v>
      </c>
      <c r="CZ331" s="2" t="n">
        <v>0</v>
      </c>
      <c r="DA331" s="2" t="n">
        <v>100</v>
      </c>
      <c r="DB331" s="2" t="n">
        <v>100</v>
      </c>
      <c r="DC331" s="2" t="n">
        <v>0</v>
      </c>
      <c r="DD331" s="2" t="n">
        <v>100</v>
      </c>
      <c r="DE331" s="2" t="n">
        <v>100</v>
      </c>
      <c r="DF331" s="2" t="n">
        <v>0</v>
      </c>
      <c r="DG331" s="2" t="n">
        <v>100</v>
      </c>
      <c r="DH331" s="2" t="n">
        <v>100</v>
      </c>
      <c r="DI331" s="2" t="n">
        <v>0</v>
      </c>
      <c r="DJ331" s="2" t="n">
        <v>100</v>
      </c>
      <c r="DK331" s="2" t="n">
        <v>100</v>
      </c>
      <c r="DL331" s="2" t="n">
        <v>0</v>
      </c>
      <c r="DM331" s="2" t="n">
        <v>100</v>
      </c>
      <c r="DN331" s="2" t="n">
        <v>100</v>
      </c>
      <c r="DO331" s="2" t="n">
        <v>0</v>
      </c>
      <c r="DP331" s="2" t="n">
        <v>100</v>
      </c>
      <c r="DQ331" s="2" t="n">
        <v>100</v>
      </c>
      <c r="DR331" s="2" t="n">
        <v>0</v>
      </c>
      <c r="DS331" s="2" t="n">
        <v>100</v>
      </c>
      <c r="DT331" s="2" t="n">
        <v>100</v>
      </c>
      <c r="DU331" s="2" t="n">
        <v>0</v>
      </c>
      <c r="DV331" s="2" t="n">
        <v>100</v>
      </c>
      <c r="DW331" s="2" t="n">
        <v>100</v>
      </c>
      <c r="DX331" s="2" t="n">
        <v>0</v>
      </c>
      <c r="DY331" s="2" t="n">
        <v>100</v>
      </c>
      <c r="DZ331" s="2" t="n">
        <v>100</v>
      </c>
      <c r="EA331" s="2" t="n">
        <v>0</v>
      </c>
      <c r="EB331" s="2" t="n">
        <v>100</v>
      </c>
      <c r="EC331" s="2" t="n">
        <v>100</v>
      </c>
      <c r="ED331" s="2" t="n">
        <v>0</v>
      </c>
      <c r="EE331" s="2" t="n">
        <v>100</v>
      </c>
      <c r="EF331" s="2" t="n">
        <v>100</v>
      </c>
      <c r="EG331" s="2" t="n">
        <v>0</v>
      </c>
      <c r="EH331" s="2" t="n">
        <v>100</v>
      </c>
      <c r="EI331" s="2" t="n">
        <v>100</v>
      </c>
      <c r="EJ331" s="2" t="n">
        <v>0</v>
      </c>
      <c r="EK331" s="2" t="n">
        <v>100</v>
      </c>
      <c r="EL331" s="2" t="n">
        <v>100</v>
      </c>
      <c r="EM331" s="2" t="n">
        <v>0</v>
      </c>
      <c r="EN331" s="2" t="n">
        <v>100</v>
      </c>
      <c r="EO331" s="2" t="n">
        <v>100</v>
      </c>
      <c r="EP331" s="2" t="n">
        <v>0</v>
      </c>
      <c r="EQ331" s="2" t="n">
        <v>100</v>
      </c>
      <c r="ER331" s="2" t="n">
        <v>100</v>
      </c>
      <c r="ES331" s="2" t="n">
        <v>0</v>
      </c>
    </row>
    <row r="332">
      <c r="A332" s="2" t="n">
        <v>3</v>
      </c>
      <c r="B332" s="2" t="inlineStr">
        <is>
          <t>16.02.02</t>
        </is>
      </c>
      <c r="C332" s="2" t="inlineStr">
        <is>
          <t>Armadura com tela soldada</t>
        </is>
      </c>
      <c r="D332" s="2" t="inlineStr">
        <is>
          <t>08/02/2027</t>
        </is>
      </c>
      <c r="E332" s="2" t="inlineStr">
        <is>
          <t>11/03/2027</t>
        </is>
      </c>
      <c r="F332" s="2" t="n">
        <v>187023.0132064065</v>
      </c>
      <c r="G332" s="2" t="n">
        <v>0</v>
      </c>
      <c r="H332" s="2" t="n">
        <v>187023.0132064065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0</v>
      </c>
      <c r="AB332" s="2" t="n">
        <v>0</v>
      </c>
      <c r="AC332" s="2" t="n">
        <v>0</v>
      </c>
      <c r="AD332" s="2" t="n">
        <v>0</v>
      </c>
      <c r="AE332" s="2" t="n">
        <v>0</v>
      </c>
      <c r="AF332" s="2" t="n">
        <v>0</v>
      </c>
      <c r="AG332" s="2" t="n">
        <v>0</v>
      </c>
      <c r="AH332" s="2" t="n">
        <v>0</v>
      </c>
      <c r="AI332" s="2" t="n">
        <v>0</v>
      </c>
      <c r="AJ332" s="2" t="n">
        <v>0</v>
      </c>
      <c r="AK332" s="2" t="n">
        <v>0</v>
      </c>
      <c r="AL332" s="2" t="n">
        <v>0</v>
      </c>
      <c r="AM332" s="2" t="n">
        <v>0</v>
      </c>
      <c r="AN332" s="2" t="n">
        <v>0</v>
      </c>
      <c r="AO332" s="2" t="n">
        <v>0</v>
      </c>
      <c r="AP332" s="2" t="n">
        <v>0</v>
      </c>
      <c r="AQ332" s="2" t="n">
        <v>0</v>
      </c>
      <c r="AR332" s="2" t="n">
        <v>0</v>
      </c>
      <c r="AS332" s="2" t="n">
        <v>0</v>
      </c>
      <c r="AT332" s="2" t="n">
        <v>0</v>
      </c>
      <c r="AU332" s="2" t="n">
        <v>0</v>
      </c>
      <c r="AV332" s="2" t="n">
        <v>0</v>
      </c>
      <c r="AW332" s="2" t="n">
        <v>0</v>
      </c>
      <c r="AX332" s="2" t="n">
        <v>0</v>
      </c>
      <c r="AY332" s="2" t="n">
        <v>0</v>
      </c>
      <c r="AZ332" s="2" t="n">
        <v>0</v>
      </c>
      <c r="BA332" s="2" t="n">
        <v>0</v>
      </c>
      <c r="BB332" s="2" t="n">
        <v>0</v>
      </c>
      <c r="BC332" s="2" t="n">
        <v>0</v>
      </c>
      <c r="BD332" s="2" t="n">
        <v>0</v>
      </c>
      <c r="BE332" s="2" t="n">
        <v>0</v>
      </c>
      <c r="BF332" s="2" t="n">
        <v>0</v>
      </c>
      <c r="BG332" s="2" t="n">
        <v>0</v>
      </c>
      <c r="BH332" s="2" t="n">
        <v>0</v>
      </c>
      <c r="BI332" s="2" t="n">
        <v>0</v>
      </c>
      <c r="BJ332" s="2" t="n">
        <v>0</v>
      </c>
      <c r="BK332" s="2" t="n">
        <v>0</v>
      </c>
      <c r="BL332" s="2" t="n">
        <v>0</v>
      </c>
      <c r="BM332" s="2" t="n">
        <v>0</v>
      </c>
      <c r="BN332" s="2" t="n">
        <v>0</v>
      </c>
      <c r="BO332" s="2" t="n">
        <v>0</v>
      </c>
      <c r="BP332" s="2" t="n">
        <v>0</v>
      </c>
      <c r="BQ332" s="2" t="n">
        <v>20</v>
      </c>
      <c r="BR332" s="2" t="n">
        <v>68.18000000000001</v>
      </c>
      <c r="BS332" s="2" t="n">
        <v>0</v>
      </c>
      <c r="BT332" s="2" t="n">
        <v>100</v>
      </c>
      <c r="BU332" s="2" t="n">
        <v>100</v>
      </c>
      <c r="BV332" s="2" t="n">
        <v>0</v>
      </c>
      <c r="BW332" s="2" t="n">
        <v>100</v>
      </c>
      <c r="BX332" s="2" t="n">
        <v>100</v>
      </c>
      <c r="BY332" s="2" t="n">
        <v>0</v>
      </c>
      <c r="BZ332" s="2" t="n">
        <v>100</v>
      </c>
      <c r="CA332" s="2" t="n">
        <v>100</v>
      </c>
      <c r="CB332" s="2" t="n">
        <v>0</v>
      </c>
      <c r="CC332" s="2" t="n">
        <v>100</v>
      </c>
      <c r="CD332" s="2" t="n">
        <v>100</v>
      </c>
      <c r="CE332" s="2" t="n">
        <v>0</v>
      </c>
      <c r="CF332" s="2" t="n">
        <v>100</v>
      </c>
      <c r="CG332" s="2" t="n">
        <v>100</v>
      </c>
      <c r="CH332" s="2" t="n">
        <v>0</v>
      </c>
      <c r="CI332" s="2" t="n">
        <v>100</v>
      </c>
      <c r="CJ332" s="2" t="n">
        <v>100</v>
      </c>
      <c r="CK332" s="2" t="n">
        <v>0</v>
      </c>
      <c r="CL332" s="2" t="n">
        <v>100</v>
      </c>
      <c r="CM332" s="2" t="n">
        <v>100</v>
      </c>
      <c r="CN332" s="2" t="n">
        <v>0</v>
      </c>
      <c r="CO332" s="2" t="n">
        <v>100</v>
      </c>
      <c r="CP332" s="2" t="n">
        <v>100</v>
      </c>
      <c r="CQ332" s="2" t="n">
        <v>0</v>
      </c>
      <c r="CR332" s="2" t="n">
        <v>100</v>
      </c>
      <c r="CS332" s="2" t="n">
        <v>100</v>
      </c>
      <c r="CT332" s="2" t="n">
        <v>0</v>
      </c>
      <c r="CU332" s="2" t="n">
        <v>100</v>
      </c>
      <c r="CV332" s="2" t="n">
        <v>100</v>
      </c>
      <c r="CW332" s="2" t="n">
        <v>0</v>
      </c>
      <c r="CX332" s="2" t="n">
        <v>100</v>
      </c>
      <c r="CY332" s="2" t="n">
        <v>100</v>
      </c>
      <c r="CZ332" s="2" t="n">
        <v>0</v>
      </c>
      <c r="DA332" s="2" t="n">
        <v>100</v>
      </c>
      <c r="DB332" s="2" t="n">
        <v>100</v>
      </c>
      <c r="DC332" s="2" t="n">
        <v>0</v>
      </c>
      <c r="DD332" s="2" t="n">
        <v>100</v>
      </c>
      <c r="DE332" s="2" t="n">
        <v>100</v>
      </c>
      <c r="DF332" s="2" t="n">
        <v>0</v>
      </c>
      <c r="DG332" s="2" t="n">
        <v>100</v>
      </c>
      <c r="DH332" s="2" t="n">
        <v>100</v>
      </c>
      <c r="DI332" s="2" t="n">
        <v>0</v>
      </c>
      <c r="DJ332" s="2" t="n">
        <v>100</v>
      </c>
      <c r="DK332" s="2" t="n">
        <v>100</v>
      </c>
      <c r="DL332" s="2" t="n">
        <v>0</v>
      </c>
      <c r="DM332" s="2" t="n">
        <v>100</v>
      </c>
      <c r="DN332" s="2" t="n">
        <v>100</v>
      </c>
      <c r="DO332" s="2" t="n">
        <v>0</v>
      </c>
      <c r="DP332" s="2" t="n">
        <v>100</v>
      </c>
      <c r="DQ332" s="2" t="n">
        <v>100</v>
      </c>
      <c r="DR332" s="2" t="n">
        <v>0</v>
      </c>
      <c r="DS332" s="2" t="n">
        <v>100</v>
      </c>
      <c r="DT332" s="2" t="n">
        <v>100</v>
      </c>
      <c r="DU332" s="2" t="n">
        <v>0</v>
      </c>
      <c r="DV332" s="2" t="n">
        <v>100</v>
      </c>
      <c r="DW332" s="2" t="n">
        <v>100</v>
      </c>
      <c r="DX332" s="2" t="n">
        <v>0</v>
      </c>
      <c r="DY332" s="2" t="n">
        <v>100</v>
      </c>
      <c r="DZ332" s="2" t="n">
        <v>100</v>
      </c>
      <c r="EA332" s="2" t="n">
        <v>0</v>
      </c>
      <c r="EB332" s="2" t="n">
        <v>100</v>
      </c>
      <c r="EC332" s="2" t="n">
        <v>100</v>
      </c>
      <c r="ED332" s="2" t="n">
        <v>0</v>
      </c>
      <c r="EE332" s="2" t="n">
        <v>100</v>
      </c>
      <c r="EF332" s="2" t="n">
        <v>100</v>
      </c>
      <c r="EG332" s="2" t="n">
        <v>0</v>
      </c>
      <c r="EH332" s="2" t="n">
        <v>100</v>
      </c>
      <c r="EI332" s="2" t="n">
        <v>100</v>
      </c>
      <c r="EJ332" s="2" t="n">
        <v>0</v>
      </c>
      <c r="EK332" s="2" t="n">
        <v>100</v>
      </c>
      <c r="EL332" s="2" t="n">
        <v>100</v>
      </c>
      <c r="EM332" s="2" t="n">
        <v>0</v>
      </c>
      <c r="EN332" s="2" t="n">
        <v>100</v>
      </c>
      <c r="EO332" s="2" t="n">
        <v>100</v>
      </c>
      <c r="EP332" s="2" t="n">
        <v>0</v>
      </c>
      <c r="EQ332" s="2" t="n">
        <v>100</v>
      </c>
      <c r="ER332" s="2" t="n">
        <v>100</v>
      </c>
      <c r="ES332" s="2" t="n">
        <v>0</v>
      </c>
    </row>
    <row r="333">
      <c r="A333" s="2" t="n">
        <v>3</v>
      </c>
      <c r="B333" s="2" t="inlineStr">
        <is>
          <t>16.02.03</t>
        </is>
      </c>
      <c r="C333" s="2" t="inlineStr">
        <is>
          <t>Lastro de brita</t>
        </is>
      </c>
      <c r="D333" s="2" t="inlineStr">
        <is>
          <t>08/02/2027</t>
        </is>
      </c>
      <c r="E333" s="2" t="inlineStr">
        <is>
          <t>11/03/2027</t>
        </is>
      </c>
      <c r="F333" s="2" t="n">
        <v>80928.53297949613</v>
      </c>
      <c r="G333" s="2" t="n">
        <v>0</v>
      </c>
      <c r="H333" s="2" t="n">
        <v>80928.53297949613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0</v>
      </c>
      <c r="AB333" s="2" t="n">
        <v>0</v>
      </c>
      <c r="AC333" s="2" t="n">
        <v>0</v>
      </c>
      <c r="AD333" s="2" t="n">
        <v>0</v>
      </c>
      <c r="AE333" s="2" t="n">
        <v>0</v>
      </c>
      <c r="AF333" s="2" t="n">
        <v>0</v>
      </c>
      <c r="AG333" s="2" t="n">
        <v>0</v>
      </c>
      <c r="AH333" s="2" t="n">
        <v>0</v>
      </c>
      <c r="AI333" s="2" t="n">
        <v>0</v>
      </c>
      <c r="AJ333" s="2" t="n">
        <v>0</v>
      </c>
      <c r="AK333" s="2" t="n">
        <v>0</v>
      </c>
      <c r="AL333" s="2" t="n">
        <v>0</v>
      </c>
      <c r="AM333" s="2" t="n">
        <v>0</v>
      </c>
      <c r="AN333" s="2" t="n">
        <v>0</v>
      </c>
      <c r="AO333" s="2" t="n">
        <v>0</v>
      </c>
      <c r="AP333" s="2" t="n">
        <v>0</v>
      </c>
      <c r="AQ333" s="2" t="n">
        <v>0</v>
      </c>
      <c r="AR333" s="2" t="n">
        <v>0</v>
      </c>
      <c r="AS333" s="2" t="n">
        <v>0</v>
      </c>
      <c r="AT333" s="2" t="n">
        <v>0</v>
      </c>
      <c r="AU333" s="2" t="n">
        <v>0</v>
      </c>
      <c r="AV333" s="2" t="n">
        <v>0</v>
      </c>
      <c r="AW333" s="2" t="n">
        <v>0</v>
      </c>
      <c r="AX333" s="2" t="n">
        <v>0</v>
      </c>
      <c r="AY333" s="2" t="n">
        <v>0</v>
      </c>
      <c r="AZ333" s="2" t="n">
        <v>0</v>
      </c>
      <c r="BA333" s="2" t="n">
        <v>0</v>
      </c>
      <c r="BB333" s="2" t="n">
        <v>0</v>
      </c>
      <c r="BC333" s="2" t="n">
        <v>0</v>
      </c>
      <c r="BD333" s="2" t="n">
        <v>0</v>
      </c>
      <c r="BE333" s="2" t="n">
        <v>0</v>
      </c>
      <c r="BF333" s="2" t="n">
        <v>0</v>
      </c>
      <c r="BG333" s="2" t="n">
        <v>0</v>
      </c>
      <c r="BH333" s="2" t="n">
        <v>0</v>
      </c>
      <c r="BI333" s="2" t="n">
        <v>0</v>
      </c>
      <c r="BJ333" s="2" t="n">
        <v>0</v>
      </c>
      <c r="BK333" s="2" t="n">
        <v>0</v>
      </c>
      <c r="BL333" s="2" t="n">
        <v>0</v>
      </c>
      <c r="BM333" s="2" t="n">
        <v>0</v>
      </c>
      <c r="BN333" s="2" t="n">
        <v>0</v>
      </c>
      <c r="BO333" s="2" t="n">
        <v>0</v>
      </c>
      <c r="BP333" s="2" t="n">
        <v>0</v>
      </c>
      <c r="BQ333" s="2" t="n">
        <v>20</v>
      </c>
      <c r="BR333" s="2" t="n">
        <v>68.18000000000001</v>
      </c>
      <c r="BS333" s="2" t="n">
        <v>0</v>
      </c>
      <c r="BT333" s="2" t="n">
        <v>100</v>
      </c>
      <c r="BU333" s="2" t="n">
        <v>100</v>
      </c>
      <c r="BV333" s="2" t="n">
        <v>0</v>
      </c>
      <c r="BW333" s="2" t="n">
        <v>100</v>
      </c>
      <c r="BX333" s="2" t="n">
        <v>100</v>
      </c>
      <c r="BY333" s="2" t="n">
        <v>0</v>
      </c>
      <c r="BZ333" s="2" t="n">
        <v>100</v>
      </c>
      <c r="CA333" s="2" t="n">
        <v>100</v>
      </c>
      <c r="CB333" s="2" t="n">
        <v>0</v>
      </c>
      <c r="CC333" s="2" t="n">
        <v>100</v>
      </c>
      <c r="CD333" s="2" t="n">
        <v>100</v>
      </c>
      <c r="CE333" s="2" t="n">
        <v>0</v>
      </c>
      <c r="CF333" s="2" t="n">
        <v>100</v>
      </c>
      <c r="CG333" s="2" t="n">
        <v>100</v>
      </c>
      <c r="CH333" s="2" t="n">
        <v>0</v>
      </c>
      <c r="CI333" s="2" t="n">
        <v>100</v>
      </c>
      <c r="CJ333" s="2" t="n">
        <v>100</v>
      </c>
      <c r="CK333" s="2" t="n">
        <v>0</v>
      </c>
      <c r="CL333" s="2" t="n">
        <v>100</v>
      </c>
      <c r="CM333" s="2" t="n">
        <v>100</v>
      </c>
      <c r="CN333" s="2" t="n">
        <v>0</v>
      </c>
      <c r="CO333" s="2" t="n">
        <v>100</v>
      </c>
      <c r="CP333" s="2" t="n">
        <v>100</v>
      </c>
      <c r="CQ333" s="2" t="n">
        <v>0</v>
      </c>
      <c r="CR333" s="2" t="n">
        <v>100</v>
      </c>
      <c r="CS333" s="2" t="n">
        <v>100</v>
      </c>
      <c r="CT333" s="2" t="n">
        <v>0</v>
      </c>
      <c r="CU333" s="2" t="n">
        <v>100</v>
      </c>
      <c r="CV333" s="2" t="n">
        <v>100</v>
      </c>
      <c r="CW333" s="2" t="n">
        <v>0</v>
      </c>
      <c r="CX333" s="2" t="n">
        <v>100</v>
      </c>
      <c r="CY333" s="2" t="n">
        <v>100</v>
      </c>
      <c r="CZ333" s="2" t="n">
        <v>0</v>
      </c>
      <c r="DA333" s="2" t="n">
        <v>100</v>
      </c>
      <c r="DB333" s="2" t="n">
        <v>100</v>
      </c>
      <c r="DC333" s="2" t="n">
        <v>0</v>
      </c>
      <c r="DD333" s="2" t="n">
        <v>100</v>
      </c>
      <c r="DE333" s="2" t="n">
        <v>100</v>
      </c>
      <c r="DF333" s="2" t="n">
        <v>0</v>
      </c>
      <c r="DG333" s="2" t="n">
        <v>100</v>
      </c>
      <c r="DH333" s="2" t="n">
        <v>100</v>
      </c>
      <c r="DI333" s="2" t="n">
        <v>0</v>
      </c>
      <c r="DJ333" s="2" t="n">
        <v>100</v>
      </c>
      <c r="DK333" s="2" t="n">
        <v>100</v>
      </c>
      <c r="DL333" s="2" t="n">
        <v>0</v>
      </c>
      <c r="DM333" s="2" t="n">
        <v>100</v>
      </c>
      <c r="DN333" s="2" t="n">
        <v>100</v>
      </c>
      <c r="DO333" s="2" t="n">
        <v>0</v>
      </c>
      <c r="DP333" s="2" t="n">
        <v>100</v>
      </c>
      <c r="DQ333" s="2" t="n">
        <v>100</v>
      </c>
      <c r="DR333" s="2" t="n">
        <v>0</v>
      </c>
      <c r="DS333" s="2" t="n">
        <v>100</v>
      </c>
      <c r="DT333" s="2" t="n">
        <v>100</v>
      </c>
      <c r="DU333" s="2" t="n">
        <v>0</v>
      </c>
      <c r="DV333" s="2" t="n">
        <v>100</v>
      </c>
      <c r="DW333" s="2" t="n">
        <v>100</v>
      </c>
      <c r="DX333" s="2" t="n">
        <v>0</v>
      </c>
      <c r="DY333" s="2" t="n">
        <v>100</v>
      </c>
      <c r="DZ333" s="2" t="n">
        <v>100</v>
      </c>
      <c r="EA333" s="2" t="n">
        <v>0</v>
      </c>
      <c r="EB333" s="2" t="n">
        <v>100</v>
      </c>
      <c r="EC333" s="2" t="n">
        <v>100</v>
      </c>
      <c r="ED333" s="2" t="n">
        <v>0</v>
      </c>
      <c r="EE333" s="2" t="n">
        <v>100</v>
      </c>
      <c r="EF333" s="2" t="n">
        <v>100</v>
      </c>
      <c r="EG333" s="2" t="n">
        <v>0</v>
      </c>
      <c r="EH333" s="2" t="n">
        <v>100</v>
      </c>
      <c r="EI333" s="2" t="n">
        <v>100</v>
      </c>
      <c r="EJ333" s="2" t="n">
        <v>0</v>
      </c>
      <c r="EK333" s="2" t="n">
        <v>100</v>
      </c>
      <c r="EL333" s="2" t="n">
        <v>100</v>
      </c>
      <c r="EM333" s="2" t="n">
        <v>0</v>
      </c>
      <c r="EN333" s="2" t="n">
        <v>100</v>
      </c>
      <c r="EO333" s="2" t="n">
        <v>100</v>
      </c>
      <c r="EP333" s="2" t="n">
        <v>0</v>
      </c>
      <c r="EQ333" s="2" t="n">
        <v>100</v>
      </c>
      <c r="ER333" s="2" t="n">
        <v>100</v>
      </c>
      <c r="ES333" s="2" t="n">
        <v>0</v>
      </c>
    </row>
    <row r="334">
      <c r="A334" s="2" t="n">
        <v>3</v>
      </c>
      <c r="B334" s="2" t="inlineStr">
        <is>
          <t>16.02.04</t>
        </is>
      </c>
      <c r="C334" s="2" t="inlineStr">
        <is>
          <t>Lona preta para isolamento da laje</t>
        </is>
      </c>
      <c r="D334" s="2" t="inlineStr">
        <is>
          <t>08/02/2027</t>
        </is>
      </c>
      <c r="E334" s="2" t="inlineStr">
        <is>
          <t>11/03/2027</t>
        </is>
      </c>
      <c r="F334" s="2" t="n">
        <v>5922.934253224</v>
      </c>
      <c r="G334" s="2" t="n">
        <v>0</v>
      </c>
      <c r="H334" s="2" t="n">
        <v>5922.934253224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0</v>
      </c>
      <c r="AB334" s="2" t="n">
        <v>0</v>
      </c>
      <c r="AC334" s="2" t="n">
        <v>0</v>
      </c>
      <c r="AD334" s="2" t="n">
        <v>0</v>
      </c>
      <c r="AE334" s="2" t="n">
        <v>0</v>
      </c>
      <c r="AF334" s="2" t="n">
        <v>0</v>
      </c>
      <c r="AG334" s="2" t="n">
        <v>0</v>
      </c>
      <c r="AH334" s="2" t="n">
        <v>0</v>
      </c>
      <c r="AI334" s="2" t="n">
        <v>0</v>
      </c>
      <c r="AJ334" s="2" t="n">
        <v>0</v>
      </c>
      <c r="AK334" s="2" t="n">
        <v>0</v>
      </c>
      <c r="AL334" s="2" t="n">
        <v>0</v>
      </c>
      <c r="AM334" s="2" t="n">
        <v>0</v>
      </c>
      <c r="AN334" s="2" t="n">
        <v>0</v>
      </c>
      <c r="AO334" s="2" t="n">
        <v>0</v>
      </c>
      <c r="AP334" s="2" t="n">
        <v>0</v>
      </c>
      <c r="AQ334" s="2" t="n">
        <v>0</v>
      </c>
      <c r="AR334" s="2" t="n">
        <v>0</v>
      </c>
      <c r="AS334" s="2" t="n">
        <v>0</v>
      </c>
      <c r="AT334" s="2" t="n">
        <v>0</v>
      </c>
      <c r="AU334" s="2" t="n">
        <v>0</v>
      </c>
      <c r="AV334" s="2" t="n">
        <v>0</v>
      </c>
      <c r="AW334" s="2" t="n">
        <v>0</v>
      </c>
      <c r="AX334" s="2" t="n">
        <v>0</v>
      </c>
      <c r="AY334" s="2" t="n">
        <v>0</v>
      </c>
      <c r="AZ334" s="2" t="n">
        <v>0</v>
      </c>
      <c r="BA334" s="2" t="n">
        <v>0</v>
      </c>
      <c r="BB334" s="2" t="n">
        <v>0</v>
      </c>
      <c r="BC334" s="2" t="n">
        <v>0</v>
      </c>
      <c r="BD334" s="2" t="n">
        <v>0</v>
      </c>
      <c r="BE334" s="2" t="n">
        <v>0</v>
      </c>
      <c r="BF334" s="2" t="n">
        <v>0</v>
      </c>
      <c r="BG334" s="2" t="n">
        <v>0</v>
      </c>
      <c r="BH334" s="2" t="n">
        <v>0</v>
      </c>
      <c r="BI334" s="2" t="n">
        <v>0</v>
      </c>
      <c r="BJ334" s="2" t="n">
        <v>0</v>
      </c>
      <c r="BK334" s="2" t="n">
        <v>0</v>
      </c>
      <c r="BL334" s="2" t="n">
        <v>0</v>
      </c>
      <c r="BM334" s="2" t="n">
        <v>0</v>
      </c>
      <c r="BN334" s="2" t="n">
        <v>0</v>
      </c>
      <c r="BO334" s="2" t="n">
        <v>0</v>
      </c>
      <c r="BP334" s="2" t="n">
        <v>0</v>
      </c>
      <c r="BQ334" s="2" t="n">
        <v>20</v>
      </c>
      <c r="BR334" s="2" t="n">
        <v>68.18000000000001</v>
      </c>
      <c r="BS334" s="2" t="n">
        <v>0</v>
      </c>
      <c r="BT334" s="2" t="n">
        <v>100</v>
      </c>
      <c r="BU334" s="2" t="n">
        <v>100</v>
      </c>
      <c r="BV334" s="2" t="n">
        <v>0</v>
      </c>
      <c r="BW334" s="2" t="n">
        <v>100</v>
      </c>
      <c r="BX334" s="2" t="n">
        <v>100</v>
      </c>
      <c r="BY334" s="2" t="n">
        <v>0</v>
      </c>
      <c r="BZ334" s="2" t="n">
        <v>100</v>
      </c>
      <c r="CA334" s="2" t="n">
        <v>100</v>
      </c>
      <c r="CB334" s="2" t="n">
        <v>0</v>
      </c>
      <c r="CC334" s="2" t="n">
        <v>100</v>
      </c>
      <c r="CD334" s="2" t="n">
        <v>100</v>
      </c>
      <c r="CE334" s="2" t="n">
        <v>0</v>
      </c>
      <c r="CF334" s="2" t="n">
        <v>100</v>
      </c>
      <c r="CG334" s="2" t="n">
        <v>100</v>
      </c>
      <c r="CH334" s="2" t="n">
        <v>0</v>
      </c>
      <c r="CI334" s="2" t="n">
        <v>100</v>
      </c>
      <c r="CJ334" s="2" t="n">
        <v>100</v>
      </c>
      <c r="CK334" s="2" t="n">
        <v>0</v>
      </c>
      <c r="CL334" s="2" t="n">
        <v>100</v>
      </c>
      <c r="CM334" s="2" t="n">
        <v>100</v>
      </c>
      <c r="CN334" s="2" t="n">
        <v>0</v>
      </c>
      <c r="CO334" s="2" t="n">
        <v>100</v>
      </c>
      <c r="CP334" s="2" t="n">
        <v>100</v>
      </c>
      <c r="CQ334" s="2" t="n">
        <v>0</v>
      </c>
      <c r="CR334" s="2" t="n">
        <v>100</v>
      </c>
      <c r="CS334" s="2" t="n">
        <v>100</v>
      </c>
      <c r="CT334" s="2" t="n">
        <v>0</v>
      </c>
      <c r="CU334" s="2" t="n">
        <v>100</v>
      </c>
      <c r="CV334" s="2" t="n">
        <v>100</v>
      </c>
      <c r="CW334" s="2" t="n">
        <v>0</v>
      </c>
      <c r="CX334" s="2" t="n">
        <v>100</v>
      </c>
      <c r="CY334" s="2" t="n">
        <v>100</v>
      </c>
      <c r="CZ334" s="2" t="n">
        <v>0</v>
      </c>
      <c r="DA334" s="2" t="n">
        <v>100</v>
      </c>
      <c r="DB334" s="2" t="n">
        <v>100</v>
      </c>
      <c r="DC334" s="2" t="n">
        <v>0</v>
      </c>
      <c r="DD334" s="2" t="n">
        <v>100</v>
      </c>
      <c r="DE334" s="2" t="n">
        <v>100</v>
      </c>
      <c r="DF334" s="2" t="n">
        <v>0</v>
      </c>
      <c r="DG334" s="2" t="n">
        <v>100</v>
      </c>
      <c r="DH334" s="2" t="n">
        <v>100</v>
      </c>
      <c r="DI334" s="2" t="n">
        <v>0</v>
      </c>
      <c r="DJ334" s="2" t="n">
        <v>100</v>
      </c>
      <c r="DK334" s="2" t="n">
        <v>100</v>
      </c>
      <c r="DL334" s="2" t="n">
        <v>0</v>
      </c>
      <c r="DM334" s="2" t="n">
        <v>100</v>
      </c>
      <c r="DN334" s="2" t="n">
        <v>100</v>
      </c>
      <c r="DO334" s="2" t="n">
        <v>0</v>
      </c>
      <c r="DP334" s="2" t="n">
        <v>100</v>
      </c>
      <c r="DQ334" s="2" t="n">
        <v>100</v>
      </c>
      <c r="DR334" s="2" t="n">
        <v>0</v>
      </c>
      <c r="DS334" s="2" t="n">
        <v>100</v>
      </c>
      <c r="DT334" s="2" t="n">
        <v>100</v>
      </c>
      <c r="DU334" s="2" t="n">
        <v>0</v>
      </c>
      <c r="DV334" s="2" t="n">
        <v>100</v>
      </c>
      <c r="DW334" s="2" t="n">
        <v>100</v>
      </c>
      <c r="DX334" s="2" t="n">
        <v>0</v>
      </c>
      <c r="DY334" s="2" t="n">
        <v>100</v>
      </c>
      <c r="DZ334" s="2" t="n">
        <v>100</v>
      </c>
      <c r="EA334" s="2" t="n">
        <v>0</v>
      </c>
      <c r="EB334" s="2" t="n">
        <v>100</v>
      </c>
      <c r="EC334" s="2" t="n">
        <v>100</v>
      </c>
      <c r="ED334" s="2" t="n">
        <v>0</v>
      </c>
      <c r="EE334" s="2" t="n">
        <v>100</v>
      </c>
      <c r="EF334" s="2" t="n">
        <v>100</v>
      </c>
      <c r="EG334" s="2" t="n">
        <v>0</v>
      </c>
      <c r="EH334" s="2" t="n">
        <v>100</v>
      </c>
      <c r="EI334" s="2" t="n">
        <v>100</v>
      </c>
      <c r="EJ334" s="2" t="n">
        <v>0</v>
      </c>
      <c r="EK334" s="2" t="n">
        <v>100</v>
      </c>
      <c r="EL334" s="2" t="n">
        <v>100</v>
      </c>
      <c r="EM334" s="2" t="n">
        <v>0</v>
      </c>
      <c r="EN334" s="2" t="n">
        <v>100</v>
      </c>
      <c r="EO334" s="2" t="n">
        <v>100</v>
      </c>
      <c r="EP334" s="2" t="n">
        <v>0</v>
      </c>
      <c r="EQ334" s="2" t="n">
        <v>100</v>
      </c>
      <c r="ER334" s="2" t="n">
        <v>100</v>
      </c>
      <c r="ES334" s="2" t="n">
        <v>0</v>
      </c>
    </row>
    <row r="335">
      <c r="A335" s="2" t="n">
        <v>3</v>
      </c>
      <c r="B335" s="2" t="inlineStr">
        <is>
          <t>16.02.05</t>
        </is>
      </c>
      <c r="C335" s="2" t="inlineStr">
        <is>
          <t>Concreto bombeado Fck=30Mpa para infraestrutura</t>
        </is>
      </c>
      <c r="D335" s="2" t="inlineStr">
        <is>
          <t>08/02/2027</t>
        </is>
      </c>
      <c r="E335" s="2" t="inlineStr">
        <is>
          <t>11/03/2027</t>
        </is>
      </c>
      <c r="F335" s="2" t="n">
        <v>190527.0463795257</v>
      </c>
      <c r="G335" s="2" t="n">
        <v>0</v>
      </c>
      <c r="H335" s="2" t="n">
        <v>190527.0463795257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0</v>
      </c>
      <c r="AB335" s="2" t="n">
        <v>0</v>
      </c>
      <c r="AC335" s="2" t="n">
        <v>0</v>
      </c>
      <c r="AD335" s="2" t="n">
        <v>0</v>
      </c>
      <c r="AE335" s="2" t="n">
        <v>0</v>
      </c>
      <c r="AF335" s="2" t="n">
        <v>0</v>
      </c>
      <c r="AG335" s="2" t="n">
        <v>0</v>
      </c>
      <c r="AH335" s="2" t="n">
        <v>0</v>
      </c>
      <c r="AI335" s="2" t="n">
        <v>0</v>
      </c>
      <c r="AJ335" s="2" t="n">
        <v>0</v>
      </c>
      <c r="AK335" s="2" t="n">
        <v>0</v>
      </c>
      <c r="AL335" s="2" t="n">
        <v>0</v>
      </c>
      <c r="AM335" s="2" t="n">
        <v>0</v>
      </c>
      <c r="AN335" s="2" t="n">
        <v>0</v>
      </c>
      <c r="AO335" s="2" t="n">
        <v>0</v>
      </c>
      <c r="AP335" s="2" t="n">
        <v>0</v>
      </c>
      <c r="AQ335" s="2" t="n">
        <v>0</v>
      </c>
      <c r="AR335" s="2" t="n">
        <v>0</v>
      </c>
      <c r="AS335" s="2" t="n">
        <v>0</v>
      </c>
      <c r="AT335" s="2" t="n">
        <v>0</v>
      </c>
      <c r="AU335" s="2" t="n">
        <v>0</v>
      </c>
      <c r="AV335" s="2" t="n">
        <v>0</v>
      </c>
      <c r="AW335" s="2" t="n">
        <v>0</v>
      </c>
      <c r="AX335" s="2" t="n">
        <v>0</v>
      </c>
      <c r="AY335" s="2" t="n">
        <v>0</v>
      </c>
      <c r="AZ335" s="2" t="n">
        <v>0</v>
      </c>
      <c r="BA335" s="2" t="n">
        <v>0</v>
      </c>
      <c r="BB335" s="2" t="n">
        <v>0</v>
      </c>
      <c r="BC335" s="2" t="n">
        <v>0</v>
      </c>
      <c r="BD335" s="2" t="n">
        <v>0</v>
      </c>
      <c r="BE335" s="2" t="n">
        <v>0</v>
      </c>
      <c r="BF335" s="2" t="n">
        <v>0</v>
      </c>
      <c r="BG335" s="2" t="n">
        <v>0</v>
      </c>
      <c r="BH335" s="2" t="n">
        <v>0</v>
      </c>
      <c r="BI335" s="2" t="n">
        <v>0</v>
      </c>
      <c r="BJ335" s="2" t="n">
        <v>0</v>
      </c>
      <c r="BK335" s="2" t="n">
        <v>0</v>
      </c>
      <c r="BL335" s="2" t="n">
        <v>0</v>
      </c>
      <c r="BM335" s="2" t="n">
        <v>0</v>
      </c>
      <c r="BN335" s="2" t="n">
        <v>0</v>
      </c>
      <c r="BO335" s="2" t="n">
        <v>0</v>
      </c>
      <c r="BP335" s="2" t="n">
        <v>0</v>
      </c>
      <c r="BQ335" s="2" t="n">
        <v>20</v>
      </c>
      <c r="BR335" s="2" t="n">
        <v>68.18000000000001</v>
      </c>
      <c r="BS335" s="2" t="n">
        <v>0</v>
      </c>
      <c r="BT335" s="2" t="n">
        <v>100</v>
      </c>
      <c r="BU335" s="2" t="n">
        <v>100</v>
      </c>
      <c r="BV335" s="2" t="n">
        <v>0</v>
      </c>
      <c r="BW335" s="2" t="n">
        <v>100</v>
      </c>
      <c r="BX335" s="2" t="n">
        <v>100</v>
      </c>
      <c r="BY335" s="2" t="n">
        <v>0</v>
      </c>
      <c r="BZ335" s="2" t="n">
        <v>100</v>
      </c>
      <c r="CA335" s="2" t="n">
        <v>100</v>
      </c>
      <c r="CB335" s="2" t="n">
        <v>0</v>
      </c>
      <c r="CC335" s="2" t="n">
        <v>100</v>
      </c>
      <c r="CD335" s="2" t="n">
        <v>100</v>
      </c>
      <c r="CE335" s="2" t="n">
        <v>0</v>
      </c>
      <c r="CF335" s="2" t="n">
        <v>100</v>
      </c>
      <c r="CG335" s="2" t="n">
        <v>100</v>
      </c>
      <c r="CH335" s="2" t="n">
        <v>0</v>
      </c>
      <c r="CI335" s="2" t="n">
        <v>100</v>
      </c>
      <c r="CJ335" s="2" t="n">
        <v>100</v>
      </c>
      <c r="CK335" s="2" t="n">
        <v>0</v>
      </c>
      <c r="CL335" s="2" t="n">
        <v>100</v>
      </c>
      <c r="CM335" s="2" t="n">
        <v>100</v>
      </c>
      <c r="CN335" s="2" t="n">
        <v>0</v>
      </c>
      <c r="CO335" s="2" t="n">
        <v>100</v>
      </c>
      <c r="CP335" s="2" t="n">
        <v>100</v>
      </c>
      <c r="CQ335" s="2" t="n">
        <v>0</v>
      </c>
      <c r="CR335" s="2" t="n">
        <v>100</v>
      </c>
      <c r="CS335" s="2" t="n">
        <v>100</v>
      </c>
      <c r="CT335" s="2" t="n">
        <v>0</v>
      </c>
      <c r="CU335" s="2" t="n">
        <v>100</v>
      </c>
      <c r="CV335" s="2" t="n">
        <v>100</v>
      </c>
      <c r="CW335" s="2" t="n">
        <v>0</v>
      </c>
      <c r="CX335" s="2" t="n">
        <v>100</v>
      </c>
      <c r="CY335" s="2" t="n">
        <v>100</v>
      </c>
      <c r="CZ335" s="2" t="n">
        <v>0</v>
      </c>
      <c r="DA335" s="2" t="n">
        <v>100</v>
      </c>
      <c r="DB335" s="2" t="n">
        <v>100</v>
      </c>
      <c r="DC335" s="2" t="n">
        <v>0</v>
      </c>
      <c r="DD335" s="2" t="n">
        <v>100</v>
      </c>
      <c r="DE335" s="2" t="n">
        <v>100</v>
      </c>
      <c r="DF335" s="2" t="n">
        <v>0</v>
      </c>
      <c r="DG335" s="2" t="n">
        <v>100</v>
      </c>
      <c r="DH335" s="2" t="n">
        <v>100</v>
      </c>
      <c r="DI335" s="2" t="n">
        <v>0</v>
      </c>
      <c r="DJ335" s="2" t="n">
        <v>100</v>
      </c>
      <c r="DK335" s="2" t="n">
        <v>100</v>
      </c>
      <c r="DL335" s="2" t="n">
        <v>0</v>
      </c>
      <c r="DM335" s="2" t="n">
        <v>100</v>
      </c>
      <c r="DN335" s="2" t="n">
        <v>100</v>
      </c>
      <c r="DO335" s="2" t="n">
        <v>0</v>
      </c>
      <c r="DP335" s="2" t="n">
        <v>100</v>
      </c>
      <c r="DQ335" s="2" t="n">
        <v>100</v>
      </c>
      <c r="DR335" s="2" t="n">
        <v>0</v>
      </c>
      <c r="DS335" s="2" t="n">
        <v>100</v>
      </c>
      <c r="DT335" s="2" t="n">
        <v>100</v>
      </c>
      <c r="DU335" s="2" t="n">
        <v>0</v>
      </c>
      <c r="DV335" s="2" t="n">
        <v>100</v>
      </c>
      <c r="DW335" s="2" t="n">
        <v>100</v>
      </c>
      <c r="DX335" s="2" t="n">
        <v>0</v>
      </c>
      <c r="DY335" s="2" t="n">
        <v>100</v>
      </c>
      <c r="DZ335" s="2" t="n">
        <v>100</v>
      </c>
      <c r="EA335" s="2" t="n">
        <v>0</v>
      </c>
      <c r="EB335" s="2" t="n">
        <v>100</v>
      </c>
      <c r="EC335" s="2" t="n">
        <v>100</v>
      </c>
      <c r="ED335" s="2" t="n">
        <v>0</v>
      </c>
      <c r="EE335" s="2" t="n">
        <v>100</v>
      </c>
      <c r="EF335" s="2" t="n">
        <v>100</v>
      </c>
      <c r="EG335" s="2" t="n">
        <v>0</v>
      </c>
      <c r="EH335" s="2" t="n">
        <v>100</v>
      </c>
      <c r="EI335" s="2" t="n">
        <v>100</v>
      </c>
      <c r="EJ335" s="2" t="n">
        <v>0</v>
      </c>
      <c r="EK335" s="2" t="n">
        <v>100</v>
      </c>
      <c r="EL335" s="2" t="n">
        <v>100</v>
      </c>
      <c r="EM335" s="2" t="n">
        <v>0</v>
      </c>
      <c r="EN335" s="2" t="n">
        <v>100</v>
      </c>
      <c r="EO335" s="2" t="n">
        <v>100</v>
      </c>
      <c r="EP335" s="2" t="n">
        <v>0</v>
      </c>
      <c r="EQ335" s="2" t="n">
        <v>100</v>
      </c>
      <c r="ER335" s="2" t="n">
        <v>100</v>
      </c>
      <c r="ES335" s="2" t="n">
        <v>0</v>
      </c>
    </row>
    <row r="336">
      <c r="A336" s="2" t="n">
        <v>3</v>
      </c>
      <c r="B336" s="2" t="inlineStr">
        <is>
          <t>16.02.06</t>
        </is>
      </c>
      <c r="C336" s="2" t="inlineStr">
        <is>
          <t>Polimento de pisos de concreto, acabamento sarrafeado</t>
        </is>
      </c>
      <c r="D336" s="2" t="inlineStr">
        <is>
          <t>08/02/2027</t>
        </is>
      </c>
      <c r="E336" s="2" t="inlineStr">
        <is>
          <t>11/03/2027</t>
        </is>
      </c>
      <c r="F336" s="2" t="n">
        <v>34366.805</v>
      </c>
      <c r="G336" s="2" t="n">
        <v>0</v>
      </c>
      <c r="H336" s="2" t="n">
        <v>34366.805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0</v>
      </c>
      <c r="AK336" s="2" t="n">
        <v>0</v>
      </c>
      <c r="AL336" s="2" t="n">
        <v>0</v>
      </c>
      <c r="AM336" s="2" t="n">
        <v>0</v>
      </c>
      <c r="AN336" s="2" t="n">
        <v>0</v>
      </c>
      <c r="AO336" s="2" t="n">
        <v>0</v>
      </c>
      <c r="AP336" s="2" t="n">
        <v>0</v>
      </c>
      <c r="AQ336" s="2" t="n">
        <v>0</v>
      </c>
      <c r="AR336" s="2" t="n">
        <v>0</v>
      </c>
      <c r="AS336" s="2" t="n">
        <v>0</v>
      </c>
      <c r="AT336" s="2" t="n">
        <v>0</v>
      </c>
      <c r="AU336" s="2" t="n">
        <v>0</v>
      </c>
      <c r="AV336" s="2" t="n">
        <v>0</v>
      </c>
      <c r="AW336" s="2" t="n">
        <v>0</v>
      </c>
      <c r="AX336" s="2" t="n">
        <v>0</v>
      </c>
      <c r="AY336" s="2" t="n">
        <v>0</v>
      </c>
      <c r="AZ336" s="2" t="n">
        <v>0</v>
      </c>
      <c r="BA336" s="2" t="n">
        <v>0</v>
      </c>
      <c r="BB336" s="2" t="n">
        <v>0</v>
      </c>
      <c r="BC336" s="2" t="n">
        <v>0</v>
      </c>
      <c r="BD336" s="2" t="n">
        <v>0</v>
      </c>
      <c r="BE336" s="2" t="n">
        <v>0</v>
      </c>
      <c r="BF336" s="2" t="n">
        <v>0</v>
      </c>
      <c r="BG336" s="2" t="n">
        <v>0</v>
      </c>
      <c r="BH336" s="2" t="n">
        <v>0</v>
      </c>
      <c r="BI336" s="2" t="n">
        <v>0</v>
      </c>
      <c r="BJ336" s="2" t="n">
        <v>0</v>
      </c>
      <c r="BK336" s="2" t="n">
        <v>0</v>
      </c>
      <c r="BL336" s="2" t="n">
        <v>0</v>
      </c>
      <c r="BM336" s="2" t="n">
        <v>0</v>
      </c>
      <c r="BN336" s="2" t="n">
        <v>0</v>
      </c>
      <c r="BO336" s="2" t="n">
        <v>0</v>
      </c>
      <c r="BP336" s="2" t="n">
        <v>0</v>
      </c>
      <c r="BQ336" s="2" t="n">
        <v>20</v>
      </c>
      <c r="BR336" s="2" t="n">
        <v>68.18000000000001</v>
      </c>
      <c r="BS336" s="2" t="n">
        <v>0</v>
      </c>
      <c r="BT336" s="2" t="n">
        <v>100</v>
      </c>
      <c r="BU336" s="2" t="n">
        <v>100</v>
      </c>
      <c r="BV336" s="2" t="n">
        <v>0</v>
      </c>
      <c r="BW336" s="2" t="n">
        <v>100</v>
      </c>
      <c r="BX336" s="2" t="n">
        <v>100</v>
      </c>
      <c r="BY336" s="2" t="n">
        <v>0</v>
      </c>
      <c r="BZ336" s="2" t="n">
        <v>100</v>
      </c>
      <c r="CA336" s="2" t="n">
        <v>100</v>
      </c>
      <c r="CB336" s="2" t="n">
        <v>0</v>
      </c>
      <c r="CC336" s="2" t="n">
        <v>100</v>
      </c>
      <c r="CD336" s="2" t="n">
        <v>100</v>
      </c>
      <c r="CE336" s="2" t="n">
        <v>0</v>
      </c>
      <c r="CF336" s="2" t="n">
        <v>100</v>
      </c>
      <c r="CG336" s="2" t="n">
        <v>100</v>
      </c>
      <c r="CH336" s="2" t="n">
        <v>0</v>
      </c>
      <c r="CI336" s="2" t="n">
        <v>100</v>
      </c>
      <c r="CJ336" s="2" t="n">
        <v>100</v>
      </c>
      <c r="CK336" s="2" t="n">
        <v>0</v>
      </c>
      <c r="CL336" s="2" t="n">
        <v>100</v>
      </c>
      <c r="CM336" s="2" t="n">
        <v>100</v>
      </c>
      <c r="CN336" s="2" t="n">
        <v>0</v>
      </c>
      <c r="CO336" s="2" t="n">
        <v>100</v>
      </c>
      <c r="CP336" s="2" t="n">
        <v>100</v>
      </c>
      <c r="CQ336" s="2" t="n">
        <v>0</v>
      </c>
      <c r="CR336" s="2" t="n">
        <v>100</v>
      </c>
      <c r="CS336" s="2" t="n">
        <v>100</v>
      </c>
      <c r="CT336" s="2" t="n">
        <v>0</v>
      </c>
      <c r="CU336" s="2" t="n">
        <v>100</v>
      </c>
      <c r="CV336" s="2" t="n">
        <v>100</v>
      </c>
      <c r="CW336" s="2" t="n">
        <v>0</v>
      </c>
      <c r="CX336" s="2" t="n">
        <v>100</v>
      </c>
      <c r="CY336" s="2" t="n">
        <v>100</v>
      </c>
      <c r="CZ336" s="2" t="n">
        <v>0</v>
      </c>
      <c r="DA336" s="2" t="n">
        <v>100</v>
      </c>
      <c r="DB336" s="2" t="n">
        <v>100</v>
      </c>
      <c r="DC336" s="2" t="n">
        <v>0</v>
      </c>
      <c r="DD336" s="2" t="n">
        <v>100</v>
      </c>
      <c r="DE336" s="2" t="n">
        <v>100</v>
      </c>
      <c r="DF336" s="2" t="n">
        <v>0</v>
      </c>
      <c r="DG336" s="2" t="n">
        <v>100</v>
      </c>
      <c r="DH336" s="2" t="n">
        <v>100</v>
      </c>
      <c r="DI336" s="2" t="n">
        <v>0</v>
      </c>
      <c r="DJ336" s="2" t="n">
        <v>100</v>
      </c>
      <c r="DK336" s="2" t="n">
        <v>100</v>
      </c>
      <c r="DL336" s="2" t="n">
        <v>0</v>
      </c>
      <c r="DM336" s="2" t="n">
        <v>100</v>
      </c>
      <c r="DN336" s="2" t="n">
        <v>100</v>
      </c>
      <c r="DO336" s="2" t="n">
        <v>0</v>
      </c>
      <c r="DP336" s="2" t="n">
        <v>100</v>
      </c>
      <c r="DQ336" s="2" t="n">
        <v>100</v>
      </c>
      <c r="DR336" s="2" t="n">
        <v>0</v>
      </c>
      <c r="DS336" s="2" t="n">
        <v>100</v>
      </c>
      <c r="DT336" s="2" t="n">
        <v>100</v>
      </c>
      <c r="DU336" s="2" t="n">
        <v>0</v>
      </c>
      <c r="DV336" s="2" t="n">
        <v>100</v>
      </c>
      <c r="DW336" s="2" t="n">
        <v>100</v>
      </c>
      <c r="DX336" s="2" t="n">
        <v>0</v>
      </c>
      <c r="DY336" s="2" t="n">
        <v>100</v>
      </c>
      <c r="DZ336" s="2" t="n">
        <v>100</v>
      </c>
      <c r="EA336" s="2" t="n">
        <v>0</v>
      </c>
      <c r="EB336" s="2" t="n">
        <v>100</v>
      </c>
      <c r="EC336" s="2" t="n">
        <v>100</v>
      </c>
      <c r="ED336" s="2" t="n">
        <v>0</v>
      </c>
      <c r="EE336" s="2" t="n">
        <v>100</v>
      </c>
      <c r="EF336" s="2" t="n">
        <v>100</v>
      </c>
      <c r="EG336" s="2" t="n">
        <v>0</v>
      </c>
      <c r="EH336" s="2" t="n">
        <v>100</v>
      </c>
      <c r="EI336" s="2" t="n">
        <v>100</v>
      </c>
      <c r="EJ336" s="2" t="n">
        <v>0</v>
      </c>
      <c r="EK336" s="2" t="n">
        <v>100</v>
      </c>
      <c r="EL336" s="2" t="n">
        <v>100</v>
      </c>
      <c r="EM336" s="2" t="n">
        <v>0</v>
      </c>
      <c r="EN336" s="2" t="n">
        <v>100</v>
      </c>
      <c r="EO336" s="2" t="n">
        <v>100</v>
      </c>
      <c r="EP336" s="2" t="n">
        <v>0</v>
      </c>
      <c r="EQ336" s="2" t="n">
        <v>100</v>
      </c>
      <c r="ER336" s="2" t="n">
        <v>100</v>
      </c>
      <c r="ES336" s="2" t="n">
        <v>0</v>
      </c>
    </row>
    <row r="337">
      <c r="A337" s="2" t="n">
        <v>2</v>
      </c>
      <c r="B337" s="2" t="inlineStr">
        <is>
          <t>16.03</t>
        </is>
      </c>
      <c r="C337" s="2" t="inlineStr">
        <is>
          <t>Reservatórios inferiores</t>
        </is>
      </c>
      <c r="D337" s="2" t="inlineStr">
        <is>
          <t>19/10/2027</t>
        </is>
      </c>
      <c r="E337" s="2" t="inlineStr">
        <is>
          <t>06/12/2027</t>
        </is>
      </c>
      <c r="F337" s="2" t="n">
        <v>250000</v>
      </c>
      <c r="G337" s="2" t="n">
        <v>0</v>
      </c>
      <c r="H337" s="2" t="n">
        <v>250000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0</v>
      </c>
      <c r="AK337" s="2" t="n">
        <v>0</v>
      </c>
      <c r="AL337" s="2" t="n">
        <v>0</v>
      </c>
      <c r="AM337" s="2" t="n">
        <v>0</v>
      </c>
      <c r="AN337" s="2" t="n">
        <v>0</v>
      </c>
      <c r="AO337" s="2" t="n">
        <v>0</v>
      </c>
      <c r="AP337" s="2" t="n">
        <v>0</v>
      </c>
      <c r="AQ337" s="2" t="n">
        <v>0</v>
      </c>
      <c r="AR337" s="2" t="n">
        <v>0</v>
      </c>
      <c r="AS337" s="2" t="n">
        <v>0</v>
      </c>
      <c r="AT337" s="2" t="n">
        <v>0</v>
      </c>
      <c r="AU337" s="2" t="n">
        <v>0</v>
      </c>
      <c r="AV337" s="2" t="n">
        <v>0</v>
      </c>
      <c r="AW337" s="2" t="n">
        <v>0</v>
      </c>
      <c r="AX337" s="2" t="n">
        <v>0</v>
      </c>
      <c r="AY337" s="2" t="n">
        <v>0</v>
      </c>
      <c r="AZ337" s="2" t="n">
        <v>0</v>
      </c>
      <c r="BA337" s="2" t="n">
        <v>0</v>
      </c>
      <c r="BB337" s="2" t="n">
        <v>0</v>
      </c>
      <c r="BC337" s="2" t="n">
        <v>0</v>
      </c>
      <c r="BD337" s="2" t="n">
        <v>0</v>
      </c>
      <c r="BE337" s="2" t="n">
        <v>0</v>
      </c>
      <c r="BF337" s="2" t="n">
        <v>0</v>
      </c>
      <c r="BG337" s="2" t="n">
        <v>0</v>
      </c>
      <c r="BH337" s="2" t="n">
        <v>0</v>
      </c>
      <c r="BI337" s="2" t="n">
        <v>0</v>
      </c>
      <c r="BJ337" s="2" t="n">
        <v>0</v>
      </c>
      <c r="BK337" s="2" t="n">
        <v>0</v>
      </c>
      <c r="BL337" s="2" t="n">
        <v>0</v>
      </c>
      <c r="BM337" s="2" t="n">
        <v>0</v>
      </c>
      <c r="BN337" s="2" t="n">
        <v>0</v>
      </c>
      <c r="BO337" s="2" t="n">
        <v>0</v>
      </c>
      <c r="BP337" s="2" t="n">
        <v>0</v>
      </c>
      <c r="BQ337" s="2" t="n">
        <v>0</v>
      </c>
      <c r="BR337" s="2" t="n">
        <v>0</v>
      </c>
      <c r="BS337" s="2" t="n">
        <v>0</v>
      </c>
      <c r="BT337" s="2" t="n">
        <v>0</v>
      </c>
      <c r="BU337" s="2" t="n">
        <v>0</v>
      </c>
      <c r="BV337" s="2" t="n">
        <v>0</v>
      </c>
      <c r="BW337" s="2" t="n">
        <v>0</v>
      </c>
      <c r="BX337" s="2" t="n">
        <v>0</v>
      </c>
      <c r="BY337" s="2" t="n">
        <v>0</v>
      </c>
      <c r="BZ337" s="2" t="n">
        <v>0</v>
      </c>
      <c r="CA337" s="2" t="n">
        <v>0</v>
      </c>
      <c r="CB337" s="2" t="n">
        <v>0</v>
      </c>
      <c r="CC337" s="2" t="n">
        <v>0</v>
      </c>
      <c r="CD337" s="2" t="n">
        <v>0</v>
      </c>
      <c r="CE337" s="2" t="n">
        <v>0</v>
      </c>
      <c r="CF337" s="2" t="n">
        <v>0</v>
      </c>
      <c r="CG337" s="2" t="n">
        <v>0</v>
      </c>
      <c r="CH337" s="2" t="n">
        <v>0</v>
      </c>
      <c r="CI337" s="2" t="n">
        <v>0</v>
      </c>
      <c r="CJ337" s="2" t="n">
        <v>0</v>
      </c>
      <c r="CK337" s="2" t="n">
        <v>0</v>
      </c>
      <c r="CL337" s="2" t="n">
        <v>0</v>
      </c>
      <c r="CM337" s="2" t="n">
        <v>0</v>
      </c>
      <c r="CN337" s="2" t="n">
        <v>0</v>
      </c>
      <c r="CO337" s="2" t="n">
        <v>24.24</v>
      </c>
      <c r="CP337" s="2" t="n">
        <v>27.27</v>
      </c>
      <c r="CQ337" s="2" t="n">
        <v>0</v>
      </c>
      <c r="CR337" s="2" t="n">
        <v>84.84999999999999</v>
      </c>
      <c r="CS337" s="2" t="n">
        <v>87.88</v>
      </c>
      <c r="CT337" s="2" t="n">
        <v>0</v>
      </c>
      <c r="CU337" s="2" t="n">
        <v>100</v>
      </c>
      <c r="CV337" s="2" t="n">
        <v>100</v>
      </c>
      <c r="CW337" s="2" t="n">
        <v>0</v>
      </c>
      <c r="CX337" s="2" t="n">
        <v>100</v>
      </c>
      <c r="CY337" s="2" t="n">
        <v>100</v>
      </c>
      <c r="CZ337" s="2" t="n">
        <v>0</v>
      </c>
      <c r="DA337" s="2" t="n">
        <v>100</v>
      </c>
      <c r="DB337" s="2" t="n">
        <v>100</v>
      </c>
      <c r="DC337" s="2" t="n">
        <v>0</v>
      </c>
      <c r="DD337" s="2" t="n">
        <v>100</v>
      </c>
      <c r="DE337" s="2" t="n">
        <v>100</v>
      </c>
      <c r="DF337" s="2" t="n">
        <v>0</v>
      </c>
      <c r="DG337" s="2" t="n">
        <v>100</v>
      </c>
      <c r="DH337" s="2" t="n">
        <v>100</v>
      </c>
      <c r="DI337" s="2" t="n">
        <v>0</v>
      </c>
      <c r="DJ337" s="2" t="n">
        <v>100</v>
      </c>
      <c r="DK337" s="2" t="n">
        <v>100</v>
      </c>
      <c r="DL337" s="2" t="n">
        <v>0</v>
      </c>
      <c r="DM337" s="2" t="n">
        <v>100</v>
      </c>
      <c r="DN337" s="2" t="n">
        <v>100</v>
      </c>
      <c r="DO337" s="2" t="n">
        <v>0</v>
      </c>
      <c r="DP337" s="2" t="n">
        <v>100</v>
      </c>
      <c r="DQ337" s="2" t="n">
        <v>100</v>
      </c>
      <c r="DR337" s="2" t="n">
        <v>0</v>
      </c>
      <c r="DS337" s="2" t="n">
        <v>100</v>
      </c>
      <c r="DT337" s="2" t="n">
        <v>100</v>
      </c>
      <c r="DU337" s="2" t="n">
        <v>0</v>
      </c>
      <c r="DV337" s="2" t="n">
        <v>100</v>
      </c>
      <c r="DW337" s="2" t="n">
        <v>100</v>
      </c>
      <c r="DX337" s="2" t="n">
        <v>0</v>
      </c>
      <c r="DY337" s="2" t="n">
        <v>100</v>
      </c>
      <c r="DZ337" s="2" t="n">
        <v>100</v>
      </c>
      <c r="EA337" s="2" t="n">
        <v>0</v>
      </c>
      <c r="EB337" s="2" t="n">
        <v>100</v>
      </c>
      <c r="EC337" s="2" t="n">
        <v>100</v>
      </c>
      <c r="ED337" s="2" t="n">
        <v>0</v>
      </c>
      <c r="EE337" s="2" t="n">
        <v>100</v>
      </c>
      <c r="EF337" s="2" t="n">
        <v>100</v>
      </c>
      <c r="EG337" s="2" t="n">
        <v>0</v>
      </c>
      <c r="EH337" s="2" t="n">
        <v>100</v>
      </c>
      <c r="EI337" s="2" t="n">
        <v>100</v>
      </c>
      <c r="EJ337" s="2" t="n">
        <v>0</v>
      </c>
      <c r="EK337" s="2" t="n">
        <v>100</v>
      </c>
      <c r="EL337" s="2" t="n">
        <v>100</v>
      </c>
      <c r="EM337" s="2" t="n">
        <v>0</v>
      </c>
      <c r="EN337" s="2" t="n">
        <v>100</v>
      </c>
      <c r="EO337" s="2" t="n">
        <v>100</v>
      </c>
      <c r="EP337" s="2" t="n">
        <v>0</v>
      </c>
      <c r="EQ337" s="2" t="n">
        <v>100</v>
      </c>
      <c r="ER337" s="2" t="n">
        <v>100</v>
      </c>
      <c r="ES337" s="2" t="n">
        <v>0</v>
      </c>
    </row>
    <row r="338">
      <c r="A338" s="2" t="n">
        <v>3</v>
      </c>
      <c r="B338" s="2" t="inlineStr">
        <is>
          <t>16.03.01</t>
        </is>
      </c>
      <c r="C338" s="2" t="inlineStr">
        <is>
          <t>Estimativa para reservatórios inferiores</t>
        </is>
      </c>
      <c r="D338" s="2" t="inlineStr">
        <is>
          <t>19/10/2027</t>
        </is>
      </c>
      <c r="E338" s="2" t="inlineStr">
        <is>
          <t>06/12/2027</t>
        </is>
      </c>
      <c r="F338" s="2" t="n">
        <v>250000</v>
      </c>
      <c r="G338" s="2" t="n">
        <v>0</v>
      </c>
      <c r="H338" s="2" t="n">
        <v>250000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0</v>
      </c>
      <c r="AK338" s="2" t="n">
        <v>0</v>
      </c>
      <c r="AL338" s="2" t="n">
        <v>0</v>
      </c>
      <c r="AM338" s="2" t="n">
        <v>0</v>
      </c>
      <c r="AN338" s="2" t="n">
        <v>0</v>
      </c>
      <c r="AO338" s="2" t="n">
        <v>0</v>
      </c>
      <c r="AP338" s="2" t="n">
        <v>0</v>
      </c>
      <c r="AQ338" s="2" t="n">
        <v>0</v>
      </c>
      <c r="AR338" s="2" t="n">
        <v>0</v>
      </c>
      <c r="AS338" s="2" t="n">
        <v>0</v>
      </c>
      <c r="AT338" s="2" t="n">
        <v>0</v>
      </c>
      <c r="AU338" s="2" t="n">
        <v>0</v>
      </c>
      <c r="AV338" s="2" t="n">
        <v>0</v>
      </c>
      <c r="AW338" s="2" t="n">
        <v>0</v>
      </c>
      <c r="AX338" s="2" t="n">
        <v>0</v>
      </c>
      <c r="AY338" s="2" t="n">
        <v>0</v>
      </c>
      <c r="AZ338" s="2" t="n">
        <v>0</v>
      </c>
      <c r="BA338" s="2" t="n">
        <v>0</v>
      </c>
      <c r="BB338" s="2" t="n">
        <v>0</v>
      </c>
      <c r="BC338" s="2" t="n">
        <v>0</v>
      </c>
      <c r="BD338" s="2" t="n">
        <v>0</v>
      </c>
      <c r="BE338" s="2" t="n">
        <v>0</v>
      </c>
      <c r="BF338" s="2" t="n">
        <v>0</v>
      </c>
      <c r="BG338" s="2" t="n">
        <v>0</v>
      </c>
      <c r="BH338" s="2" t="n">
        <v>0</v>
      </c>
      <c r="BI338" s="2" t="n">
        <v>0</v>
      </c>
      <c r="BJ338" s="2" t="n">
        <v>0</v>
      </c>
      <c r="BK338" s="2" t="n">
        <v>0</v>
      </c>
      <c r="BL338" s="2" t="n">
        <v>0</v>
      </c>
      <c r="BM338" s="2" t="n">
        <v>0</v>
      </c>
      <c r="BN338" s="2" t="n">
        <v>0</v>
      </c>
      <c r="BO338" s="2" t="n">
        <v>0</v>
      </c>
      <c r="BP338" s="2" t="n">
        <v>0</v>
      </c>
      <c r="BQ338" s="2" t="n">
        <v>0</v>
      </c>
      <c r="BR338" s="2" t="n">
        <v>0</v>
      </c>
      <c r="BS338" s="2" t="n">
        <v>0</v>
      </c>
      <c r="BT338" s="2" t="n">
        <v>0</v>
      </c>
      <c r="BU338" s="2" t="n">
        <v>0</v>
      </c>
      <c r="BV338" s="2" t="n">
        <v>0</v>
      </c>
      <c r="BW338" s="2" t="n">
        <v>0</v>
      </c>
      <c r="BX338" s="2" t="n">
        <v>0</v>
      </c>
      <c r="BY338" s="2" t="n">
        <v>0</v>
      </c>
      <c r="BZ338" s="2" t="n">
        <v>0</v>
      </c>
      <c r="CA338" s="2" t="n">
        <v>0</v>
      </c>
      <c r="CB338" s="2" t="n">
        <v>0</v>
      </c>
      <c r="CC338" s="2" t="n">
        <v>0</v>
      </c>
      <c r="CD338" s="2" t="n">
        <v>0</v>
      </c>
      <c r="CE338" s="2" t="n">
        <v>0</v>
      </c>
      <c r="CF338" s="2" t="n">
        <v>0</v>
      </c>
      <c r="CG338" s="2" t="n">
        <v>0</v>
      </c>
      <c r="CH338" s="2" t="n">
        <v>0</v>
      </c>
      <c r="CI338" s="2" t="n">
        <v>0</v>
      </c>
      <c r="CJ338" s="2" t="n">
        <v>0</v>
      </c>
      <c r="CK338" s="2" t="n">
        <v>0</v>
      </c>
      <c r="CL338" s="2" t="n">
        <v>0</v>
      </c>
      <c r="CM338" s="2" t="n">
        <v>0</v>
      </c>
      <c r="CN338" s="2" t="n">
        <v>0</v>
      </c>
      <c r="CO338" s="2" t="n">
        <v>24.24</v>
      </c>
      <c r="CP338" s="2" t="n">
        <v>27.27</v>
      </c>
      <c r="CQ338" s="2" t="n">
        <v>0</v>
      </c>
      <c r="CR338" s="2" t="n">
        <v>84.84999999999999</v>
      </c>
      <c r="CS338" s="2" t="n">
        <v>87.88</v>
      </c>
      <c r="CT338" s="2" t="n">
        <v>0</v>
      </c>
      <c r="CU338" s="2" t="n">
        <v>100</v>
      </c>
      <c r="CV338" s="2" t="n">
        <v>100</v>
      </c>
      <c r="CW338" s="2" t="n">
        <v>0</v>
      </c>
      <c r="CX338" s="2" t="n">
        <v>100</v>
      </c>
      <c r="CY338" s="2" t="n">
        <v>100</v>
      </c>
      <c r="CZ338" s="2" t="n">
        <v>0</v>
      </c>
      <c r="DA338" s="2" t="n">
        <v>100</v>
      </c>
      <c r="DB338" s="2" t="n">
        <v>100</v>
      </c>
      <c r="DC338" s="2" t="n">
        <v>0</v>
      </c>
      <c r="DD338" s="2" t="n">
        <v>100</v>
      </c>
      <c r="DE338" s="2" t="n">
        <v>100</v>
      </c>
      <c r="DF338" s="2" t="n">
        <v>0</v>
      </c>
      <c r="DG338" s="2" t="n">
        <v>100</v>
      </c>
      <c r="DH338" s="2" t="n">
        <v>100</v>
      </c>
      <c r="DI338" s="2" t="n">
        <v>0</v>
      </c>
      <c r="DJ338" s="2" t="n">
        <v>100</v>
      </c>
      <c r="DK338" s="2" t="n">
        <v>100</v>
      </c>
      <c r="DL338" s="2" t="n">
        <v>0</v>
      </c>
      <c r="DM338" s="2" t="n">
        <v>100</v>
      </c>
      <c r="DN338" s="2" t="n">
        <v>100</v>
      </c>
      <c r="DO338" s="2" t="n">
        <v>0</v>
      </c>
      <c r="DP338" s="2" t="n">
        <v>100</v>
      </c>
      <c r="DQ338" s="2" t="n">
        <v>100</v>
      </c>
      <c r="DR338" s="2" t="n">
        <v>0</v>
      </c>
      <c r="DS338" s="2" t="n">
        <v>100</v>
      </c>
      <c r="DT338" s="2" t="n">
        <v>100</v>
      </c>
      <c r="DU338" s="2" t="n">
        <v>0</v>
      </c>
      <c r="DV338" s="2" t="n">
        <v>100</v>
      </c>
      <c r="DW338" s="2" t="n">
        <v>100</v>
      </c>
      <c r="DX338" s="2" t="n">
        <v>0</v>
      </c>
      <c r="DY338" s="2" t="n">
        <v>100</v>
      </c>
      <c r="DZ338" s="2" t="n">
        <v>100</v>
      </c>
      <c r="EA338" s="2" t="n">
        <v>0</v>
      </c>
      <c r="EB338" s="2" t="n">
        <v>100</v>
      </c>
      <c r="EC338" s="2" t="n">
        <v>100</v>
      </c>
      <c r="ED338" s="2" t="n">
        <v>0</v>
      </c>
      <c r="EE338" s="2" t="n">
        <v>100</v>
      </c>
      <c r="EF338" s="2" t="n">
        <v>100</v>
      </c>
      <c r="EG338" s="2" t="n">
        <v>0</v>
      </c>
      <c r="EH338" s="2" t="n">
        <v>100</v>
      </c>
      <c r="EI338" s="2" t="n">
        <v>100</v>
      </c>
      <c r="EJ338" s="2" t="n">
        <v>0</v>
      </c>
      <c r="EK338" s="2" t="n">
        <v>100</v>
      </c>
      <c r="EL338" s="2" t="n">
        <v>100</v>
      </c>
      <c r="EM338" s="2" t="n">
        <v>0</v>
      </c>
      <c r="EN338" s="2" t="n">
        <v>100</v>
      </c>
      <c r="EO338" s="2" t="n">
        <v>100</v>
      </c>
      <c r="EP338" s="2" t="n">
        <v>0</v>
      </c>
      <c r="EQ338" s="2" t="n">
        <v>100</v>
      </c>
      <c r="ER338" s="2" t="n">
        <v>100</v>
      </c>
      <c r="ES338" s="2" t="n">
        <v>0</v>
      </c>
    </row>
    <row r="339">
      <c r="A339" s="2" t="n">
        <v>1</v>
      </c>
      <c r="B339" s="2" t="inlineStr">
        <is>
          <t>17</t>
        </is>
      </c>
      <c r="C339" s="2" t="inlineStr">
        <is>
          <t>ESTRUTURA EM CONCRETO ARMADO</t>
        </is>
      </c>
      <c r="D339" s="2" t="inlineStr">
        <is>
          <t>15/06/2026</t>
        </is>
      </c>
      <c r="E339" s="2" t="inlineStr">
        <is>
          <t>11/02/2028</t>
        </is>
      </c>
      <c r="F339" s="2" t="n">
        <v>25651081.59268831</v>
      </c>
      <c r="G339" s="2" t="n">
        <v>0</v>
      </c>
      <c r="H339" s="2" t="n">
        <v>25651081.59268831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0</v>
      </c>
      <c r="AK339" s="2" t="n">
        <v>0</v>
      </c>
      <c r="AL339" s="2" t="n">
        <v>0</v>
      </c>
      <c r="AM339" s="2" t="n">
        <v>0</v>
      </c>
      <c r="AN339" s="2" t="n">
        <v>0</v>
      </c>
      <c r="AO339" s="2" t="n">
        <v>0</v>
      </c>
      <c r="AP339" s="2" t="n">
        <v>0</v>
      </c>
      <c r="AQ339" s="2" t="n">
        <v>0</v>
      </c>
      <c r="AR339" s="2" t="n">
        <v>0</v>
      </c>
      <c r="AS339" s="2" t="n">
        <v>0</v>
      </c>
      <c r="AT339" s="2" t="n">
        <v>0.8100000000000001</v>
      </c>
      <c r="AU339" s="2" t="n">
        <v>0.7</v>
      </c>
      <c r="AV339" s="2" t="n">
        <v>0</v>
      </c>
      <c r="AW339" s="2" t="n">
        <v>2.36</v>
      </c>
      <c r="AX339" s="2" t="n">
        <v>3.16</v>
      </c>
      <c r="AY339" s="2" t="n">
        <v>0</v>
      </c>
      <c r="AZ339" s="2" t="n">
        <v>9.75</v>
      </c>
      <c r="BA339" s="2" t="n">
        <v>8.07</v>
      </c>
      <c r="BB339" s="2" t="n">
        <v>0</v>
      </c>
      <c r="BC339" s="2" t="n">
        <v>14.82</v>
      </c>
      <c r="BD339" s="2" t="n">
        <v>9.65</v>
      </c>
      <c r="BE339" s="2" t="n">
        <v>0</v>
      </c>
      <c r="BF339" s="2" t="n">
        <v>20.19</v>
      </c>
      <c r="BG339" s="2" t="n">
        <v>9.65</v>
      </c>
      <c r="BH339" s="2" t="n">
        <v>0</v>
      </c>
      <c r="BI339" s="2" t="n">
        <v>25.29</v>
      </c>
      <c r="BJ339" s="2" t="n">
        <v>9.65</v>
      </c>
      <c r="BK339" s="2" t="n">
        <v>0</v>
      </c>
      <c r="BL339" s="2" t="n">
        <v>29.8</v>
      </c>
      <c r="BM339" s="2" t="n">
        <v>9.65</v>
      </c>
      <c r="BN339" s="2" t="n">
        <v>0</v>
      </c>
      <c r="BO339" s="2" t="n">
        <v>36.05</v>
      </c>
      <c r="BP339" s="2" t="n">
        <v>9.65</v>
      </c>
      <c r="BQ339" s="2" t="n">
        <v>0</v>
      </c>
      <c r="BR339" s="2" t="n">
        <v>40.96</v>
      </c>
      <c r="BS339" s="2" t="n">
        <v>9.65</v>
      </c>
      <c r="BT339" s="2" t="n">
        <v>0</v>
      </c>
      <c r="BU339" s="2" t="n">
        <v>46.13</v>
      </c>
      <c r="BV339" s="2" t="n">
        <v>9.65</v>
      </c>
      <c r="BW339" s="2" t="n">
        <v>0</v>
      </c>
      <c r="BX339" s="2" t="n">
        <v>52.15</v>
      </c>
      <c r="BY339" s="2" t="n">
        <v>9.65</v>
      </c>
      <c r="BZ339" s="2" t="n">
        <v>0</v>
      </c>
      <c r="CA339" s="2" t="n">
        <v>58.09</v>
      </c>
      <c r="CB339" s="2" t="n">
        <v>9.65</v>
      </c>
      <c r="CC339" s="2" t="n">
        <v>0</v>
      </c>
      <c r="CD339" s="2" t="n">
        <v>64.66</v>
      </c>
      <c r="CE339" s="2" t="n">
        <v>9.65</v>
      </c>
      <c r="CF339" s="2" t="n">
        <v>0</v>
      </c>
      <c r="CG339" s="2" t="n">
        <v>70.45</v>
      </c>
      <c r="CH339" s="2" t="n">
        <v>9.65</v>
      </c>
      <c r="CI339" s="2" t="n">
        <v>0</v>
      </c>
      <c r="CJ339" s="2" t="n">
        <v>76.94</v>
      </c>
      <c r="CK339" s="2" t="n">
        <v>9.65</v>
      </c>
      <c r="CL339" s="2" t="n">
        <v>0</v>
      </c>
      <c r="CM339" s="2" t="n">
        <v>82.63</v>
      </c>
      <c r="CN339" s="2" t="n">
        <v>9.65</v>
      </c>
      <c r="CO339" s="2" t="n">
        <v>0</v>
      </c>
      <c r="CP339" s="2" t="n">
        <v>88.36</v>
      </c>
      <c r="CQ339" s="2" t="n">
        <v>9.65</v>
      </c>
      <c r="CR339" s="2" t="n">
        <v>0</v>
      </c>
      <c r="CS339" s="2" t="n">
        <v>93.31</v>
      </c>
      <c r="CT339" s="2" t="n">
        <v>9.65</v>
      </c>
      <c r="CU339" s="2" t="n">
        <v>0</v>
      </c>
      <c r="CV339" s="2" t="n">
        <v>96.62</v>
      </c>
      <c r="CW339" s="2" t="n">
        <v>9.65</v>
      </c>
      <c r="CX339" s="2" t="n">
        <v>0</v>
      </c>
      <c r="CY339" s="2" t="n">
        <v>99.08</v>
      </c>
      <c r="CZ339" s="2" t="n">
        <v>9.65</v>
      </c>
      <c r="DA339" s="2" t="n">
        <v>0</v>
      </c>
      <c r="DB339" s="2" t="n">
        <v>100</v>
      </c>
      <c r="DC339" s="2" t="n">
        <v>9.65</v>
      </c>
      <c r="DD339" s="2" t="n">
        <v>0</v>
      </c>
      <c r="DE339" s="2" t="n">
        <v>100</v>
      </c>
      <c r="DF339" s="2" t="n">
        <v>9.65</v>
      </c>
      <c r="DG339" s="2" t="n">
        <v>0</v>
      </c>
      <c r="DH339" s="2" t="n">
        <v>100</v>
      </c>
      <c r="DI339" s="2" t="n">
        <v>9.65</v>
      </c>
      <c r="DJ339" s="2" t="n">
        <v>0</v>
      </c>
      <c r="DK339" s="2" t="n">
        <v>100</v>
      </c>
      <c r="DL339" s="2" t="n">
        <v>9.65</v>
      </c>
      <c r="DM339" s="2" t="n">
        <v>0</v>
      </c>
      <c r="DN339" s="2" t="n">
        <v>100</v>
      </c>
      <c r="DO339" s="2" t="n">
        <v>9.65</v>
      </c>
      <c r="DP339" s="2" t="n">
        <v>0</v>
      </c>
      <c r="DQ339" s="2" t="n">
        <v>100</v>
      </c>
      <c r="DR339" s="2" t="n">
        <v>9.65</v>
      </c>
      <c r="DS339" s="2" t="n">
        <v>0</v>
      </c>
      <c r="DT339" s="2" t="n">
        <v>100</v>
      </c>
      <c r="DU339" s="2" t="n">
        <v>9.65</v>
      </c>
      <c r="DV339" s="2" t="n">
        <v>0</v>
      </c>
      <c r="DW339" s="2" t="n">
        <v>100</v>
      </c>
      <c r="DX339" s="2" t="n">
        <v>9.65</v>
      </c>
      <c r="DY339" s="2" t="n">
        <v>0</v>
      </c>
      <c r="DZ339" s="2" t="n">
        <v>100</v>
      </c>
      <c r="EA339" s="2" t="n">
        <v>9.65</v>
      </c>
      <c r="EB339" s="2" t="n">
        <v>0</v>
      </c>
      <c r="EC339" s="2" t="n">
        <v>100</v>
      </c>
      <c r="ED339" s="2" t="n">
        <v>9.65</v>
      </c>
      <c r="EE339" s="2" t="n">
        <v>0</v>
      </c>
      <c r="EF339" s="2" t="n">
        <v>100</v>
      </c>
      <c r="EG339" s="2" t="n">
        <v>9.65</v>
      </c>
      <c r="EH339" s="2" t="n">
        <v>0</v>
      </c>
      <c r="EI339" s="2" t="n">
        <v>100</v>
      </c>
      <c r="EJ339" s="2" t="n">
        <v>9.65</v>
      </c>
      <c r="EK339" s="2" t="n">
        <v>0</v>
      </c>
      <c r="EL339" s="2" t="n">
        <v>100</v>
      </c>
      <c r="EM339" s="2" t="n">
        <v>9.65</v>
      </c>
      <c r="EN339" s="2" t="n">
        <v>0</v>
      </c>
      <c r="EO339" s="2" t="n">
        <v>100</v>
      </c>
      <c r="EP339" s="2" t="n">
        <v>9.65</v>
      </c>
      <c r="EQ339" s="2" t="n">
        <v>0</v>
      </c>
      <c r="ER339" s="2" t="n">
        <v>100</v>
      </c>
      <c r="ES339" s="2" t="n">
        <v>9.65</v>
      </c>
    </row>
    <row r="340">
      <c r="A340" s="2" t="n">
        <v>2</v>
      </c>
      <c r="B340" s="2" t="inlineStr">
        <is>
          <t>17.01</t>
        </is>
      </c>
      <c r="C340" s="2" t="inlineStr">
        <is>
          <t>Pilares, vigas e lajes</t>
        </is>
      </c>
      <c r="D340" s="2" t="inlineStr">
        <is>
          <t>15/06/2026</t>
        </is>
      </c>
      <c r="E340" s="2" t="inlineStr">
        <is>
          <t>11/02/2028</t>
        </is>
      </c>
      <c r="F340" s="2" t="n">
        <v>25521516.7931479</v>
      </c>
      <c r="G340" s="2" t="n">
        <v>0</v>
      </c>
      <c r="H340" s="2" t="n">
        <v>25521516.7931479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0</v>
      </c>
      <c r="AK340" s="2" t="n">
        <v>0</v>
      </c>
      <c r="AL340" s="2" t="n">
        <v>0</v>
      </c>
      <c r="AM340" s="2" t="n">
        <v>0</v>
      </c>
      <c r="AN340" s="2" t="n">
        <v>0</v>
      </c>
      <c r="AO340" s="2" t="n">
        <v>0</v>
      </c>
      <c r="AP340" s="2" t="n">
        <v>0</v>
      </c>
      <c r="AQ340" s="2" t="n">
        <v>0</v>
      </c>
      <c r="AR340" s="2" t="n">
        <v>0</v>
      </c>
      <c r="AS340" s="2" t="n">
        <v>0</v>
      </c>
      <c r="AT340" s="2" t="n">
        <v>0.8100000000000001</v>
      </c>
      <c r="AU340" s="2" t="n">
        <v>0.7</v>
      </c>
      <c r="AV340" s="2" t="n">
        <v>0</v>
      </c>
      <c r="AW340" s="2" t="n">
        <v>2.36</v>
      </c>
      <c r="AX340" s="2" t="n">
        <v>3.16</v>
      </c>
      <c r="AY340" s="2" t="n">
        <v>0</v>
      </c>
      <c r="AZ340" s="2" t="n">
        <v>9.75</v>
      </c>
      <c r="BA340" s="2" t="n">
        <v>8.07</v>
      </c>
      <c r="BB340" s="2" t="n">
        <v>0</v>
      </c>
      <c r="BC340" s="2" t="n">
        <v>14.82</v>
      </c>
      <c r="BD340" s="2" t="n">
        <v>9.65</v>
      </c>
      <c r="BE340" s="2" t="n">
        <v>0</v>
      </c>
      <c r="BF340" s="2" t="n">
        <v>20.19</v>
      </c>
      <c r="BG340" s="2" t="n">
        <v>9.65</v>
      </c>
      <c r="BH340" s="2" t="n">
        <v>0</v>
      </c>
      <c r="BI340" s="2" t="n">
        <v>25.29</v>
      </c>
      <c r="BJ340" s="2" t="n">
        <v>9.65</v>
      </c>
      <c r="BK340" s="2" t="n">
        <v>0</v>
      </c>
      <c r="BL340" s="2" t="n">
        <v>29.8</v>
      </c>
      <c r="BM340" s="2" t="n">
        <v>9.65</v>
      </c>
      <c r="BN340" s="2" t="n">
        <v>0</v>
      </c>
      <c r="BO340" s="2" t="n">
        <v>36.05</v>
      </c>
      <c r="BP340" s="2" t="n">
        <v>9.65</v>
      </c>
      <c r="BQ340" s="2" t="n">
        <v>0</v>
      </c>
      <c r="BR340" s="2" t="n">
        <v>40.96</v>
      </c>
      <c r="BS340" s="2" t="n">
        <v>9.65</v>
      </c>
      <c r="BT340" s="2" t="n">
        <v>0</v>
      </c>
      <c r="BU340" s="2" t="n">
        <v>46.13</v>
      </c>
      <c r="BV340" s="2" t="n">
        <v>9.65</v>
      </c>
      <c r="BW340" s="2" t="n">
        <v>0</v>
      </c>
      <c r="BX340" s="2" t="n">
        <v>52.15</v>
      </c>
      <c r="BY340" s="2" t="n">
        <v>9.65</v>
      </c>
      <c r="BZ340" s="2" t="n">
        <v>0</v>
      </c>
      <c r="CA340" s="2" t="n">
        <v>58.09</v>
      </c>
      <c r="CB340" s="2" t="n">
        <v>9.65</v>
      </c>
      <c r="CC340" s="2" t="n">
        <v>0</v>
      </c>
      <c r="CD340" s="2" t="n">
        <v>64.66</v>
      </c>
      <c r="CE340" s="2" t="n">
        <v>9.65</v>
      </c>
      <c r="CF340" s="2" t="n">
        <v>0</v>
      </c>
      <c r="CG340" s="2" t="n">
        <v>70.45</v>
      </c>
      <c r="CH340" s="2" t="n">
        <v>9.65</v>
      </c>
      <c r="CI340" s="2" t="n">
        <v>0</v>
      </c>
      <c r="CJ340" s="2" t="n">
        <v>76.94</v>
      </c>
      <c r="CK340" s="2" t="n">
        <v>9.65</v>
      </c>
      <c r="CL340" s="2" t="n">
        <v>0</v>
      </c>
      <c r="CM340" s="2" t="n">
        <v>82.63</v>
      </c>
      <c r="CN340" s="2" t="n">
        <v>9.65</v>
      </c>
      <c r="CO340" s="2" t="n">
        <v>0</v>
      </c>
      <c r="CP340" s="2" t="n">
        <v>88.36</v>
      </c>
      <c r="CQ340" s="2" t="n">
        <v>9.65</v>
      </c>
      <c r="CR340" s="2" t="n">
        <v>0</v>
      </c>
      <c r="CS340" s="2" t="n">
        <v>93.31</v>
      </c>
      <c r="CT340" s="2" t="n">
        <v>9.65</v>
      </c>
      <c r="CU340" s="2" t="n">
        <v>0</v>
      </c>
      <c r="CV340" s="2" t="n">
        <v>96.62</v>
      </c>
      <c r="CW340" s="2" t="n">
        <v>9.65</v>
      </c>
      <c r="CX340" s="2" t="n">
        <v>0</v>
      </c>
      <c r="CY340" s="2" t="n">
        <v>99.08</v>
      </c>
      <c r="CZ340" s="2" t="n">
        <v>9.65</v>
      </c>
      <c r="DA340" s="2" t="n">
        <v>0</v>
      </c>
      <c r="DB340" s="2" t="n">
        <v>100</v>
      </c>
      <c r="DC340" s="2" t="n">
        <v>9.65</v>
      </c>
      <c r="DD340" s="2" t="n">
        <v>0</v>
      </c>
      <c r="DE340" s="2" t="n">
        <v>100</v>
      </c>
      <c r="DF340" s="2" t="n">
        <v>9.65</v>
      </c>
      <c r="DG340" s="2" t="n">
        <v>0</v>
      </c>
      <c r="DH340" s="2" t="n">
        <v>100</v>
      </c>
      <c r="DI340" s="2" t="n">
        <v>9.65</v>
      </c>
      <c r="DJ340" s="2" t="n">
        <v>0</v>
      </c>
      <c r="DK340" s="2" t="n">
        <v>100</v>
      </c>
      <c r="DL340" s="2" t="n">
        <v>9.65</v>
      </c>
      <c r="DM340" s="2" t="n">
        <v>0</v>
      </c>
      <c r="DN340" s="2" t="n">
        <v>100</v>
      </c>
      <c r="DO340" s="2" t="n">
        <v>9.65</v>
      </c>
      <c r="DP340" s="2" t="n">
        <v>0</v>
      </c>
      <c r="DQ340" s="2" t="n">
        <v>100</v>
      </c>
      <c r="DR340" s="2" t="n">
        <v>9.65</v>
      </c>
      <c r="DS340" s="2" t="n">
        <v>0</v>
      </c>
      <c r="DT340" s="2" t="n">
        <v>100</v>
      </c>
      <c r="DU340" s="2" t="n">
        <v>9.65</v>
      </c>
      <c r="DV340" s="2" t="n">
        <v>0</v>
      </c>
      <c r="DW340" s="2" t="n">
        <v>100</v>
      </c>
      <c r="DX340" s="2" t="n">
        <v>9.65</v>
      </c>
      <c r="DY340" s="2" t="n">
        <v>0</v>
      </c>
      <c r="DZ340" s="2" t="n">
        <v>100</v>
      </c>
      <c r="EA340" s="2" t="n">
        <v>9.65</v>
      </c>
      <c r="EB340" s="2" t="n">
        <v>0</v>
      </c>
      <c r="EC340" s="2" t="n">
        <v>100</v>
      </c>
      <c r="ED340" s="2" t="n">
        <v>9.65</v>
      </c>
      <c r="EE340" s="2" t="n">
        <v>0</v>
      </c>
      <c r="EF340" s="2" t="n">
        <v>100</v>
      </c>
      <c r="EG340" s="2" t="n">
        <v>9.65</v>
      </c>
      <c r="EH340" s="2" t="n">
        <v>0</v>
      </c>
      <c r="EI340" s="2" t="n">
        <v>100</v>
      </c>
      <c r="EJ340" s="2" t="n">
        <v>9.65</v>
      </c>
      <c r="EK340" s="2" t="n">
        <v>0</v>
      </c>
      <c r="EL340" s="2" t="n">
        <v>100</v>
      </c>
      <c r="EM340" s="2" t="n">
        <v>9.65</v>
      </c>
      <c r="EN340" s="2" t="n">
        <v>0</v>
      </c>
      <c r="EO340" s="2" t="n">
        <v>100</v>
      </c>
      <c r="EP340" s="2" t="n">
        <v>9.65</v>
      </c>
      <c r="EQ340" s="2" t="n">
        <v>0</v>
      </c>
      <c r="ER340" s="2" t="n">
        <v>100</v>
      </c>
      <c r="ES340" s="2" t="n">
        <v>9.65</v>
      </c>
    </row>
    <row r="341">
      <c r="A341" s="2" t="n">
        <v>3</v>
      </c>
      <c r="B341" s="2" t="inlineStr">
        <is>
          <t>17.01.01</t>
        </is>
      </c>
      <c r="C341" s="2" t="inlineStr">
        <is>
          <t>Formas para pilares, vigas e lajes convencionais  - pé-direito até 3,49</t>
        </is>
      </c>
      <c r="D341" s="2" t="inlineStr">
        <is>
          <t>15/06/2026</t>
        </is>
      </c>
      <c r="E341" s="2" t="inlineStr">
        <is>
          <t>11/02/2028</t>
        </is>
      </c>
      <c r="F341" s="2" t="n">
        <v>5558925.915075012</v>
      </c>
      <c r="G341" s="2" t="n">
        <v>0</v>
      </c>
      <c r="H341" s="2" t="n">
        <v>5558925.915075012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0</v>
      </c>
      <c r="AK341" s="2" t="n">
        <v>0</v>
      </c>
      <c r="AL341" s="2" t="n">
        <v>0</v>
      </c>
      <c r="AM341" s="2" t="n">
        <v>0</v>
      </c>
      <c r="AN341" s="2" t="n">
        <v>0</v>
      </c>
      <c r="AO341" s="2" t="n">
        <v>0</v>
      </c>
      <c r="AP341" s="2" t="n">
        <v>0</v>
      </c>
      <c r="AQ341" s="2" t="n">
        <v>0</v>
      </c>
      <c r="AR341" s="2" t="n">
        <v>0</v>
      </c>
      <c r="AS341" s="2" t="n">
        <v>0</v>
      </c>
      <c r="AT341" s="2" t="n">
        <v>0.8100000000000001</v>
      </c>
      <c r="AU341" s="2" t="n">
        <v>0.7</v>
      </c>
      <c r="AV341" s="2" t="n">
        <v>0</v>
      </c>
      <c r="AW341" s="2" t="n">
        <v>2.36</v>
      </c>
      <c r="AX341" s="2" t="n">
        <v>3.16</v>
      </c>
      <c r="AY341" s="2" t="n">
        <v>0</v>
      </c>
      <c r="AZ341" s="2" t="n">
        <v>9.75</v>
      </c>
      <c r="BA341" s="2" t="n">
        <v>8.07</v>
      </c>
      <c r="BB341" s="2" t="n">
        <v>0</v>
      </c>
      <c r="BC341" s="2" t="n">
        <v>14.82</v>
      </c>
      <c r="BD341" s="2" t="n">
        <v>9.65</v>
      </c>
      <c r="BE341" s="2" t="n">
        <v>0</v>
      </c>
      <c r="BF341" s="2" t="n">
        <v>20.19</v>
      </c>
      <c r="BG341" s="2" t="n">
        <v>9.65</v>
      </c>
      <c r="BH341" s="2" t="n">
        <v>0</v>
      </c>
      <c r="BI341" s="2" t="n">
        <v>25.29</v>
      </c>
      <c r="BJ341" s="2" t="n">
        <v>9.65</v>
      </c>
      <c r="BK341" s="2" t="n">
        <v>0</v>
      </c>
      <c r="BL341" s="2" t="n">
        <v>29.8</v>
      </c>
      <c r="BM341" s="2" t="n">
        <v>9.65</v>
      </c>
      <c r="BN341" s="2" t="n">
        <v>0</v>
      </c>
      <c r="BO341" s="2" t="n">
        <v>36.05</v>
      </c>
      <c r="BP341" s="2" t="n">
        <v>9.65</v>
      </c>
      <c r="BQ341" s="2" t="n">
        <v>0</v>
      </c>
      <c r="BR341" s="2" t="n">
        <v>40.96</v>
      </c>
      <c r="BS341" s="2" t="n">
        <v>9.65</v>
      </c>
      <c r="BT341" s="2" t="n">
        <v>0</v>
      </c>
      <c r="BU341" s="2" t="n">
        <v>46.13</v>
      </c>
      <c r="BV341" s="2" t="n">
        <v>9.65</v>
      </c>
      <c r="BW341" s="2" t="n">
        <v>0</v>
      </c>
      <c r="BX341" s="2" t="n">
        <v>52.15</v>
      </c>
      <c r="BY341" s="2" t="n">
        <v>9.65</v>
      </c>
      <c r="BZ341" s="2" t="n">
        <v>0</v>
      </c>
      <c r="CA341" s="2" t="n">
        <v>58.09</v>
      </c>
      <c r="CB341" s="2" t="n">
        <v>9.65</v>
      </c>
      <c r="CC341" s="2" t="n">
        <v>0</v>
      </c>
      <c r="CD341" s="2" t="n">
        <v>64.66</v>
      </c>
      <c r="CE341" s="2" t="n">
        <v>9.65</v>
      </c>
      <c r="CF341" s="2" t="n">
        <v>0</v>
      </c>
      <c r="CG341" s="2" t="n">
        <v>70.45</v>
      </c>
      <c r="CH341" s="2" t="n">
        <v>9.65</v>
      </c>
      <c r="CI341" s="2" t="n">
        <v>0</v>
      </c>
      <c r="CJ341" s="2" t="n">
        <v>76.94</v>
      </c>
      <c r="CK341" s="2" t="n">
        <v>9.65</v>
      </c>
      <c r="CL341" s="2" t="n">
        <v>0</v>
      </c>
      <c r="CM341" s="2" t="n">
        <v>82.63</v>
      </c>
      <c r="CN341" s="2" t="n">
        <v>9.65</v>
      </c>
      <c r="CO341" s="2" t="n">
        <v>0</v>
      </c>
      <c r="CP341" s="2" t="n">
        <v>88.36</v>
      </c>
      <c r="CQ341" s="2" t="n">
        <v>9.65</v>
      </c>
      <c r="CR341" s="2" t="n">
        <v>0</v>
      </c>
      <c r="CS341" s="2" t="n">
        <v>93.31</v>
      </c>
      <c r="CT341" s="2" t="n">
        <v>9.65</v>
      </c>
      <c r="CU341" s="2" t="n">
        <v>0</v>
      </c>
      <c r="CV341" s="2" t="n">
        <v>96.62</v>
      </c>
      <c r="CW341" s="2" t="n">
        <v>9.65</v>
      </c>
      <c r="CX341" s="2" t="n">
        <v>0</v>
      </c>
      <c r="CY341" s="2" t="n">
        <v>99.08</v>
      </c>
      <c r="CZ341" s="2" t="n">
        <v>9.65</v>
      </c>
      <c r="DA341" s="2" t="n">
        <v>0</v>
      </c>
      <c r="DB341" s="2" t="n">
        <v>100</v>
      </c>
      <c r="DC341" s="2" t="n">
        <v>9.65</v>
      </c>
      <c r="DD341" s="2" t="n">
        <v>0</v>
      </c>
      <c r="DE341" s="2" t="n">
        <v>100</v>
      </c>
      <c r="DF341" s="2" t="n">
        <v>9.65</v>
      </c>
      <c r="DG341" s="2" t="n">
        <v>0</v>
      </c>
      <c r="DH341" s="2" t="n">
        <v>100</v>
      </c>
      <c r="DI341" s="2" t="n">
        <v>9.65</v>
      </c>
      <c r="DJ341" s="2" t="n">
        <v>0</v>
      </c>
      <c r="DK341" s="2" t="n">
        <v>100</v>
      </c>
      <c r="DL341" s="2" t="n">
        <v>9.65</v>
      </c>
      <c r="DM341" s="2" t="n">
        <v>0</v>
      </c>
      <c r="DN341" s="2" t="n">
        <v>100</v>
      </c>
      <c r="DO341" s="2" t="n">
        <v>9.65</v>
      </c>
      <c r="DP341" s="2" t="n">
        <v>0</v>
      </c>
      <c r="DQ341" s="2" t="n">
        <v>100</v>
      </c>
      <c r="DR341" s="2" t="n">
        <v>9.65</v>
      </c>
      <c r="DS341" s="2" t="n">
        <v>0</v>
      </c>
      <c r="DT341" s="2" t="n">
        <v>100</v>
      </c>
      <c r="DU341" s="2" t="n">
        <v>9.65</v>
      </c>
      <c r="DV341" s="2" t="n">
        <v>0</v>
      </c>
      <c r="DW341" s="2" t="n">
        <v>100</v>
      </c>
      <c r="DX341" s="2" t="n">
        <v>9.65</v>
      </c>
      <c r="DY341" s="2" t="n">
        <v>0</v>
      </c>
      <c r="DZ341" s="2" t="n">
        <v>100</v>
      </c>
      <c r="EA341" s="2" t="n">
        <v>9.65</v>
      </c>
      <c r="EB341" s="2" t="n">
        <v>0</v>
      </c>
      <c r="EC341" s="2" t="n">
        <v>100</v>
      </c>
      <c r="ED341" s="2" t="n">
        <v>9.65</v>
      </c>
      <c r="EE341" s="2" t="n">
        <v>0</v>
      </c>
      <c r="EF341" s="2" t="n">
        <v>100</v>
      </c>
      <c r="EG341" s="2" t="n">
        <v>9.65</v>
      </c>
      <c r="EH341" s="2" t="n">
        <v>0</v>
      </c>
      <c r="EI341" s="2" t="n">
        <v>100</v>
      </c>
      <c r="EJ341" s="2" t="n">
        <v>9.65</v>
      </c>
      <c r="EK341" s="2" t="n">
        <v>0</v>
      </c>
      <c r="EL341" s="2" t="n">
        <v>100</v>
      </c>
      <c r="EM341" s="2" t="n">
        <v>9.65</v>
      </c>
      <c r="EN341" s="2" t="n">
        <v>0</v>
      </c>
      <c r="EO341" s="2" t="n">
        <v>100</v>
      </c>
      <c r="EP341" s="2" t="n">
        <v>9.65</v>
      </c>
      <c r="EQ341" s="2" t="n">
        <v>0</v>
      </c>
      <c r="ER341" s="2" t="n">
        <v>100</v>
      </c>
      <c r="ES341" s="2" t="n">
        <v>9.65</v>
      </c>
    </row>
    <row r="342">
      <c r="A342" s="2" t="n">
        <v>3</v>
      </c>
      <c r="B342" s="2" t="inlineStr">
        <is>
          <t>17.01.02</t>
        </is>
      </c>
      <c r="C342" s="2" t="inlineStr">
        <is>
          <t>Formas para pilares, vigas e lajes convencionais  - pé- direito acima de 3,49 até 5,99 - Térreo e 6º Pavto Pilotis</t>
        </is>
      </c>
      <c r="D342" s="2" t="inlineStr">
        <is>
          <t>15/06/2026</t>
        </is>
      </c>
      <c r="E342" s="2" t="inlineStr">
        <is>
          <t>11/02/2028</t>
        </is>
      </c>
      <c r="F342" s="2" t="n">
        <v>740242.3644000001</v>
      </c>
      <c r="G342" s="2" t="n">
        <v>0</v>
      </c>
      <c r="H342" s="2" t="n">
        <v>740242.3644000001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0</v>
      </c>
      <c r="AK342" s="2" t="n">
        <v>0</v>
      </c>
      <c r="AL342" s="2" t="n">
        <v>0</v>
      </c>
      <c r="AM342" s="2" t="n">
        <v>0</v>
      </c>
      <c r="AN342" s="2" t="n">
        <v>0</v>
      </c>
      <c r="AO342" s="2" t="n">
        <v>0</v>
      </c>
      <c r="AP342" s="2" t="n">
        <v>0</v>
      </c>
      <c r="AQ342" s="2" t="n">
        <v>0</v>
      </c>
      <c r="AR342" s="2" t="n">
        <v>0</v>
      </c>
      <c r="AS342" s="2" t="n">
        <v>0</v>
      </c>
      <c r="AT342" s="2" t="n">
        <v>0.8100000000000001</v>
      </c>
      <c r="AU342" s="2" t="n">
        <v>0.7</v>
      </c>
      <c r="AV342" s="2" t="n">
        <v>0</v>
      </c>
      <c r="AW342" s="2" t="n">
        <v>2.36</v>
      </c>
      <c r="AX342" s="2" t="n">
        <v>3.16</v>
      </c>
      <c r="AY342" s="2" t="n">
        <v>0</v>
      </c>
      <c r="AZ342" s="2" t="n">
        <v>9.75</v>
      </c>
      <c r="BA342" s="2" t="n">
        <v>8.07</v>
      </c>
      <c r="BB342" s="2" t="n">
        <v>0</v>
      </c>
      <c r="BC342" s="2" t="n">
        <v>14.82</v>
      </c>
      <c r="BD342" s="2" t="n">
        <v>9.65</v>
      </c>
      <c r="BE342" s="2" t="n">
        <v>0</v>
      </c>
      <c r="BF342" s="2" t="n">
        <v>20.19</v>
      </c>
      <c r="BG342" s="2" t="n">
        <v>9.65</v>
      </c>
      <c r="BH342" s="2" t="n">
        <v>0</v>
      </c>
      <c r="BI342" s="2" t="n">
        <v>25.29</v>
      </c>
      <c r="BJ342" s="2" t="n">
        <v>9.65</v>
      </c>
      <c r="BK342" s="2" t="n">
        <v>0</v>
      </c>
      <c r="BL342" s="2" t="n">
        <v>29.8</v>
      </c>
      <c r="BM342" s="2" t="n">
        <v>9.65</v>
      </c>
      <c r="BN342" s="2" t="n">
        <v>0</v>
      </c>
      <c r="BO342" s="2" t="n">
        <v>36.05</v>
      </c>
      <c r="BP342" s="2" t="n">
        <v>9.65</v>
      </c>
      <c r="BQ342" s="2" t="n">
        <v>0</v>
      </c>
      <c r="BR342" s="2" t="n">
        <v>40.96</v>
      </c>
      <c r="BS342" s="2" t="n">
        <v>9.65</v>
      </c>
      <c r="BT342" s="2" t="n">
        <v>0</v>
      </c>
      <c r="BU342" s="2" t="n">
        <v>46.13</v>
      </c>
      <c r="BV342" s="2" t="n">
        <v>9.65</v>
      </c>
      <c r="BW342" s="2" t="n">
        <v>0</v>
      </c>
      <c r="BX342" s="2" t="n">
        <v>52.15</v>
      </c>
      <c r="BY342" s="2" t="n">
        <v>9.65</v>
      </c>
      <c r="BZ342" s="2" t="n">
        <v>0</v>
      </c>
      <c r="CA342" s="2" t="n">
        <v>58.09</v>
      </c>
      <c r="CB342" s="2" t="n">
        <v>9.65</v>
      </c>
      <c r="CC342" s="2" t="n">
        <v>0</v>
      </c>
      <c r="CD342" s="2" t="n">
        <v>64.66</v>
      </c>
      <c r="CE342" s="2" t="n">
        <v>9.65</v>
      </c>
      <c r="CF342" s="2" t="n">
        <v>0</v>
      </c>
      <c r="CG342" s="2" t="n">
        <v>70.45</v>
      </c>
      <c r="CH342" s="2" t="n">
        <v>9.65</v>
      </c>
      <c r="CI342" s="2" t="n">
        <v>0</v>
      </c>
      <c r="CJ342" s="2" t="n">
        <v>76.94</v>
      </c>
      <c r="CK342" s="2" t="n">
        <v>9.65</v>
      </c>
      <c r="CL342" s="2" t="n">
        <v>0</v>
      </c>
      <c r="CM342" s="2" t="n">
        <v>82.63</v>
      </c>
      <c r="CN342" s="2" t="n">
        <v>9.65</v>
      </c>
      <c r="CO342" s="2" t="n">
        <v>0</v>
      </c>
      <c r="CP342" s="2" t="n">
        <v>88.36</v>
      </c>
      <c r="CQ342" s="2" t="n">
        <v>9.65</v>
      </c>
      <c r="CR342" s="2" t="n">
        <v>0</v>
      </c>
      <c r="CS342" s="2" t="n">
        <v>93.31</v>
      </c>
      <c r="CT342" s="2" t="n">
        <v>9.65</v>
      </c>
      <c r="CU342" s="2" t="n">
        <v>0</v>
      </c>
      <c r="CV342" s="2" t="n">
        <v>96.62</v>
      </c>
      <c r="CW342" s="2" t="n">
        <v>9.65</v>
      </c>
      <c r="CX342" s="2" t="n">
        <v>0</v>
      </c>
      <c r="CY342" s="2" t="n">
        <v>99.08</v>
      </c>
      <c r="CZ342" s="2" t="n">
        <v>9.65</v>
      </c>
      <c r="DA342" s="2" t="n">
        <v>0</v>
      </c>
      <c r="DB342" s="2" t="n">
        <v>100</v>
      </c>
      <c r="DC342" s="2" t="n">
        <v>9.65</v>
      </c>
      <c r="DD342" s="2" t="n">
        <v>0</v>
      </c>
      <c r="DE342" s="2" t="n">
        <v>100</v>
      </c>
      <c r="DF342" s="2" t="n">
        <v>9.65</v>
      </c>
      <c r="DG342" s="2" t="n">
        <v>0</v>
      </c>
      <c r="DH342" s="2" t="n">
        <v>100</v>
      </c>
      <c r="DI342" s="2" t="n">
        <v>9.65</v>
      </c>
      <c r="DJ342" s="2" t="n">
        <v>0</v>
      </c>
      <c r="DK342" s="2" t="n">
        <v>100</v>
      </c>
      <c r="DL342" s="2" t="n">
        <v>9.65</v>
      </c>
      <c r="DM342" s="2" t="n">
        <v>0</v>
      </c>
      <c r="DN342" s="2" t="n">
        <v>100</v>
      </c>
      <c r="DO342" s="2" t="n">
        <v>9.65</v>
      </c>
      <c r="DP342" s="2" t="n">
        <v>0</v>
      </c>
      <c r="DQ342" s="2" t="n">
        <v>100</v>
      </c>
      <c r="DR342" s="2" t="n">
        <v>9.65</v>
      </c>
      <c r="DS342" s="2" t="n">
        <v>0</v>
      </c>
      <c r="DT342" s="2" t="n">
        <v>100</v>
      </c>
      <c r="DU342" s="2" t="n">
        <v>9.65</v>
      </c>
      <c r="DV342" s="2" t="n">
        <v>0</v>
      </c>
      <c r="DW342" s="2" t="n">
        <v>100</v>
      </c>
      <c r="DX342" s="2" t="n">
        <v>9.65</v>
      </c>
      <c r="DY342" s="2" t="n">
        <v>0</v>
      </c>
      <c r="DZ342" s="2" t="n">
        <v>100</v>
      </c>
      <c r="EA342" s="2" t="n">
        <v>9.65</v>
      </c>
      <c r="EB342" s="2" t="n">
        <v>0</v>
      </c>
      <c r="EC342" s="2" t="n">
        <v>100</v>
      </c>
      <c r="ED342" s="2" t="n">
        <v>9.65</v>
      </c>
      <c r="EE342" s="2" t="n">
        <v>0</v>
      </c>
      <c r="EF342" s="2" t="n">
        <v>100</v>
      </c>
      <c r="EG342" s="2" t="n">
        <v>9.65</v>
      </c>
      <c r="EH342" s="2" t="n">
        <v>0</v>
      </c>
      <c r="EI342" s="2" t="n">
        <v>100</v>
      </c>
      <c r="EJ342" s="2" t="n">
        <v>9.65</v>
      </c>
      <c r="EK342" s="2" t="n">
        <v>0</v>
      </c>
      <c r="EL342" s="2" t="n">
        <v>100</v>
      </c>
      <c r="EM342" s="2" t="n">
        <v>9.65</v>
      </c>
      <c r="EN342" s="2" t="n">
        <v>0</v>
      </c>
      <c r="EO342" s="2" t="n">
        <v>100</v>
      </c>
      <c r="EP342" s="2" t="n">
        <v>9.65</v>
      </c>
      <c r="EQ342" s="2" t="n">
        <v>0</v>
      </c>
      <c r="ER342" s="2" t="n">
        <v>100</v>
      </c>
      <c r="ES342" s="2" t="n">
        <v>9.65</v>
      </c>
    </row>
    <row r="343">
      <c r="A343" s="2" t="n">
        <v>3</v>
      </c>
      <c r="B343" s="2" t="inlineStr">
        <is>
          <t>17.01.03</t>
        </is>
      </c>
      <c r="C343" s="2" t="inlineStr">
        <is>
          <t>Formas para lajes nervuradas - pé-direito até 3,49</t>
        </is>
      </c>
      <c r="D343" s="2" t="inlineStr">
        <is>
          <t>15/06/2026</t>
        </is>
      </c>
      <c r="E343" s="2" t="inlineStr">
        <is>
          <t>11/02/2028</t>
        </is>
      </c>
      <c r="F343" s="2" t="n">
        <v>769248.3929999998</v>
      </c>
      <c r="G343" s="2" t="n">
        <v>0</v>
      </c>
      <c r="H343" s="2" t="n">
        <v>769248.3929999998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0</v>
      </c>
      <c r="AK343" s="2" t="n">
        <v>0</v>
      </c>
      <c r="AL343" s="2" t="n">
        <v>0</v>
      </c>
      <c r="AM343" s="2" t="n">
        <v>0</v>
      </c>
      <c r="AN343" s="2" t="n">
        <v>0</v>
      </c>
      <c r="AO343" s="2" t="n">
        <v>0</v>
      </c>
      <c r="AP343" s="2" t="n">
        <v>0</v>
      </c>
      <c r="AQ343" s="2" t="n">
        <v>0</v>
      </c>
      <c r="AR343" s="2" t="n">
        <v>0</v>
      </c>
      <c r="AS343" s="2" t="n">
        <v>0</v>
      </c>
      <c r="AT343" s="2" t="n">
        <v>0.8100000000000001</v>
      </c>
      <c r="AU343" s="2" t="n">
        <v>0.7</v>
      </c>
      <c r="AV343" s="2" t="n">
        <v>0</v>
      </c>
      <c r="AW343" s="2" t="n">
        <v>2.36</v>
      </c>
      <c r="AX343" s="2" t="n">
        <v>3.16</v>
      </c>
      <c r="AY343" s="2" t="n">
        <v>0</v>
      </c>
      <c r="AZ343" s="2" t="n">
        <v>9.75</v>
      </c>
      <c r="BA343" s="2" t="n">
        <v>8.07</v>
      </c>
      <c r="BB343" s="2" t="n">
        <v>0</v>
      </c>
      <c r="BC343" s="2" t="n">
        <v>14.82</v>
      </c>
      <c r="BD343" s="2" t="n">
        <v>9.65</v>
      </c>
      <c r="BE343" s="2" t="n">
        <v>0</v>
      </c>
      <c r="BF343" s="2" t="n">
        <v>20.19</v>
      </c>
      <c r="BG343" s="2" t="n">
        <v>9.65</v>
      </c>
      <c r="BH343" s="2" t="n">
        <v>0</v>
      </c>
      <c r="BI343" s="2" t="n">
        <v>25.29</v>
      </c>
      <c r="BJ343" s="2" t="n">
        <v>9.65</v>
      </c>
      <c r="BK343" s="2" t="n">
        <v>0</v>
      </c>
      <c r="BL343" s="2" t="n">
        <v>29.8</v>
      </c>
      <c r="BM343" s="2" t="n">
        <v>9.65</v>
      </c>
      <c r="BN343" s="2" t="n">
        <v>0</v>
      </c>
      <c r="BO343" s="2" t="n">
        <v>36.05</v>
      </c>
      <c r="BP343" s="2" t="n">
        <v>9.65</v>
      </c>
      <c r="BQ343" s="2" t="n">
        <v>0</v>
      </c>
      <c r="BR343" s="2" t="n">
        <v>40.96</v>
      </c>
      <c r="BS343" s="2" t="n">
        <v>9.65</v>
      </c>
      <c r="BT343" s="2" t="n">
        <v>0</v>
      </c>
      <c r="BU343" s="2" t="n">
        <v>46.13</v>
      </c>
      <c r="BV343" s="2" t="n">
        <v>9.65</v>
      </c>
      <c r="BW343" s="2" t="n">
        <v>0</v>
      </c>
      <c r="BX343" s="2" t="n">
        <v>52.15</v>
      </c>
      <c r="BY343" s="2" t="n">
        <v>9.65</v>
      </c>
      <c r="BZ343" s="2" t="n">
        <v>0</v>
      </c>
      <c r="CA343" s="2" t="n">
        <v>58.09</v>
      </c>
      <c r="CB343" s="2" t="n">
        <v>9.65</v>
      </c>
      <c r="CC343" s="2" t="n">
        <v>0</v>
      </c>
      <c r="CD343" s="2" t="n">
        <v>64.66</v>
      </c>
      <c r="CE343" s="2" t="n">
        <v>9.65</v>
      </c>
      <c r="CF343" s="2" t="n">
        <v>0</v>
      </c>
      <c r="CG343" s="2" t="n">
        <v>70.45</v>
      </c>
      <c r="CH343" s="2" t="n">
        <v>9.65</v>
      </c>
      <c r="CI343" s="2" t="n">
        <v>0</v>
      </c>
      <c r="CJ343" s="2" t="n">
        <v>76.94</v>
      </c>
      <c r="CK343" s="2" t="n">
        <v>9.65</v>
      </c>
      <c r="CL343" s="2" t="n">
        <v>0</v>
      </c>
      <c r="CM343" s="2" t="n">
        <v>82.63</v>
      </c>
      <c r="CN343" s="2" t="n">
        <v>9.65</v>
      </c>
      <c r="CO343" s="2" t="n">
        <v>0</v>
      </c>
      <c r="CP343" s="2" t="n">
        <v>88.36</v>
      </c>
      <c r="CQ343" s="2" t="n">
        <v>9.65</v>
      </c>
      <c r="CR343" s="2" t="n">
        <v>0</v>
      </c>
      <c r="CS343" s="2" t="n">
        <v>93.31</v>
      </c>
      <c r="CT343" s="2" t="n">
        <v>9.65</v>
      </c>
      <c r="CU343" s="2" t="n">
        <v>0</v>
      </c>
      <c r="CV343" s="2" t="n">
        <v>96.62</v>
      </c>
      <c r="CW343" s="2" t="n">
        <v>9.65</v>
      </c>
      <c r="CX343" s="2" t="n">
        <v>0</v>
      </c>
      <c r="CY343" s="2" t="n">
        <v>99.08</v>
      </c>
      <c r="CZ343" s="2" t="n">
        <v>9.65</v>
      </c>
      <c r="DA343" s="2" t="n">
        <v>0</v>
      </c>
      <c r="DB343" s="2" t="n">
        <v>100</v>
      </c>
      <c r="DC343" s="2" t="n">
        <v>9.65</v>
      </c>
      <c r="DD343" s="2" t="n">
        <v>0</v>
      </c>
      <c r="DE343" s="2" t="n">
        <v>100</v>
      </c>
      <c r="DF343" s="2" t="n">
        <v>9.65</v>
      </c>
      <c r="DG343" s="2" t="n">
        <v>0</v>
      </c>
      <c r="DH343" s="2" t="n">
        <v>100</v>
      </c>
      <c r="DI343" s="2" t="n">
        <v>9.65</v>
      </c>
      <c r="DJ343" s="2" t="n">
        <v>0</v>
      </c>
      <c r="DK343" s="2" t="n">
        <v>100</v>
      </c>
      <c r="DL343" s="2" t="n">
        <v>9.65</v>
      </c>
      <c r="DM343" s="2" t="n">
        <v>0</v>
      </c>
      <c r="DN343" s="2" t="n">
        <v>100</v>
      </c>
      <c r="DO343" s="2" t="n">
        <v>9.65</v>
      </c>
      <c r="DP343" s="2" t="n">
        <v>0</v>
      </c>
      <c r="DQ343" s="2" t="n">
        <v>100</v>
      </c>
      <c r="DR343" s="2" t="n">
        <v>9.65</v>
      </c>
      <c r="DS343" s="2" t="n">
        <v>0</v>
      </c>
      <c r="DT343" s="2" t="n">
        <v>100</v>
      </c>
      <c r="DU343" s="2" t="n">
        <v>9.65</v>
      </c>
      <c r="DV343" s="2" t="n">
        <v>0</v>
      </c>
      <c r="DW343" s="2" t="n">
        <v>100</v>
      </c>
      <c r="DX343" s="2" t="n">
        <v>9.65</v>
      </c>
      <c r="DY343" s="2" t="n">
        <v>0</v>
      </c>
      <c r="DZ343" s="2" t="n">
        <v>100</v>
      </c>
      <c r="EA343" s="2" t="n">
        <v>9.65</v>
      </c>
      <c r="EB343" s="2" t="n">
        <v>0</v>
      </c>
      <c r="EC343" s="2" t="n">
        <v>100</v>
      </c>
      <c r="ED343" s="2" t="n">
        <v>9.65</v>
      </c>
      <c r="EE343" s="2" t="n">
        <v>0</v>
      </c>
      <c r="EF343" s="2" t="n">
        <v>100</v>
      </c>
      <c r="EG343" s="2" t="n">
        <v>9.65</v>
      </c>
      <c r="EH343" s="2" t="n">
        <v>0</v>
      </c>
      <c r="EI343" s="2" t="n">
        <v>100</v>
      </c>
      <c r="EJ343" s="2" t="n">
        <v>9.65</v>
      </c>
      <c r="EK343" s="2" t="n">
        <v>0</v>
      </c>
      <c r="EL343" s="2" t="n">
        <v>100</v>
      </c>
      <c r="EM343" s="2" t="n">
        <v>9.65</v>
      </c>
      <c r="EN343" s="2" t="n">
        <v>0</v>
      </c>
      <c r="EO343" s="2" t="n">
        <v>100</v>
      </c>
      <c r="EP343" s="2" t="n">
        <v>9.65</v>
      </c>
      <c r="EQ343" s="2" t="n">
        <v>0</v>
      </c>
      <c r="ER343" s="2" t="n">
        <v>100</v>
      </c>
      <c r="ES343" s="2" t="n">
        <v>9.65</v>
      </c>
    </row>
    <row r="344">
      <c r="A344" s="2" t="n">
        <v>3</v>
      </c>
      <c r="B344" s="2" t="inlineStr">
        <is>
          <t>17.01.04</t>
        </is>
      </c>
      <c r="C344" s="2" t="inlineStr">
        <is>
          <t>Formas para lajes nervuradas - pé- direito acima de 3,49 até 5,99 - Térreo e 6º Pavto Pilotis</t>
        </is>
      </c>
      <c r="D344" s="2" t="inlineStr">
        <is>
          <t>15/06/2026</t>
        </is>
      </c>
      <c r="E344" s="2" t="inlineStr">
        <is>
          <t>11/02/2028</t>
        </is>
      </c>
      <c r="F344" s="2" t="n">
        <v>714869.7558999999</v>
      </c>
      <c r="G344" s="2" t="n">
        <v>0</v>
      </c>
      <c r="H344" s="2" t="n">
        <v>714869.7558999999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0</v>
      </c>
      <c r="AK344" s="2" t="n">
        <v>0</v>
      </c>
      <c r="AL344" s="2" t="n">
        <v>0</v>
      </c>
      <c r="AM344" s="2" t="n">
        <v>0</v>
      </c>
      <c r="AN344" s="2" t="n">
        <v>0</v>
      </c>
      <c r="AO344" s="2" t="n">
        <v>0</v>
      </c>
      <c r="AP344" s="2" t="n">
        <v>0</v>
      </c>
      <c r="AQ344" s="2" t="n">
        <v>0</v>
      </c>
      <c r="AR344" s="2" t="n">
        <v>0</v>
      </c>
      <c r="AS344" s="2" t="n">
        <v>0</v>
      </c>
      <c r="AT344" s="2" t="n">
        <v>0.8100000000000001</v>
      </c>
      <c r="AU344" s="2" t="n">
        <v>0.7</v>
      </c>
      <c r="AV344" s="2" t="n">
        <v>0</v>
      </c>
      <c r="AW344" s="2" t="n">
        <v>2.36</v>
      </c>
      <c r="AX344" s="2" t="n">
        <v>3.16</v>
      </c>
      <c r="AY344" s="2" t="n">
        <v>0</v>
      </c>
      <c r="AZ344" s="2" t="n">
        <v>9.75</v>
      </c>
      <c r="BA344" s="2" t="n">
        <v>8.07</v>
      </c>
      <c r="BB344" s="2" t="n">
        <v>0</v>
      </c>
      <c r="BC344" s="2" t="n">
        <v>14.82</v>
      </c>
      <c r="BD344" s="2" t="n">
        <v>9.65</v>
      </c>
      <c r="BE344" s="2" t="n">
        <v>0</v>
      </c>
      <c r="BF344" s="2" t="n">
        <v>20.19</v>
      </c>
      <c r="BG344" s="2" t="n">
        <v>9.65</v>
      </c>
      <c r="BH344" s="2" t="n">
        <v>0</v>
      </c>
      <c r="BI344" s="2" t="n">
        <v>25.29</v>
      </c>
      <c r="BJ344" s="2" t="n">
        <v>9.65</v>
      </c>
      <c r="BK344" s="2" t="n">
        <v>0</v>
      </c>
      <c r="BL344" s="2" t="n">
        <v>29.8</v>
      </c>
      <c r="BM344" s="2" t="n">
        <v>9.65</v>
      </c>
      <c r="BN344" s="2" t="n">
        <v>0</v>
      </c>
      <c r="BO344" s="2" t="n">
        <v>36.05</v>
      </c>
      <c r="BP344" s="2" t="n">
        <v>9.65</v>
      </c>
      <c r="BQ344" s="2" t="n">
        <v>0</v>
      </c>
      <c r="BR344" s="2" t="n">
        <v>40.96</v>
      </c>
      <c r="BS344" s="2" t="n">
        <v>9.65</v>
      </c>
      <c r="BT344" s="2" t="n">
        <v>0</v>
      </c>
      <c r="BU344" s="2" t="n">
        <v>46.13</v>
      </c>
      <c r="BV344" s="2" t="n">
        <v>9.65</v>
      </c>
      <c r="BW344" s="2" t="n">
        <v>0</v>
      </c>
      <c r="BX344" s="2" t="n">
        <v>52.15</v>
      </c>
      <c r="BY344" s="2" t="n">
        <v>9.65</v>
      </c>
      <c r="BZ344" s="2" t="n">
        <v>0</v>
      </c>
      <c r="CA344" s="2" t="n">
        <v>58.09</v>
      </c>
      <c r="CB344" s="2" t="n">
        <v>9.65</v>
      </c>
      <c r="CC344" s="2" t="n">
        <v>0</v>
      </c>
      <c r="CD344" s="2" t="n">
        <v>64.66</v>
      </c>
      <c r="CE344" s="2" t="n">
        <v>9.65</v>
      </c>
      <c r="CF344" s="2" t="n">
        <v>0</v>
      </c>
      <c r="CG344" s="2" t="n">
        <v>70.45</v>
      </c>
      <c r="CH344" s="2" t="n">
        <v>9.65</v>
      </c>
      <c r="CI344" s="2" t="n">
        <v>0</v>
      </c>
      <c r="CJ344" s="2" t="n">
        <v>76.94</v>
      </c>
      <c r="CK344" s="2" t="n">
        <v>9.65</v>
      </c>
      <c r="CL344" s="2" t="n">
        <v>0</v>
      </c>
      <c r="CM344" s="2" t="n">
        <v>82.63</v>
      </c>
      <c r="CN344" s="2" t="n">
        <v>9.65</v>
      </c>
      <c r="CO344" s="2" t="n">
        <v>0</v>
      </c>
      <c r="CP344" s="2" t="n">
        <v>88.36</v>
      </c>
      <c r="CQ344" s="2" t="n">
        <v>9.65</v>
      </c>
      <c r="CR344" s="2" t="n">
        <v>0</v>
      </c>
      <c r="CS344" s="2" t="n">
        <v>93.31</v>
      </c>
      <c r="CT344" s="2" t="n">
        <v>9.65</v>
      </c>
      <c r="CU344" s="2" t="n">
        <v>0</v>
      </c>
      <c r="CV344" s="2" t="n">
        <v>96.62</v>
      </c>
      <c r="CW344" s="2" t="n">
        <v>9.65</v>
      </c>
      <c r="CX344" s="2" t="n">
        <v>0</v>
      </c>
      <c r="CY344" s="2" t="n">
        <v>99.08</v>
      </c>
      <c r="CZ344" s="2" t="n">
        <v>9.65</v>
      </c>
      <c r="DA344" s="2" t="n">
        <v>0</v>
      </c>
      <c r="DB344" s="2" t="n">
        <v>100</v>
      </c>
      <c r="DC344" s="2" t="n">
        <v>9.65</v>
      </c>
      <c r="DD344" s="2" t="n">
        <v>0</v>
      </c>
      <c r="DE344" s="2" t="n">
        <v>100</v>
      </c>
      <c r="DF344" s="2" t="n">
        <v>9.65</v>
      </c>
      <c r="DG344" s="2" t="n">
        <v>0</v>
      </c>
      <c r="DH344" s="2" t="n">
        <v>100</v>
      </c>
      <c r="DI344" s="2" t="n">
        <v>9.65</v>
      </c>
      <c r="DJ344" s="2" t="n">
        <v>0</v>
      </c>
      <c r="DK344" s="2" t="n">
        <v>100</v>
      </c>
      <c r="DL344" s="2" t="n">
        <v>9.65</v>
      </c>
      <c r="DM344" s="2" t="n">
        <v>0</v>
      </c>
      <c r="DN344" s="2" t="n">
        <v>100</v>
      </c>
      <c r="DO344" s="2" t="n">
        <v>9.65</v>
      </c>
      <c r="DP344" s="2" t="n">
        <v>0</v>
      </c>
      <c r="DQ344" s="2" t="n">
        <v>100</v>
      </c>
      <c r="DR344" s="2" t="n">
        <v>9.65</v>
      </c>
      <c r="DS344" s="2" t="n">
        <v>0</v>
      </c>
      <c r="DT344" s="2" t="n">
        <v>100</v>
      </c>
      <c r="DU344" s="2" t="n">
        <v>9.65</v>
      </c>
      <c r="DV344" s="2" t="n">
        <v>0</v>
      </c>
      <c r="DW344" s="2" t="n">
        <v>100</v>
      </c>
      <c r="DX344" s="2" t="n">
        <v>9.65</v>
      </c>
      <c r="DY344" s="2" t="n">
        <v>0</v>
      </c>
      <c r="DZ344" s="2" t="n">
        <v>100</v>
      </c>
      <c r="EA344" s="2" t="n">
        <v>9.65</v>
      </c>
      <c r="EB344" s="2" t="n">
        <v>0</v>
      </c>
      <c r="EC344" s="2" t="n">
        <v>100</v>
      </c>
      <c r="ED344" s="2" t="n">
        <v>9.65</v>
      </c>
      <c r="EE344" s="2" t="n">
        <v>0</v>
      </c>
      <c r="EF344" s="2" t="n">
        <v>100</v>
      </c>
      <c r="EG344" s="2" t="n">
        <v>9.65</v>
      </c>
      <c r="EH344" s="2" t="n">
        <v>0</v>
      </c>
      <c r="EI344" s="2" t="n">
        <v>100</v>
      </c>
      <c r="EJ344" s="2" t="n">
        <v>9.65</v>
      </c>
      <c r="EK344" s="2" t="n">
        <v>0</v>
      </c>
      <c r="EL344" s="2" t="n">
        <v>100</v>
      </c>
      <c r="EM344" s="2" t="n">
        <v>9.65</v>
      </c>
      <c r="EN344" s="2" t="n">
        <v>0</v>
      </c>
      <c r="EO344" s="2" t="n">
        <v>100</v>
      </c>
      <c r="EP344" s="2" t="n">
        <v>9.65</v>
      </c>
      <c r="EQ344" s="2" t="n">
        <v>0</v>
      </c>
      <c r="ER344" s="2" t="n">
        <v>100</v>
      </c>
      <c r="ES344" s="2" t="n">
        <v>9.65</v>
      </c>
    </row>
    <row r="345">
      <c r="A345" s="2" t="n">
        <v>3</v>
      </c>
      <c r="B345" s="2" t="inlineStr">
        <is>
          <t>17.01.05</t>
        </is>
      </c>
      <c r="C345" s="2" t="inlineStr">
        <is>
          <t>&lt;html&gt;Armadura Ca-50 adquirido cortado e dobrado, montagem e posicionamento no canteiro -&lt;b&gt; considerado taxa de 98 kg/m³&lt;/b&gt;&lt;/html&gt;</t>
        </is>
      </c>
      <c r="D345" s="2" t="inlineStr">
        <is>
          <t>15/06/2026</t>
        </is>
      </c>
      <c r="E345" s="2" t="inlineStr">
        <is>
          <t>11/02/2028</t>
        </is>
      </c>
      <c r="F345" s="2" t="n">
        <v>9140766.74787866</v>
      </c>
      <c r="G345" s="2" t="n">
        <v>0</v>
      </c>
      <c r="H345" s="2" t="n">
        <v>9140766.74787866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0</v>
      </c>
      <c r="AK345" s="2" t="n">
        <v>0</v>
      </c>
      <c r="AL345" s="2" t="n">
        <v>0</v>
      </c>
      <c r="AM345" s="2" t="n">
        <v>0</v>
      </c>
      <c r="AN345" s="2" t="n">
        <v>0</v>
      </c>
      <c r="AO345" s="2" t="n">
        <v>0</v>
      </c>
      <c r="AP345" s="2" t="n">
        <v>0</v>
      </c>
      <c r="AQ345" s="2" t="n">
        <v>0</v>
      </c>
      <c r="AR345" s="2" t="n">
        <v>0</v>
      </c>
      <c r="AS345" s="2" t="n">
        <v>0</v>
      </c>
      <c r="AT345" s="2" t="n">
        <v>0.8100000000000001</v>
      </c>
      <c r="AU345" s="2" t="n">
        <v>0.7</v>
      </c>
      <c r="AV345" s="2" t="n">
        <v>0</v>
      </c>
      <c r="AW345" s="2" t="n">
        <v>2.36</v>
      </c>
      <c r="AX345" s="2" t="n">
        <v>3.16</v>
      </c>
      <c r="AY345" s="2" t="n">
        <v>0</v>
      </c>
      <c r="AZ345" s="2" t="n">
        <v>9.75</v>
      </c>
      <c r="BA345" s="2" t="n">
        <v>8.07</v>
      </c>
      <c r="BB345" s="2" t="n">
        <v>0</v>
      </c>
      <c r="BC345" s="2" t="n">
        <v>14.82</v>
      </c>
      <c r="BD345" s="2" t="n">
        <v>9.65</v>
      </c>
      <c r="BE345" s="2" t="n">
        <v>0</v>
      </c>
      <c r="BF345" s="2" t="n">
        <v>20.19</v>
      </c>
      <c r="BG345" s="2" t="n">
        <v>9.65</v>
      </c>
      <c r="BH345" s="2" t="n">
        <v>0</v>
      </c>
      <c r="BI345" s="2" t="n">
        <v>25.29</v>
      </c>
      <c r="BJ345" s="2" t="n">
        <v>9.65</v>
      </c>
      <c r="BK345" s="2" t="n">
        <v>0</v>
      </c>
      <c r="BL345" s="2" t="n">
        <v>29.8</v>
      </c>
      <c r="BM345" s="2" t="n">
        <v>9.65</v>
      </c>
      <c r="BN345" s="2" t="n">
        <v>0</v>
      </c>
      <c r="BO345" s="2" t="n">
        <v>36.05</v>
      </c>
      <c r="BP345" s="2" t="n">
        <v>9.65</v>
      </c>
      <c r="BQ345" s="2" t="n">
        <v>0</v>
      </c>
      <c r="BR345" s="2" t="n">
        <v>40.96</v>
      </c>
      <c r="BS345" s="2" t="n">
        <v>9.65</v>
      </c>
      <c r="BT345" s="2" t="n">
        <v>0</v>
      </c>
      <c r="BU345" s="2" t="n">
        <v>46.13</v>
      </c>
      <c r="BV345" s="2" t="n">
        <v>9.65</v>
      </c>
      <c r="BW345" s="2" t="n">
        <v>0</v>
      </c>
      <c r="BX345" s="2" t="n">
        <v>52.15</v>
      </c>
      <c r="BY345" s="2" t="n">
        <v>9.65</v>
      </c>
      <c r="BZ345" s="2" t="n">
        <v>0</v>
      </c>
      <c r="CA345" s="2" t="n">
        <v>58.09</v>
      </c>
      <c r="CB345" s="2" t="n">
        <v>9.65</v>
      </c>
      <c r="CC345" s="2" t="n">
        <v>0</v>
      </c>
      <c r="CD345" s="2" t="n">
        <v>64.66</v>
      </c>
      <c r="CE345" s="2" t="n">
        <v>9.65</v>
      </c>
      <c r="CF345" s="2" t="n">
        <v>0</v>
      </c>
      <c r="CG345" s="2" t="n">
        <v>70.45</v>
      </c>
      <c r="CH345" s="2" t="n">
        <v>9.65</v>
      </c>
      <c r="CI345" s="2" t="n">
        <v>0</v>
      </c>
      <c r="CJ345" s="2" t="n">
        <v>76.94</v>
      </c>
      <c r="CK345" s="2" t="n">
        <v>9.65</v>
      </c>
      <c r="CL345" s="2" t="n">
        <v>0</v>
      </c>
      <c r="CM345" s="2" t="n">
        <v>82.63</v>
      </c>
      <c r="CN345" s="2" t="n">
        <v>9.65</v>
      </c>
      <c r="CO345" s="2" t="n">
        <v>0</v>
      </c>
      <c r="CP345" s="2" t="n">
        <v>88.36</v>
      </c>
      <c r="CQ345" s="2" t="n">
        <v>9.65</v>
      </c>
      <c r="CR345" s="2" t="n">
        <v>0</v>
      </c>
      <c r="CS345" s="2" t="n">
        <v>93.31</v>
      </c>
      <c r="CT345" s="2" t="n">
        <v>9.65</v>
      </c>
      <c r="CU345" s="2" t="n">
        <v>0</v>
      </c>
      <c r="CV345" s="2" t="n">
        <v>96.62</v>
      </c>
      <c r="CW345" s="2" t="n">
        <v>9.65</v>
      </c>
      <c r="CX345" s="2" t="n">
        <v>0</v>
      </c>
      <c r="CY345" s="2" t="n">
        <v>99.08</v>
      </c>
      <c r="CZ345" s="2" t="n">
        <v>9.65</v>
      </c>
      <c r="DA345" s="2" t="n">
        <v>0</v>
      </c>
      <c r="DB345" s="2" t="n">
        <v>100</v>
      </c>
      <c r="DC345" s="2" t="n">
        <v>9.65</v>
      </c>
      <c r="DD345" s="2" t="n">
        <v>0</v>
      </c>
      <c r="DE345" s="2" t="n">
        <v>100</v>
      </c>
      <c r="DF345" s="2" t="n">
        <v>9.65</v>
      </c>
      <c r="DG345" s="2" t="n">
        <v>0</v>
      </c>
      <c r="DH345" s="2" t="n">
        <v>100</v>
      </c>
      <c r="DI345" s="2" t="n">
        <v>9.65</v>
      </c>
      <c r="DJ345" s="2" t="n">
        <v>0</v>
      </c>
      <c r="DK345" s="2" t="n">
        <v>100</v>
      </c>
      <c r="DL345" s="2" t="n">
        <v>9.65</v>
      </c>
      <c r="DM345" s="2" t="n">
        <v>0</v>
      </c>
      <c r="DN345" s="2" t="n">
        <v>100</v>
      </c>
      <c r="DO345" s="2" t="n">
        <v>9.65</v>
      </c>
      <c r="DP345" s="2" t="n">
        <v>0</v>
      </c>
      <c r="DQ345" s="2" t="n">
        <v>100</v>
      </c>
      <c r="DR345" s="2" t="n">
        <v>9.65</v>
      </c>
      <c r="DS345" s="2" t="n">
        <v>0</v>
      </c>
      <c r="DT345" s="2" t="n">
        <v>100</v>
      </c>
      <c r="DU345" s="2" t="n">
        <v>9.65</v>
      </c>
      <c r="DV345" s="2" t="n">
        <v>0</v>
      </c>
      <c r="DW345" s="2" t="n">
        <v>100</v>
      </c>
      <c r="DX345" s="2" t="n">
        <v>9.65</v>
      </c>
      <c r="DY345" s="2" t="n">
        <v>0</v>
      </c>
      <c r="DZ345" s="2" t="n">
        <v>100</v>
      </c>
      <c r="EA345" s="2" t="n">
        <v>9.65</v>
      </c>
      <c r="EB345" s="2" t="n">
        <v>0</v>
      </c>
      <c r="EC345" s="2" t="n">
        <v>100</v>
      </c>
      <c r="ED345" s="2" t="n">
        <v>9.65</v>
      </c>
      <c r="EE345" s="2" t="n">
        <v>0</v>
      </c>
      <c r="EF345" s="2" t="n">
        <v>100</v>
      </c>
      <c r="EG345" s="2" t="n">
        <v>9.65</v>
      </c>
      <c r="EH345" s="2" t="n">
        <v>0</v>
      </c>
      <c r="EI345" s="2" t="n">
        <v>100</v>
      </c>
      <c r="EJ345" s="2" t="n">
        <v>9.65</v>
      </c>
      <c r="EK345" s="2" t="n">
        <v>0</v>
      </c>
      <c r="EL345" s="2" t="n">
        <v>100</v>
      </c>
      <c r="EM345" s="2" t="n">
        <v>9.65</v>
      </c>
      <c r="EN345" s="2" t="n">
        <v>0</v>
      </c>
      <c r="EO345" s="2" t="n">
        <v>100</v>
      </c>
      <c r="EP345" s="2" t="n">
        <v>9.65</v>
      </c>
      <c r="EQ345" s="2" t="n">
        <v>0</v>
      </c>
      <c r="ER345" s="2" t="n">
        <v>100</v>
      </c>
      <c r="ES345" s="2" t="n">
        <v>9.65</v>
      </c>
    </row>
    <row r="346">
      <c r="A346" s="2" t="n">
        <v>3</v>
      </c>
      <c r="B346" s="2" t="inlineStr">
        <is>
          <t>17.01.06</t>
        </is>
      </c>
      <c r="C346" s="2" t="inlineStr">
        <is>
          <t>Armadura Ca-60 adquirido cortado e dobrado, montagem e posicionamento no canteiro</t>
        </is>
      </c>
      <c r="D346" s="2" t="inlineStr">
        <is>
          <t>15/06/2026</t>
        </is>
      </c>
      <c r="E346" s="2" t="inlineStr">
        <is>
          <t>11/02/2028</t>
        </is>
      </c>
      <c r="F346" s="2" t="n">
        <v>490823.3730942251</v>
      </c>
      <c r="G346" s="2" t="n">
        <v>0</v>
      </c>
      <c r="H346" s="2" t="n">
        <v>490823.3730942251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0</v>
      </c>
      <c r="AK346" s="2" t="n">
        <v>0</v>
      </c>
      <c r="AL346" s="2" t="n">
        <v>0</v>
      </c>
      <c r="AM346" s="2" t="n">
        <v>0</v>
      </c>
      <c r="AN346" s="2" t="n">
        <v>0</v>
      </c>
      <c r="AO346" s="2" t="n">
        <v>0</v>
      </c>
      <c r="AP346" s="2" t="n">
        <v>0</v>
      </c>
      <c r="AQ346" s="2" t="n">
        <v>0</v>
      </c>
      <c r="AR346" s="2" t="n">
        <v>0</v>
      </c>
      <c r="AS346" s="2" t="n">
        <v>0</v>
      </c>
      <c r="AT346" s="2" t="n">
        <v>0.8100000000000001</v>
      </c>
      <c r="AU346" s="2" t="n">
        <v>0.7</v>
      </c>
      <c r="AV346" s="2" t="n">
        <v>0</v>
      </c>
      <c r="AW346" s="2" t="n">
        <v>2.36</v>
      </c>
      <c r="AX346" s="2" t="n">
        <v>3.16</v>
      </c>
      <c r="AY346" s="2" t="n">
        <v>0</v>
      </c>
      <c r="AZ346" s="2" t="n">
        <v>9.75</v>
      </c>
      <c r="BA346" s="2" t="n">
        <v>8.07</v>
      </c>
      <c r="BB346" s="2" t="n">
        <v>0</v>
      </c>
      <c r="BC346" s="2" t="n">
        <v>14.82</v>
      </c>
      <c r="BD346" s="2" t="n">
        <v>9.65</v>
      </c>
      <c r="BE346" s="2" t="n">
        <v>0</v>
      </c>
      <c r="BF346" s="2" t="n">
        <v>20.19</v>
      </c>
      <c r="BG346" s="2" t="n">
        <v>9.65</v>
      </c>
      <c r="BH346" s="2" t="n">
        <v>0</v>
      </c>
      <c r="BI346" s="2" t="n">
        <v>25.29</v>
      </c>
      <c r="BJ346" s="2" t="n">
        <v>9.65</v>
      </c>
      <c r="BK346" s="2" t="n">
        <v>0</v>
      </c>
      <c r="BL346" s="2" t="n">
        <v>29.8</v>
      </c>
      <c r="BM346" s="2" t="n">
        <v>9.65</v>
      </c>
      <c r="BN346" s="2" t="n">
        <v>0</v>
      </c>
      <c r="BO346" s="2" t="n">
        <v>36.05</v>
      </c>
      <c r="BP346" s="2" t="n">
        <v>9.65</v>
      </c>
      <c r="BQ346" s="2" t="n">
        <v>0</v>
      </c>
      <c r="BR346" s="2" t="n">
        <v>40.96</v>
      </c>
      <c r="BS346" s="2" t="n">
        <v>9.65</v>
      </c>
      <c r="BT346" s="2" t="n">
        <v>0</v>
      </c>
      <c r="BU346" s="2" t="n">
        <v>46.13</v>
      </c>
      <c r="BV346" s="2" t="n">
        <v>9.65</v>
      </c>
      <c r="BW346" s="2" t="n">
        <v>0</v>
      </c>
      <c r="BX346" s="2" t="n">
        <v>52.15</v>
      </c>
      <c r="BY346" s="2" t="n">
        <v>9.65</v>
      </c>
      <c r="BZ346" s="2" t="n">
        <v>0</v>
      </c>
      <c r="CA346" s="2" t="n">
        <v>58.09</v>
      </c>
      <c r="CB346" s="2" t="n">
        <v>9.65</v>
      </c>
      <c r="CC346" s="2" t="n">
        <v>0</v>
      </c>
      <c r="CD346" s="2" t="n">
        <v>64.66</v>
      </c>
      <c r="CE346" s="2" t="n">
        <v>9.65</v>
      </c>
      <c r="CF346" s="2" t="n">
        <v>0</v>
      </c>
      <c r="CG346" s="2" t="n">
        <v>70.45</v>
      </c>
      <c r="CH346" s="2" t="n">
        <v>9.65</v>
      </c>
      <c r="CI346" s="2" t="n">
        <v>0</v>
      </c>
      <c r="CJ346" s="2" t="n">
        <v>76.94</v>
      </c>
      <c r="CK346" s="2" t="n">
        <v>9.65</v>
      </c>
      <c r="CL346" s="2" t="n">
        <v>0</v>
      </c>
      <c r="CM346" s="2" t="n">
        <v>82.63</v>
      </c>
      <c r="CN346" s="2" t="n">
        <v>9.65</v>
      </c>
      <c r="CO346" s="2" t="n">
        <v>0</v>
      </c>
      <c r="CP346" s="2" t="n">
        <v>88.36</v>
      </c>
      <c r="CQ346" s="2" t="n">
        <v>9.65</v>
      </c>
      <c r="CR346" s="2" t="n">
        <v>0</v>
      </c>
      <c r="CS346" s="2" t="n">
        <v>93.31</v>
      </c>
      <c r="CT346" s="2" t="n">
        <v>9.65</v>
      </c>
      <c r="CU346" s="2" t="n">
        <v>0</v>
      </c>
      <c r="CV346" s="2" t="n">
        <v>96.62</v>
      </c>
      <c r="CW346" s="2" t="n">
        <v>9.65</v>
      </c>
      <c r="CX346" s="2" t="n">
        <v>0</v>
      </c>
      <c r="CY346" s="2" t="n">
        <v>99.08</v>
      </c>
      <c r="CZ346" s="2" t="n">
        <v>9.65</v>
      </c>
      <c r="DA346" s="2" t="n">
        <v>0</v>
      </c>
      <c r="DB346" s="2" t="n">
        <v>100</v>
      </c>
      <c r="DC346" s="2" t="n">
        <v>9.65</v>
      </c>
      <c r="DD346" s="2" t="n">
        <v>0</v>
      </c>
      <c r="DE346" s="2" t="n">
        <v>100</v>
      </c>
      <c r="DF346" s="2" t="n">
        <v>9.65</v>
      </c>
      <c r="DG346" s="2" t="n">
        <v>0</v>
      </c>
      <c r="DH346" s="2" t="n">
        <v>100</v>
      </c>
      <c r="DI346" s="2" t="n">
        <v>9.65</v>
      </c>
      <c r="DJ346" s="2" t="n">
        <v>0</v>
      </c>
      <c r="DK346" s="2" t="n">
        <v>100</v>
      </c>
      <c r="DL346" s="2" t="n">
        <v>9.65</v>
      </c>
      <c r="DM346" s="2" t="n">
        <v>0</v>
      </c>
      <c r="DN346" s="2" t="n">
        <v>100</v>
      </c>
      <c r="DO346" s="2" t="n">
        <v>9.65</v>
      </c>
      <c r="DP346" s="2" t="n">
        <v>0</v>
      </c>
      <c r="DQ346" s="2" t="n">
        <v>100</v>
      </c>
      <c r="DR346" s="2" t="n">
        <v>9.65</v>
      </c>
      <c r="DS346" s="2" t="n">
        <v>0</v>
      </c>
      <c r="DT346" s="2" t="n">
        <v>100</v>
      </c>
      <c r="DU346" s="2" t="n">
        <v>9.65</v>
      </c>
      <c r="DV346" s="2" t="n">
        <v>0</v>
      </c>
      <c r="DW346" s="2" t="n">
        <v>100</v>
      </c>
      <c r="DX346" s="2" t="n">
        <v>9.65</v>
      </c>
      <c r="DY346" s="2" t="n">
        <v>0</v>
      </c>
      <c r="DZ346" s="2" t="n">
        <v>100</v>
      </c>
      <c r="EA346" s="2" t="n">
        <v>9.65</v>
      </c>
      <c r="EB346" s="2" t="n">
        <v>0</v>
      </c>
      <c r="EC346" s="2" t="n">
        <v>100</v>
      </c>
      <c r="ED346" s="2" t="n">
        <v>9.65</v>
      </c>
      <c r="EE346" s="2" t="n">
        <v>0</v>
      </c>
      <c r="EF346" s="2" t="n">
        <v>100</v>
      </c>
      <c r="EG346" s="2" t="n">
        <v>9.65</v>
      </c>
      <c r="EH346" s="2" t="n">
        <v>0</v>
      </c>
      <c r="EI346" s="2" t="n">
        <v>100</v>
      </c>
      <c r="EJ346" s="2" t="n">
        <v>9.65</v>
      </c>
      <c r="EK346" s="2" t="n">
        <v>0</v>
      </c>
      <c r="EL346" s="2" t="n">
        <v>100</v>
      </c>
      <c r="EM346" s="2" t="n">
        <v>9.65</v>
      </c>
      <c r="EN346" s="2" t="n">
        <v>0</v>
      </c>
      <c r="EO346" s="2" t="n">
        <v>100</v>
      </c>
      <c r="EP346" s="2" t="n">
        <v>9.65</v>
      </c>
      <c r="EQ346" s="2" t="n">
        <v>0</v>
      </c>
      <c r="ER346" s="2" t="n">
        <v>100</v>
      </c>
      <c r="ES346" s="2" t="n">
        <v>9.65</v>
      </c>
    </row>
    <row r="347">
      <c r="A347" s="2" t="n">
        <v>3</v>
      </c>
      <c r="B347" s="2" t="inlineStr">
        <is>
          <t>17.01.07</t>
        </is>
      </c>
      <c r="C347" s="2" t="inlineStr">
        <is>
          <t>Protensão - Fornecimento, montagem e tensionamento</t>
        </is>
      </c>
      <c r="D347" s="2" t="inlineStr">
        <is>
          <t>15/06/2026</t>
        </is>
      </c>
      <c r="E347" s="2" t="inlineStr">
        <is>
          <t>11/02/2028</t>
        </is>
      </c>
      <c r="F347" s="2" t="n">
        <v>951785.64</v>
      </c>
      <c r="G347" s="2" t="n">
        <v>0</v>
      </c>
      <c r="H347" s="2" t="n">
        <v>951785.64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0</v>
      </c>
      <c r="AK347" s="2" t="n">
        <v>0</v>
      </c>
      <c r="AL347" s="2" t="n">
        <v>0</v>
      </c>
      <c r="AM347" s="2" t="n">
        <v>0</v>
      </c>
      <c r="AN347" s="2" t="n">
        <v>0</v>
      </c>
      <c r="AO347" s="2" t="n">
        <v>0</v>
      </c>
      <c r="AP347" s="2" t="n">
        <v>0</v>
      </c>
      <c r="AQ347" s="2" t="n">
        <v>0</v>
      </c>
      <c r="AR347" s="2" t="n">
        <v>0</v>
      </c>
      <c r="AS347" s="2" t="n">
        <v>0</v>
      </c>
      <c r="AT347" s="2" t="n">
        <v>0.8100000000000001</v>
      </c>
      <c r="AU347" s="2" t="n">
        <v>0.7</v>
      </c>
      <c r="AV347" s="2" t="n">
        <v>0</v>
      </c>
      <c r="AW347" s="2" t="n">
        <v>2.36</v>
      </c>
      <c r="AX347" s="2" t="n">
        <v>3.16</v>
      </c>
      <c r="AY347" s="2" t="n">
        <v>0</v>
      </c>
      <c r="AZ347" s="2" t="n">
        <v>9.75</v>
      </c>
      <c r="BA347" s="2" t="n">
        <v>8.07</v>
      </c>
      <c r="BB347" s="2" t="n">
        <v>0</v>
      </c>
      <c r="BC347" s="2" t="n">
        <v>14.82</v>
      </c>
      <c r="BD347" s="2" t="n">
        <v>9.65</v>
      </c>
      <c r="BE347" s="2" t="n">
        <v>0</v>
      </c>
      <c r="BF347" s="2" t="n">
        <v>20.19</v>
      </c>
      <c r="BG347" s="2" t="n">
        <v>9.65</v>
      </c>
      <c r="BH347" s="2" t="n">
        <v>0</v>
      </c>
      <c r="BI347" s="2" t="n">
        <v>25.29</v>
      </c>
      <c r="BJ347" s="2" t="n">
        <v>9.65</v>
      </c>
      <c r="BK347" s="2" t="n">
        <v>0</v>
      </c>
      <c r="BL347" s="2" t="n">
        <v>29.8</v>
      </c>
      <c r="BM347" s="2" t="n">
        <v>9.65</v>
      </c>
      <c r="BN347" s="2" t="n">
        <v>0</v>
      </c>
      <c r="BO347" s="2" t="n">
        <v>36.05</v>
      </c>
      <c r="BP347" s="2" t="n">
        <v>9.65</v>
      </c>
      <c r="BQ347" s="2" t="n">
        <v>0</v>
      </c>
      <c r="BR347" s="2" t="n">
        <v>40.96</v>
      </c>
      <c r="BS347" s="2" t="n">
        <v>9.65</v>
      </c>
      <c r="BT347" s="2" t="n">
        <v>0</v>
      </c>
      <c r="BU347" s="2" t="n">
        <v>46.13</v>
      </c>
      <c r="BV347" s="2" t="n">
        <v>9.65</v>
      </c>
      <c r="BW347" s="2" t="n">
        <v>0</v>
      </c>
      <c r="BX347" s="2" t="n">
        <v>52.15</v>
      </c>
      <c r="BY347" s="2" t="n">
        <v>9.65</v>
      </c>
      <c r="BZ347" s="2" t="n">
        <v>0</v>
      </c>
      <c r="CA347" s="2" t="n">
        <v>58.09</v>
      </c>
      <c r="CB347" s="2" t="n">
        <v>9.65</v>
      </c>
      <c r="CC347" s="2" t="n">
        <v>0</v>
      </c>
      <c r="CD347" s="2" t="n">
        <v>64.66</v>
      </c>
      <c r="CE347" s="2" t="n">
        <v>9.65</v>
      </c>
      <c r="CF347" s="2" t="n">
        <v>0</v>
      </c>
      <c r="CG347" s="2" t="n">
        <v>70.45</v>
      </c>
      <c r="CH347" s="2" t="n">
        <v>9.65</v>
      </c>
      <c r="CI347" s="2" t="n">
        <v>0</v>
      </c>
      <c r="CJ347" s="2" t="n">
        <v>76.94</v>
      </c>
      <c r="CK347" s="2" t="n">
        <v>9.65</v>
      </c>
      <c r="CL347" s="2" t="n">
        <v>0</v>
      </c>
      <c r="CM347" s="2" t="n">
        <v>82.63</v>
      </c>
      <c r="CN347" s="2" t="n">
        <v>9.65</v>
      </c>
      <c r="CO347" s="2" t="n">
        <v>0</v>
      </c>
      <c r="CP347" s="2" t="n">
        <v>88.36</v>
      </c>
      <c r="CQ347" s="2" t="n">
        <v>9.65</v>
      </c>
      <c r="CR347" s="2" t="n">
        <v>0</v>
      </c>
      <c r="CS347" s="2" t="n">
        <v>93.31</v>
      </c>
      <c r="CT347" s="2" t="n">
        <v>9.65</v>
      </c>
      <c r="CU347" s="2" t="n">
        <v>0</v>
      </c>
      <c r="CV347" s="2" t="n">
        <v>96.62</v>
      </c>
      <c r="CW347" s="2" t="n">
        <v>9.65</v>
      </c>
      <c r="CX347" s="2" t="n">
        <v>0</v>
      </c>
      <c r="CY347" s="2" t="n">
        <v>99.08</v>
      </c>
      <c r="CZ347" s="2" t="n">
        <v>9.65</v>
      </c>
      <c r="DA347" s="2" t="n">
        <v>0</v>
      </c>
      <c r="DB347" s="2" t="n">
        <v>100</v>
      </c>
      <c r="DC347" s="2" t="n">
        <v>9.65</v>
      </c>
      <c r="DD347" s="2" t="n">
        <v>0</v>
      </c>
      <c r="DE347" s="2" t="n">
        <v>100</v>
      </c>
      <c r="DF347" s="2" t="n">
        <v>9.65</v>
      </c>
      <c r="DG347" s="2" t="n">
        <v>0</v>
      </c>
      <c r="DH347" s="2" t="n">
        <v>100</v>
      </c>
      <c r="DI347" s="2" t="n">
        <v>9.65</v>
      </c>
      <c r="DJ347" s="2" t="n">
        <v>0</v>
      </c>
      <c r="DK347" s="2" t="n">
        <v>100</v>
      </c>
      <c r="DL347" s="2" t="n">
        <v>9.65</v>
      </c>
      <c r="DM347" s="2" t="n">
        <v>0</v>
      </c>
      <c r="DN347" s="2" t="n">
        <v>100</v>
      </c>
      <c r="DO347" s="2" t="n">
        <v>9.65</v>
      </c>
      <c r="DP347" s="2" t="n">
        <v>0</v>
      </c>
      <c r="DQ347" s="2" t="n">
        <v>100</v>
      </c>
      <c r="DR347" s="2" t="n">
        <v>9.65</v>
      </c>
      <c r="DS347" s="2" t="n">
        <v>0</v>
      </c>
      <c r="DT347" s="2" t="n">
        <v>100</v>
      </c>
      <c r="DU347" s="2" t="n">
        <v>9.65</v>
      </c>
      <c r="DV347" s="2" t="n">
        <v>0</v>
      </c>
      <c r="DW347" s="2" t="n">
        <v>100</v>
      </c>
      <c r="DX347" s="2" t="n">
        <v>9.65</v>
      </c>
      <c r="DY347" s="2" t="n">
        <v>0</v>
      </c>
      <c r="DZ347" s="2" t="n">
        <v>100</v>
      </c>
      <c r="EA347" s="2" t="n">
        <v>9.65</v>
      </c>
      <c r="EB347" s="2" t="n">
        <v>0</v>
      </c>
      <c r="EC347" s="2" t="n">
        <v>100</v>
      </c>
      <c r="ED347" s="2" t="n">
        <v>9.65</v>
      </c>
      <c r="EE347" s="2" t="n">
        <v>0</v>
      </c>
      <c r="EF347" s="2" t="n">
        <v>100</v>
      </c>
      <c r="EG347" s="2" t="n">
        <v>9.65</v>
      </c>
      <c r="EH347" s="2" t="n">
        <v>0</v>
      </c>
      <c r="EI347" s="2" t="n">
        <v>100</v>
      </c>
      <c r="EJ347" s="2" t="n">
        <v>9.65</v>
      </c>
      <c r="EK347" s="2" t="n">
        <v>0</v>
      </c>
      <c r="EL347" s="2" t="n">
        <v>100</v>
      </c>
      <c r="EM347" s="2" t="n">
        <v>9.65</v>
      </c>
      <c r="EN347" s="2" t="n">
        <v>0</v>
      </c>
      <c r="EO347" s="2" t="n">
        <v>100</v>
      </c>
      <c r="EP347" s="2" t="n">
        <v>9.65</v>
      </c>
      <c r="EQ347" s="2" t="n">
        <v>0</v>
      </c>
      <c r="ER347" s="2" t="n">
        <v>100</v>
      </c>
      <c r="ES347" s="2" t="n">
        <v>9.65</v>
      </c>
    </row>
    <row r="348">
      <c r="A348" s="2" t="n">
        <v>3</v>
      </c>
      <c r="B348" s="2" t="inlineStr">
        <is>
          <t>17.01.08</t>
        </is>
      </c>
      <c r="C348" s="2" t="inlineStr">
        <is>
          <t>Concreto bombeado Fck=50Mpa para superestrutura</t>
        </is>
      </c>
      <c r="D348" s="2" t="inlineStr">
        <is>
          <t>15/06/2026</t>
        </is>
      </c>
      <c r="E348" s="2" t="inlineStr">
        <is>
          <t>11/02/2028</t>
        </is>
      </c>
      <c r="F348" s="2" t="n">
        <v>3524138.964</v>
      </c>
      <c r="G348" s="2" t="n">
        <v>0</v>
      </c>
      <c r="H348" s="2" t="n">
        <v>3524138.964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0</v>
      </c>
      <c r="AK348" s="2" t="n">
        <v>0</v>
      </c>
      <c r="AL348" s="2" t="n">
        <v>0</v>
      </c>
      <c r="AM348" s="2" t="n">
        <v>0</v>
      </c>
      <c r="AN348" s="2" t="n">
        <v>0</v>
      </c>
      <c r="AO348" s="2" t="n">
        <v>0</v>
      </c>
      <c r="AP348" s="2" t="n">
        <v>0</v>
      </c>
      <c r="AQ348" s="2" t="n">
        <v>0</v>
      </c>
      <c r="AR348" s="2" t="n">
        <v>0</v>
      </c>
      <c r="AS348" s="2" t="n">
        <v>0</v>
      </c>
      <c r="AT348" s="2" t="n">
        <v>0.8100000000000001</v>
      </c>
      <c r="AU348" s="2" t="n">
        <v>0.7</v>
      </c>
      <c r="AV348" s="2" t="n">
        <v>0</v>
      </c>
      <c r="AW348" s="2" t="n">
        <v>2.36</v>
      </c>
      <c r="AX348" s="2" t="n">
        <v>3.16</v>
      </c>
      <c r="AY348" s="2" t="n">
        <v>0</v>
      </c>
      <c r="AZ348" s="2" t="n">
        <v>9.75</v>
      </c>
      <c r="BA348" s="2" t="n">
        <v>8.07</v>
      </c>
      <c r="BB348" s="2" t="n">
        <v>0</v>
      </c>
      <c r="BC348" s="2" t="n">
        <v>14.82</v>
      </c>
      <c r="BD348" s="2" t="n">
        <v>9.65</v>
      </c>
      <c r="BE348" s="2" t="n">
        <v>0</v>
      </c>
      <c r="BF348" s="2" t="n">
        <v>20.19</v>
      </c>
      <c r="BG348" s="2" t="n">
        <v>9.65</v>
      </c>
      <c r="BH348" s="2" t="n">
        <v>0</v>
      </c>
      <c r="BI348" s="2" t="n">
        <v>25.29</v>
      </c>
      <c r="BJ348" s="2" t="n">
        <v>9.65</v>
      </c>
      <c r="BK348" s="2" t="n">
        <v>0</v>
      </c>
      <c r="BL348" s="2" t="n">
        <v>29.8</v>
      </c>
      <c r="BM348" s="2" t="n">
        <v>9.65</v>
      </c>
      <c r="BN348" s="2" t="n">
        <v>0</v>
      </c>
      <c r="BO348" s="2" t="n">
        <v>36.05</v>
      </c>
      <c r="BP348" s="2" t="n">
        <v>9.65</v>
      </c>
      <c r="BQ348" s="2" t="n">
        <v>0</v>
      </c>
      <c r="BR348" s="2" t="n">
        <v>40.96</v>
      </c>
      <c r="BS348" s="2" t="n">
        <v>9.65</v>
      </c>
      <c r="BT348" s="2" t="n">
        <v>0</v>
      </c>
      <c r="BU348" s="2" t="n">
        <v>46.13</v>
      </c>
      <c r="BV348" s="2" t="n">
        <v>9.65</v>
      </c>
      <c r="BW348" s="2" t="n">
        <v>0</v>
      </c>
      <c r="BX348" s="2" t="n">
        <v>52.15</v>
      </c>
      <c r="BY348" s="2" t="n">
        <v>9.65</v>
      </c>
      <c r="BZ348" s="2" t="n">
        <v>0</v>
      </c>
      <c r="CA348" s="2" t="n">
        <v>58.09</v>
      </c>
      <c r="CB348" s="2" t="n">
        <v>9.65</v>
      </c>
      <c r="CC348" s="2" t="n">
        <v>0</v>
      </c>
      <c r="CD348" s="2" t="n">
        <v>64.66</v>
      </c>
      <c r="CE348" s="2" t="n">
        <v>9.65</v>
      </c>
      <c r="CF348" s="2" t="n">
        <v>0</v>
      </c>
      <c r="CG348" s="2" t="n">
        <v>70.45</v>
      </c>
      <c r="CH348" s="2" t="n">
        <v>9.65</v>
      </c>
      <c r="CI348" s="2" t="n">
        <v>0</v>
      </c>
      <c r="CJ348" s="2" t="n">
        <v>76.94</v>
      </c>
      <c r="CK348" s="2" t="n">
        <v>9.65</v>
      </c>
      <c r="CL348" s="2" t="n">
        <v>0</v>
      </c>
      <c r="CM348" s="2" t="n">
        <v>82.63</v>
      </c>
      <c r="CN348" s="2" t="n">
        <v>9.65</v>
      </c>
      <c r="CO348" s="2" t="n">
        <v>0</v>
      </c>
      <c r="CP348" s="2" t="n">
        <v>88.36</v>
      </c>
      <c r="CQ348" s="2" t="n">
        <v>9.65</v>
      </c>
      <c r="CR348" s="2" t="n">
        <v>0</v>
      </c>
      <c r="CS348" s="2" t="n">
        <v>93.31</v>
      </c>
      <c r="CT348" s="2" t="n">
        <v>9.65</v>
      </c>
      <c r="CU348" s="2" t="n">
        <v>0</v>
      </c>
      <c r="CV348" s="2" t="n">
        <v>96.62</v>
      </c>
      <c r="CW348" s="2" t="n">
        <v>9.65</v>
      </c>
      <c r="CX348" s="2" t="n">
        <v>0</v>
      </c>
      <c r="CY348" s="2" t="n">
        <v>99.08</v>
      </c>
      <c r="CZ348" s="2" t="n">
        <v>9.65</v>
      </c>
      <c r="DA348" s="2" t="n">
        <v>0</v>
      </c>
      <c r="DB348" s="2" t="n">
        <v>100</v>
      </c>
      <c r="DC348" s="2" t="n">
        <v>9.65</v>
      </c>
      <c r="DD348" s="2" t="n">
        <v>0</v>
      </c>
      <c r="DE348" s="2" t="n">
        <v>100</v>
      </c>
      <c r="DF348" s="2" t="n">
        <v>9.65</v>
      </c>
      <c r="DG348" s="2" t="n">
        <v>0</v>
      </c>
      <c r="DH348" s="2" t="n">
        <v>100</v>
      </c>
      <c r="DI348" s="2" t="n">
        <v>9.65</v>
      </c>
      <c r="DJ348" s="2" t="n">
        <v>0</v>
      </c>
      <c r="DK348" s="2" t="n">
        <v>100</v>
      </c>
      <c r="DL348" s="2" t="n">
        <v>9.65</v>
      </c>
      <c r="DM348" s="2" t="n">
        <v>0</v>
      </c>
      <c r="DN348" s="2" t="n">
        <v>100</v>
      </c>
      <c r="DO348" s="2" t="n">
        <v>9.65</v>
      </c>
      <c r="DP348" s="2" t="n">
        <v>0</v>
      </c>
      <c r="DQ348" s="2" t="n">
        <v>100</v>
      </c>
      <c r="DR348" s="2" t="n">
        <v>9.65</v>
      </c>
      <c r="DS348" s="2" t="n">
        <v>0</v>
      </c>
      <c r="DT348" s="2" t="n">
        <v>100</v>
      </c>
      <c r="DU348" s="2" t="n">
        <v>9.65</v>
      </c>
      <c r="DV348" s="2" t="n">
        <v>0</v>
      </c>
      <c r="DW348" s="2" t="n">
        <v>100</v>
      </c>
      <c r="DX348" s="2" t="n">
        <v>9.65</v>
      </c>
      <c r="DY348" s="2" t="n">
        <v>0</v>
      </c>
      <c r="DZ348" s="2" t="n">
        <v>100</v>
      </c>
      <c r="EA348" s="2" t="n">
        <v>9.65</v>
      </c>
      <c r="EB348" s="2" t="n">
        <v>0</v>
      </c>
      <c r="EC348" s="2" t="n">
        <v>100</v>
      </c>
      <c r="ED348" s="2" t="n">
        <v>9.65</v>
      </c>
      <c r="EE348" s="2" t="n">
        <v>0</v>
      </c>
      <c r="EF348" s="2" t="n">
        <v>100</v>
      </c>
      <c r="EG348" s="2" t="n">
        <v>9.65</v>
      </c>
      <c r="EH348" s="2" t="n">
        <v>0</v>
      </c>
      <c r="EI348" s="2" t="n">
        <v>100</v>
      </c>
      <c r="EJ348" s="2" t="n">
        <v>9.65</v>
      </c>
      <c r="EK348" s="2" t="n">
        <v>0</v>
      </c>
      <c r="EL348" s="2" t="n">
        <v>100</v>
      </c>
      <c r="EM348" s="2" t="n">
        <v>9.65</v>
      </c>
      <c r="EN348" s="2" t="n">
        <v>0</v>
      </c>
      <c r="EO348" s="2" t="n">
        <v>100</v>
      </c>
      <c r="EP348" s="2" t="n">
        <v>9.65</v>
      </c>
      <c r="EQ348" s="2" t="n">
        <v>0</v>
      </c>
      <c r="ER348" s="2" t="n">
        <v>100</v>
      </c>
      <c r="ES348" s="2" t="n">
        <v>9.65</v>
      </c>
    </row>
    <row r="349">
      <c r="A349" s="2" t="n">
        <v>3</v>
      </c>
      <c r="B349" s="2" t="inlineStr">
        <is>
          <t>17.01.09</t>
        </is>
      </c>
      <c r="C349" s="2" t="inlineStr">
        <is>
          <t>Concreto bombeado Fck=40Mpa para superestrutura</t>
        </is>
      </c>
      <c r="D349" s="2" t="inlineStr">
        <is>
          <t>15/06/2026</t>
        </is>
      </c>
      <c r="E349" s="2" t="inlineStr">
        <is>
          <t>11/02/2028</t>
        </is>
      </c>
      <c r="F349" s="2" t="n">
        <v>1958861.768</v>
      </c>
      <c r="G349" s="2" t="n">
        <v>0</v>
      </c>
      <c r="H349" s="2" t="n">
        <v>1958861.768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0</v>
      </c>
      <c r="AK349" s="2" t="n">
        <v>0</v>
      </c>
      <c r="AL349" s="2" t="n">
        <v>0</v>
      </c>
      <c r="AM349" s="2" t="n">
        <v>0</v>
      </c>
      <c r="AN349" s="2" t="n">
        <v>0</v>
      </c>
      <c r="AO349" s="2" t="n">
        <v>0</v>
      </c>
      <c r="AP349" s="2" t="n">
        <v>0</v>
      </c>
      <c r="AQ349" s="2" t="n">
        <v>0</v>
      </c>
      <c r="AR349" s="2" t="n">
        <v>0</v>
      </c>
      <c r="AS349" s="2" t="n">
        <v>0</v>
      </c>
      <c r="AT349" s="2" t="n">
        <v>0.8100000000000001</v>
      </c>
      <c r="AU349" s="2" t="n">
        <v>0.7</v>
      </c>
      <c r="AV349" s="2" t="n">
        <v>0</v>
      </c>
      <c r="AW349" s="2" t="n">
        <v>2.36</v>
      </c>
      <c r="AX349" s="2" t="n">
        <v>3.16</v>
      </c>
      <c r="AY349" s="2" t="n">
        <v>0</v>
      </c>
      <c r="AZ349" s="2" t="n">
        <v>9.75</v>
      </c>
      <c r="BA349" s="2" t="n">
        <v>8.07</v>
      </c>
      <c r="BB349" s="2" t="n">
        <v>0</v>
      </c>
      <c r="BC349" s="2" t="n">
        <v>14.82</v>
      </c>
      <c r="BD349" s="2" t="n">
        <v>9.65</v>
      </c>
      <c r="BE349" s="2" t="n">
        <v>0</v>
      </c>
      <c r="BF349" s="2" t="n">
        <v>20.19</v>
      </c>
      <c r="BG349" s="2" t="n">
        <v>9.65</v>
      </c>
      <c r="BH349" s="2" t="n">
        <v>0</v>
      </c>
      <c r="BI349" s="2" t="n">
        <v>25.29</v>
      </c>
      <c r="BJ349" s="2" t="n">
        <v>9.65</v>
      </c>
      <c r="BK349" s="2" t="n">
        <v>0</v>
      </c>
      <c r="BL349" s="2" t="n">
        <v>29.8</v>
      </c>
      <c r="BM349" s="2" t="n">
        <v>9.65</v>
      </c>
      <c r="BN349" s="2" t="n">
        <v>0</v>
      </c>
      <c r="BO349" s="2" t="n">
        <v>36.05</v>
      </c>
      <c r="BP349" s="2" t="n">
        <v>9.65</v>
      </c>
      <c r="BQ349" s="2" t="n">
        <v>0</v>
      </c>
      <c r="BR349" s="2" t="n">
        <v>40.96</v>
      </c>
      <c r="BS349" s="2" t="n">
        <v>9.65</v>
      </c>
      <c r="BT349" s="2" t="n">
        <v>0</v>
      </c>
      <c r="BU349" s="2" t="n">
        <v>46.13</v>
      </c>
      <c r="BV349" s="2" t="n">
        <v>9.65</v>
      </c>
      <c r="BW349" s="2" t="n">
        <v>0</v>
      </c>
      <c r="BX349" s="2" t="n">
        <v>52.15</v>
      </c>
      <c r="BY349" s="2" t="n">
        <v>9.65</v>
      </c>
      <c r="BZ349" s="2" t="n">
        <v>0</v>
      </c>
      <c r="CA349" s="2" t="n">
        <v>58.09</v>
      </c>
      <c r="CB349" s="2" t="n">
        <v>9.65</v>
      </c>
      <c r="CC349" s="2" t="n">
        <v>0</v>
      </c>
      <c r="CD349" s="2" t="n">
        <v>64.66</v>
      </c>
      <c r="CE349" s="2" t="n">
        <v>9.65</v>
      </c>
      <c r="CF349" s="2" t="n">
        <v>0</v>
      </c>
      <c r="CG349" s="2" t="n">
        <v>70.45</v>
      </c>
      <c r="CH349" s="2" t="n">
        <v>9.65</v>
      </c>
      <c r="CI349" s="2" t="n">
        <v>0</v>
      </c>
      <c r="CJ349" s="2" t="n">
        <v>76.94</v>
      </c>
      <c r="CK349" s="2" t="n">
        <v>9.65</v>
      </c>
      <c r="CL349" s="2" t="n">
        <v>0</v>
      </c>
      <c r="CM349" s="2" t="n">
        <v>82.63</v>
      </c>
      <c r="CN349" s="2" t="n">
        <v>9.65</v>
      </c>
      <c r="CO349" s="2" t="n">
        <v>0</v>
      </c>
      <c r="CP349" s="2" t="n">
        <v>88.36</v>
      </c>
      <c r="CQ349" s="2" t="n">
        <v>9.65</v>
      </c>
      <c r="CR349" s="2" t="n">
        <v>0</v>
      </c>
      <c r="CS349" s="2" t="n">
        <v>93.31</v>
      </c>
      <c r="CT349" s="2" t="n">
        <v>9.65</v>
      </c>
      <c r="CU349" s="2" t="n">
        <v>0</v>
      </c>
      <c r="CV349" s="2" t="n">
        <v>96.62</v>
      </c>
      <c r="CW349" s="2" t="n">
        <v>9.65</v>
      </c>
      <c r="CX349" s="2" t="n">
        <v>0</v>
      </c>
      <c r="CY349" s="2" t="n">
        <v>99.08</v>
      </c>
      <c r="CZ349" s="2" t="n">
        <v>9.65</v>
      </c>
      <c r="DA349" s="2" t="n">
        <v>0</v>
      </c>
      <c r="DB349" s="2" t="n">
        <v>100</v>
      </c>
      <c r="DC349" s="2" t="n">
        <v>9.65</v>
      </c>
      <c r="DD349" s="2" t="n">
        <v>0</v>
      </c>
      <c r="DE349" s="2" t="n">
        <v>100</v>
      </c>
      <c r="DF349" s="2" t="n">
        <v>9.65</v>
      </c>
      <c r="DG349" s="2" t="n">
        <v>0</v>
      </c>
      <c r="DH349" s="2" t="n">
        <v>100</v>
      </c>
      <c r="DI349" s="2" t="n">
        <v>9.65</v>
      </c>
      <c r="DJ349" s="2" t="n">
        <v>0</v>
      </c>
      <c r="DK349" s="2" t="n">
        <v>100</v>
      </c>
      <c r="DL349" s="2" t="n">
        <v>9.65</v>
      </c>
      <c r="DM349" s="2" t="n">
        <v>0</v>
      </c>
      <c r="DN349" s="2" t="n">
        <v>100</v>
      </c>
      <c r="DO349" s="2" t="n">
        <v>9.65</v>
      </c>
      <c r="DP349" s="2" t="n">
        <v>0</v>
      </c>
      <c r="DQ349" s="2" t="n">
        <v>100</v>
      </c>
      <c r="DR349" s="2" t="n">
        <v>9.65</v>
      </c>
      <c r="DS349" s="2" t="n">
        <v>0</v>
      </c>
      <c r="DT349" s="2" t="n">
        <v>100</v>
      </c>
      <c r="DU349" s="2" t="n">
        <v>9.65</v>
      </c>
      <c r="DV349" s="2" t="n">
        <v>0</v>
      </c>
      <c r="DW349" s="2" t="n">
        <v>100</v>
      </c>
      <c r="DX349" s="2" t="n">
        <v>9.65</v>
      </c>
      <c r="DY349" s="2" t="n">
        <v>0</v>
      </c>
      <c r="DZ349" s="2" t="n">
        <v>100</v>
      </c>
      <c r="EA349" s="2" t="n">
        <v>9.65</v>
      </c>
      <c r="EB349" s="2" t="n">
        <v>0</v>
      </c>
      <c r="EC349" s="2" t="n">
        <v>100</v>
      </c>
      <c r="ED349" s="2" t="n">
        <v>9.65</v>
      </c>
      <c r="EE349" s="2" t="n">
        <v>0</v>
      </c>
      <c r="EF349" s="2" t="n">
        <v>100</v>
      </c>
      <c r="EG349" s="2" t="n">
        <v>9.65</v>
      </c>
      <c r="EH349" s="2" t="n">
        <v>0</v>
      </c>
      <c r="EI349" s="2" t="n">
        <v>100</v>
      </c>
      <c r="EJ349" s="2" t="n">
        <v>9.65</v>
      </c>
      <c r="EK349" s="2" t="n">
        <v>0</v>
      </c>
      <c r="EL349" s="2" t="n">
        <v>100</v>
      </c>
      <c r="EM349" s="2" t="n">
        <v>9.65</v>
      </c>
      <c r="EN349" s="2" t="n">
        <v>0</v>
      </c>
      <c r="EO349" s="2" t="n">
        <v>100</v>
      </c>
      <c r="EP349" s="2" t="n">
        <v>9.65</v>
      </c>
      <c r="EQ349" s="2" t="n">
        <v>0</v>
      </c>
      <c r="ER349" s="2" t="n">
        <v>100</v>
      </c>
      <c r="ES349" s="2" t="n">
        <v>9.65</v>
      </c>
    </row>
    <row r="350">
      <c r="A350" s="2" t="n">
        <v>3</v>
      </c>
      <c r="B350" s="2" t="inlineStr">
        <is>
          <t>17.01.10</t>
        </is>
      </c>
      <c r="C350" s="2" t="inlineStr">
        <is>
          <t>Concreto bombeado Fck=50Mpa para superestrutura  - Silica  Cristalizante para fachada - 16+-3</t>
        </is>
      </c>
      <c r="D350" s="2" t="inlineStr">
        <is>
          <t>15/06/2026</t>
        </is>
      </c>
      <c r="E350" s="2" t="inlineStr">
        <is>
          <t>11/02/2028</t>
        </is>
      </c>
      <c r="F350" s="2" t="n">
        <v>278911.705</v>
      </c>
      <c r="G350" s="2" t="n">
        <v>0</v>
      </c>
      <c r="H350" s="2" t="n">
        <v>278911.705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0</v>
      </c>
      <c r="AK350" s="2" t="n">
        <v>0</v>
      </c>
      <c r="AL350" s="2" t="n">
        <v>0</v>
      </c>
      <c r="AM350" s="2" t="n">
        <v>0</v>
      </c>
      <c r="AN350" s="2" t="n">
        <v>0</v>
      </c>
      <c r="AO350" s="2" t="n">
        <v>0</v>
      </c>
      <c r="AP350" s="2" t="n">
        <v>0</v>
      </c>
      <c r="AQ350" s="2" t="n">
        <v>0</v>
      </c>
      <c r="AR350" s="2" t="n">
        <v>0</v>
      </c>
      <c r="AS350" s="2" t="n">
        <v>0</v>
      </c>
      <c r="AT350" s="2" t="n">
        <v>0.8100000000000001</v>
      </c>
      <c r="AU350" s="2" t="n">
        <v>0.7</v>
      </c>
      <c r="AV350" s="2" t="n">
        <v>0</v>
      </c>
      <c r="AW350" s="2" t="n">
        <v>2.36</v>
      </c>
      <c r="AX350" s="2" t="n">
        <v>3.16</v>
      </c>
      <c r="AY350" s="2" t="n">
        <v>0</v>
      </c>
      <c r="AZ350" s="2" t="n">
        <v>9.75</v>
      </c>
      <c r="BA350" s="2" t="n">
        <v>8.07</v>
      </c>
      <c r="BB350" s="2" t="n">
        <v>0</v>
      </c>
      <c r="BC350" s="2" t="n">
        <v>14.82</v>
      </c>
      <c r="BD350" s="2" t="n">
        <v>9.65</v>
      </c>
      <c r="BE350" s="2" t="n">
        <v>0</v>
      </c>
      <c r="BF350" s="2" t="n">
        <v>20.19</v>
      </c>
      <c r="BG350" s="2" t="n">
        <v>9.65</v>
      </c>
      <c r="BH350" s="2" t="n">
        <v>0</v>
      </c>
      <c r="BI350" s="2" t="n">
        <v>25.29</v>
      </c>
      <c r="BJ350" s="2" t="n">
        <v>9.65</v>
      </c>
      <c r="BK350" s="2" t="n">
        <v>0</v>
      </c>
      <c r="BL350" s="2" t="n">
        <v>29.8</v>
      </c>
      <c r="BM350" s="2" t="n">
        <v>9.65</v>
      </c>
      <c r="BN350" s="2" t="n">
        <v>0</v>
      </c>
      <c r="BO350" s="2" t="n">
        <v>36.05</v>
      </c>
      <c r="BP350" s="2" t="n">
        <v>9.65</v>
      </c>
      <c r="BQ350" s="2" t="n">
        <v>0</v>
      </c>
      <c r="BR350" s="2" t="n">
        <v>40.96</v>
      </c>
      <c r="BS350" s="2" t="n">
        <v>9.65</v>
      </c>
      <c r="BT350" s="2" t="n">
        <v>0</v>
      </c>
      <c r="BU350" s="2" t="n">
        <v>46.13</v>
      </c>
      <c r="BV350" s="2" t="n">
        <v>9.65</v>
      </c>
      <c r="BW350" s="2" t="n">
        <v>0</v>
      </c>
      <c r="BX350" s="2" t="n">
        <v>52.15</v>
      </c>
      <c r="BY350" s="2" t="n">
        <v>9.65</v>
      </c>
      <c r="BZ350" s="2" t="n">
        <v>0</v>
      </c>
      <c r="CA350" s="2" t="n">
        <v>58.09</v>
      </c>
      <c r="CB350" s="2" t="n">
        <v>9.65</v>
      </c>
      <c r="CC350" s="2" t="n">
        <v>0</v>
      </c>
      <c r="CD350" s="2" t="n">
        <v>64.66</v>
      </c>
      <c r="CE350" s="2" t="n">
        <v>9.65</v>
      </c>
      <c r="CF350" s="2" t="n">
        <v>0</v>
      </c>
      <c r="CG350" s="2" t="n">
        <v>70.45</v>
      </c>
      <c r="CH350" s="2" t="n">
        <v>9.65</v>
      </c>
      <c r="CI350" s="2" t="n">
        <v>0</v>
      </c>
      <c r="CJ350" s="2" t="n">
        <v>76.94</v>
      </c>
      <c r="CK350" s="2" t="n">
        <v>9.65</v>
      </c>
      <c r="CL350" s="2" t="n">
        <v>0</v>
      </c>
      <c r="CM350" s="2" t="n">
        <v>82.63</v>
      </c>
      <c r="CN350" s="2" t="n">
        <v>9.65</v>
      </c>
      <c r="CO350" s="2" t="n">
        <v>0</v>
      </c>
      <c r="CP350" s="2" t="n">
        <v>88.36</v>
      </c>
      <c r="CQ350" s="2" t="n">
        <v>9.65</v>
      </c>
      <c r="CR350" s="2" t="n">
        <v>0</v>
      </c>
      <c r="CS350" s="2" t="n">
        <v>93.31</v>
      </c>
      <c r="CT350" s="2" t="n">
        <v>9.65</v>
      </c>
      <c r="CU350" s="2" t="n">
        <v>0</v>
      </c>
      <c r="CV350" s="2" t="n">
        <v>96.62</v>
      </c>
      <c r="CW350" s="2" t="n">
        <v>9.65</v>
      </c>
      <c r="CX350" s="2" t="n">
        <v>0</v>
      </c>
      <c r="CY350" s="2" t="n">
        <v>99.08</v>
      </c>
      <c r="CZ350" s="2" t="n">
        <v>9.65</v>
      </c>
      <c r="DA350" s="2" t="n">
        <v>0</v>
      </c>
      <c r="DB350" s="2" t="n">
        <v>100</v>
      </c>
      <c r="DC350" s="2" t="n">
        <v>9.65</v>
      </c>
      <c r="DD350" s="2" t="n">
        <v>0</v>
      </c>
      <c r="DE350" s="2" t="n">
        <v>100</v>
      </c>
      <c r="DF350" s="2" t="n">
        <v>9.65</v>
      </c>
      <c r="DG350" s="2" t="n">
        <v>0</v>
      </c>
      <c r="DH350" s="2" t="n">
        <v>100</v>
      </c>
      <c r="DI350" s="2" t="n">
        <v>9.65</v>
      </c>
      <c r="DJ350" s="2" t="n">
        <v>0</v>
      </c>
      <c r="DK350" s="2" t="n">
        <v>100</v>
      </c>
      <c r="DL350" s="2" t="n">
        <v>9.65</v>
      </c>
      <c r="DM350" s="2" t="n">
        <v>0</v>
      </c>
      <c r="DN350" s="2" t="n">
        <v>100</v>
      </c>
      <c r="DO350" s="2" t="n">
        <v>9.65</v>
      </c>
      <c r="DP350" s="2" t="n">
        <v>0</v>
      </c>
      <c r="DQ350" s="2" t="n">
        <v>100</v>
      </c>
      <c r="DR350" s="2" t="n">
        <v>9.65</v>
      </c>
      <c r="DS350" s="2" t="n">
        <v>0</v>
      </c>
      <c r="DT350" s="2" t="n">
        <v>100</v>
      </c>
      <c r="DU350" s="2" t="n">
        <v>9.65</v>
      </c>
      <c r="DV350" s="2" t="n">
        <v>0</v>
      </c>
      <c r="DW350" s="2" t="n">
        <v>100</v>
      </c>
      <c r="DX350" s="2" t="n">
        <v>9.65</v>
      </c>
      <c r="DY350" s="2" t="n">
        <v>0</v>
      </c>
      <c r="DZ350" s="2" t="n">
        <v>100</v>
      </c>
      <c r="EA350" s="2" t="n">
        <v>9.65</v>
      </c>
      <c r="EB350" s="2" t="n">
        <v>0</v>
      </c>
      <c r="EC350" s="2" t="n">
        <v>100</v>
      </c>
      <c r="ED350" s="2" t="n">
        <v>9.65</v>
      </c>
      <c r="EE350" s="2" t="n">
        <v>0</v>
      </c>
      <c r="EF350" s="2" t="n">
        <v>100</v>
      </c>
      <c r="EG350" s="2" t="n">
        <v>9.65</v>
      </c>
      <c r="EH350" s="2" t="n">
        <v>0</v>
      </c>
      <c r="EI350" s="2" t="n">
        <v>100</v>
      </c>
      <c r="EJ350" s="2" t="n">
        <v>9.65</v>
      </c>
      <c r="EK350" s="2" t="n">
        <v>0</v>
      </c>
      <c r="EL350" s="2" t="n">
        <v>100</v>
      </c>
      <c r="EM350" s="2" t="n">
        <v>9.65</v>
      </c>
      <c r="EN350" s="2" t="n">
        <v>0</v>
      </c>
      <c r="EO350" s="2" t="n">
        <v>100</v>
      </c>
      <c r="EP350" s="2" t="n">
        <v>9.65</v>
      </c>
      <c r="EQ350" s="2" t="n">
        <v>0</v>
      </c>
      <c r="ER350" s="2" t="n">
        <v>100</v>
      </c>
      <c r="ES350" s="2" t="n">
        <v>9.65</v>
      </c>
    </row>
    <row r="351">
      <c r="A351" s="2" t="n">
        <v>3</v>
      </c>
      <c r="B351" s="2" t="inlineStr">
        <is>
          <t>17.01.11</t>
        </is>
      </c>
      <c r="C351" s="2" t="inlineStr">
        <is>
          <t>Concreto bombeado Fck=40Mpa para superestrutura  - Silica  Cristalizante para fachada - 25+-3</t>
        </is>
      </c>
      <c r="D351" s="2" t="inlineStr">
        <is>
          <t>15/06/2026</t>
        </is>
      </c>
      <c r="E351" s="2" t="inlineStr">
        <is>
          <t>11/02/2028</t>
        </is>
      </c>
      <c r="F351" s="2" t="n">
        <v>1039165.9968</v>
      </c>
      <c r="G351" s="2" t="n">
        <v>0</v>
      </c>
      <c r="H351" s="2" t="n">
        <v>1039165.9968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0</v>
      </c>
      <c r="AK351" s="2" t="n">
        <v>0</v>
      </c>
      <c r="AL351" s="2" t="n">
        <v>0</v>
      </c>
      <c r="AM351" s="2" t="n">
        <v>0</v>
      </c>
      <c r="AN351" s="2" t="n">
        <v>0</v>
      </c>
      <c r="AO351" s="2" t="n">
        <v>0</v>
      </c>
      <c r="AP351" s="2" t="n">
        <v>0</v>
      </c>
      <c r="AQ351" s="2" t="n">
        <v>0</v>
      </c>
      <c r="AR351" s="2" t="n">
        <v>0</v>
      </c>
      <c r="AS351" s="2" t="n">
        <v>0</v>
      </c>
      <c r="AT351" s="2" t="n">
        <v>0.8100000000000001</v>
      </c>
      <c r="AU351" s="2" t="n">
        <v>0.7</v>
      </c>
      <c r="AV351" s="2" t="n">
        <v>0</v>
      </c>
      <c r="AW351" s="2" t="n">
        <v>2.36</v>
      </c>
      <c r="AX351" s="2" t="n">
        <v>3.16</v>
      </c>
      <c r="AY351" s="2" t="n">
        <v>0</v>
      </c>
      <c r="AZ351" s="2" t="n">
        <v>9.75</v>
      </c>
      <c r="BA351" s="2" t="n">
        <v>8.07</v>
      </c>
      <c r="BB351" s="2" t="n">
        <v>0</v>
      </c>
      <c r="BC351" s="2" t="n">
        <v>14.82</v>
      </c>
      <c r="BD351" s="2" t="n">
        <v>9.65</v>
      </c>
      <c r="BE351" s="2" t="n">
        <v>0</v>
      </c>
      <c r="BF351" s="2" t="n">
        <v>20.19</v>
      </c>
      <c r="BG351" s="2" t="n">
        <v>9.65</v>
      </c>
      <c r="BH351" s="2" t="n">
        <v>0</v>
      </c>
      <c r="BI351" s="2" t="n">
        <v>25.29</v>
      </c>
      <c r="BJ351" s="2" t="n">
        <v>9.65</v>
      </c>
      <c r="BK351" s="2" t="n">
        <v>0</v>
      </c>
      <c r="BL351" s="2" t="n">
        <v>29.8</v>
      </c>
      <c r="BM351" s="2" t="n">
        <v>9.65</v>
      </c>
      <c r="BN351" s="2" t="n">
        <v>0</v>
      </c>
      <c r="BO351" s="2" t="n">
        <v>36.05</v>
      </c>
      <c r="BP351" s="2" t="n">
        <v>9.65</v>
      </c>
      <c r="BQ351" s="2" t="n">
        <v>0</v>
      </c>
      <c r="BR351" s="2" t="n">
        <v>40.96</v>
      </c>
      <c r="BS351" s="2" t="n">
        <v>9.65</v>
      </c>
      <c r="BT351" s="2" t="n">
        <v>0</v>
      </c>
      <c r="BU351" s="2" t="n">
        <v>46.13</v>
      </c>
      <c r="BV351" s="2" t="n">
        <v>9.65</v>
      </c>
      <c r="BW351" s="2" t="n">
        <v>0</v>
      </c>
      <c r="BX351" s="2" t="n">
        <v>52.15</v>
      </c>
      <c r="BY351" s="2" t="n">
        <v>9.65</v>
      </c>
      <c r="BZ351" s="2" t="n">
        <v>0</v>
      </c>
      <c r="CA351" s="2" t="n">
        <v>58.09</v>
      </c>
      <c r="CB351" s="2" t="n">
        <v>9.65</v>
      </c>
      <c r="CC351" s="2" t="n">
        <v>0</v>
      </c>
      <c r="CD351" s="2" t="n">
        <v>64.66</v>
      </c>
      <c r="CE351" s="2" t="n">
        <v>9.65</v>
      </c>
      <c r="CF351" s="2" t="n">
        <v>0</v>
      </c>
      <c r="CG351" s="2" t="n">
        <v>70.45</v>
      </c>
      <c r="CH351" s="2" t="n">
        <v>9.65</v>
      </c>
      <c r="CI351" s="2" t="n">
        <v>0</v>
      </c>
      <c r="CJ351" s="2" t="n">
        <v>76.94</v>
      </c>
      <c r="CK351" s="2" t="n">
        <v>9.65</v>
      </c>
      <c r="CL351" s="2" t="n">
        <v>0</v>
      </c>
      <c r="CM351" s="2" t="n">
        <v>82.63</v>
      </c>
      <c r="CN351" s="2" t="n">
        <v>9.65</v>
      </c>
      <c r="CO351" s="2" t="n">
        <v>0</v>
      </c>
      <c r="CP351" s="2" t="n">
        <v>88.36</v>
      </c>
      <c r="CQ351" s="2" t="n">
        <v>9.65</v>
      </c>
      <c r="CR351" s="2" t="n">
        <v>0</v>
      </c>
      <c r="CS351" s="2" t="n">
        <v>93.31</v>
      </c>
      <c r="CT351" s="2" t="n">
        <v>9.65</v>
      </c>
      <c r="CU351" s="2" t="n">
        <v>0</v>
      </c>
      <c r="CV351" s="2" t="n">
        <v>96.62</v>
      </c>
      <c r="CW351" s="2" t="n">
        <v>9.65</v>
      </c>
      <c r="CX351" s="2" t="n">
        <v>0</v>
      </c>
      <c r="CY351" s="2" t="n">
        <v>99.08</v>
      </c>
      <c r="CZ351" s="2" t="n">
        <v>9.65</v>
      </c>
      <c r="DA351" s="2" t="n">
        <v>0</v>
      </c>
      <c r="DB351" s="2" t="n">
        <v>100</v>
      </c>
      <c r="DC351" s="2" t="n">
        <v>9.65</v>
      </c>
      <c r="DD351" s="2" t="n">
        <v>0</v>
      </c>
      <c r="DE351" s="2" t="n">
        <v>100</v>
      </c>
      <c r="DF351" s="2" t="n">
        <v>9.65</v>
      </c>
      <c r="DG351" s="2" t="n">
        <v>0</v>
      </c>
      <c r="DH351" s="2" t="n">
        <v>100</v>
      </c>
      <c r="DI351" s="2" t="n">
        <v>9.65</v>
      </c>
      <c r="DJ351" s="2" t="n">
        <v>0</v>
      </c>
      <c r="DK351" s="2" t="n">
        <v>100</v>
      </c>
      <c r="DL351" s="2" t="n">
        <v>9.65</v>
      </c>
      <c r="DM351" s="2" t="n">
        <v>0</v>
      </c>
      <c r="DN351" s="2" t="n">
        <v>100</v>
      </c>
      <c r="DO351" s="2" t="n">
        <v>9.65</v>
      </c>
      <c r="DP351" s="2" t="n">
        <v>0</v>
      </c>
      <c r="DQ351" s="2" t="n">
        <v>100</v>
      </c>
      <c r="DR351" s="2" t="n">
        <v>9.65</v>
      </c>
      <c r="DS351" s="2" t="n">
        <v>0</v>
      </c>
      <c r="DT351" s="2" t="n">
        <v>100</v>
      </c>
      <c r="DU351" s="2" t="n">
        <v>9.65</v>
      </c>
      <c r="DV351" s="2" t="n">
        <v>0</v>
      </c>
      <c r="DW351" s="2" t="n">
        <v>100</v>
      </c>
      <c r="DX351" s="2" t="n">
        <v>9.65</v>
      </c>
      <c r="DY351" s="2" t="n">
        <v>0</v>
      </c>
      <c r="DZ351" s="2" t="n">
        <v>100</v>
      </c>
      <c r="EA351" s="2" t="n">
        <v>9.65</v>
      </c>
      <c r="EB351" s="2" t="n">
        <v>0</v>
      </c>
      <c r="EC351" s="2" t="n">
        <v>100</v>
      </c>
      <c r="ED351" s="2" t="n">
        <v>9.65</v>
      </c>
      <c r="EE351" s="2" t="n">
        <v>0</v>
      </c>
      <c r="EF351" s="2" t="n">
        <v>100</v>
      </c>
      <c r="EG351" s="2" t="n">
        <v>9.65</v>
      </c>
      <c r="EH351" s="2" t="n">
        <v>0</v>
      </c>
      <c r="EI351" s="2" t="n">
        <v>100</v>
      </c>
      <c r="EJ351" s="2" t="n">
        <v>9.65</v>
      </c>
      <c r="EK351" s="2" t="n">
        <v>0</v>
      </c>
      <c r="EL351" s="2" t="n">
        <v>100</v>
      </c>
      <c r="EM351" s="2" t="n">
        <v>9.65</v>
      </c>
      <c r="EN351" s="2" t="n">
        <v>0</v>
      </c>
      <c r="EO351" s="2" t="n">
        <v>100</v>
      </c>
      <c r="EP351" s="2" t="n">
        <v>9.65</v>
      </c>
      <c r="EQ351" s="2" t="n">
        <v>0</v>
      </c>
      <c r="ER351" s="2" t="n">
        <v>100</v>
      </c>
      <c r="ES351" s="2" t="n">
        <v>9.65</v>
      </c>
    </row>
    <row r="352">
      <c r="A352" s="2" t="n">
        <v>3</v>
      </c>
      <c r="B352" s="2" t="inlineStr">
        <is>
          <t>17.01.12</t>
        </is>
      </c>
      <c r="C352" s="2" t="inlineStr">
        <is>
          <t>Polimento de pisos de concreto, acabamento sarrafeado</t>
        </is>
      </c>
      <c r="D352" s="2" t="inlineStr">
        <is>
          <t>15/06/2026</t>
        </is>
      </c>
      <c r="E352" s="2" t="inlineStr">
        <is>
          <t>11/02/2028</t>
        </is>
      </c>
      <c r="F352" s="2" t="n">
        <v>353776.17</v>
      </c>
      <c r="G352" s="2" t="n">
        <v>0</v>
      </c>
      <c r="H352" s="2" t="n">
        <v>353776.17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0</v>
      </c>
      <c r="AK352" s="2" t="n">
        <v>0</v>
      </c>
      <c r="AL352" s="2" t="n">
        <v>0</v>
      </c>
      <c r="AM352" s="2" t="n">
        <v>0</v>
      </c>
      <c r="AN352" s="2" t="n">
        <v>0</v>
      </c>
      <c r="AO352" s="2" t="n">
        <v>0</v>
      </c>
      <c r="AP352" s="2" t="n">
        <v>0</v>
      </c>
      <c r="AQ352" s="2" t="n">
        <v>0</v>
      </c>
      <c r="AR352" s="2" t="n">
        <v>0</v>
      </c>
      <c r="AS352" s="2" t="n">
        <v>0</v>
      </c>
      <c r="AT352" s="2" t="n">
        <v>0.8100000000000001</v>
      </c>
      <c r="AU352" s="2" t="n">
        <v>0.7</v>
      </c>
      <c r="AV352" s="2" t="n">
        <v>0</v>
      </c>
      <c r="AW352" s="2" t="n">
        <v>2.36</v>
      </c>
      <c r="AX352" s="2" t="n">
        <v>3.16</v>
      </c>
      <c r="AY352" s="2" t="n">
        <v>0</v>
      </c>
      <c r="AZ352" s="2" t="n">
        <v>9.75</v>
      </c>
      <c r="BA352" s="2" t="n">
        <v>8.07</v>
      </c>
      <c r="BB352" s="2" t="n">
        <v>0</v>
      </c>
      <c r="BC352" s="2" t="n">
        <v>14.82</v>
      </c>
      <c r="BD352" s="2" t="n">
        <v>9.65</v>
      </c>
      <c r="BE352" s="2" t="n">
        <v>0</v>
      </c>
      <c r="BF352" s="2" t="n">
        <v>20.19</v>
      </c>
      <c r="BG352" s="2" t="n">
        <v>9.65</v>
      </c>
      <c r="BH352" s="2" t="n">
        <v>0</v>
      </c>
      <c r="BI352" s="2" t="n">
        <v>25.29</v>
      </c>
      <c r="BJ352" s="2" t="n">
        <v>9.65</v>
      </c>
      <c r="BK352" s="2" t="n">
        <v>0</v>
      </c>
      <c r="BL352" s="2" t="n">
        <v>29.8</v>
      </c>
      <c r="BM352" s="2" t="n">
        <v>9.65</v>
      </c>
      <c r="BN352" s="2" t="n">
        <v>0</v>
      </c>
      <c r="BO352" s="2" t="n">
        <v>36.05</v>
      </c>
      <c r="BP352" s="2" t="n">
        <v>9.65</v>
      </c>
      <c r="BQ352" s="2" t="n">
        <v>0</v>
      </c>
      <c r="BR352" s="2" t="n">
        <v>40.96</v>
      </c>
      <c r="BS352" s="2" t="n">
        <v>9.65</v>
      </c>
      <c r="BT352" s="2" t="n">
        <v>0</v>
      </c>
      <c r="BU352" s="2" t="n">
        <v>46.13</v>
      </c>
      <c r="BV352" s="2" t="n">
        <v>9.65</v>
      </c>
      <c r="BW352" s="2" t="n">
        <v>0</v>
      </c>
      <c r="BX352" s="2" t="n">
        <v>52.15</v>
      </c>
      <c r="BY352" s="2" t="n">
        <v>9.65</v>
      </c>
      <c r="BZ352" s="2" t="n">
        <v>0</v>
      </c>
      <c r="CA352" s="2" t="n">
        <v>58.09</v>
      </c>
      <c r="CB352" s="2" t="n">
        <v>9.65</v>
      </c>
      <c r="CC352" s="2" t="n">
        <v>0</v>
      </c>
      <c r="CD352" s="2" t="n">
        <v>64.66</v>
      </c>
      <c r="CE352" s="2" t="n">
        <v>9.65</v>
      </c>
      <c r="CF352" s="2" t="n">
        <v>0</v>
      </c>
      <c r="CG352" s="2" t="n">
        <v>70.45</v>
      </c>
      <c r="CH352" s="2" t="n">
        <v>9.65</v>
      </c>
      <c r="CI352" s="2" t="n">
        <v>0</v>
      </c>
      <c r="CJ352" s="2" t="n">
        <v>76.94</v>
      </c>
      <c r="CK352" s="2" t="n">
        <v>9.65</v>
      </c>
      <c r="CL352" s="2" t="n">
        <v>0</v>
      </c>
      <c r="CM352" s="2" t="n">
        <v>82.63</v>
      </c>
      <c r="CN352" s="2" t="n">
        <v>9.65</v>
      </c>
      <c r="CO352" s="2" t="n">
        <v>0</v>
      </c>
      <c r="CP352" s="2" t="n">
        <v>88.36</v>
      </c>
      <c r="CQ352" s="2" t="n">
        <v>9.65</v>
      </c>
      <c r="CR352" s="2" t="n">
        <v>0</v>
      </c>
      <c r="CS352" s="2" t="n">
        <v>93.31</v>
      </c>
      <c r="CT352" s="2" t="n">
        <v>9.65</v>
      </c>
      <c r="CU352" s="2" t="n">
        <v>0</v>
      </c>
      <c r="CV352" s="2" t="n">
        <v>96.62</v>
      </c>
      <c r="CW352" s="2" t="n">
        <v>9.65</v>
      </c>
      <c r="CX352" s="2" t="n">
        <v>0</v>
      </c>
      <c r="CY352" s="2" t="n">
        <v>99.08</v>
      </c>
      <c r="CZ352" s="2" t="n">
        <v>9.65</v>
      </c>
      <c r="DA352" s="2" t="n">
        <v>0</v>
      </c>
      <c r="DB352" s="2" t="n">
        <v>100</v>
      </c>
      <c r="DC352" s="2" t="n">
        <v>9.65</v>
      </c>
      <c r="DD352" s="2" t="n">
        <v>0</v>
      </c>
      <c r="DE352" s="2" t="n">
        <v>100</v>
      </c>
      <c r="DF352" s="2" t="n">
        <v>9.65</v>
      </c>
      <c r="DG352" s="2" t="n">
        <v>0</v>
      </c>
      <c r="DH352" s="2" t="n">
        <v>100</v>
      </c>
      <c r="DI352" s="2" t="n">
        <v>9.65</v>
      </c>
      <c r="DJ352" s="2" t="n">
        <v>0</v>
      </c>
      <c r="DK352" s="2" t="n">
        <v>100</v>
      </c>
      <c r="DL352" s="2" t="n">
        <v>9.65</v>
      </c>
      <c r="DM352" s="2" t="n">
        <v>0</v>
      </c>
      <c r="DN352" s="2" t="n">
        <v>100</v>
      </c>
      <c r="DO352" s="2" t="n">
        <v>9.65</v>
      </c>
      <c r="DP352" s="2" t="n">
        <v>0</v>
      </c>
      <c r="DQ352" s="2" t="n">
        <v>100</v>
      </c>
      <c r="DR352" s="2" t="n">
        <v>9.65</v>
      </c>
      <c r="DS352" s="2" t="n">
        <v>0</v>
      </c>
      <c r="DT352" s="2" t="n">
        <v>100</v>
      </c>
      <c r="DU352" s="2" t="n">
        <v>9.65</v>
      </c>
      <c r="DV352" s="2" t="n">
        <v>0</v>
      </c>
      <c r="DW352" s="2" t="n">
        <v>100</v>
      </c>
      <c r="DX352" s="2" t="n">
        <v>9.65</v>
      </c>
      <c r="DY352" s="2" t="n">
        <v>0</v>
      </c>
      <c r="DZ352" s="2" t="n">
        <v>100</v>
      </c>
      <c r="EA352" s="2" t="n">
        <v>9.65</v>
      </c>
      <c r="EB352" s="2" t="n">
        <v>0</v>
      </c>
      <c r="EC352" s="2" t="n">
        <v>100</v>
      </c>
      <c r="ED352" s="2" t="n">
        <v>9.65</v>
      </c>
      <c r="EE352" s="2" t="n">
        <v>0</v>
      </c>
      <c r="EF352" s="2" t="n">
        <v>100</v>
      </c>
      <c r="EG352" s="2" t="n">
        <v>9.65</v>
      </c>
      <c r="EH352" s="2" t="n">
        <v>0</v>
      </c>
      <c r="EI352" s="2" t="n">
        <v>100</v>
      </c>
      <c r="EJ352" s="2" t="n">
        <v>9.65</v>
      </c>
      <c r="EK352" s="2" t="n">
        <v>0</v>
      </c>
      <c r="EL352" s="2" t="n">
        <v>100</v>
      </c>
      <c r="EM352" s="2" t="n">
        <v>9.65</v>
      </c>
      <c r="EN352" s="2" t="n">
        <v>0</v>
      </c>
      <c r="EO352" s="2" t="n">
        <v>100</v>
      </c>
      <c r="EP352" s="2" t="n">
        <v>9.65</v>
      </c>
      <c r="EQ352" s="2" t="n">
        <v>0</v>
      </c>
      <c r="ER352" s="2" t="n">
        <v>100</v>
      </c>
      <c r="ES352" s="2" t="n">
        <v>9.65</v>
      </c>
    </row>
    <row r="353">
      <c r="A353" s="2" t="n">
        <v>2</v>
      </c>
      <c r="B353" s="2" t="inlineStr">
        <is>
          <t>17.02</t>
        </is>
      </c>
      <c r="C353" s="2" t="inlineStr">
        <is>
          <t>Complementos</t>
        </is>
      </c>
      <c r="D353" s="2" t="inlineStr">
        <is>
          <t>15/06/2026</t>
        </is>
      </c>
      <c r="E353" s="2" t="inlineStr">
        <is>
          <t>11/02/2028</t>
        </is>
      </c>
      <c r="F353" s="2" t="n">
        <v>129564.7995404071</v>
      </c>
      <c r="G353" s="2" t="n">
        <v>0</v>
      </c>
      <c r="H353" s="2" t="n">
        <v>129564.7995404071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0</v>
      </c>
      <c r="AK353" s="2" t="n">
        <v>0</v>
      </c>
      <c r="AL353" s="2" t="n">
        <v>0</v>
      </c>
      <c r="AM353" s="2" t="n">
        <v>0</v>
      </c>
      <c r="AN353" s="2" t="n">
        <v>0</v>
      </c>
      <c r="AO353" s="2" t="n">
        <v>0</v>
      </c>
      <c r="AP353" s="2" t="n">
        <v>0</v>
      </c>
      <c r="AQ353" s="2" t="n">
        <v>0</v>
      </c>
      <c r="AR353" s="2" t="n">
        <v>0</v>
      </c>
      <c r="AS353" s="2" t="n">
        <v>0</v>
      </c>
      <c r="AT353" s="2" t="n">
        <v>0.8100000000000001</v>
      </c>
      <c r="AU353" s="2" t="n">
        <v>0.7</v>
      </c>
      <c r="AV353" s="2" t="n">
        <v>0</v>
      </c>
      <c r="AW353" s="2" t="n">
        <v>2.36</v>
      </c>
      <c r="AX353" s="2" t="n">
        <v>3.16</v>
      </c>
      <c r="AY353" s="2" t="n">
        <v>0</v>
      </c>
      <c r="AZ353" s="2" t="n">
        <v>9.75</v>
      </c>
      <c r="BA353" s="2" t="n">
        <v>8.07</v>
      </c>
      <c r="BB353" s="2" t="n">
        <v>0</v>
      </c>
      <c r="BC353" s="2" t="n">
        <v>14.82</v>
      </c>
      <c r="BD353" s="2" t="n">
        <v>9.65</v>
      </c>
      <c r="BE353" s="2" t="n">
        <v>0</v>
      </c>
      <c r="BF353" s="2" t="n">
        <v>20.19</v>
      </c>
      <c r="BG353" s="2" t="n">
        <v>9.65</v>
      </c>
      <c r="BH353" s="2" t="n">
        <v>0</v>
      </c>
      <c r="BI353" s="2" t="n">
        <v>25.29</v>
      </c>
      <c r="BJ353" s="2" t="n">
        <v>9.65</v>
      </c>
      <c r="BK353" s="2" t="n">
        <v>0</v>
      </c>
      <c r="BL353" s="2" t="n">
        <v>29.8</v>
      </c>
      <c r="BM353" s="2" t="n">
        <v>9.65</v>
      </c>
      <c r="BN353" s="2" t="n">
        <v>0</v>
      </c>
      <c r="BO353" s="2" t="n">
        <v>36.05</v>
      </c>
      <c r="BP353" s="2" t="n">
        <v>9.65</v>
      </c>
      <c r="BQ353" s="2" t="n">
        <v>0</v>
      </c>
      <c r="BR353" s="2" t="n">
        <v>40.96</v>
      </c>
      <c r="BS353" s="2" t="n">
        <v>9.65</v>
      </c>
      <c r="BT353" s="2" t="n">
        <v>0</v>
      </c>
      <c r="BU353" s="2" t="n">
        <v>46.13</v>
      </c>
      <c r="BV353" s="2" t="n">
        <v>9.65</v>
      </c>
      <c r="BW353" s="2" t="n">
        <v>0</v>
      </c>
      <c r="BX353" s="2" t="n">
        <v>52.15</v>
      </c>
      <c r="BY353" s="2" t="n">
        <v>9.65</v>
      </c>
      <c r="BZ353" s="2" t="n">
        <v>0</v>
      </c>
      <c r="CA353" s="2" t="n">
        <v>58.09</v>
      </c>
      <c r="CB353" s="2" t="n">
        <v>9.65</v>
      </c>
      <c r="CC353" s="2" t="n">
        <v>0</v>
      </c>
      <c r="CD353" s="2" t="n">
        <v>64.66</v>
      </c>
      <c r="CE353" s="2" t="n">
        <v>9.65</v>
      </c>
      <c r="CF353" s="2" t="n">
        <v>0</v>
      </c>
      <c r="CG353" s="2" t="n">
        <v>70.45</v>
      </c>
      <c r="CH353" s="2" t="n">
        <v>9.65</v>
      </c>
      <c r="CI353" s="2" t="n">
        <v>0</v>
      </c>
      <c r="CJ353" s="2" t="n">
        <v>76.94</v>
      </c>
      <c r="CK353" s="2" t="n">
        <v>9.65</v>
      </c>
      <c r="CL353" s="2" t="n">
        <v>0</v>
      </c>
      <c r="CM353" s="2" t="n">
        <v>82.63</v>
      </c>
      <c r="CN353" s="2" t="n">
        <v>9.65</v>
      </c>
      <c r="CO353" s="2" t="n">
        <v>0</v>
      </c>
      <c r="CP353" s="2" t="n">
        <v>88.36</v>
      </c>
      <c r="CQ353" s="2" t="n">
        <v>9.65</v>
      </c>
      <c r="CR353" s="2" t="n">
        <v>0</v>
      </c>
      <c r="CS353" s="2" t="n">
        <v>93.31</v>
      </c>
      <c r="CT353" s="2" t="n">
        <v>9.65</v>
      </c>
      <c r="CU353" s="2" t="n">
        <v>0</v>
      </c>
      <c r="CV353" s="2" t="n">
        <v>96.62</v>
      </c>
      <c r="CW353" s="2" t="n">
        <v>9.65</v>
      </c>
      <c r="CX353" s="2" t="n">
        <v>0</v>
      </c>
      <c r="CY353" s="2" t="n">
        <v>99.08</v>
      </c>
      <c r="CZ353" s="2" t="n">
        <v>9.65</v>
      </c>
      <c r="DA353" s="2" t="n">
        <v>0</v>
      </c>
      <c r="DB353" s="2" t="n">
        <v>100</v>
      </c>
      <c r="DC353" s="2" t="n">
        <v>9.65</v>
      </c>
      <c r="DD353" s="2" t="n">
        <v>0</v>
      </c>
      <c r="DE353" s="2" t="n">
        <v>100</v>
      </c>
      <c r="DF353" s="2" t="n">
        <v>9.65</v>
      </c>
      <c r="DG353" s="2" t="n">
        <v>0</v>
      </c>
      <c r="DH353" s="2" t="n">
        <v>100</v>
      </c>
      <c r="DI353" s="2" t="n">
        <v>9.65</v>
      </c>
      <c r="DJ353" s="2" t="n">
        <v>0</v>
      </c>
      <c r="DK353" s="2" t="n">
        <v>100</v>
      </c>
      <c r="DL353" s="2" t="n">
        <v>9.65</v>
      </c>
      <c r="DM353" s="2" t="n">
        <v>0</v>
      </c>
      <c r="DN353" s="2" t="n">
        <v>100</v>
      </c>
      <c r="DO353" s="2" t="n">
        <v>9.65</v>
      </c>
      <c r="DP353" s="2" t="n">
        <v>0</v>
      </c>
      <c r="DQ353" s="2" t="n">
        <v>100</v>
      </c>
      <c r="DR353" s="2" t="n">
        <v>9.65</v>
      </c>
      <c r="DS353" s="2" t="n">
        <v>0</v>
      </c>
      <c r="DT353" s="2" t="n">
        <v>100</v>
      </c>
      <c r="DU353" s="2" t="n">
        <v>9.65</v>
      </c>
      <c r="DV353" s="2" t="n">
        <v>0</v>
      </c>
      <c r="DW353" s="2" t="n">
        <v>100</v>
      </c>
      <c r="DX353" s="2" t="n">
        <v>9.65</v>
      </c>
      <c r="DY353" s="2" t="n">
        <v>0</v>
      </c>
      <c r="DZ353" s="2" t="n">
        <v>100</v>
      </c>
      <c r="EA353" s="2" t="n">
        <v>9.65</v>
      </c>
      <c r="EB353" s="2" t="n">
        <v>0</v>
      </c>
      <c r="EC353" s="2" t="n">
        <v>100</v>
      </c>
      <c r="ED353" s="2" t="n">
        <v>9.65</v>
      </c>
      <c r="EE353" s="2" t="n">
        <v>0</v>
      </c>
      <c r="EF353" s="2" t="n">
        <v>100</v>
      </c>
      <c r="EG353" s="2" t="n">
        <v>9.65</v>
      </c>
      <c r="EH353" s="2" t="n">
        <v>0</v>
      </c>
      <c r="EI353" s="2" t="n">
        <v>100</v>
      </c>
      <c r="EJ353" s="2" t="n">
        <v>9.65</v>
      </c>
      <c r="EK353" s="2" t="n">
        <v>0</v>
      </c>
      <c r="EL353" s="2" t="n">
        <v>100</v>
      </c>
      <c r="EM353" s="2" t="n">
        <v>9.65</v>
      </c>
      <c r="EN353" s="2" t="n">
        <v>0</v>
      </c>
      <c r="EO353" s="2" t="n">
        <v>100</v>
      </c>
      <c r="EP353" s="2" t="n">
        <v>9.65</v>
      </c>
      <c r="EQ353" s="2" t="n">
        <v>0</v>
      </c>
      <c r="ER353" s="2" t="n">
        <v>100</v>
      </c>
      <c r="ES353" s="2" t="n">
        <v>9.65</v>
      </c>
    </row>
    <row r="354">
      <c r="A354" s="2" t="n">
        <v>3</v>
      </c>
      <c r="B354" s="2" t="inlineStr">
        <is>
          <t>17.02.01</t>
        </is>
      </c>
      <c r="C354" s="2" t="inlineStr">
        <is>
          <t>Juntas de dilatação de isopor esp. 20mm</t>
        </is>
      </c>
      <c r="D354" s="2" t="inlineStr">
        <is>
          <t>15/06/2026</t>
        </is>
      </c>
      <c r="E354" s="2" t="inlineStr">
        <is>
          <t>11/02/2028</t>
        </is>
      </c>
      <c r="F354" s="2" t="n">
        <v>11848.18006029649</v>
      </c>
      <c r="G354" s="2" t="n">
        <v>0</v>
      </c>
      <c r="H354" s="2" t="n">
        <v>11848.18006029649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0</v>
      </c>
      <c r="AK354" s="2" t="n">
        <v>0</v>
      </c>
      <c r="AL354" s="2" t="n">
        <v>0</v>
      </c>
      <c r="AM354" s="2" t="n">
        <v>0</v>
      </c>
      <c r="AN354" s="2" t="n">
        <v>0</v>
      </c>
      <c r="AO354" s="2" t="n">
        <v>0</v>
      </c>
      <c r="AP354" s="2" t="n">
        <v>0</v>
      </c>
      <c r="AQ354" s="2" t="n">
        <v>0</v>
      </c>
      <c r="AR354" s="2" t="n">
        <v>0</v>
      </c>
      <c r="AS354" s="2" t="n">
        <v>0</v>
      </c>
      <c r="AT354" s="2" t="n">
        <v>0.8100000000000001</v>
      </c>
      <c r="AU354" s="2" t="n">
        <v>0.7</v>
      </c>
      <c r="AV354" s="2" t="n">
        <v>0</v>
      </c>
      <c r="AW354" s="2" t="n">
        <v>2.36</v>
      </c>
      <c r="AX354" s="2" t="n">
        <v>3.16</v>
      </c>
      <c r="AY354" s="2" t="n">
        <v>0</v>
      </c>
      <c r="AZ354" s="2" t="n">
        <v>9.75</v>
      </c>
      <c r="BA354" s="2" t="n">
        <v>8.07</v>
      </c>
      <c r="BB354" s="2" t="n">
        <v>0</v>
      </c>
      <c r="BC354" s="2" t="n">
        <v>14.82</v>
      </c>
      <c r="BD354" s="2" t="n">
        <v>9.65</v>
      </c>
      <c r="BE354" s="2" t="n">
        <v>0</v>
      </c>
      <c r="BF354" s="2" t="n">
        <v>20.19</v>
      </c>
      <c r="BG354" s="2" t="n">
        <v>9.65</v>
      </c>
      <c r="BH354" s="2" t="n">
        <v>0</v>
      </c>
      <c r="BI354" s="2" t="n">
        <v>25.29</v>
      </c>
      <c r="BJ354" s="2" t="n">
        <v>9.65</v>
      </c>
      <c r="BK354" s="2" t="n">
        <v>0</v>
      </c>
      <c r="BL354" s="2" t="n">
        <v>29.8</v>
      </c>
      <c r="BM354" s="2" t="n">
        <v>9.65</v>
      </c>
      <c r="BN354" s="2" t="n">
        <v>0</v>
      </c>
      <c r="BO354" s="2" t="n">
        <v>36.05</v>
      </c>
      <c r="BP354" s="2" t="n">
        <v>9.65</v>
      </c>
      <c r="BQ354" s="2" t="n">
        <v>0</v>
      </c>
      <c r="BR354" s="2" t="n">
        <v>40.96</v>
      </c>
      <c r="BS354" s="2" t="n">
        <v>9.65</v>
      </c>
      <c r="BT354" s="2" t="n">
        <v>0</v>
      </c>
      <c r="BU354" s="2" t="n">
        <v>46.13</v>
      </c>
      <c r="BV354" s="2" t="n">
        <v>9.65</v>
      </c>
      <c r="BW354" s="2" t="n">
        <v>0</v>
      </c>
      <c r="BX354" s="2" t="n">
        <v>52.15</v>
      </c>
      <c r="BY354" s="2" t="n">
        <v>9.65</v>
      </c>
      <c r="BZ354" s="2" t="n">
        <v>0</v>
      </c>
      <c r="CA354" s="2" t="n">
        <v>58.09</v>
      </c>
      <c r="CB354" s="2" t="n">
        <v>9.65</v>
      </c>
      <c r="CC354" s="2" t="n">
        <v>0</v>
      </c>
      <c r="CD354" s="2" t="n">
        <v>64.66</v>
      </c>
      <c r="CE354" s="2" t="n">
        <v>9.65</v>
      </c>
      <c r="CF354" s="2" t="n">
        <v>0</v>
      </c>
      <c r="CG354" s="2" t="n">
        <v>70.45</v>
      </c>
      <c r="CH354" s="2" t="n">
        <v>9.65</v>
      </c>
      <c r="CI354" s="2" t="n">
        <v>0</v>
      </c>
      <c r="CJ354" s="2" t="n">
        <v>76.94</v>
      </c>
      <c r="CK354" s="2" t="n">
        <v>9.65</v>
      </c>
      <c r="CL354" s="2" t="n">
        <v>0</v>
      </c>
      <c r="CM354" s="2" t="n">
        <v>82.63</v>
      </c>
      <c r="CN354" s="2" t="n">
        <v>9.65</v>
      </c>
      <c r="CO354" s="2" t="n">
        <v>0</v>
      </c>
      <c r="CP354" s="2" t="n">
        <v>88.36</v>
      </c>
      <c r="CQ354" s="2" t="n">
        <v>9.65</v>
      </c>
      <c r="CR354" s="2" t="n">
        <v>0</v>
      </c>
      <c r="CS354" s="2" t="n">
        <v>93.31</v>
      </c>
      <c r="CT354" s="2" t="n">
        <v>9.65</v>
      </c>
      <c r="CU354" s="2" t="n">
        <v>0</v>
      </c>
      <c r="CV354" s="2" t="n">
        <v>96.62</v>
      </c>
      <c r="CW354" s="2" t="n">
        <v>9.65</v>
      </c>
      <c r="CX354" s="2" t="n">
        <v>0</v>
      </c>
      <c r="CY354" s="2" t="n">
        <v>99.08</v>
      </c>
      <c r="CZ354" s="2" t="n">
        <v>9.65</v>
      </c>
      <c r="DA354" s="2" t="n">
        <v>0</v>
      </c>
      <c r="DB354" s="2" t="n">
        <v>100</v>
      </c>
      <c r="DC354" s="2" t="n">
        <v>9.65</v>
      </c>
      <c r="DD354" s="2" t="n">
        <v>0</v>
      </c>
      <c r="DE354" s="2" t="n">
        <v>100</v>
      </c>
      <c r="DF354" s="2" t="n">
        <v>9.65</v>
      </c>
      <c r="DG354" s="2" t="n">
        <v>0</v>
      </c>
      <c r="DH354" s="2" t="n">
        <v>100</v>
      </c>
      <c r="DI354" s="2" t="n">
        <v>9.65</v>
      </c>
      <c r="DJ354" s="2" t="n">
        <v>0</v>
      </c>
      <c r="DK354" s="2" t="n">
        <v>100</v>
      </c>
      <c r="DL354" s="2" t="n">
        <v>9.65</v>
      </c>
      <c r="DM354" s="2" t="n">
        <v>0</v>
      </c>
      <c r="DN354" s="2" t="n">
        <v>100</v>
      </c>
      <c r="DO354" s="2" t="n">
        <v>9.65</v>
      </c>
      <c r="DP354" s="2" t="n">
        <v>0</v>
      </c>
      <c r="DQ354" s="2" t="n">
        <v>100</v>
      </c>
      <c r="DR354" s="2" t="n">
        <v>9.65</v>
      </c>
      <c r="DS354" s="2" t="n">
        <v>0</v>
      </c>
      <c r="DT354" s="2" t="n">
        <v>100</v>
      </c>
      <c r="DU354" s="2" t="n">
        <v>9.65</v>
      </c>
      <c r="DV354" s="2" t="n">
        <v>0</v>
      </c>
      <c r="DW354" s="2" t="n">
        <v>100</v>
      </c>
      <c r="DX354" s="2" t="n">
        <v>9.65</v>
      </c>
      <c r="DY354" s="2" t="n">
        <v>0</v>
      </c>
      <c r="DZ354" s="2" t="n">
        <v>100</v>
      </c>
      <c r="EA354" s="2" t="n">
        <v>9.65</v>
      </c>
      <c r="EB354" s="2" t="n">
        <v>0</v>
      </c>
      <c r="EC354" s="2" t="n">
        <v>100</v>
      </c>
      <c r="ED354" s="2" t="n">
        <v>9.65</v>
      </c>
      <c r="EE354" s="2" t="n">
        <v>0</v>
      </c>
      <c r="EF354" s="2" t="n">
        <v>100</v>
      </c>
      <c r="EG354" s="2" t="n">
        <v>9.65</v>
      </c>
      <c r="EH354" s="2" t="n">
        <v>0</v>
      </c>
      <c r="EI354" s="2" t="n">
        <v>100</v>
      </c>
      <c r="EJ354" s="2" t="n">
        <v>9.65</v>
      </c>
      <c r="EK354" s="2" t="n">
        <v>0</v>
      </c>
      <c r="EL354" s="2" t="n">
        <v>100</v>
      </c>
      <c r="EM354" s="2" t="n">
        <v>9.65</v>
      </c>
      <c r="EN354" s="2" t="n">
        <v>0</v>
      </c>
      <c r="EO354" s="2" t="n">
        <v>100</v>
      </c>
      <c r="EP354" s="2" t="n">
        <v>9.65</v>
      </c>
      <c r="EQ354" s="2" t="n">
        <v>0</v>
      </c>
      <c r="ER354" s="2" t="n">
        <v>100</v>
      </c>
      <c r="ES354" s="2" t="n">
        <v>9.65</v>
      </c>
    </row>
    <row r="355">
      <c r="A355" s="2" t="n">
        <v>3</v>
      </c>
      <c r="B355" s="2" t="inlineStr">
        <is>
          <t>17.02.02</t>
        </is>
      </c>
      <c r="C355" s="2" t="inlineStr">
        <is>
          <t>Tratamento de juntas de dilatação com sikaflex 1A ou similar</t>
        </is>
      </c>
      <c r="D355" s="2" t="inlineStr">
        <is>
          <t>15/06/2026</t>
        </is>
      </c>
      <c r="E355" s="2" t="inlineStr">
        <is>
          <t>11/02/2028</t>
        </is>
      </c>
      <c r="F355" s="2" t="n">
        <v>67716.61948011057</v>
      </c>
      <c r="G355" s="2" t="n">
        <v>0</v>
      </c>
      <c r="H355" s="2" t="n">
        <v>67716.61948011057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0</v>
      </c>
      <c r="AK355" s="2" t="n">
        <v>0</v>
      </c>
      <c r="AL355" s="2" t="n">
        <v>0</v>
      </c>
      <c r="AM355" s="2" t="n">
        <v>0</v>
      </c>
      <c r="AN355" s="2" t="n">
        <v>0</v>
      </c>
      <c r="AO355" s="2" t="n">
        <v>0</v>
      </c>
      <c r="AP355" s="2" t="n">
        <v>0</v>
      </c>
      <c r="AQ355" s="2" t="n">
        <v>0</v>
      </c>
      <c r="AR355" s="2" t="n">
        <v>0</v>
      </c>
      <c r="AS355" s="2" t="n">
        <v>0</v>
      </c>
      <c r="AT355" s="2" t="n">
        <v>0.8100000000000001</v>
      </c>
      <c r="AU355" s="2" t="n">
        <v>0.7</v>
      </c>
      <c r="AV355" s="2" t="n">
        <v>0</v>
      </c>
      <c r="AW355" s="2" t="n">
        <v>2.36</v>
      </c>
      <c r="AX355" s="2" t="n">
        <v>3.16</v>
      </c>
      <c r="AY355" s="2" t="n">
        <v>0</v>
      </c>
      <c r="AZ355" s="2" t="n">
        <v>9.75</v>
      </c>
      <c r="BA355" s="2" t="n">
        <v>8.07</v>
      </c>
      <c r="BB355" s="2" t="n">
        <v>0</v>
      </c>
      <c r="BC355" s="2" t="n">
        <v>14.82</v>
      </c>
      <c r="BD355" s="2" t="n">
        <v>9.65</v>
      </c>
      <c r="BE355" s="2" t="n">
        <v>0</v>
      </c>
      <c r="BF355" s="2" t="n">
        <v>20.19</v>
      </c>
      <c r="BG355" s="2" t="n">
        <v>9.65</v>
      </c>
      <c r="BH355" s="2" t="n">
        <v>0</v>
      </c>
      <c r="BI355" s="2" t="n">
        <v>25.29</v>
      </c>
      <c r="BJ355" s="2" t="n">
        <v>9.65</v>
      </c>
      <c r="BK355" s="2" t="n">
        <v>0</v>
      </c>
      <c r="BL355" s="2" t="n">
        <v>29.8</v>
      </c>
      <c r="BM355" s="2" t="n">
        <v>9.65</v>
      </c>
      <c r="BN355" s="2" t="n">
        <v>0</v>
      </c>
      <c r="BO355" s="2" t="n">
        <v>36.05</v>
      </c>
      <c r="BP355" s="2" t="n">
        <v>9.65</v>
      </c>
      <c r="BQ355" s="2" t="n">
        <v>0</v>
      </c>
      <c r="BR355" s="2" t="n">
        <v>40.96</v>
      </c>
      <c r="BS355" s="2" t="n">
        <v>9.65</v>
      </c>
      <c r="BT355" s="2" t="n">
        <v>0</v>
      </c>
      <c r="BU355" s="2" t="n">
        <v>46.13</v>
      </c>
      <c r="BV355" s="2" t="n">
        <v>9.65</v>
      </c>
      <c r="BW355" s="2" t="n">
        <v>0</v>
      </c>
      <c r="BX355" s="2" t="n">
        <v>52.15</v>
      </c>
      <c r="BY355" s="2" t="n">
        <v>9.65</v>
      </c>
      <c r="BZ355" s="2" t="n">
        <v>0</v>
      </c>
      <c r="CA355" s="2" t="n">
        <v>58.09</v>
      </c>
      <c r="CB355" s="2" t="n">
        <v>9.65</v>
      </c>
      <c r="CC355" s="2" t="n">
        <v>0</v>
      </c>
      <c r="CD355" s="2" t="n">
        <v>64.66</v>
      </c>
      <c r="CE355" s="2" t="n">
        <v>9.65</v>
      </c>
      <c r="CF355" s="2" t="n">
        <v>0</v>
      </c>
      <c r="CG355" s="2" t="n">
        <v>70.45</v>
      </c>
      <c r="CH355" s="2" t="n">
        <v>9.65</v>
      </c>
      <c r="CI355" s="2" t="n">
        <v>0</v>
      </c>
      <c r="CJ355" s="2" t="n">
        <v>76.94</v>
      </c>
      <c r="CK355" s="2" t="n">
        <v>9.65</v>
      </c>
      <c r="CL355" s="2" t="n">
        <v>0</v>
      </c>
      <c r="CM355" s="2" t="n">
        <v>82.63</v>
      </c>
      <c r="CN355" s="2" t="n">
        <v>9.65</v>
      </c>
      <c r="CO355" s="2" t="n">
        <v>0</v>
      </c>
      <c r="CP355" s="2" t="n">
        <v>88.36</v>
      </c>
      <c r="CQ355" s="2" t="n">
        <v>9.65</v>
      </c>
      <c r="CR355" s="2" t="n">
        <v>0</v>
      </c>
      <c r="CS355" s="2" t="n">
        <v>93.31</v>
      </c>
      <c r="CT355" s="2" t="n">
        <v>9.65</v>
      </c>
      <c r="CU355" s="2" t="n">
        <v>0</v>
      </c>
      <c r="CV355" s="2" t="n">
        <v>96.62</v>
      </c>
      <c r="CW355" s="2" t="n">
        <v>9.65</v>
      </c>
      <c r="CX355" s="2" t="n">
        <v>0</v>
      </c>
      <c r="CY355" s="2" t="n">
        <v>99.08</v>
      </c>
      <c r="CZ355" s="2" t="n">
        <v>9.65</v>
      </c>
      <c r="DA355" s="2" t="n">
        <v>0</v>
      </c>
      <c r="DB355" s="2" t="n">
        <v>100</v>
      </c>
      <c r="DC355" s="2" t="n">
        <v>9.65</v>
      </c>
      <c r="DD355" s="2" t="n">
        <v>0</v>
      </c>
      <c r="DE355" s="2" t="n">
        <v>100</v>
      </c>
      <c r="DF355" s="2" t="n">
        <v>9.65</v>
      </c>
      <c r="DG355" s="2" t="n">
        <v>0</v>
      </c>
      <c r="DH355" s="2" t="n">
        <v>100</v>
      </c>
      <c r="DI355" s="2" t="n">
        <v>9.65</v>
      </c>
      <c r="DJ355" s="2" t="n">
        <v>0</v>
      </c>
      <c r="DK355" s="2" t="n">
        <v>100</v>
      </c>
      <c r="DL355" s="2" t="n">
        <v>9.65</v>
      </c>
      <c r="DM355" s="2" t="n">
        <v>0</v>
      </c>
      <c r="DN355" s="2" t="n">
        <v>100</v>
      </c>
      <c r="DO355" s="2" t="n">
        <v>9.65</v>
      </c>
      <c r="DP355" s="2" t="n">
        <v>0</v>
      </c>
      <c r="DQ355" s="2" t="n">
        <v>100</v>
      </c>
      <c r="DR355" s="2" t="n">
        <v>9.65</v>
      </c>
      <c r="DS355" s="2" t="n">
        <v>0</v>
      </c>
      <c r="DT355" s="2" t="n">
        <v>100</v>
      </c>
      <c r="DU355" s="2" t="n">
        <v>9.65</v>
      </c>
      <c r="DV355" s="2" t="n">
        <v>0</v>
      </c>
      <c r="DW355" s="2" t="n">
        <v>100</v>
      </c>
      <c r="DX355" s="2" t="n">
        <v>9.65</v>
      </c>
      <c r="DY355" s="2" t="n">
        <v>0</v>
      </c>
      <c r="DZ355" s="2" t="n">
        <v>100</v>
      </c>
      <c r="EA355" s="2" t="n">
        <v>9.65</v>
      </c>
      <c r="EB355" s="2" t="n">
        <v>0</v>
      </c>
      <c r="EC355" s="2" t="n">
        <v>100</v>
      </c>
      <c r="ED355" s="2" t="n">
        <v>9.65</v>
      </c>
      <c r="EE355" s="2" t="n">
        <v>0</v>
      </c>
      <c r="EF355" s="2" t="n">
        <v>100</v>
      </c>
      <c r="EG355" s="2" t="n">
        <v>9.65</v>
      </c>
      <c r="EH355" s="2" t="n">
        <v>0</v>
      </c>
      <c r="EI355" s="2" t="n">
        <v>100</v>
      </c>
      <c r="EJ355" s="2" t="n">
        <v>9.65</v>
      </c>
      <c r="EK355" s="2" t="n">
        <v>0</v>
      </c>
      <c r="EL355" s="2" t="n">
        <v>100</v>
      </c>
      <c r="EM355" s="2" t="n">
        <v>9.65</v>
      </c>
      <c r="EN355" s="2" t="n">
        <v>0</v>
      </c>
      <c r="EO355" s="2" t="n">
        <v>100</v>
      </c>
      <c r="EP355" s="2" t="n">
        <v>9.65</v>
      </c>
      <c r="EQ355" s="2" t="n">
        <v>0</v>
      </c>
      <c r="ER355" s="2" t="n">
        <v>100</v>
      </c>
      <c r="ES355" s="2" t="n">
        <v>9.65</v>
      </c>
    </row>
    <row r="356">
      <c r="A356" s="2" t="n">
        <v>3</v>
      </c>
      <c r="B356" s="2" t="inlineStr">
        <is>
          <t>17.02.03</t>
        </is>
      </c>
      <c r="C356" s="2" t="inlineStr">
        <is>
          <t>Serviços imponderáveis, complementares à estrutura</t>
        </is>
      </c>
      <c r="D356" s="2" t="inlineStr">
        <is>
          <t>15/06/2026</t>
        </is>
      </c>
      <c r="E356" s="2" t="inlineStr">
        <is>
          <t>11/02/2028</t>
        </is>
      </c>
      <c r="F356" s="2" t="n">
        <v>50000</v>
      </c>
      <c r="G356" s="2" t="n">
        <v>0</v>
      </c>
      <c r="H356" s="2" t="n">
        <v>50000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0</v>
      </c>
      <c r="AK356" s="2" t="n">
        <v>0</v>
      </c>
      <c r="AL356" s="2" t="n">
        <v>0</v>
      </c>
      <c r="AM356" s="2" t="n">
        <v>0</v>
      </c>
      <c r="AN356" s="2" t="n">
        <v>0</v>
      </c>
      <c r="AO356" s="2" t="n">
        <v>0</v>
      </c>
      <c r="AP356" s="2" t="n">
        <v>0</v>
      </c>
      <c r="AQ356" s="2" t="n">
        <v>0</v>
      </c>
      <c r="AR356" s="2" t="n">
        <v>0</v>
      </c>
      <c r="AS356" s="2" t="n">
        <v>0</v>
      </c>
      <c r="AT356" s="2" t="n">
        <v>0.8100000000000001</v>
      </c>
      <c r="AU356" s="2" t="n">
        <v>0.7</v>
      </c>
      <c r="AV356" s="2" t="n">
        <v>0</v>
      </c>
      <c r="AW356" s="2" t="n">
        <v>2.36</v>
      </c>
      <c r="AX356" s="2" t="n">
        <v>3.16</v>
      </c>
      <c r="AY356" s="2" t="n">
        <v>0</v>
      </c>
      <c r="AZ356" s="2" t="n">
        <v>9.75</v>
      </c>
      <c r="BA356" s="2" t="n">
        <v>8.07</v>
      </c>
      <c r="BB356" s="2" t="n">
        <v>0</v>
      </c>
      <c r="BC356" s="2" t="n">
        <v>14.82</v>
      </c>
      <c r="BD356" s="2" t="n">
        <v>9.65</v>
      </c>
      <c r="BE356" s="2" t="n">
        <v>0</v>
      </c>
      <c r="BF356" s="2" t="n">
        <v>20.19</v>
      </c>
      <c r="BG356" s="2" t="n">
        <v>9.65</v>
      </c>
      <c r="BH356" s="2" t="n">
        <v>0</v>
      </c>
      <c r="BI356" s="2" t="n">
        <v>25.29</v>
      </c>
      <c r="BJ356" s="2" t="n">
        <v>9.65</v>
      </c>
      <c r="BK356" s="2" t="n">
        <v>0</v>
      </c>
      <c r="BL356" s="2" t="n">
        <v>29.8</v>
      </c>
      <c r="BM356" s="2" t="n">
        <v>9.65</v>
      </c>
      <c r="BN356" s="2" t="n">
        <v>0</v>
      </c>
      <c r="BO356" s="2" t="n">
        <v>36.05</v>
      </c>
      <c r="BP356" s="2" t="n">
        <v>9.65</v>
      </c>
      <c r="BQ356" s="2" t="n">
        <v>0</v>
      </c>
      <c r="BR356" s="2" t="n">
        <v>40.96</v>
      </c>
      <c r="BS356" s="2" t="n">
        <v>9.65</v>
      </c>
      <c r="BT356" s="2" t="n">
        <v>0</v>
      </c>
      <c r="BU356" s="2" t="n">
        <v>46.13</v>
      </c>
      <c r="BV356" s="2" t="n">
        <v>9.65</v>
      </c>
      <c r="BW356" s="2" t="n">
        <v>0</v>
      </c>
      <c r="BX356" s="2" t="n">
        <v>52.15</v>
      </c>
      <c r="BY356" s="2" t="n">
        <v>9.65</v>
      </c>
      <c r="BZ356" s="2" t="n">
        <v>0</v>
      </c>
      <c r="CA356" s="2" t="n">
        <v>58.09</v>
      </c>
      <c r="CB356" s="2" t="n">
        <v>9.65</v>
      </c>
      <c r="CC356" s="2" t="n">
        <v>0</v>
      </c>
      <c r="CD356" s="2" t="n">
        <v>64.66</v>
      </c>
      <c r="CE356" s="2" t="n">
        <v>9.65</v>
      </c>
      <c r="CF356" s="2" t="n">
        <v>0</v>
      </c>
      <c r="CG356" s="2" t="n">
        <v>70.45</v>
      </c>
      <c r="CH356" s="2" t="n">
        <v>9.65</v>
      </c>
      <c r="CI356" s="2" t="n">
        <v>0</v>
      </c>
      <c r="CJ356" s="2" t="n">
        <v>76.94</v>
      </c>
      <c r="CK356" s="2" t="n">
        <v>9.65</v>
      </c>
      <c r="CL356" s="2" t="n">
        <v>0</v>
      </c>
      <c r="CM356" s="2" t="n">
        <v>82.63</v>
      </c>
      <c r="CN356" s="2" t="n">
        <v>9.65</v>
      </c>
      <c r="CO356" s="2" t="n">
        <v>0</v>
      </c>
      <c r="CP356" s="2" t="n">
        <v>88.36</v>
      </c>
      <c r="CQ356" s="2" t="n">
        <v>9.65</v>
      </c>
      <c r="CR356" s="2" t="n">
        <v>0</v>
      </c>
      <c r="CS356" s="2" t="n">
        <v>93.31</v>
      </c>
      <c r="CT356" s="2" t="n">
        <v>9.65</v>
      </c>
      <c r="CU356" s="2" t="n">
        <v>0</v>
      </c>
      <c r="CV356" s="2" t="n">
        <v>96.62</v>
      </c>
      <c r="CW356" s="2" t="n">
        <v>9.65</v>
      </c>
      <c r="CX356" s="2" t="n">
        <v>0</v>
      </c>
      <c r="CY356" s="2" t="n">
        <v>99.08</v>
      </c>
      <c r="CZ356" s="2" t="n">
        <v>9.65</v>
      </c>
      <c r="DA356" s="2" t="n">
        <v>0</v>
      </c>
      <c r="DB356" s="2" t="n">
        <v>100</v>
      </c>
      <c r="DC356" s="2" t="n">
        <v>9.65</v>
      </c>
      <c r="DD356" s="2" t="n">
        <v>0</v>
      </c>
      <c r="DE356" s="2" t="n">
        <v>100</v>
      </c>
      <c r="DF356" s="2" t="n">
        <v>9.65</v>
      </c>
      <c r="DG356" s="2" t="n">
        <v>0</v>
      </c>
      <c r="DH356" s="2" t="n">
        <v>100</v>
      </c>
      <c r="DI356" s="2" t="n">
        <v>9.65</v>
      </c>
      <c r="DJ356" s="2" t="n">
        <v>0</v>
      </c>
      <c r="DK356" s="2" t="n">
        <v>100</v>
      </c>
      <c r="DL356" s="2" t="n">
        <v>9.65</v>
      </c>
      <c r="DM356" s="2" t="n">
        <v>0</v>
      </c>
      <c r="DN356" s="2" t="n">
        <v>100</v>
      </c>
      <c r="DO356" s="2" t="n">
        <v>9.65</v>
      </c>
      <c r="DP356" s="2" t="n">
        <v>0</v>
      </c>
      <c r="DQ356" s="2" t="n">
        <v>100</v>
      </c>
      <c r="DR356" s="2" t="n">
        <v>9.65</v>
      </c>
      <c r="DS356" s="2" t="n">
        <v>0</v>
      </c>
      <c r="DT356" s="2" t="n">
        <v>100</v>
      </c>
      <c r="DU356" s="2" t="n">
        <v>9.65</v>
      </c>
      <c r="DV356" s="2" t="n">
        <v>0</v>
      </c>
      <c r="DW356" s="2" t="n">
        <v>100</v>
      </c>
      <c r="DX356" s="2" t="n">
        <v>9.65</v>
      </c>
      <c r="DY356" s="2" t="n">
        <v>0</v>
      </c>
      <c r="DZ356" s="2" t="n">
        <v>100</v>
      </c>
      <c r="EA356" s="2" t="n">
        <v>9.65</v>
      </c>
      <c r="EB356" s="2" t="n">
        <v>0</v>
      </c>
      <c r="EC356" s="2" t="n">
        <v>100</v>
      </c>
      <c r="ED356" s="2" t="n">
        <v>9.65</v>
      </c>
      <c r="EE356" s="2" t="n">
        <v>0</v>
      </c>
      <c r="EF356" s="2" t="n">
        <v>100</v>
      </c>
      <c r="EG356" s="2" t="n">
        <v>9.65</v>
      </c>
      <c r="EH356" s="2" t="n">
        <v>0</v>
      </c>
      <c r="EI356" s="2" t="n">
        <v>100</v>
      </c>
      <c r="EJ356" s="2" t="n">
        <v>9.65</v>
      </c>
      <c r="EK356" s="2" t="n">
        <v>0</v>
      </c>
      <c r="EL356" s="2" t="n">
        <v>100</v>
      </c>
      <c r="EM356" s="2" t="n">
        <v>9.65</v>
      </c>
      <c r="EN356" s="2" t="n">
        <v>0</v>
      </c>
      <c r="EO356" s="2" t="n">
        <v>100</v>
      </c>
      <c r="EP356" s="2" t="n">
        <v>9.65</v>
      </c>
      <c r="EQ356" s="2" t="n">
        <v>0</v>
      </c>
      <c r="ER356" s="2" t="n">
        <v>100</v>
      </c>
      <c r="ES356" s="2" t="n">
        <v>9.65</v>
      </c>
    </row>
    <row r="357">
      <c r="A357" s="2" t="n">
        <v>1</v>
      </c>
      <c r="B357" s="2" t="inlineStr">
        <is>
          <t>18</t>
        </is>
      </c>
      <c r="C357" s="2" t="inlineStr">
        <is>
          <t>ALVENARIA</t>
        </is>
      </c>
      <c r="D357" s="2" t="inlineStr">
        <is>
          <t>16/03/2027</t>
        </is>
      </c>
      <c r="E357" s="2" t="inlineStr">
        <is>
          <t>21/08/2028</t>
        </is>
      </c>
      <c r="F357" s="2" t="n">
        <v>5927475.667271739</v>
      </c>
      <c r="G357" s="2" t="n">
        <v>0</v>
      </c>
      <c r="H357" s="2" t="n">
        <v>5927475.667271739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0</v>
      </c>
      <c r="AK357" s="2" t="n">
        <v>0</v>
      </c>
      <c r="AL357" s="2" t="n">
        <v>0</v>
      </c>
      <c r="AM357" s="2" t="n">
        <v>0</v>
      </c>
      <c r="AN357" s="2" t="n">
        <v>0</v>
      </c>
      <c r="AO357" s="2" t="n">
        <v>0</v>
      </c>
      <c r="AP357" s="2" t="n">
        <v>0</v>
      </c>
      <c r="AQ357" s="2" t="n">
        <v>0</v>
      </c>
      <c r="AR357" s="2" t="n">
        <v>0</v>
      </c>
      <c r="AS357" s="2" t="n">
        <v>0</v>
      </c>
      <c r="AT357" s="2" t="n">
        <v>0</v>
      </c>
      <c r="AU357" s="2" t="n">
        <v>0</v>
      </c>
      <c r="AV357" s="2" t="n">
        <v>0</v>
      </c>
      <c r="AW357" s="2" t="n">
        <v>0</v>
      </c>
      <c r="AX357" s="2" t="n">
        <v>0</v>
      </c>
      <c r="AY357" s="2" t="n">
        <v>0</v>
      </c>
      <c r="AZ357" s="2" t="n">
        <v>0</v>
      </c>
      <c r="BA357" s="2" t="n">
        <v>0</v>
      </c>
      <c r="BB357" s="2" t="n">
        <v>0</v>
      </c>
      <c r="BC357" s="2" t="n">
        <v>0</v>
      </c>
      <c r="BD357" s="2" t="n">
        <v>0</v>
      </c>
      <c r="BE357" s="2" t="n">
        <v>0</v>
      </c>
      <c r="BF357" s="2" t="n">
        <v>0</v>
      </c>
      <c r="BG357" s="2" t="n">
        <v>0</v>
      </c>
      <c r="BH357" s="2" t="n">
        <v>0</v>
      </c>
      <c r="BI357" s="2" t="n">
        <v>0</v>
      </c>
      <c r="BJ357" s="2" t="n">
        <v>0</v>
      </c>
      <c r="BK357" s="2" t="n">
        <v>0</v>
      </c>
      <c r="BL357" s="2" t="n">
        <v>0</v>
      </c>
      <c r="BM357" s="2" t="n">
        <v>0</v>
      </c>
      <c r="BN357" s="2" t="n">
        <v>0</v>
      </c>
      <c r="BO357" s="2" t="n">
        <v>0</v>
      </c>
      <c r="BP357" s="2" t="n">
        <v>0</v>
      </c>
      <c r="BQ357" s="2" t="n">
        <v>0</v>
      </c>
      <c r="BR357" s="2" t="n">
        <v>0</v>
      </c>
      <c r="BS357" s="2" t="n">
        <v>0</v>
      </c>
      <c r="BT357" s="2" t="n">
        <v>0.61</v>
      </c>
      <c r="BU357" s="2" t="n">
        <v>1.11</v>
      </c>
      <c r="BV357" s="2" t="n">
        <v>0</v>
      </c>
      <c r="BW357" s="2" t="n">
        <v>2.74</v>
      </c>
      <c r="BX357" s="2" t="n">
        <v>4.06</v>
      </c>
      <c r="BY357" s="2" t="n">
        <v>0</v>
      </c>
      <c r="BZ357" s="2" t="n">
        <v>7.06</v>
      </c>
      <c r="CA357" s="2" t="n">
        <v>8.82</v>
      </c>
      <c r="CB357" s="2" t="n">
        <v>0</v>
      </c>
      <c r="CC357" s="2" t="n">
        <v>12.73</v>
      </c>
      <c r="CD357" s="2" t="n">
        <v>14.34</v>
      </c>
      <c r="CE357" s="2" t="n">
        <v>0</v>
      </c>
      <c r="CF357" s="2" t="n">
        <v>18.14</v>
      </c>
      <c r="CG357" s="2" t="n">
        <v>20.52</v>
      </c>
      <c r="CH357" s="2" t="n">
        <v>0</v>
      </c>
      <c r="CI357" s="2" t="n">
        <v>26.41</v>
      </c>
      <c r="CJ357" s="2" t="n">
        <v>29.11</v>
      </c>
      <c r="CK357" s="2" t="n">
        <v>0</v>
      </c>
      <c r="CL357" s="2" t="n">
        <v>35.87</v>
      </c>
      <c r="CM357" s="2" t="n">
        <v>38.66</v>
      </c>
      <c r="CN357" s="2" t="n">
        <v>0</v>
      </c>
      <c r="CO357" s="2" t="n">
        <v>46.32</v>
      </c>
      <c r="CP357" s="2" t="n">
        <v>49.17</v>
      </c>
      <c r="CQ357" s="2" t="n">
        <v>0</v>
      </c>
      <c r="CR357" s="2" t="n">
        <v>56.8</v>
      </c>
      <c r="CS357" s="2" t="n">
        <v>59.6</v>
      </c>
      <c r="CT357" s="2" t="n">
        <v>0</v>
      </c>
      <c r="CU357" s="2" t="n">
        <v>64.19</v>
      </c>
      <c r="CV357" s="2" t="n">
        <v>66.84</v>
      </c>
      <c r="CW357" s="2" t="n">
        <v>0</v>
      </c>
      <c r="CX357" s="2" t="n">
        <v>72.45</v>
      </c>
      <c r="CY357" s="2" t="n">
        <v>74.58</v>
      </c>
      <c r="CZ357" s="2" t="n">
        <v>0</v>
      </c>
      <c r="DA357" s="2" t="n">
        <v>81.13</v>
      </c>
      <c r="DB357" s="2" t="n">
        <v>82.5</v>
      </c>
      <c r="DC357" s="2" t="n">
        <v>0</v>
      </c>
      <c r="DD357" s="2" t="n">
        <v>87.19</v>
      </c>
      <c r="DE357" s="2" t="n">
        <v>88.86</v>
      </c>
      <c r="DF357" s="2" t="n">
        <v>0</v>
      </c>
      <c r="DG357" s="2" t="n">
        <v>91.95</v>
      </c>
      <c r="DH357" s="2" t="n">
        <v>93.17</v>
      </c>
      <c r="DI357" s="2" t="n">
        <v>0</v>
      </c>
      <c r="DJ357" s="2" t="n">
        <v>96.39</v>
      </c>
      <c r="DK357" s="2" t="n">
        <v>96.93000000000001</v>
      </c>
      <c r="DL357" s="2" t="n">
        <v>0</v>
      </c>
      <c r="DM357" s="2" t="n">
        <v>97.95999999999999</v>
      </c>
      <c r="DN357" s="2" t="n">
        <v>98.03</v>
      </c>
      <c r="DO357" s="2" t="n">
        <v>0</v>
      </c>
      <c r="DP357" s="2" t="n">
        <v>98.91</v>
      </c>
      <c r="DQ357" s="2" t="n">
        <v>99.02</v>
      </c>
      <c r="DR357" s="2" t="n">
        <v>0</v>
      </c>
      <c r="DS357" s="2" t="n">
        <v>100</v>
      </c>
      <c r="DT357" s="2" t="n">
        <v>100</v>
      </c>
      <c r="DU357" s="2" t="n">
        <v>0</v>
      </c>
      <c r="DV357" s="2" t="n">
        <v>100</v>
      </c>
      <c r="DW357" s="2" t="n">
        <v>100</v>
      </c>
      <c r="DX357" s="2" t="n">
        <v>0</v>
      </c>
      <c r="DY357" s="2" t="n">
        <v>100</v>
      </c>
      <c r="DZ357" s="2" t="n">
        <v>100</v>
      </c>
      <c r="EA357" s="2" t="n">
        <v>0</v>
      </c>
      <c r="EB357" s="2" t="n">
        <v>100</v>
      </c>
      <c r="EC357" s="2" t="n">
        <v>100</v>
      </c>
      <c r="ED357" s="2" t="n">
        <v>0</v>
      </c>
      <c r="EE357" s="2" t="n">
        <v>100</v>
      </c>
      <c r="EF357" s="2" t="n">
        <v>100</v>
      </c>
      <c r="EG357" s="2" t="n">
        <v>0</v>
      </c>
      <c r="EH357" s="2" t="n">
        <v>100</v>
      </c>
      <c r="EI357" s="2" t="n">
        <v>100</v>
      </c>
      <c r="EJ357" s="2" t="n">
        <v>0</v>
      </c>
      <c r="EK357" s="2" t="n">
        <v>100</v>
      </c>
      <c r="EL357" s="2" t="n">
        <v>100</v>
      </c>
      <c r="EM357" s="2" t="n">
        <v>0</v>
      </c>
      <c r="EN357" s="2" t="n">
        <v>100</v>
      </c>
      <c r="EO357" s="2" t="n">
        <v>100</v>
      </c>
      <c r="EP357" s="2" t="n">
        <v>0</v>
      </c>
      <c r="EQ357" s="2" t="n">
        <v>100</v>
      </c>
      <c r="ER357" s="2" t="n">
        <v>100</v>
      </c>
      <c r="ES357" s="2" t="n">
        <v>0</v>
      </c>
    </row>
    <row r="358">
      <c r="A358" s="2" t="n">
        <v>2</v>
      </c>
      <c r="B358" s="2" t="inlineStr">
        <is>
          <t>18.01</t>
        </is>
      </c>
      <c r="C358" s="2" t="inlineStr">
        <is>
          <t>Alvenaria de vedação  com blocos cerâmicos</t>
        </is>
      </c>
      <c r="D358" s="2" t="inlineStr">
        <is>
          <t>16/03/2027</t>
        </is>
      </c>
      <c r="E358" s="2" t="inlineStr">
        <is>
          <t>04/05/2028</t>
        </is>
      </c>
      <c r="F358" s="2" t="n">
        <v>1638445.200144057</v>
      </c>
      <c r="G358" s="2" t="n">
        <v>0</v>
      </c>
      <c r="H358" s="2" t="n">
        <v>1638445.200144057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0</v>
      </c>
      <c r="AK358" s="2" t="n">
        <v>0</v>
      </c>
      <c r="AL358" s="2" t="n">
        <v>0</v>
      </c>
      <c r="AM358" s="2" t="n">
        <v>0</v>
      </c>
      <c r="AN358" s="2" t="n">
        <v>0</v>
      </c>
      <c r="AO358" s="2" t="n">
        <v>0</v>
      </c>
      <c r="AP358" s="2" t="n">
        <v>0</v>
      </c>
      <c r="AQ358" s="2" t="n">
        <v>0</v>
      </c>
      <c r="AR358" s="2" t="n">
        <v>0</v>
      </c>
      <c r="AS358" s="2" t="n">
        <v>0</v>
      </c>
      <c r="AT358" s="2" t="n">
        <v>0</v>
      </c>
      <c r="AU358" s="2" t="n">
        <v>0</v>
      </c>
      <c r="AV358" s="2" t="n">
        <v>0</v>
      </c>
      <c r="AW358" s="2" t="n">
        <v>0</v>
      </c>
      <c r="AX358" s="2" t="n">
        <v>0</v>
      </c>
      <c r="AY358" s="2" t="n">
        <v>0</v>
      </c>
      <c r="AZ358" s="2" t="n">
        <v>0</v>
      </c>
      <c r="BA358" s="2" t="n">
        <v>0</v>
      </c>
      <c r="BB358" s="2" t="n">
        <v>0</v>
      </c>
      <c r="BC358" s="2" t="n">
        <v>0</v>
      </c>
      <c r="BD358" s="2" t="n">
        <v>0</v>
      </c>
      <c r="BE358" s="2" t="n">
        <v>0</v>
      </c>
      <c r="BF358" s="2" t="n">
        <v>0</v>
      </c>
      <c r="BG358" s="2" t="n">
        <v>0</v>
      </c>
      <c r="BH358" s="2" t="n">
        <v>0</v>
      </c>
      <c r="BI358" s="2" t="n">
        <v>0</v>
      </c>
      <c r="BJ358" s="2" t="n">
        <v>0</v>
      </c>
      <c r="BK358" s="2" t="n">
        <v>0</v>
      </c>
      <c r="BL358" s="2" t="n">
        <v>0</v>
      </c>
      <c r="BM358" s="2" t="n">
        <v>0</v>
      </c>
      <c r="BN358" s="2" t="n">
        <v>0</v>
      </c>
      <c r="BO358" s="2" t="n">
        <v>0</v>
      </c>
      <c r="BP358" s="2" t="n">
        <v>0</v>
      </c>
      <c r="BQ358" s="2" t="n">
        <v>0</v>
      </c>
      <c r="BR358" s="2" t="n">
        <v>0</v>
      </c>
      <c r="BS358" s="2" t="n">
        <v>0</v>
      </c>
      <c r="BT358" s="2" t="n">
        <v>1.58</v>
      </c>
      <c r="BU358" s="2" t="n">
        <v>2.89</v>
      </c>
      <c r="BV358" s="2" t="n">
        <v>0</v>
      </c>
      <c r="BW358" s="2" t="n">
        <v>7.09</v>
      </c>
      <c r="BX358" s="2" t="n">
        <v>10.52</v>
      </c>
      <c r="BY358" s="2" t="n">
        <v>0</v>
      </c>
      <c r="BZ358" s="2" t="n">
        <v>18.31</v>
      </c>
      <c r="CA358" s="2" t="n">
        <v>22.87</v>
      </c>
      <c r="CB358" s="2" t="n">
        <v>0</v>
      </c>
      <c r="CC358" s="2" t="n">
        <v>33.02</v>
      </c>
      <c r="CD358" s="2" t="n">
        <v>37.18</v>
      </c>
      <c r="CE358" s="2" t="n">
        <v>0</v>
      </c>
      <c r="CF358" s="2" t="n">
        <v>42.74</v>
      </c>
      <c r="CG358" s="2" t="n">
        <v>46.92</v>
      </c>
      <c r="CH358" s="2" t="n">
        <v>0</v>
      </c>
      <c r="CI358" s="2" t="n">
        <v>52.53</v>
      </c>
      <c r="CJ358" s="2" t="n">
        <v>56.7</v>
      </c>
      <c r="CK358" s="2" t="n">
        <v>0</v>
      </c>
      <c r="CL358" s="2" t="n">
        <v>61.5</v>
      </c>
      <c r="CM358" s="2" t="n">
        <v>65.65000000000001</v>
      </c>
      <c r="CN358" s="2" t="n">
        <v>0</v>
      </c>
      <c r="CO358" s="2" t="n">
        <v>69.90000000000001</v>
      </c>
      <c r="CP358" s="2" t="n">
        <v>74.06</v>
      </c>
      <c r="CQ358" s="2" t="n">
        <v>0</v>
      </c>
      <c r="CR358" s="2" t="n">
        <v>78.81</v>
      </c>
      <c r="CS358" s="2" t="n">
        <v>82.95</v>
      </c>
      <c r="CT358" s="2" t="n">
        <v>0</v>
      </c>
      <c r="CU358" s="2" t="n">
        <v>85.27</v>
      </c>
      <c r="CV358" s="2" t="n">
        <v>89.28</v>
      </c>
      <c r="CW358" s="2" t="n">
        <v>0</v>
      </c>
      <c r="CX358" s="2" t="n">
        <v>93.92</v>
      </c>
      <c r="CY358" s="2" t="n">
        <v>96.45</v>
      </c>
      <c r="CZ358" s="2" t="n">
        <v>0</v>
      </c>
      <c r="DA358" s="2" t="n">
        <v>96.98</v>
      </c>
      <c r="DB358" s="2" t="n">
        <v>96.98</v>
      </c>
      <c r="DC358" s="2" t="n">
        <v>0</v>
      </c>
      <c r="DD358" s="2" t="n">
        <v>97.51000000000001</v>
      </c>
      <c r="DE358" s="2" t="n">
        <v>98.98</v>
      </c>
      <c r="DF358" s="2" t="n">
        <v>0</v>
      </c>
      <c r="DG358" s="2" t="n">
        <v>99.61</v>
      </c>
      <c r="DH358" s="2" t="n">
        <v>99.92</v>
      </c>
      <c r="DI358" s="2" t="n">
        <v>0</v>
      </c>
      <c r="DJ358" s="2" t="n">
        <v>100</v>
      </c>
      <c r="DK358" s="2" t="n">
        <v>100</v>
      </c>
      <c r="DL358" s="2" t="n">
        <v>0</v>
      </c>
      <c r="DM358" s="2" t="n">
        <v>100</v>
      </c>
      <c r="DN358" s="2" t="n">
        <v>100</v>
      </c>
      <c r="DO358" s="2" t="n">
        <v>0</v>
      </c>
      <c r="DP358" s="2" t="n">
        <v>100</v>
      </c>
      <c r="DQ358" s="2" t="n">
        <v>100</v>
      </c>
      <c r="DR358" s="2" t="n">
        <v>0</v>
      </c>
      <c r="DS358" s="2" t="n">
        <v>100</v>
      </c>
      <c r="DT358" s="2" t="n">
        <v>100</v>
      </c>
      <c r="DU358" s="2" t="n">
        <v>0</v>
      </c>
      <c r="DV358" s="2" t="n">
        <v>100</v>
      </c>
      <c r="DW358" s="2" t="n">
        <v>100</v>
      </c>
      <c r="DX358" s="2" t="n">
        <v>0</v>
      </c>
      <c r="DY358" s="2" t="n">
        <v>100</v>
      </c>
      <c r="DZ358" s="2" t="n">
        <v>100</v>
      </c>
      <c r="EA358" s="2" t="n">
        <v>0</v>
      </c>
      <c r="EB358" s="2" t="n">
        <v>100</v>
      </c>
      <c r="EC358" s="2" t="n">
        <v>100</v>
      </c>
      <c r="ED358" s="2" t="n">
        <v>0</v>
      </c>
      <c r="EE358" s="2" t="n">
        <v>100</v>
      </c>
      <c r="EF358" s="2" t="n">
        <v>100</v>
      </c>
      <c r="EG358" s="2" t="n">
        <v>0</v>
      </c>
      <c r="EH358" s="2" t="n">
        <v>100</v>
      </c>
      <c r="EI358" s="2" t="n">
        <v>100</v>
      </c>
      <c r="EJ358" s="2" t="n">
        <v>0</v>
      </c>
      <c r="EK358" s="2" t="n">
        <v>100</v>
      </c>
      <c r="EL358" s="2" t="n">
        <v>100</v>
      </c>
      <c r="EM358" s="2" t="n">
        <v>0</v>
      </c>
      <c r="EN358" s="2" t="n">
        <v>100</v>
      </c>
      <c r="EO358" s="2" t="n">
        <v>100</v>
      </c>
      <c r="EP358" s="2" t="n">
        <v>0</v>
      </c>
      <c r="EQ358" s="2" t="n">
        <v>100</v>
      </c>
      <c r="ER358" s="2" t="n">
        <v>100</v>
      </c>
      <c r="ES358" s="2" t="n">
        <v>0</v>
      </c>
    </row>
    <row r="359">
      <c r="A359" s="2" t="n">
        <v>3</v>
      </c>
      <c r="B359" s="2" t="inlineStr">
        <is>
          <t>18.01.01</t>
        </is>
      </c>
      <c r="C359" s="2" t="inlineStr">
        <is>
          <t>Esp. 9cm</t>
        </is>
      </c>
      <c r="D359" s="2" t="inlineStr">
        <is>
          <t>16/03/2027</t>
        </is>
      </c>
      <c r="E359" s="2" t="inlineStr">
        <is>
          <t>04/05/2028</t>
        </is>
      </c>
      <c r="F359" s="2" t="n">
        <v>77189.46294077656</v>
      </c>
      <c r="G359" s="2" t="n">
        <v>0</v>
      </c>
      <c r="H359" s="2" t="n">
        <v>77189.46294077656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0</v>
      </c>
      <c r="AK359" s="2" t="n">
        <v>0</v>
      </c>
      <c r="AL359" s="2" t="n">
        <v>0</v>
      </c>
      <c r="AM359" s="2" t="n">
        <v>0</v>
      </c>
      <c r="AN359" s="2" t="n">
        <v>0</v>
      </c>
      <c r="AO359" s="2" t="n">
        <v>0</v>
      </c>
      <c r="AP359" s="2" t="n">
        <v>0</v>
      </c>
      <c r="AQ359" s="2" t="n">
        <v>0</v>
      </c>
      <c r="AR359" s="2" t="n">
        <v>0</v>
      </c>
      <c r="AS359" s="2" t="n">
        <v>0</v>
      </c>
      <c r="AT359" s="2" t="n">
        <v>0</v>
      </c>
      <c r="AU359" s="2" t="n">
        <v>0</v>
      </c>
      <c r="AV359" s="2" t="n">
        <v>0</v>
      </c>
      <c r="AW359" s="2" t="n">
        <v>0</v>
      </c>
      <c r="AX359" s="2" t="n">
        <v>0</v>
      </c>
      <c r="AY359" s="2" t="n">
        <v>0</v>
      </c>
      <c r="AZ359" s="2" t="n">
        <v>0</v>
      </c>
      <c r="BA359" s="2" t="n">
        <v>0</v>
      </c>
      <c r="BB359" s="2" t="n">
        <v>0</v>
      </c>
      <c r="BC359" s="2" t="n">
        <v>0</v>
      </c>
      <c r="BD359" s="2" t="n">
        <v>0</v>
      </c>
      <c r="BE359" s="2" t="n">
        <v>0</v>
      </c>
      <c r="BF359" s="2" t="n">
        <v>0</v>
      </c>
      <c r="BG359" s="2" t="n">
        <v>0</v>
      </c>
      <c r="BH359" s="2" t="n">
        <v>0</v>
      </c>
      <c r="BI359" s="2" t="n">
        <v>0</v>
      </c>
      <c r="BJ359" s="2" t="n">
        <v>0</v>
      </c>
      <c r="BK359" s="2" t="n">
        <v>0</v>
      </c>
      <c r="BL359" s="2" t="n">
        <v>0</v>
      </c>
      <c r="BM359" s="2" t="n">
        <v>0</v>
      </c>
      <c r="BN359" s="2" t="n">
        <v>0</v>
      </c>
      <c r="BO359" s="2" t="n">
        <v>0</v>
      </c>
      <c r="BP359" s="2" t="n">
        <v>0</v>
      </c>
      <c r="BQ359" s="2" t="n">
        <v>0</v>
      </c>
      <c r="BR359" s="2" t="n">
        <v>0</v>
      </c>
      <c r="BS359" s="2" t="n">
        <v>0</v>
      </c>
      <c r="BT359" s="2" t="n">
        <v>1.58</v>
      </c>
      <c r="BU359" s="2" t="n">
        <v>2.89</v>
      </c>
      <c r="BV359" s="2" t="n">
        <v>0</v>
      </c>
      <c r="BW359" s="2" t="n">
        <v>7.09</v>
      </c>
      <c r="BX359" s="2" t="n">
        <v>10.52</v>
      </c>
      <c r="BY359" s="2" t="n">
        <v>0</v>
      </c>
      <c r="BZ359" s="2" t="n">
        <v>18.31</v>
      </c>
      <c r="CA359" s="2" t="n">
        <v>22.87</v>
      </c>
      <c r="CB359" s="2" t="n">
        <v>0</v>
      </c>
      <c r="CC359" s="2" t="n">
        <v>33.02</v>
      </c>
      <c r="CD359" s="2" t="n">
        <v>37.18</v>
      </c>
      <c r="CE359" s="2" t="n">
        <v>0</v>
      </c>
      <c r="CF359" s="2" t="n">
        <v>42.74</v>
      </c>
      <c r="CG359" s="2" t="n">
        <v>46.92</v>
      </c>
      <c r="CH359" s="2" t="n">
        <v>0</v>
      </c>
      <c r="CI359" s="2" t="n">
        <v>52.53</v>
      </c>
      <c r="CJ359" s="2" t="n">
        <v>56.7</v>
      </c>
      <c r="CK359" s="2" t="n">
        <v>0</v>
      </c>
      <c r="CL359" s="2" t="n">
        <v>61.5</v>
      </c>
      <c r="CM359" s="2" t="n">
        <v>65.65000000000001</v>
      </c>
      <c r="CN359" s="2" t="n">
        <v>0</v>
      </c>
      <c r="CO359" s="2" t="n">
        <v>69.90000000000001</v>
      </c>
      <c r="CP359" s="2" t="n">
        <v>74.06</v>
      </c>
      <c r="CQ359" s="2" t="n">
        <v>0</v>
      </c>
      <c r="CR359" s="2" t="n">
        <v>78.81</v>
      </c>
      <c r="CS359" s="2" t="n">
        <v>82.95</v>
      </c>
      <c r="CT359" s="2" t="n">
        <v>0</v>
      </c>
      <c r="CU359" s="2" t="n">
        <v>85.27</v>
      </c>
      <c r="CV359" s="2" t="n">
        <v>89.28</v>
      </c>
      <c r="CW359" s="2" t="n">
        <v>0</v>
      </c>
      <c r="CX359" s="2" t="n">
        <v>93.92</v>
      </c>
      <c r="CY359" s="2" t="n">
        <v>96.45</v>
      </c>
      <c r="CZ359" s="2" t="n">
        <v>0</v>
      </c>
      <c r="DA359" s="2" t="n">
        <v>96.98</v>
      </c>
      <c r="DB359" s="2" t="n">
        <v>96.98</v>
      </c>
      <c r="DC359" s="2" t="n">
        <v>0</v>
      </c>
      <c r="DD359" s="2" t="n">
        <v>97.51000000000001</v>
      </c>
      <c r="DE359" s="2" t="n">
        <v>98.98</v>
      </c>
      <c r="DF359" s="2" t="n">
        <v>0</v>
      </c>
      <c r="DG359" s="2" t="n">
        <v>99.61</v>
      </c>
      <c r="DH359" s="2" t="n">
        <v>99.92</v>
      </c>
      <c r="DI359" s="2" t="n">
        <v>0</v>
      </c>
      <c r="DJ359" s="2" t="n">
        <v>100</v>
      </c>
      <c r="DK359" s="2" t="n">
        <v>100</v>
      </c>
      <c r="DL359" s="2" t="n">
        <v>0</v>
      </c>
      <c r="DM359" s="2" t="n">
        <v>100</v>
      </c>
      <c r="DN359" s="2" t="n">
        <v>100</v>
      </c>
      <c r="DO359" s="2" t="n">
        <v>0</v>
      </c>
      <c r="DP359" s="2" t="n">
        <v>100</v>
      </c>
      <c r="DQ359" s="2" t="n">
        <v>100</v>
      </c>
      <c r="DR359" s="2" t="n">
        <v>0</v>
      </c>
      <c r="DS359" s="2" t="n">
        <v>100</v>
      </c>
      <c r="DT359" s="2" t="n">
        <v>100</v>
      </c>
      <c r="DU359" s="2" t="n">
        <v>0</v>
      </c>
      <c r="DV359" s="2" t="n">
        <v>100</v>
      </c>
      <c r="DW359" s="2" t="n">
        <v>100</v>
      </c>
      <c r="DX359" s="2" t="n">
        <v>0</v>
      </c>
      <c r="DY359" s="2" t="n">
        <v>100</v>
      </c>
      <c r="DZ359" s="2" t="n">
        <v>100</v>
      </c>
      <c r="EA359" s="2" t="n">
        <v>0</v>
      </c>
      <c r="EB359" s="2" t="n">
        <v>100</v>
      </c>
      <c r="EC359" s="2" t="n">
        <v>100</v>
      </c>
      <c r="ED359" s="2" t="n">
        <v>0</v>
      </c>
      <c r="EE359" s="2" t="n">
        <v>100</v>
      </c>
      <c r="EF359" s="2" t="n">
        <v>100</v>
      </c>
      <c r="EG359" s="2" t="n">
        <v>0</v>
      </c>
      <c r="EH359" s="2" t="n">
        <v>100</v>
      </c>
      <c r="EI359" s="2" t="n">
        <v>100</v>
      </c>
      <c r="EJ359" s="2" t="n">
        <v>0</v>
      </c>
      <c r="EK359" s="2" t="n">
        <v>100</v>
      </c>
      <c r="EL359" s="2" t="n">
        <v>100</v>
      </c>
      <c r="EM359" s="2" t="n">
        <v>0</v>
      </c>
      <c r="EN359" s="2" t="n">
        <v>100</v>
      </c>
      <c r="EO359" s="2" t="n">
        <v>100</v>
      </c>
      <c r="EP359" s="2" t="n">
        <v>0</v>
      </c>
      <c r="EQ359" s="2" t="n">
        <v>100</v>
      </c>
      <c r="ER359" s="2" t="n">
        <v>100</v>
      </c>
      <c r="ES359" s="2" t="n">
        <v>0</v>
      </c>
    </row>
    <row r="360">
      <c r="A360" s="2" t="n">
        <v>4</v>
      </c>
      <c r="B360" s="2" t="inlineStr">
        <is>
          <t>18.01.01.01</t>
        </is>
      </c>
      <c r="C360" s="2" t="inlineStr">
        <is>
          <t>Demarcação de alvenaria de vedação com blocos cerâmicos esp.9cm</t>
        </is>
      </c>
      <c r="D360" s="2" t="inlineStr">
        <is>
          <t>16/03/2027</t>
        </is>
      </c>
      <c r="E360" s="2" t="inlineStr">
        <is>
          <t>04/05/2028</t>
        </is>
      </c>
      <c r="F360" s="2" t="n">
        <v>7002.8368488192</v>
      </c>
      <c r="G360" s="2" t="n">
        <v>0</v>
      </c>
      <c r="H360" s="2" t="n">
        <v>7002.8368488192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0</v>
      </c>
      <c r="AK360" s="2" t="n">
        <v>0</v>
      </c>
      <c r="AL360" s="2" t="n">
        <v>0</v>
      </c>
      <c r="AM360" s="2" t="n">
        <v>0</v>
      </c>
      <c r="AN360" s="2" t="n">
        <v>0</v>
      </c>
      <c r="AO360" s="2" t="n">
        <v>0</v>
      </c>
      <c r="AP360" s="2" t="n">
        <v>0</v>
      </c>
      <c r="AQ360" s="2" t="n">
        <v>0</v>
      </c>
      <c r="AR360" s="2" t="n">
        <v>0</v>
      </c>
      <c r="AS360" s="2" t="n">
        <v>0</v>
      </c>
      <c r="AT360" s="2" t="n">
        <v>0</v>
      </c>
      <c r="AU360" s="2" t="n">
        <v>0</v>
      </c>
      <c r="AV360" s="2" t="n">
        <v>0</v>
      </c>
      <c r="AW360" s="2" t="n">
        <v>0</v>
      </c>
      <c r="AX360" s="2" t="n">
        <v>0</v>
      </c>
      <c r="AY360" s="2" t="n">
        <v>0</v>
      </c>
      <c r="AZ360" s="2" t="n">
        <v>0</v>
      </c>
      <c r="BA360" s="2" t="n">
        <v>0</v>
      </c>
      <c r="BB360" s="2" t="n">
        <v>0</v>
      </c>
      <c r="BC360" s="2" t="n">
        <v>0</v>
      </c>
      <c r="BD360" s="2" t="n">
        <v>0</v>
      </c>
      <c r="BE360" s="2" t="n">
        <v>0</v>
      </c>
      <c r="BF360" s="2" t="n">
        <v>0</v>
      </c>
      <c r="BG360" s="2" t="n">
        <v>0</v>
      </c>
      <c r="BH360" s="2" t="n">
        <v>0</v>
      </c>
      <c r="BI360" s="2" t="n">
        <v>0</v>
      </c>
      <c r="BJ360" s="2" t="n">
        <v>0</v>
      </c>
      <c r="BK360" s="2" t="n">
        <v>0</v>
      </c>
      <c r="BL360" s="2" t="n">
        <v>0</v>
      </c>
      <c r="BM360" s="2" t="n">
        <v>0</v>
      </c>
      <c r="BN360" s="2" t="n">
        <v>0</v>
      </c>
      <c r="BO360" s="2" t="n">
        <v>0</v>
      </c>
      <c r="BP360" s="2" t="n">
        <v>0</v>
      </c>
      <c r="BQ360" s="2" t="n">
        <v>0</v>
      </c>
      <c r="BR360" s="2" t="n">
        <v>0</v>
      </c>
      <c r="BS360" s="2" t="n">
        <v>0</v>
      </c>
      <c r="BT360" s="2" t="n">
        <v>1.58</v>
      </c>
      <c r="BU360" s="2" t="n">
        <v>2.89</v>
      </c>
      <c r="BV360" s="2" t="n">
        <v>0</v>
      </c>
      <c r="BW360" s="2" t="n">
        <v>7.09</v>
      </c>
      <c r="BX360" s="2" t="n">
        <v>10.52</v>
      </c>
      <c r="BY360" s="2" t="n">
        <v>0</v>
      </c>
      <c r="BZ360" s="2" t="n">
        <v>18.31</v>
      </c>
      <c r="CA360" s="2" t="n">
        <v>22.87</v>
      </c>
      <c r="CB360" s="2" t="n">
        <v>0</v>
      </c>
      <c r="CC360" s="2" t="n">
        <v>33.02</v>
      </c>
      <c r="CD360" s="2" t="n">
        <v>37.18</v>
      </c>
      <c r="CE360" s="2" t="n">
        <v>0</v>
      </c>
      <c r="CF360" s="2" t="n">
        <v>42.74</v>
      </c>
      <c r="CG360" s="2" t="n">
        <v>46.92</v>
      </c>
      <c r="CH360" s="2" t="n">
        <v>0</v>
      </c>
      <c r="CI360" s="2" t="n">
        <v>52.53</v>
      </c>
      <c r="CJ360" s="2" t="n">
        <v>56.7</v>
      </c>
      <c r="CK360" s="2" t="n">
        <v>0</v>
      </c>
      <c r="CL360" s="2" t="n">
        <v>61.5</v>
      </c>
      <c r="CM360" s="2" t="n">
        <v>65.65000000000001</v>
      </c>
      <c r="CN360" s="2" t="n">
        <v>0</v>
      </c>
      <c r="CO360" s="2" t="n">
        <v>69.90000000000001</v>
      </c>
      <c r="CP360" s="2" t="n">
        <v>74.06</v>
      </c>
      <c r="CQ360" s="2" t="n">
        <v>0</v>
      </c>
      <c r="CR360" s="2" t="n">
        <v>78.81</v>
      </c>
      <c r="CS360" s="2" t="n">
        <v>82.95</v>
      </c>
      <c r="CT360" s="2" t="n">
        <v>0</v>
      </c>
      <c r="CU360" s="2" t="n">
        <v>85.27</v>
      </c>
      <c r="CV360" s="2" t="n">
        <v>89.28</v>
      </c>
      <c r="CW360" s="2" t="n">
        <v>0</v>
      </c>
      <c r="CX360" s="2" t="n">
        <v>93.92</v>
      </c>
      <c r="CY360" s="2" t="n">
        <v>96.45</v>
      </c>
      <c r="CZ360" s="2" t="n">
        <v>0</v>
      </c>
      <c r="DA360" s="2" t="n">
        <v>96.98</v>
      </c>
      <c r="DB360" s="2" t="n">
        <v>96.98</v>
      </c>
      <c r="DC360" s="2" t="n">
        <v>0</v>
      </c>
      <c r="DD360" s="2" t="n">
        <v>97.51000000000001</v>
      </c>
      <c r="DE360" s="2" t="n">
        <v>98.98</v>
      </c>
      <c r="DF360" s="2" t="n">
        <v>0</v>
      </c>
      <c r="DG360" s="2" t="n">
        <v>99.61</v>
      </c>
      <c r="DH360" s="2" t="n">
        <v>99.92</v>
      </c>
      <c r="DI360" s="2" t="n">
        <v>0</v>
      </c>
      <c r="DJ360" s="2" t="n">
        <v>100</v>
      </c>
      <c r="DK360" s="2" t="n">
        <v>100</v>
      </c>
      <c r="DL360" s="2" t="n">
        <v>0</v>
      </c>
      <c r="DM360" s="2" t="n">
        <v>100</v>
      </c>
      <c r="DN360" s="2" t="n">
        <v>100</v>
      </c>
      <c r="DO360" s="2" t="n">
        <v>0</v>
      </c>
      <c r="DP360" s="2" t="n">
        <v>100</v>
      </c>
      <c r="DQ360" s="2" t="n">
        <v>100</v>
      </c>
      <c r="DR360" s="2" t="n">
        <v>0</v>
      </c>
      <c r="DS360" s="2" t="n">
        <v>100</v>
      </c>
      <c r="DT360" s="2" t="n">
        <v>100</v>
      </c>
      <c r="DU360" s="2" t="n">
        <v>0</v>
      </c>
      <c r="DV360" s="2" t="n">
        <v>100</v>
      </c>
      <c r="DW360" s="2" t="n">
        <v>100</v>
      </c>
      <c r="DX360" s="2" t="n">
        <v>0</v>
      </c>
      <c r="DY360" s="2" t="n">
        <v>100</v>
      </c>
      <c r="DZ360" s="2" t="n">
        <v>100</v>
      </c>
      <c r="EA360" s="2" t="n">
        <v>0</v>
      </c>
      <c r="EB360" s="2" t="n">
        <v>100</v>
      </c>
      <c r="EC360" s="2" t="n">
        <v>100</v>
      </c>
      <c r="ED360" s="2" t="n">
        <v>0</v>
      </c>
      <c r="EE360" s="2" t="n">
        <v>100</v>
      </c>
      <c r="EF360" s="2" t="n">
        <v>100</v>
      </c>
      <c r="EG360" s="2" t="n">
        <v>0</v>
      </c>
      <c r="EH360" s="2" t="n">
        <v>100</v>
      </c>
      <c r="EI360" s="2" t="n">
        <v>100</v>
      </c>
      <c r="EJ360" s="2" t="n">
        <v>0</v>
      </c>
      <c r="EK360" s="2" t="n">
        <v>100</v>
      </c>
      <c r="EL360" s="2" t="n">
        <v>100</v>
      </c>
      <c r="EM360" s="2" t="n">
        <v>0</v>
      </c>
      <c r="EN360" s="2" t="n">
        <v>100</v>
      </c>
      <c r="EO360" s="2" t="n">
        <v>100</v>
      </c>
      <c r="EP360" s="2" t="n">
        <v>0</v>
      </c>
      <c r="EQ360" s="2" t="n">
        <v>100</v>
      </c>
      <c r="ER360" s="2" t="n">
        <v>100</v>
      </c>
      <c r="ES360" s="2" t="n">
        <v>0</v>
      </c>
    </row>
    <row r="361">
      <c r="A361" s="2" t="n">
        <v>4</v>
      </c>
      <c r="B361" s="2" t="inlineStr">
        <is>
          <t>18.01.01.02</t>
        </is>
      </c>
      <c r="C361" s="2" t="inlineStr">
        <is>
          <t>Alvenaria de vedação com blocos cerâmicos esp. 9cm</t>
        </is>
      </c>
      <c r="D361" s="2" t="inlineStr">
        <is>
          <t>16/03/2027</t>
        </is>
      </c>
      <c r="E361" s="2" t="inlineStr">
        <is>
          <t>04/05/2028</t>
        </is>
      </c>
      <c r="F361" s="2" t="n">
        <v>65749.045668768</v>
      </c>
      <c r="G361" s="2" t="n">
        <v>0</v>
      </c>
      <c r="H361" s="2" t="n">
        <v>65749.045668768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0</v>
      </c>
      <c r="AK361" s="2" t="n">
        <v>0</v>
      </c>
      <c r="AL361" s="2" t="n">
        <v>0</v>
      </c>
      <c r="AM361" s="2" t="n">
        <v>0</v>
      </c>
      <c r="AN361" s="2" t="n">
        <v>0</v>
      </c>
      <c r="AO361" s="2" t="n">
        <v>0</v>
      </c>
      <c r="AP361" s="2" t="n">
        <v>0</v>
      </c>
      <c r="AQ361" s="2" t="n">
        <v>0</v>
      </c>
      <c r="AR361" s="2" t="n">
        <v>0</v>
      </c>
      <c r="AS361" s="2" t="n">
        <v>0</v>
      </c>
      <c r="AT361" s="2" t="n">
        <v>0</v>
      </c>
      <c r="AU361" s="2" t="n">
        <v>0</v>
      </c>
      <c r="AV361" s="2" t="n">
        <v>0</v>
      </c>
      <c r="AW361" s="2" t="n">
        <v>0</v>
      </c>
      <c r="AX361" s="2" t="n">
        <v>0</v>
      </c>
      <c r="AY361" s="2" t="n">
        <v>0</v>
      </c>
      <c r="AZ361" s="2" t="n">
        <v>0</v>
      </c>
      <c r="BA361" s="2" t="n">
        <v>0</v>
      </c>
      <c r="BB361" s="2" t="n">
        <v>0</v>
      </c>
      <c r="BC361" s="2" t="n">
        <v>0</v>
      </c>
      <c r="BD361" s="2" t="n">
        <v>0</v>
      </c>
      <c r="BE361" s="2" t="n">
        <v>0</v>
      </c>
      <c r="BF361" s="2" t="n">
        <v>0</v>
      </c>
      <c r="BG361" s="2" t="n">
        <v>0</v>
      </c>
      <c r="BH361" s="2" t="n">
        <v>0</v>
      </c>
      <c r="BI361" s="2" t="n">
        <v>0</v>
      </c>
      <c r="BJ361" s="2" t="n">
        <v>0</v>
      </c>
      <c r="BK361" s="2" t="n">
        <v>0</v>
      </c>
      <c r="BL361" s="2" t="n">
        <v>0</v>
      </c>
      <c r="BM361" s="2" t="n">
        <v>0</v>
      </c>
      <c r="BN361" s="2" t="n">
        <v>0</v>
      </c>
      <c r="BO361" s="2" t="n">
        <v>0</v>
      </c>
      <c r="BP361" s="2" t="n">
        <v>0</v>
      </c>
      <c r="BQ361" s="2" t="n">
        <v>0</v>
      </c>
      <c r="BR361" s="2" t="n">
        <v>0</v>
      </c>
      <c r="BS361" s="2" t="n">
        <v>0</v>
      </c>
      <c r="BT361" s="2" t="n">
        <v>1.58</v>
      </c>
      <c r="BU361" s="2" t="n">
        <v>2.89</v>
      </c>
      <c r="BV361" s="2" t="n">
        <v>0</v>
      </c>
      <c r="BW361" s="2" t="n">
        <v>7.09</v>
      </c>
      <c r="BX361" s="2" t="n">
        <v>10.52</v>
      </c>
      <c r="BY361" s="2" t="n">
        <v>0</v>
      </c>
      <c r="BZ361" s="2" t="n">
        <v>18.31</v>
      </c>
      <c r="CA361" s="2" t="n">
        <v>22.87</v>
      </c>
      <c r="CB361" s="2" t="n">
        <v>0</v>
      </c>
      <c r="CC361" s="2" t="n">
        <v>33.02</v>
      </c>
      <c r="CD361" s="2" t="n">
        <v>37.18</v>
      </c>
      <c r="CE361" s="2" t="n">
        <v>0</v>
      </c>
      <c r="CF361" s="2" t="n">
        <v>42.74</v>
      </c>
      <c r="CG361" s="2" t="n">
        <v>46.92</v>
      </c>
      <c r="CH361" s="2" t="n">
        <v>0</v>
      </c>
      <c r="CI361" s="2" t="n">
        <v>52.53</v>
      </c>
      <c r="CJ361" s="2" t="n">
        <v>56.7</v>
      </c>
      <c r="CK361" s="2" t="n">
        <v>0</v>
      </c>
      <c r="CL361" s="2" t="n">
        <v>61.5</v>
      </c>
      <c r="CM361" s="2" t="n">
        <v>65.65000000000001</v>
      </c>
      <c r="CN361" s="2" t="n">
        <v>0</v>
      </c>
      <c r="CO361" s="2" t="n">
        <v>69.90000000000001</v>
      </c>
      <c r="CP361" s="2" t="n">
        <v>74.06</v>
      </c>
      <c r="CQ361" s="2" t="n">
        <v>0</v>
      </c>
      <c r="CR361" s="2" t="n">
        <v>78.81</v>
      </c>
      <c r="CS361" s="2" t="n">
        <v>82.95</v>
      </c>
      <c r="CT361" s="2" t="n">
        <v>0</v>
      </c>
      <c r="CU361" s="2" t="n">
        <v>85.27</v>
      </c>
      <c r="CV361" s="2" t="n">
        <v>89.28</v>
      </c>
      <c r="CW361" s="2" t="n">
        <v>0</v>
      </c>
      <c r="CX361" s="2" t="n">
        <v>93.92</v>
      </c>
      <c r="CY361" s="2" t="n">
        <v>96.45</v>
      </c>
      <c r="CZ361" s="2" t="n">
        <v>0</v>
      </c>
      <c r="DA361" s="2" t="n">
        <v>96.98</v>
      </c>
      <c r="DB361" s="2" t="n">
        <v>96.98</v>
      </c>
      <c r="DC361" s="2" t="n">
        <v>0</v>
      </c>
      <c r="DD361" s="2" t="n">
        <v>97.51000000000001</v>
      </c>
      <c r="DE361" s="2" t="n">
        <v>98.98</v>
      </c>
      <c r="DF361" s="2" t="n">
        <v>0</v>
      </c>
      <c r="DG361" s="2" t="n">
        <v>99.61</v>
      </c>
      <c r="DH361" s="2" t="n">
        <v>99.92</v>
      </c>
      <c r="DI361" s="2" t="n">
        <v>0</v>
      </c>
      <c r="DJ361" s="2" t="n">
        <v>100</v>
      </c>
      <c r="DK361" s="2" t="n">
        <v>100</v>
      </c>
      <c r="DL361" s="2" t="n">
        <v>0</v>
      </c>
      <c r="DM361" s="2" t="n">
        <v>100</v>
      </c>
      <c r="DN361" s="2" t="n">
        <v>100</v>
      </c>
      <c r="DO361" s="2" t="n">
        <v>0</v>
      </c>
      <c r="DP361" s="2" t="n">
        <v>100</v>
      </c>
      <c r="DQ361" s="2" t="n">
        <v>100</v>
      </c>
      <c r="DR361" s="2" t="n">
        <v>0</v>
      </c>
      <c r="DS361" s="2" t="n">
        <v>100</v>
      </c>
      <c r="DT361" s="2" t="n">
        <v>100</v>
      </c>
      <c r="DU361" s="2" t="n">
        <v>0</v>
      </c>
      <c r="DV361" s="2" t="n">
        <v>100</v>
      </c>
      <c r="DW361" s="2" t="n">
        <v>100</v>
      </c>
      <c r="DX361" s="2" t="n">
        <v>0</v>
      </c>
      <c r="DY361" s="2" t="n">
        <v>100</v>
      </c>
      <c r="DZ361" s="2" t="n">
        <v>100</v>
      </c>
      <c r="EA361" s="2" t="n">
        <v>0</v>
      </c>
      <c r="EB361" s="2" t="n">
        <v>100</v>
      </c>
      <c r="EC361" s="2" t="n">
        <v>100</v>
      </c>
      <c r="ED361" s="2" t="n">
        <v>0</v>
      </c>
      <c r="EE361" s="2" t="n">
        <v>100</v>
      </c>
      <c r="EF361" s="2" t="n">
        <v>100</v>
      </c>
      <c r="EG361" s="2" t="n">
        <v>0</v>
      </c>
      <c r="EH361" s="2" t="n">
        <v>100</v>
      </c>
      <c r="EI361" s="2" t="n">
        <v>100</v>
      </c>
      <c r="EJ361" s="2" t="n">
        <v>0</v>
      </c>
      <c r="EK361" s="2" t="n">
        <v>100</v>
      </c>
      <c r="EL361" s="2" t="n">
        <v>100</v>
      </c>
      <c r="EM361" s="2" t="n">
        <v>0</v>
      </c>
      <c r="EN361" s="2" t="n">
        <v>100</v>
      </c>
      <c r="EO361" s="2" t="n">
        <v>100</v>
      </c>
      <c r="EP361" s="2" t="n">
        <v>0</v>
      </c>
      <c r="EQ361" s="2" t="n">
        <v>100</v>
      </c>
      <c r="ER361" s="2" t="n">
        <v>100</v>
      </c>
      <c r="ES361" s="2" t="n">
        <v>0</v>
      </c>
    </row>
    <row r="362">
      <c r="A362" s="2" t="n">
        <v>4</v>
      </c>
      <c r="B362" s="2" t="inlineStr">
        <is>
          <t>18.01.01.03</t>
        </is>
      </c>
      <c r="C362" s="2" t="inlineStr">
        <is>
          <t>Encunhamento com espuma expansiva de poliuretano</t>
        </is>
      </c>
      <c r="D362" s="2" t="inlineStr">
        <is>
          <t>16/03/2027</t>
        </is>
      </c>
      <c r="E362" s="2" t="inlineStr">
        <is>
          <t>04/05/2028</t>
        </is>
      </c>
      <c r="F362" s="2" t="n">
        <v>1525.321241753556</v>
      </c>
      <c r="G362" s="2" t="n">
        <v>0</v>
      </c>
      <c r="H362" s="2" t="n">
        <v>1525.321241753556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0</v>
      </c>
      <c r="AK362" s="2" t="n">
        <v>0</v>
      </c>
      <c r="AL362" s="2" t="n">
        <v>0</v>
      </c>
      <c r="AM362" s="2" t="n">
        <v>0</v>
      </c>
      <c r="AN362" s="2" t="n">
        <v>0</v>
      </c>
      <c r="AO362" s="2" t="n">
        <v>0</v>
      </c>
      <c r="AP362" s="2" t="n">
        <v>0</v>
      </c>
      <c r="AQ362" s="2" t="n">
        <v>0</v>
      </c>
      <c r="AR362" s="2" t="n">
        <v>0</v>
      </c>
      <c r="AS362" s="2" t="n">
        <v>0</v>
      </c>
      <c r="AT362" s="2" t="n">
        <v>0</v>
      </c>
      <c r="AU362" s="2" t="n">
        <v>0</v>
      </c>
      <c r="AV362" s="2" t="n">
        <v>0</v>
      </c>
      <c r="AW362" s="2" t="n">
        <v>0</v>
      </c>
      <c r="AX362" s="2" t="n">
        <v>0</v>
      </c>
      <c r="AY362" s="2" t="n">
        <v>0</v>
      </c>
      <c r="AZ362" s="2" t="n">
        <v>0</v>
      </c>
      <c r="BA362" s="2" t="n">
        <v>0</v>
      </c>
      <c r="BB362" s="2" t="n">
        <v>0</v>
      </c>
      <c r="BC362" s="2" t="n">
        <v>0</v>
      </c>
      <c r="BD362" s="2" t="n">
        <v>0</v>
      </c>
      <c r="BE362" s="2" t="n">
        <v>0</v>
      </c>
      <c r="BF362" s="2" t="n">
        <v>0</v>
      </c>
      <c r="BG362" s="2" t="n">
        <v>0</v>
      </c>
      <c r="BH362" s="2" t="n">
        <v>0</v>
      </c>
      <c r="BI362" s="2" t="n">
        <v>0</v>
      </c>
      <c r="BJ362" s="2" t="n">
        <v>0</v>
      </c>
      <c r="BK362" s="2" t="n">
        <v>0</v>
      </c>
      <c r="BL362" s="2" t="n">
        <v>0</v>
      </c>
      <c r="BM362" s="2" t="n">
        <v>0</v>
      </c>
      <c r="BN362" s="2" t="n">
        <v>0</v>
      </c>
      <c r="BO362" s="2" t="n">
        <v>0</v>
      </c>
      <c r="BP362" s="2" t="n">
        <v>0</v>
      </c>
      <c r="BQ362" s="2" t="n">
        <v>0</v>
      </c>
      <c r="BR362" s="2" t="n">
        <v>0</v>
      </c>
      <c r="BS362" s="2" t="n">
        <v>0</v>
      </c>
      <c r="BT362" s="2" t="n">
        <v>1.58</v>
      </c>
      <c r="BU362" s="2" t="n">
        <v>2.89</v>
      </c>
      <c r="BV362" s="2" t="n">
        <v>0</v>
      </c>
      <c r="BW362" s="2" t="n">
        <v>7.09</v>
      </c>
      <c r="BX362" s="2" t="n">
        <v>10.52</v>
      </c>
      <c r="BY362" s="2" t="n">
        <v>0</v>
      </c>
      <c r="BZ362" s="2" t="n">
        <v>18.31</v>
      </c>
      <c r="CA362" s="2" t="n">
        <v>22.87</v>
      </c>
      <c r="CB362" s="2" t="n">
        <v>0</v>
      </c>
      <c r="CC362" s="2" t="n">
        <v>33.02</v>
      </c>
      <c r="CD362" s="2" t="n">
        <v>37.18</v>
      </c>
      <c r="CE362" s="2" t="n">
        <v>0</v>
      </c>
      <c r="CF362" s="2" t="n">
        <v>42.74</v>
      </c>
      <c r="CG362" s="2" t="n">
        <v>46.92</v>
      </c>
      <c r="CH362" s="2" t="n">
        <v>0</v>
      </c>
      <c r="CI362" s="2" t="n">
        <v>52.53</v>
      </c>
      <c r="CJ362" s="2" t="n">
        <v>56.7</v>
      </c>
      <c r="CK362" s="2" t="n">
        <v>0</v>
      </c>
      <c r="CL362" s="2" t="n">
        <v>61.5</v>
      </c>
      <c r="CM362" s="2" t="n">
        <v>65.65000000000001</v>
      </c>
      <c r="CN362" s="2" t="n">
        <v>0</v>
      </c>
      <c r="CO362" s="2" t="n">
        <v>69.90000000000001</v>
      </c>
      <c r="CP362" s="2" t="n">
        <v>74.06</v>
      </c>
      <c r="CQ362" s="2" t="n">
        <v>0</v>
      </c>
      <c r="CR362" s="2" t="n">
        <v>78.81</v>
      </c>
      <c r="CS362" s="2" t="n">
        <v>82.95</v>
      </c>
      <c r="CT362" s="2" t="n">
        <v>0</v>
      </c>
      <c r="CU362" s="2" t="n">
        <v>85.27</v>
      </c>
      <c r="CV362" s="2" t="n">
        <v>89.28</v>
      </c>
      <c r="CW362" s="2" t="n">
        <v>0</v>
      </c>
      <c r="CX362" s="2" t="n">
        <v>93.92</v>
      </c>
      <c r="CY362" s="2" t="n">
        <v>96.45</v>
      </c>
      <c r="CZ362" s="2" t="n">
        <v>0</v>
      </c>
      <c r="DA362" s="2" t="n">
        <v>96.98</v>
      </c>
      <c r="DB362" s="2" t="n">
        <v>96.98</v>
      </c>
      <c r="DC362" s="2" t="n">
        <v>0</v>
      </c>
      <c r="DD362" s="2" t="n">
        <v>97.51000000000001</v>
      </c>
      <c r="DE362" s="2" t="n">
        <v>98.98</v>
      </c>
      <c r="DF362" s="2" t="n">
        <v>0</v>
      </c>
      <c r="DG362" s="2" t="n">
        <v>99.61</v>
      </c>
      <c r="DH362" s="2" t="n">
        <v>99.92</v>
      </c>
      <c r="DI362" s="2" t="n">
        <v>0</v>
      </c>
      <c r="DJ362" s="2" t="n">
        <v>100</v>
      </c>
      <c r="DK362" s="2" t="n">
        <v>100</v>
      </c>
      <c r="DL362" s="2" t="n">
        <v>0</v>
      </c>
      <c r="DM362" s="2" t="n">
        <v>100</v>
      </c>
      <c r="DN362" s="2" t="n">
        <v>100</v>
      </c>
      <c r="DO362" s="2" t="n">
        <v>0</v>
      </c>
      <c r="DP362" s="2" t="n">
        <v>100</v>
      </c>
      <c r="DQ362" s="2" t="n">
        <v>100</v>
      </c>
      <c r="DR362" s="2" t="n">
        <v>0</v>
      </c>
      <c r="DS362" s="2" t="n">
        <v>100</v>
      </c>
      <c r="DT362" s="2" t="n">
        <v>100</v>
      </c>
      <c r="DU362" s="2" t="n">
        <v>0</v>
      </c>
      <c r="DV362" s="2" t="n">
        <v>100</v>
      </c>
      <c r="DW362" s="2" t="n">
        <v>100</v>
      </c>
      <c r="DX362" s="2" t="n">
        <v>0</v>
      </c>
      <c r="DY362" s="2" t="n">
        <v>100</v>
      </c>
      <c r="DZ362" s="2" t="n">
        <v>100</v>
      </c>
      <c r="EA362" s="2" t="n">
        <v>0</v>
      </c>
      <c r="EB362" s="2" t="n">
        <v>100</v>
      </c>
      <c r="EC362" s="2" t="n">
        <v>100</v>
      </c>
      <c r="ED362" s="2" t="n">
        <v>0</v>
      </c>
      <c r="EE362" s="2" t="n">
        <v>100</v>
      </c>
      <c r="EF362" s="2" t="n">
        <v>100</v>
      </c>
      <c r="EG362" s="2" t="n">
        <v>0</v>
      </c>
      <c r="EH362" s="2" t="n">
        <v>100</v>
      </c>
      <c r="EI362" s="2" t="n">
        <v>100</v>
      </c>
      <c r="EJ362" s="2" t="n">
        <v>0</v>
      </c>
      <c r="EK362" s="2" t="n">
        <v>100</v>
      </c>
      <c r="EL362" s="2" t="n">
        <v>100</v>
      </c>
      <c r="EM362" s="2" t="n">
        <v>0</v>
      </c>
      <c r="EN362" s="2" t="n">
        <v>100</v>
      </c>
      <c r="EO362" s="2" t="n">
        <v>100</v>
      </c>
      <c r="EP362" s="2" t="n">
        <v>0</v>
      </c>
      <c r="EQ362" s="2" t="n">
        <v>100</v>
      </c>
      <c r="ER362" s="2" t="n">
        <v>100</v>
      </c>
      <c r="ES362" s="2" t="n">
        <v>0</v>
      </c>
    </row>
    <row r="363">
      <c r="A363" s="2" t="n">
        <v>4</v>
      </c>
      <c r="B363" s="2" t="inlineStr">
        <is>
          <t>18.01.01.04</t>
        </is>
      </c>
      <c r="C363" s="2" t="inlineStr">
        <is>
          <t>Amarração de Alvenaria</t>
        </is>
      </c>
      <c r="D363" s="2" t="inlineStr">
        <is>
          <t>16/03/2027</t>
        </is>
      </c>
      <c r="E363" s="2" t="inlineStr">
        <is>
          <t>04/05/2028</t>
        </is>
      </c>
      <c r="F363" s="2" t="n">
        <v>2912.259181435806</v>
      </c>
      <c r="G363" s="2" t="n">
        <v>0</v>
      </c>
      <c r="H363" s="2" t="n">
        <v>2912.259181435806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0</v>
      </c>
      <c r="AK363" s="2" t="n">
        <v>0</v>
      </c>
      <c r="AL363" s="2" t="n">
        <v>0</v>
      </c>
      <c r="AM363" s="2" t="n">
        <v>0</v>
      </c>
      <c r="AN363" s="2" t="n">
        <v>0</v>
      </c>
      <c r="AO363" s="2" t="n">
        <v>0</v>
      </c>
      <c r="AP363" s="2" t="n">
        <v>0</v>
      </c>
      <c r="AQ363" s="2" t="n">
        <v>0</v>
      </c>
      <c r="AR363" s="2" t="n">
        <v>0</v>
      </c>
      <c r="AS363" s="2" t="n">
        <v>0</v>
      </c>
      <c r="AT363" s="2" t="n">
        <v>0</v>
      </c>
      <c r="AU363" s="2" t="n">
        <v>0</v>
      </c>
      <c r="AV363" s="2" t="n">
        <v>0</v>
      </c>
      <c r="AW363" s="2" t="n">
        <v>0</v>
      </c>
      <c r="AX363" s="2" t="n">
        <v>0</v>
      </c>
      <c r="AY363" s="2" t="n">
        <v>0</v>
      </c>
      <c r="AZ363" s="2" t="n">
        <v>0</v>
      </c>
      <c r="BA363" s="2" t="n">
        <v>0</v>
      </c>
      <c r="BB363" s="2" t="n">
        <v>0</v>
      </c>
      <c r="BC363" s="2" t="n">
        <v>0</v>
      </c>
      <c r="BD363" s="2" t="n">
        <v>0</v>
      </c>
      <c r="BE363" s="2" t="n">
        <v>0</v>
      </c>
      <c r="BF363" s="2" t="n">
        <v>0</v>
      </c>
      <c r="BG363" s="2" t="n">
        <v>0</v>
      </c>
      <c r="BH363" s="2" t="n">
        <v>0</v>
      </c>
      <c r="BI363" s="2" t="n">
        <v>0</v>
      </c>
      <c r="BJ363" s="2" t="n">
        <v>0</v>
      </c>
      <c r="BK363" s="2" t="n">
        <v>0</v>
      </c>
      <c r="BL363" s="2" t="n">
        <v>0</v>
      </c>
      <c r="BM363" s="2" t="n">
        <v>0</v>
      </c>
      <c r="BN363" s="2" t="n">
        <v>0</v>
      </c>
      <c r="BO363" s="2" t="n">
        <v>0</v>
      </c>
      <c r="BP363" s="2" t="n">
        <v>0</v>
      </c>
      <c r="BQ363" s="2" t="n">
        <v>0</v>
      </c>
      <c r="BR363" s="2" t="n">
        <v>0</v>
      </c>
      <c r="BS363" s="2" t="n">
        <v>0</v>
      </c>
      <c r="BT363" s="2" t="n">
        <v>1.58</v>
      </c>
      <c r="BU363" s="2" t="n">
        <v>2.89</v>
      </c>
      <c r="BV363" s="2" t="n">
        <v>0</v>
      </c>
      <c r="BW363" s="2" t="n">
        <v>7.09</v>
      </c>
      <c r="BX363" s="2" t="n">
        <v>10.52</v>
      </c>
      <c r="BY363" s="2" t="n">
        <v>0</v>
      </c>
      <c r="BZ363" s="2" t="n">
        <v>18.31</v>
      </c>
      <c r="CA363" s="2" t="n">
        <v>22.87</v>
      </c>
      <c r="CB363" s="2" t="n">
        <v>0</v>
      </c>
      <c r="CC363" s="2" t="n">
        <v>33.02</v>
      </c>
      <c r="CD363" s="2" t="n">
        <v>37.18</v>
      </c>
      <c r="CE363" s="2" t="n">
        <v>0</v>
      </c>
      <c r="CF363" s="2" t="n">
        <v>42.74</v>
      </c>
      <c r="CG363" s="2" t="n">
        <v>46.92</v>
      </c>
      <c r="CH363" s="2" t="n">
        <v>0</v>
      </c>
      <c r="CI363" s="2" t="n">
        <v>52.53</v>
      </c>
      <c r="CJ363" s="2" t="n">
        <v>56.7</v>
      </c>
      <c r="CK363" s="2" t="n">
        <v>0</v>
      </c>
      <c r="CL363" s="2" t="n">
        <v>61.5</v>
      </c>
      <c r="CM363" s="2" t="n">
        <v>65.65000000000001</v>
      </c>
      <c r="CN363" s="2" t="n">
        <v>0</v>
      </c>
      <c r="CO363" s="2" t="n">
        <v>69.90000000000001</v>
      </c>
      <c r="CP363" s="2" t="n">
        <v>74.06</v>
      </c>
      <c r="CQ363" s="2" t="n">
        <v>0</v>
      </c>
      <c r="CR363" s="2" t="n">
        <v>78.81</v>
      </c>
      <c r="CS363" s="2" t="n">
        <v>82.95</v>
      </c>
      <c r="CT363" s="2" t="n">
        <v>0</v>
      </c>
      <c r="CU363" s="2" t="n">
        <v>85.27</v>
      </c>
      <c r="CV363" s="2" t="n">
        <v>89.28</v>
      </c>
      <c r="CW363" s="2" t="n">
        <v>0</v>
      </c>
      <c r="CX363" s="2" t="n">
        <v>93.92</v>
      </c>
      <c r="CY363" s="2" t="n">
        <v>96.45</v>
      </c>
      <c r="CZ363" s="2" t="n">
        <v>0</v>
      </c>
      <c r="DA363" s="2" t="n">
        <v>96.98</v>
      </c>
      <c r="DB363" s="2" t="n">
        <v>96.98</v>
      </c>
      <c r="DC363" s="2" t="n">
        <v>0</v>
      </c>
      <c r="DD363" s="2" t="n">
        <v>97.51000000000001</v>
      </c>
      <c r="DE363" s="2" t="n">
        <v>98.98</v>
      </c>
      <c r="DF363" s="2" t="n">
        <v>0</v>
      </c>
      <c r="DG363" s="2" t="n">
        <v>99.61</v>
      </c>
      <c r="DH363" s="2" t="n">
        <v>99.92</v>
      </c>
      <c r="DI363" s="2" t="n">
        <v>0</v>
      </c>
      <c r="DJ363" s="2" t="n">
        <v>100</v>
      </c>
      <c r="DK363" s="2" t="n">
        <v>100</v>
      </c>
      <c r="DL363" s="2" t="n">
        <v>0</v>
      </c>
      <c r="DM363" s="2" t="n">
        <v>100</v>
      </c>
      <c r="DN363" s="2" t="n">
        <v>100</v>
      </c>
      <c r="DO363" s="2" t="n">
        <v>0</v>
      </c>
      <c r="DP363" s="2" t="n">
        <v>100</v>
      </c>
      <c r="DQ363" s="2" t="n">
        <v>100</v>
      </c>
      <c r="DR363" s="2" t="n">
        <v>0</v>
      </c>
      <c r="DS363" s="2" t="n">
        <v>100</v>
      </c>
      <c r="DT363" s="2" t="n">
        <v>100</v>
      </c>
      <c r="DU363" s="2" t="n">
        <v>0</v>
      </c>
      <c r="DV363" s="2" t="n">
        <v>100</v>
      </c>
      <c r="DW363" s="2" t="n">
        <v>100</v>
      </c>
      <c r="DX363" s="2" t="n">
        <v>0</v>
      </c>
      <c r="DY363" s="2" t="n">
        <v>100</v>
      </c>
      <c r="DZ363" s="2" t="n">
        <v>100</v>
      </c>
      <c r="EA363" s="2" t="n">
        <v>0</v>
      </c>
      <c r="EB363" s="2" t="n">
        <v>100</v>
      </c>
      <c r="EC363" s="2" t="n">
        <v>100</v>
      </c>
      <c r="ED363" s="2" t="n">
        <v>0</v>
      </c>
      <c r="EE363" s="2" t="n">
        <v>100</v>
      </c>
      <c r="EF363" s="2" t="n">
        <v>100</v>
      </c>
      <c r="EG363" s="2" t="n">
        <v>0</v>
      </c>
      <c r="EH363" s="2" t="n">
        <v>100</v>
      </c>
      <c r="EI363" s="2" t="n">
        <v>100</v>
      </c>
      <c r="EJ363" s="2" t="n">
        <v>0</v>
      </c>
      <c r="EK363" s="2" t="n">
        <v>100</v>
      </c>
      <c r="EL363" s="2" t="n">
        <v>100</v>
      </c>
      <c r="EM363" s="2" t="n">
        <v>0</v>
      </c>
      <c r="EN363" s="2" t="n">
        <v>100</v>
      </c>
      <c r="EO363" s="2" t="n">
        <v>100</v>
      </c>
      <c r="EP363" s="2" t="n">
        <v>0</v>
      </c>
      <c r="EQ363" s="2" t="n">
        <v>100</v>
      </c>
      <c r="ER363" s="2" t="n">
        <v>100</v>
      </c>
      <c r="ES363" s="2" t="n">
        <v>0</v>
      </c>
    </row>
    <row r="364">
      <c r="A364" s="2" t="n">
        <v>3</v>
      </c>
      <c r="B364" s="2" t="inlineStr">
        <is>
          <t>18.01.02</t>
        </is>
      </c>
      <c r="C364" s="2" t="inlineStr">
        <is>
          <t>Esp. 14cm</t>
        </is>
      </c>
      <c r="D364" s="2" t="inlineStr">
        <is>
          <t>16/03/2027</t>
        </is>
      </c>
      <c r="E364" s="2" t="inlineStr">
        <is>
          <t>04/05/2028</t>
        </is>
      </c>
      <c r="F364" s="2" t="n">
        <v>234128.6443966699</v>
      </c>
      <c r="G364" s="2" t="n">
        <v>0</v>
      </c>
      <c r="H364" s="2" t="n">
        <v>234128.6443966699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0</v>
      </c>
      <c r="AK364" s="2" t="n">
        <v>0</v>
      </c>
      <c r="AL364" s="2" t="n">
        <v>0</v>
      </c>
      <c r="AM364" s="2" t="n">
        <v>0</v>
      </c>
      <c r="AN364" s="2" t="n">
        <v>0</v>
      </c>
      <c r="AO364" s="2" t="n">
        <v>0</v>
      </c>
      <c r="AP364" s="2" t="n">
        <v>0</v>
      </c>
      <c r="AQ364" s="2" t="n">
        <v>0</v>
      </c>
      <c r="AR364" s="2" t="n">
        <v>0</v>
      </c>
      <c r="AS364" s="2" t="n">
        <v>0</v>
      </c>
      <c r="AT364" s="2" t="n">
        <v>0</v>
      </c>
      <c r="AU364" s="2" t="n">
        <v>0</v>
      </c>
      <c r="AV364" s="2" t="n">
        <v>0</v>
      </c>
      <c r="AW364" s="2" t="n">
        <v>0</v>
      </c>
      <c r="AX364" s="2" t="n">
        <v>0</v>
      </c>
      <c r="AY364" s="2" t="n">
        <v>0</v>
      </c>
      <c r="AZ364" s="2" t="n">
        <v>0</v>
      </c>
      <c r="BA364" s="2" t="n">
        <v>0</v>
      </c>
      <c r="BB364" s="2" t="n">
        <v>0</v>
      </c>
      <c r="BC364" s="2" t="n">
        <v>0</v>
      </c>
      <c r="BD364" s="2" t="n">
        <v>0</v>
      </c>
      <c r="BE364" s="2" t="n">
        <v>0</v>
      </c>
      <c r="BF364" s="2" t="n">
        <v>0</v>
      </c>
      <c r="BG364" s="2" t="n">
        <v>0</v>
      </c>
      <c r="BH364" s="2" t="n">
        <v>0</v>
      </c>
      <c r="BI364" s="2" t="n">
        <v>0</v>
      </c>
      <c r="BJ364" s="2" t="n">
        <v>0</v>
      </c>
      <c r="BK364" s="2" t="n">
        <v>0</v>
      </c>
      <c r="BL364" s="2" t="n">
        <v>0</v>
      </c>
      <c r="BM364" s="2" t="n">
        <v>0</v>
      </c>
      <c r="BN364" s="2" t="n">
        <v>0</v>
      </c>
      <c r="BO364" s="2" t="n">
        <v>0</v>
      </c>
      <c r="BP364" s="2" t="n">
        <v>0</v>
      </c>
      <c r="BQ364" s="2" t="n">
        <v>0</v>
      </c>
      <c r="BR364" s="2" t="n">
        <v>0</v>
      </c>
      <c r="BS364" s="2" t="n">
        <v>0</v>
      </c>
      <c r="BT364" s="2" t="n">
        <v>1.58</v>
      </c>
      <c r="BU364" s="2" t="n">
        <v>2.89</v>
      </c>
      <c r="BV364" s="2" t="n">
        <v>0</v>
      </c>
      <c r="BW364" s="2" t="n">
        <v>7.09</v>
      </c>
      <c r="BX364" s="2" t="n">
        <v>10.52</v>
      </c>
      <c r="BY364" s="2" t="n">
        <v>0</v>
      </c>
      <c r="BZ364" s="2" t="n">
        <v>18.31</v>
      </c>
      <c r="CA364" s="2" t="n">
        <v>22.87</v>
      </c>
      <c r="CB364" s="2" t="n">
        <v>0</v>
      </c>
      <c r="CC364" s="2" t="n">
        <v>33.02</v>
      </c>
      <c r="CD364" s="2" t="n">
        <v>37.18</v>
      </c>
      <c r="CE364" s="2" t="n">
        <v>0</v>
      </c>
      <c r="CF364" s="2" t="n">
        <v>42.74</v>
      </c>
      <c r="CG364" s="2" t="n">
        <v>46.92</v>
      </c>
      <c r="CH364" s="2" t="n">
        <v>0</v>
      </c>
      <c r="CI364" s="2" t="n">
        <v>52.53</v>
      </c>
      <c r="CJ364" s="2" t="n">
        <v>56.7</v>
      </c>
      <c r="CK364" s="2" t="n">
        <v>0</v>
      </c>
      <c r="CL364" s="2" t="n">
        <v>61.5</v>
      </c>
      <c r="CM364" s="2" t="n">
        <v>65.65000000000001</v>
      </c>
      <c r="CN364" s="2" t="n">
        <v>0</v>
      </c>
      <c r="CO364" s="2" t="n">
        <v>69.90000000000001</v>
      </c>
      <c r="CP364" s="2" t="n">
        <v>74.06</v>
      </c>
      <c r="CQ364" s="2" t="n">
        <v>0</v>
      </c>
      <c r="CR364" s="2" t="n">
        <v>78.81</v>
      </c>
      <c r="CS364" s="2" t="n">
        <v>82.95</v>
      </c>
      <c r="CT364" s="2" t="n">
        <v>0</v>
      </c>
      <c r="CU364" s="2" t="n">
        <v>85.27</v>
      </c>
      <c r="CV364" s="2" t="n">
        <v>89.28</v>
      </c>
      <c r="CW364" s="2" t="n">
        <v>0</v>
      </c>
      <c r="CX364" s="2" t="n">
        <v>93.92</v>
      </c>
      <c r="CY364" s="2" t="n">
        <v>96.45</v>
      </c>
      <c r="CZ364" s="2" t="n">
        <v>0</v>
      </c>
      <c r="DA364" s="2" t="n">
        <v>96.98</v>
      </c>
      <c r="DB364" s="2" t="n">
        <v>96.98</v>
      </c>
      <c r="DC364" s="2" t="n">
        <v>0</v>
      </c>
      <c r="DD364" s="2" t="n">
        <v>97.51000000000001</v>
      </c>
      <c r="DE364" s="2" t="n">
        <v>98.98</v>
      </c>
      <c r="DF364" s="2" t="n">
        <v>0</v>
      </c>
      <c r="DG364" s="2" t="n">
        <v>99.61</v>
      </c>
      <c r="DH364" s="2" t="n">
        <v>99.92</v>
      </c>
      <c r="DI364" s="2" t="n">
        <v>0</v>
      </c>
      <c r="DJ364" s="2" t="n">
        <v>100</v>
      </c>
      <c r="DK364" s="2" t="n">
        <v>100</v>
      </c>
      <c r="DL364" s="2" t="n">
        <v>0</v>
      </c>
      <c r="DM364" s="2" t="n">
        <v>100</v>
      </c>
      <c r="DN364" s="2" t="n">
        <v>100</v>
      </c>
      <c r="DO364" s="2" t="n">
        <v>0</v>
      </c>
      <c r="DP364" s="2" t="n">
        <v>100</v>
      </c>
      <c r="DQ364" s="2" t="n">
        <v>100</v>
      </c>
      <c r="DR364" s="2" t="n">
        <v>0</v>
      </c>
      <c r="DS364" s="2" t="n">
        <v>100</v>
      </c>
      <c r="DT364" s="2" t="n">
        <v>100</v>
      </c>
      <c r="DU364" s="2" t="n">
        <v>0</v>
      </c>
      <c r="DV364" s="2" t="n">
        <v>100</v>
      </c>
      <c r="DW364" s="2" t="n">
        <v>100</v>
      </c>
      <c r="DX364" s="2" t="n">
        <v>0</v>
      </c>
      <c r="DY364" s="2" t="n">
        <v>100</v>
      </c>
      <c r="DZ364" s="2" t="n">
        <v>100</v>
      </c>
      <c r="EA364" s="2" t="n">
        <v>0</v>
      </c>
      <c r="EB364" s="2" t="n">
        <v>100</v>
      </c>
      <c r="EC364" s="2" t="n">
        <v>100</v>
      </c>
      <c r="ED364" s="2" t="n">
        <v>0</v>
      </c>
      <c r="EE364" s="2" t="n">
        <v>100</v>
      </c>
      <c r="EF364" s="2" t="n">
        <v>100</v>
      </c>
      <c r="EG364" s="2" t="n">
        <v>0</v>
      </c>
      <c r="EH364" s="2" t="n">
        <v>100</v>
      </c>
      <c r="EI364" s="2" t="n">
        <v>100</v>
      </c>
      <c r="EJ364" s="2" t="n">
        <v>0</v>
      </c>
      <c r="EK364" s="2" t="n">
        <v>100</v>
      </c>
      <c r="EL364" s="2" t="n">
        <v>100</v>
      </c>
      <c r="EM364" s="2" t="n">
        <v>0</v>
      </c>
      <c r="EN364" s="2" t="n">
        <v>100</v>
      </c>
      <c r="EO364" s="2" t="n">
        <v>100</v>
      </c>
      <c r="EP364" s="2" t="n">
        <v>0</v>
      </c>
      <c r="EQ364" s="2" t="n">
        <v>100</v>
      </c>
      <c r="ER364" s="2" t="n">
        <v>100</v>
      </c>
      <c r="ES364" s="2" t="n">
        <v>0</v>
      </c>
    </row>
    <row r="365">
      <c r="A365" s="2" t="n">
        <v>4</v>
      </c>
      <c r="B365" s="2" t="inlineStr">
        <is>
          <t>18.01.02.01</t>
        </is>
      </c>
      <c r="C365" s="2" t="inlineStr">
        <is>
          <t>Demarcação de alvenaria de vedação com blocos cerâmicos  esp. 14cm</t>
        </is>
      </c>
      <c r="D365" s="2" t="inlineStr">
        <is>
          <t>16/03/2027</t>
        </is>
      </c>
      <c r="E365" s="2" t="inlineStr">
        <is>
          <t>04/05/2028</t>
        </is>
      </c>
      <c r="F365" s="2" t="n">
        <v>21820.649410512</v>
      </c>
      <c r="G365" s="2" t="n">
        <v>0</v>
      </c>
      <c r="H365" s="2" t="n">
        <v>21820.649410512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0</v>
      </c>
      <c r="AK365" s="2" t="n">
        <v>0</v>
      </c>
      <c r="AL365" s="2" t="n">
        <v>0</v>
      </c>
      <c r="AM365" s="2" t="n">
        <v>0</v>
      </c>
      <c r="AN365" s="2" t="n">
        <v>0</v>
      </c>
      <c r="AO365" s="2" t="n">
        <v>0</v>
      </c>
      <c r="AP365" s="2" t="n">
        <v>0</v>
      </c>
      <c r="AQ365" s="2" t="n">
        <v>0</v>
      </c>
      <c r="AR365" s="2" t="n">
        <v>0</v>
      </c>
      <c r="AS365" s="2" t="n">
        <v>0</v>
      </c>
      <c r="AT365" s="2" t="n">
        <v>0</v>
      </c>
      <c r="AU365" s="2" t="n">
        <v>0</v>
      </c>
      <c r="AV365" s="2" t="n">
        <v>0</v>
      </c>
      <c r="AW365" s="2" t="n">
        <v>0</v>
      </c>
      <c r="AX365" s="2" t="n">
        <v>0</v>
      </c>
      <c r="AY365" s="2" t="n">
        <v>0</v>
      </c>
      <c r="AZ365" s="2" t="n">
        <v>0</v>
      </c>
      <c r="BA365" s="2" t="n">
        <v>0</v>
      </c>
      <c r="BB365" s="2" t="n">
        <v>0</v>
      </c>
      <c r="BC365" s="2" t="n">
        <v>0</v>
      </c>
      <c r="BD365" s="2" t="n">
        <v>0</v>
      </c>
      <c r="BE365" s="2" t="n">
        <v>0</v>
      </c>
      <c r="BF365" s="2" t="n">
        <v>0</v>
      </c>
      <c r="BG365" s="2" t="n">
        <v>0</v>
      </c>
      <c r="BH365" s="2" t="n">
        <v>0</v>
      </c>
      <c r="BI365" s="2" t="n">
        <v>0</v>
      </c>
      <c r="BJ365" s="2" t="n">
        <v>0</v>
      </c>
      <c r="BK365" s="2" t="n">
        <v>0</v>
      </c>
      <c r="BL365" s="2" t="n">
        <v>0</v>
      </c>
      <c r="BM365" s="2" t="n">
        <v>0</v>
      </c>
      <c r="BN365" s="2" t="n">
        <v>0</v>
      </c>
      <c r="BO365" s="2" t="n">
        <v>0</v>
      </c>
      <c r="BP365" s="2" t="n">
        <v>0</v>
      </c>
      <c r="BQ365" s="2" t="n">
        <v>0</v>
      </c>
      <c r="BR365" s="2" t="n">
        <v>0</v>
      </c>
      <c r="BS365" s="2" t="n">
        <v>0</v>
      </c>
      <c r="BT365" s="2" t="n">
        <v>1.58</v>
      </c>
      <c r="BU365" s="2" t="n">
        <v>2.89</v>
      </c>
      <c r="BV365" s="2" t="n">
        <v>0</v>
      </c>
      <c r="BW365" s="2" t="n">
        <v>7.09</v>
      </c>
      <c r="BX365" s="2" t="n">
        <v>10.52</v>
      </c>
      <c r="BY365" s="2" t="n">
        <v>0</v>
      </c>
      <c r="BZ365" s="2" t="n">
        <v>18.31</v>
      </c>
      <c r="CA365" s="2" t="n">
        <v>22.87</v>
      </c>
      <c r="CB365" s="2" t="n">
        <v>0</v>
      </c>
      <c r="CC365" s="2" t="n">
        <v>33.02</v>
      </c>
      <c r="CD365" s="2" t="n">
        <v>37.18</v>
      </c>
      <c r="CE365" s="2" t="n">
        <v>0</v>
      </c>
      <c r="CF365" s="2" t="n">
        <v>42.74</v>
      </c>
      <c r="CG365" s="2" t="n">
        <v>46.92</v>
      </c>
      <c r="CH365" s="2" t="n">
        <v>0</v>
      </c>
      <c r="CI365" s="2" t="n">
        <v>52.53</v>
      </c>
      <c r="CJ365" s="2" t="n">
        <v>56.7</v>
      </c>
      <c r="CK365" s="2" t="n">
        <v>0</v>
      </c>
      <c r="CL365" s="2" t="n">
        <v>61.5</v>
      </c>
      <c r="CM365" s="2" t="n">
        <v>65.65000000000001</v>
      </c>
      <c r="CN365" s="2" t="n">
        <v>0</v>
      </c>
      <c r="CO365" s="2" t="n">
        <v>69.90000000000001</v>
      </c>
      <c r="CP365" s="2" t="n">
        <v>74.06</v>
      </c>
      <c r="CQ365" s="2" t="n">
        <v>0</v>
      </c>
      <c r="CR365" s="2" t="n">
        <v>78.81</v>
      </c>
      <c r="CS365" s="2" t="n">
        <v>82.95</v>
      </c>
      <c r="CT365" s="2" t="n">
        <v>0</v>
      </c>
      <c r="CU365" s="2" t="n">
        <v>85.27</v>
      </c>
      <c r="CV365" s="2" t="n">
        <v>89.28</v>
      </c>
      <c r="CW365" s="2" t="n">
        <v>0</v>
      </c>
      <c r="CX365" s="2" t="n">
        <v>93.92</v>
      </c>
      <c r="CY365" s="2" t="n">
        <v>96.45</v>
      </c>
      <c r="CZ365" s="2" t="n">
        <v>0</v>
      </c>
      <c r="DA365" s="2" t="n">
        <v>96.98</v>
      </c>
      <c r="DB365" s="2" t="n">
        <v>96.98</v>
      </c>
      <c r="DC365" s="2" t="n">
        <v>0</v>
      </c>
      <c r="DD365" s="2" t="n">
        <v>97.51000000000001</v>
      </c>
      <c r="DE365" s="2" t="n">
        <v>98.98</v>
      </c>
      <c r="DF365" s="2" t="n">
        <v>0</v>
      </c>
      <c r="DG365" s="2" t="n">
        <v>99.61</v>
      </c>
      <c r="DH365" s="2" t="n">
        <v>99.92</v>
      </c>
      <c r="DI365" s="2" t="n">
        <v>0</v>
      </c>
      <c r="DJ365" s="2" t="n">
        <v>100</v>
      </c>
      <c r="DK365" s="2" t="n">
        <v>100</v>
      </c>
      <c r="DL365" s="2" t="n">
        <v>0</v>
      </c>
      <c r="DM365" s="2" t="n">
        <v>100</v>
      </c>
      <c r="DN365" s="2" t="n">
        <v>100</v>
      </c>
      <c r="DO365" s="2" t="n">
        <v>0</v>
      </c>
      <c r="DP365" s="2" t="n">
        <v>100</v>
      </c>
      <c r="DQ365" s="2" t="n">
        <v>100</v>
      </c>
      <c r="DR365" s="2" t="n">
        <v>0</v>
      </c>
      <c r="DS365" s="2" t="n">
        <v>100</v>
      </c>
      <c r="DT365" s="2" t="n">
        <v>100</v>
      </c>
      <c r="DU365" s="2" t="n">
        <v>0</v>
      </c>
      <c r="DV365" s="2" t="n">
        <v>100</v>
      </c>
      <c r="DW365" s="2" t="n">
        <v>100</v>
      </c>
      <c r="DX365" s="2" t="n">
        <v>0</v>
      </c>
      <c r="DY365" s="2" t="n">
        <v>100</v>
      </c>
      <c r="DZ365" s="2" t="n">
        <v>100</v>
      </c>
      <c r="EA365" s="2" t="n">
        <v>0</v>
      </c>
      <c r="EB365" s="2" t="n">
        <v>100</v>
      </c>
      <c r="EC365" s="2" t="n">
        <v>100</v>
      </c>
      <c r="ED365" s="2" t="n">
        <v>0</v>
      </c>
      <c r="EE365" s="2" t="n">
        <v>100</v>
      </c>
      <c r="EF365" s="2" t="n">
        <v>100</v>
      </c>
      <c r="EG365" s="2" t="n">
        <v>0</v>
      </c>
      <c r="EH365" s="2" t="n">
        <v>100</v>
      </c>
      <c r="EI365" s="2" t="n">
        <v>100</v>
      </c>
      <c r="EJ365" s="2" t="n">
        <v>0</v>
      </c>
      <c r="EK365" s="2" t="n">
        <v>100</v>
      </c>
      <c r="EL365" s="2" t="n">
        <v>100</v>
      </c>
      <c r="EM365" s="2" t="n">
        <v>0</v>
      </c>
      <c r="EN365" s="2" t="n">
        <v>100</v>
      </c>
      <c r="EO365" s="2" t="n">
        <v>100</v>
      </c>
      <c r="EP365" s="2" t="n">
        <v>0</v>
      </c>
      <c r="EQ365" s="2" t="n">
        <v>100</v>
      </c>
      <c r="ER365" s="2" t="n">
        <v>100</v>
      </c>
      <c r="ES365" s="2" t="n">
        <v>0</v>
      </c>
    </row>
    <row r="366">
      <c r="A366" s="2" t="n">
        <v>4</v>
      </c>
      <c r="B366" s="2" t="inlineStr">
        <is>
          <t>18.01.02.02</t>
        </is>
      </c>
      <c r="C366" s="2" t="inlineStr">
        <is>
          <t>Alvenaria de vedação com blocos cerâmicos esp. 14m</t>
        </is>
      </c>
      <c r="D366" s="2" t="inlineStr">
        <is>
          <t>16/03/2027</t>
        </is>
      </c>
      <c r="E366" s="2" t="inlineStr">
        <is>
          <t>04/05/2028</t>
        </is>
      </c>
      <c r="F366" s="2" t="n">
        <v>198408.096166016</v>
      </c>
      <c r="G366" s="2" t="n">
        <v>0</v>
      </c>
      <c r="H366" s="2" t="n">
        <v>198408.096166016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0</v>
      </c>
      <c r="AK366" s="2" t="n">
        <v>0</v>
      </c>
      <c r="AL366" s="2" t="n">
        <v>0</v>
      </c>
      <c r="AM366" s="2" t="n">
        <v>0</v>
      </c>
      <c r="AN366" s="2" t="n">
        <v>0</v>
      </c>
      <c r="AO366" s="2" t="n">
        <v>0</v>
      </c>
      <c r="AP366" s="2" t="n">
        <v>0</v>
      </c>
      <c r="AQ366" s="2" t="n">
        <v>0</v>
      </c>
      <c r="AR366" s="2" t="n">
        <v>0</v>
      </c>
      <c r="AS366" s="2" t="n">
        <v>0</v>
      </c>
      <c r="AT366" s="2" t="n">
        <v>0</v>
      </c>
      <c r="AU366" s="2" t="n">
        <v>0</v>
      </c>
      <c r="AV366" s="2" t="n">
        <v>0</v>
      </c>
      <c r="AW366" s="2" t="n">
        <v>0</v>
      </c>
      <c r="AX366" s="2" t="n">
        <v>0</v>
      </c>
      <c r="AY366" s="2" t="n">
        <v>0</v>
      </c>
      <c r="AZ366" s="2" t="n">
        <v>0</v>
      </c>
      <c r="BA366" s="2" t="n">
        <v>0</v>
      </c>
      <c r="BB366" s="2" t="n">
        <v>0</v>
      </c>
      <c r="BC366" s="2" t="n">
        <v>0</v>
      </c>
      <c r="BD366" s="2" t="n">
        <v>0</v>
      </c>
      <c r="BE366" s="2" t="n">
        <v>0</v>
      </c>
      <c r="BF366" s="2" t="n">
        <v>0</v>
      </c>
      <c r="BG366" s="2" t="n">
        <v>0</v>
      </c>
      <c r="BH366" s="2" t="n">
        <v>0</v>
      </c>
      <c r="BI366" s="2" t="n">
        <v>0</v>
      </c>
      <c r="BJ366" s="2" t="n">
        <v>0</v>
      </c>
      <c r="BK366" s="2" t="n">
        <v>0</v>
      </c>
      <c r="BL366" s="2" t="n">
        <v>0</v>
      </c>
      <c r="BM366" s="2" t="n">
        <v>0</v>
      </c>
      <c r="BN366" s="2" t="n">
        <v>0</v>
      </c>
      <c r="BO366" s="2" t="n">
        <v>0</v>
      </c>
      <c r="BP366" s="2" t="n">
        <v>0</v>
      </c>
      <c r="BQ366" s="2" t="n">
        <v>0</v>
      </c>
      <c r="BR366" s="2" t="n">
        <v>0</v>
      </c>
      <c r="BS366" s="2" t="n">
        <v>0</v>
      </c>
      <c r="BT366" s="2" t="n">
        <v>1.58</v>
      </c>
      <c r="BU366" s="2" t="n">
        <v>2.89</v>
      </c>
      <c r="BV366" s="2" t="n">
        <v>0</v>
      </c>
      <c r="BW366" s="2" t="n">
        <v>7.09</v>
      </c>
      <c r="BX366" s="2" t="n">
        <v>10.52</v>
      </c>
      <c r="BY366" s="2" t="n">
        <v>0</v>
      </c>
      <c r="BZ366" s="2" t="n">
        <v>18.31</v>
      </c>
      <c r="CA366" s="2" t="n">
        <v>22.87</v>
      </c>
      <c r="CB366" s="2" t="n">
        <v>0</v>
      </c>
      <c r="CC366" s="2" t="n">
        <v>33.02</v>
      </c>
      <c r="CD366" s="2" t="n">
        <v>37.18</v>
      </c>
      <c r="CE366" s="2" t="n">
        <v>0</v>
      </c>
      <c r="CF366" s="2" t="n">
        <v>42.74</v>
      </c>
      <c r="CG366" s="2" t="n">
        <v>46.92</v>
      </c>
      <c r="CH366" s="2" t="n">
        <v>0</v>
      </c>
      <c r="CI366" s="2" t="n">
        <v>52.53</v>
      </c>
      <c r="CJ366" s="2" t="n">
        <v>56.7</v>
      </c>
      <c r="CK366" s="2" t="n">
        <v>0</v>
      </c>
      <c r="CL366" s="2" t="n">
        <v>61.5</v>
      </c>
      <c r="CM366" s="2" t="n">
        <v>65.65000000000001</v>
      </c>
      <c r="CN366" s="2" t="n">
        <v>0</v>
      </c>
      <c r="CO366" s="2" t="n">
        <v>69.90000000000001</v>
      </c>
      <c r="CP366" s="2" t="n">
        <v>74.06</v>
      </c>
      <c r="CQ366" s="2" t="n">
        <v>0</v>
      </c>
      <c r="CR366" s="2" t="n">
        <v>78.81</v>
      </c>
      <c r="CS366" s="2" t="n">
        <v>82.95</v>
      </c>
      <c r="CT366" s="2" t="n">
        <v>0</v>
      </c>
      <c r="CU366" s="2" t="n">
        <v>85.27</v>
      </c>
      <c r="CV366" s="2" t="n">
        <v>89.28</v>
      </c>
      <c r="CW366" s="2" t="n">
        <v>0</v>
      </c>
      <c r="CX366" s="2" t="n">
        <v>93.92</v>
      </c>
      <c r="CY366" s="2" t="n">
        <v>96.45</v>
      </c>
      <c r="CZ366" s="2" t="n">
        <v>0</v>
      </c>
      <c r="DA366" s="2" t="n">
        <v>96.98</v>
      </c>
      <c r="DB366" s="2" t="n">
        <v>96.98</v>
      </c>
      <c r="DC366" s="2" t="n">
        <v>0</v>
      </c>
      <c r="DD366" s="2" t="n">
        <v>97.51000000000001</v>
      </c>
      <c r="DE366" s="2" t="n">
        <v>98.98</v>
      </c>
      <c r="DF366" s="2" t="n">
        <v>0</v>
      </c>
      <c r="DG366" s="2" t="n">
        <v>99.61</v>
      </c>
      <c r="DH366" s="2" t="n">
        <v>99.92</v>
      </c>
      <c r="DI366" s="2" t="n">
        <v>0</v>
      </c>
      <c r="DJ366" s="2" t="n">
        <v>100</v>
      </c>
      <c r="DK366" s="2" t="n">
        <v>100</v>
      </c>
      <c r="DL366" s="2" t="n">
        <v>0</v>
      </c>
      <c r="DM366" s="2" t="n">
        <v>100</v>
      </c>
      <c r="DN366" s="2" t="n">
        <v>100</v>
      </c>
      <c r="DO366" s="2" t="n">
        <v>0</v>
      </c>
      <c r="DP366" s="2" t="n">
        <v>100</v>
      </c>
      <c r="DQ366" s="2" t="n">
        <v>100</v>
      </c>
      <c r="DR366" s="2" t="n">
        <v>0</v>
      </c>
      <c r="DS366" s="2" t="n">
        <v>100</v>
      </c>
      <c r="DT366" s="2" t="n">
        <v>100</v>
      </c>
      <c r="DU366" s="2" t="n">
        <v>0</v>
      </c>
      <c r="DV366" s="2" t="n">
        <v>100</v>
      </c>
      <c r="DW366" s="2" t="n">
        <v>100</v>
      </c>
      <c r="DX366" s="2" t="n">
        <v>0</v>
      </c>
      <c r="DY366" s="2" t="n">
        <v>100</v>
      </c>
      <c r="DZ366" s="2" t="n">
        <v>100</v>
      </c>
      <c r="EA366" s="2" t="n">
        <v>0</v>
      </c>
      <c r="EB366" s="2" t="n">
        <v>100</v>
      </c>
      <c r="EC366" s="2" t="n">
        <v>100</v>
      </c>
      <c r="ED366" s="2" t="n">
        <v>0</v>
      </c>
      <c r="EE366" s="2" t="n">
        <v>100</v>
      </c>
      <c r="EF366" s="2" t="n">
        <v>100</v>
      </c>
      <c r="EG366" s="2" t="n">
        <v>0</v>
      </c>
      <c r="EH366" s="2" t="n">
        <v>100</v>
      </c>
      <c r="EI366" s="2" t="n">
        <v>100</v>
      </c>
      <c r="EJ366" s="2" t="n">
        <v>0</v>
      </c>
      <c r="EK366" s="2" t="n">
        <v>100</v>
      </c>
      <c r="EL366" s="2" t="n">
        <v>100</v>
      </c>
      <c r="EM366" s="2" t="n">
        <v>0</v>
      </c>
      <c r="EN366" s="2" t="n">
        <v>100</v>
      </c>
      <c r="EO366" s="2" t="n">
        <v>100</v>
      </c>
      <c r="EP366" s="2" t="n">
        <v>0</v>
      </c>
      <c r="EQ366" s="2" t="n">
        <v>100</v>
      </c>
      <c r="ER366" s="2" t="n">
        <v>100</v>
      </c>
      <c r="ES366" s="2" t="n">
        <v>0</v>
      </c>
    </row>
    <row r="367">
      <c r="A367" s="2" t="n">
        <v>4</v>
      </c>
      <c r="B367" s="2" t="inlineStr">
        <is>
          <t>18.01.02.03</t>
        </is>
      </c>
      <c r="C367" s="2" t="inlineStr">
        <is>
          <t>Encunhamento com espuma expansiva de poliuretano</t>
        </is>
      </c>
      <c r="D367" s="2" t="inlineStr">
        <is>
          <t>16/03/2027</t>
        </is>
      </c>
      <c r="E367" s="2" t="inlineStr">
        <is>
          <t>04/05/2028</t>
        </is>
      </c>
      <c r="F367" s="2" t="n">
        <v>6431.084154420401</v>
      </c>
      <c r="G367" s="2" t="n">
        <v>0</v>
      </c>
      <c r="H367" s="2" t="n">
        <v>6431.084154420401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0</v>
      </c>
      <c r="AK367" s="2" t="n">
        <v>0</v>
      </c>
      <c r="AL367" s="2" t="n">
        <v>0</v>
      </c>
      <c r="AM367" s="2" t="n">
        <v>0</v>
      </c>
      <c r="AN367" s="2" t="n">
        <v>0</v>
      </c>
      <c r="AO367" s="2" t="n">
        <v>0</v>
      </c>
      <c r="AP367" s="2" t="n">
        <v>0</v>
      </c>
      <c r="AQ367" s="2" t="n">
        <v>0</v>
      </c>
      <c r="AR367" s="2" t="n">
        <v>0</v>
      </c>
      <c r="AS367" s="2" t="n">
        <v>0</v>
      </c>
      <c r="AT367" s="2" t="n">
        <v>0</v>
      </c>
      <c r="AU367" s="2" t="n">
        <v>0</v>
      </c>
      <c r="AV367" s="2" t="n">
        <v>0</v>
      </c>
      <c r="AW367" s="2" t="n">
        <v>0</v>
      </c>
      <c r="AX367" s="2" t="n">
        <v>0</v>
      </c>
      <c r="AY367" s="2" t="n">
        <v>0</v>
      </c>
      <c r="AZ367" s="2" t="n">
        <v>0</v>
      </c>
      <c r="BA367" s="2" t="n">
        <v>0</v>
      </c>
      <c r="BB367" s="2" t="n">
        <v>0</v>
      </c>
      <c r="BC367" s="2" t="n">
        <v>0</v>
      </c>
      <c r="BD367" s="2" t="n">
        <v>0</v>
      </c>
      <c r="BE367" s="2" t="n">
        <v>0</v>
      </c>
      <c r="BF367" s="2" t="n">
        <v>0</v>
      </c>
      <c r="BG367" s="2" t="n">
        <v>0</v>
      </c>
      <c r="BH367" s="2" t="n">
        <v>0</v>
      </c>
      <c r="BI367" s="2" t="n">
        <v>0</v>
      </c>
      <c r="BJ367" s="2" t="n">
        <v>0</v>
      </c>
      <c r="BK367" s="2" t="n">
        <v>0</v>
      </c>
      <c r="BL367" s="2" t="n">
        <v>0</v>
      </c>
      <c r="BM367" s="2" t="n">
        <v>0</v>
      </c>
      <c r="BN367" s="2" t="n">
        <v>0</v>
      </c>
      <c r="BO367" s="2" t="n">
        <v>0</v>
      </c>
      <c r="BP367" s="2" t="n">
        <v>0</v>
      </c>
      <c r="BQ367" s="2" t="n">
        <v>0</v>
      </c>
      <c r="BR367" s="2" t="n">
        <v>0</v>
      </c>
      <c r="BS367" s="2" t="n">
        <v>0</v>
      </c>
      <c r="BT367" s="2" t="n">
        <v>1.58</v>
      </c>
      <c r="BU367" s="2" t="n">
        <v>2.89</v>
      </c>
      <c r="BV367" s="2" t="n">
        <v>0</v>
      </c>
      <c r="BW367" s="2" t="n">
        <v>7.09</v>
      </c>
      <c r="BX367" s="2" t="n">
        <v>10.52</v>
      </c>
      <c r="BY367" s="2" t="n">
        <v>0</v>
      </c>
      <c r="BZ367" s="2" t="n">
        <v>18.31</v>
      </c>
      <c r="CA367" s="2" t="n">
        <v>22.87</v>
      </c>
      <c r="CB367" s="2" t="n">
        <v>0</v>
      </c>
      <c r="CC367" s="2" t="n">
        <v>33.02</v>
      </c>
      <c r="CD367" s="2" t="n">
        <v>37.18</v>
      </c>
      <c r="CE367" s="2" t="n">
        <v>0</v>
      </c>
      <c r="CF367" s="2" t="n">
        <v>42.74</v>
      </c>
      <c r="CG367" s="2" t="n">
        <v>46.92</v>
      </c>
      <c r="CH367" s="2" t="n">
        <v>0</v>
      </c>
      <c r="CI367" s="2" t="n">
        <v>52.53</v>
      </c>
      <c r="CJ367" s="2" t="n">
        <v>56.7</v>
      </c>
      <c r="CK367" s="2" t="n">
        <v>0</v>
      </c>
      <c r="CL367" s="2" t="n">
        <v>61.5</v>
      </c>
      <c r="CM367" s="2" t="n">
        <v>65.65000000000001</v>
      </c>
      <c r="CN367" s="2" t="n">
        <v>0</v>
      </c>
      <c r="CO367" s="2" t="n">
        <v>69.90000000000001</v>
      </c>
      <c r="CP367" s="2" t="n">
        <v>74.06</v>
      </c>
      <c r="CQ367" s="2" t="n">
        <v>0</v>
      </c>
      <c r="CR367" s="2" t="n">
        <v>78.81</v>
      </c>
      <c r="CS367" s="2" t="n">
        <v>82.95</v>
      </c>
      <c r="CT367" s="2" t="n">
        <v>0</v>
      </c>
      <c r="CU367" s="2" t="n">
        <v>85.27</v>
      </c>
      <c r="CV367" s="2" t="n">
        <v>89.28</v>
      </c>
      <c r="CW367" s="2" t="n">
        <v>0</v>
      </c>
      <c r="CX367" s="2" t="n">
        <v>93.92</v>
      </c>
      <c r="CY367" s="2" t="n">
        <v>96.45</v>
      </c>
      <c r="CZ367" s="2" t="n">
        <v>0</v>
      </c>
      <c r="DA367" s="2" t="n">
        <v>96.98</v>
      </c>
      <c r="DB367" s="2" t="n">
        <v>96.98</v>
      </c>
      <c r="DC367" s="2" t="n">
        <v>0</v>
      </c>
      <c r="DD367" s="2" t="n">
        <v>97.51000000000001</v>
      </c>
      <c r="DE367" s="2" t="n">
        <v>98.98</v>
      </c>
      <c r="DF367" s="2" t="n">
        <v>0</v>
      </c>
      <c r="DG367" s="2" t="n">
        <v>99.61</v>
      </c>
      <c r="DH367" s="2" t="n">
        <v>99.92</v>
      </c>
      <c r="DI367" s="2" t="n">
        <v>0</v>
      </c>
      <c r="DJ367" s="2" t="n">
        <v>100</v>
      </c>
      <c r="DK367" s="2" t="n">
        <v>100</v>
      </c>
      <c r="DL367" s="2" t="n">
        <v>0</v>
      </c>
      <c r="DM367" s="2" t="n">
        <v>100</v>
      </c>
      <c r="DN367" s="2" t="n">
        <v>100</v>
      </c>
      <c r="DO367" s="2" t="n">
        <v>0</v>
      </c>
      <c r="DP367" s="2" t="n">
        <v>100</v>
      </c>
      <c r="DQ367" s="2" t="n">
        <v>100</v>
      </c>
      <c r="DR367" s="2" t="n">
        <v>0</v>
      </c>
      <c r="DS367" s="2" t="n">
        <v>100</v>
      </c>
      <c r="DT367" s="2" t="n">
        <v>100</v>
      </c>
      <c r="DU367" s="2" t="n">
        <v>0</v>
      </c>
      <c r="DV367" s="2" t="n">
        <v>100</v>
      </c>
      <c r="DW367" s="2" t="n">
        <v>100</v>
      </c>
      <c r="DX367" s="2" t="n">
        <v>0</v>
      </c>
      <c r="DY367" s="2" t="n">
        <v>100</v>
      </c>
      <c r="DZ367" s="2" t="n">
        <v>100</v>
      </c>
      <c r="EA367" s="2" t="n">
        <v>0</v>
      </c>
      <c r="EB367" s="2" t="n">
        <v>100</v>
      </c>
      <c r="EC367" s="2" t="n">
        <v>100</v>
      </c>
      <c r="ED367" s="2" t="n">
        <v>0</v>
      </c>
      <c r="EE367" s="2" t="n">
        <v>100</v>
      </c>
      <c r="EF367" s="2" t="n">
        <v>100</v>
      </c>
      <c r="EG367" s="2" t="n">
        <v>0</v>
      </c>
      <c r="EH367" s="2" t="n">
        <v>100</v>
      </c>
      <c r="EI367" s="2" t="n">
        <v>100</v>
      </c>
      <c r="EJ367" s="2" t="n">
        <v>0</v>
      </c>
      <c r="EK367" s="2" t="n">
        <v>100</v>
      </c>
      <c r="EL367" s="2" t="n">
        <v>100</v>
      </c>
      <c r="EM367" s="2" t="n">
        <v>0</v>
      </c>
      <c r="EN367" s="2" t="n">
        <v>100</v>
      </c>
      <c r="EO367" s="2" t="n">
        <v>100</v>
      </c>
      <c r="EP367" s="2" t="n">
        <v>0</v>
      </c>
      <c r="EQ367" s="2" t="n">
        <v>100</v>
      </c>
      <c r="ER367" s="2" t="n">
        <v>100</v>
      </c>
      <c r="ES367" s="2" t="n">
        <v>0</v>
      </c>
    </row>
    <row r="368">
      <c r="A368" s="2" t="n">
        <v>4</v>
      </c>
      <c r="B368" s="2" t="inlineStr">
        <is>
          <t>18.01.02.04</t>
        </is>
      </c>
      <c r="C368" s="2" t="inlineStr">
        <is>
          <t>Amarração de Alvenaria</t>
        </is>
      </c>
      <c r="D368" s="2" t="inlineStr">
        <is>
          <t>16/03/2027</t>
        </is>
      </c>
      <c r="E368" s="2" t="inlineStr">
        <is>
          <t>04/05/2028</t>
        </is>
      </c>
      <c r="F368" s="2" t="n">
        <v>7468.814665721433</v>
      </c>
      <c r="G368" s="2" t="n">
        <v>0</v>
      </c>
      <c r="H368" s="2" t="n">
        <v>7468.814665721433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0</v>
      </c>
      <c r="AK368" s="2" t="n">
        <v>0</v>
      </c>
      <c r="AL368" s="2" t="n">
        <v>0</v>
      </c>
      <c r="AM368" s="2" t="n">
        <v>0</v>
      </c>
      <c r="AN368" s="2" t="n">
        <v>0</v>
      </c>
      <c r="AO368" s="2" t="n">
        <v>0</v>
      </c>
      <c r="AP368" s="2" t="n">
        <v>0</v>
      </c>
      <c r="AQ368" s="2" t="n">
        <v>0</v>
      </c>
      <c r="AR368" s="2" t="n">
        <v>0</v>
      </c>
      <c r="AS368" s="2" t="n">
        <v>0</v>
      </c>
      <c r="AT368" s="2" t="n">
        <v>0</v>
      </c>
      <c r="AU368" s="2" t="n">
        <v>0</v>
      </c>
      <c r="AV368" s="2" t="n">
        <v>0</v>
      </c>
      <c r="AW368" s="2" t="n">
        <v>0</v>
      </c>
      <c r="AX368" s="2" t="n">
        <v>0</v>
      </c>
      <c r="AY368" s="2" t="n">
        <v>0</v>
      </c>
      <c r="AZ368" s="2" t="n">
        <v>0</v>
      </c>
      <c r="BA368" s="2" t="n">
        <v>0</v>
      </c>
      <c r="BB368" s="2" t="n">
        <v>0</v>
      </c>
      <c r="BC368" s="2" t="n">
        <v>0</v>
      </c>
      <c r="BD368" s="2" t="n">
        <v>0</v>
      </c>
      <c r="BE368" s="2" t="n">
        <v>0</v>
      </c>
      <c r="BF368" s="2" t="n">
        <v>0</v>
      </c>
      <c r="BG368" s="2" t="n">
        <v>0</v>
      </c>
      <c r="BH368" s="2" t="n">
        <v>0</v>
      </c>
      <c r="BI368" s="2" t="n">
        <v>0</v>
      </c>
      <c r="BJ368" s="2" t="n">
        <v>0</v>
      </c>
      <c r="BK368" s="2" t="n">
        <v>0</v>
      </c>
      <c r="BL368" s="2" t="n">
        <v>0</v>
      </c>
      <c r="BM368" s="2" t="n">
        <v>0</v>
      </c>
      <c r="BN368" s="2" t="n">
        <v>0</v>
      </c>
      <c r="BO368" s="2" t="n">
        <v>0</v>
      </c>
      <c r="BP368" s="2" t="n">
        <v>0</v>
      </c>
      <c r="BQ368" s="2" t="n">
        <v>0</v>
      </c>
      <c r="BR368" s="2" t="n">
        <v>0</v>
      </c>
      <c r="BS368" s="2" t="n">
        <v>0</v>
      </c>
      <c r="BT368" s="2" t="n">
        <v>1.58</v>
      </c>
      <c r="BU368" s="2" t="n">
        <v>2.89</v>
      </c>
      <c r="BV368" s="2" t="n">
        <v>0</v>
      </c>
      <c r="BW368" s="2" t="n">
        <v>7.09</v>
      </c>
      <c r="BX368" s="2" t="n">
        <v>10.52</v>
      </c>
      <c r="BY368" s="2" t="n">
        <v>0</v>
      </c>
      <c r="BZ368" s="2" t="n">
        <v>18.31</v>
      </c>
      <c r="CA368" s="2" t="n">
        <v>22.87</v>
      </c>
      <c r="CB368" s="2" t="n">
        <v>0</v>
      </c>
      <c r="CC368" s="2" t="n">
        <v>33.02</v>
      </c>
      <c r="CD368" s="2" t="n">
        <v>37.18</v>
      </c>
      <c r="CE368" s="2" t="n">
        <v>0</v>
      </c>
      <c r="CF368" s="2" t="n">
        <v>42.74</v>
      </c>
      <c r="CG368" s="2" t="n">
        <v>46.92</v>
      </c>
      <c r="CH368" s="2" t="n">
        <v>0</v>
      </c>
      <c r="CI368" s="2" t="n">
        <v>52.53</v>
      </c>
      <c r="CJ368" s="2" t="n">
        <v>56.7</v>
      </c>
      <c r="CK368" s="2" t="n">
        <v>0</v>
      </c>
      <c r="CL368" s="2" t="n">
        <v>61.5</v>
      </c>
      <c r="CM368" s="2" t="n">
        <v>65.65000000000001</v>
      </c>
      <c r="CN368" s="2" t="n">
        <v>0</v>
      </c>
      <c r="CO368" s="2" t="n">
        <v>69.90000000000001</v>
      </c>
      <c r="CP368" s="2" t="n">
        <v>74.06</v>
      </c>
      <c r="CQ368" s="2" t="n">
        <v>0</v>
      </c>
      <c r="CR368" s="2" t="n">
        <v>78.81</v>
      </c>
      <c r="CS368" s="2" t="n">
        <v>82.95</v>
      </c>
      <c r="CT368" s="2" t="n">
        <v>0</v>
      </c>
      <c r="CU368" s="2" t="n">
        <v>85.27</v>
      </c>
      <c r="CV368" s="2" t="n">
        <v>89.28</v>
      </c>
      <c r="CW368" s="2" t="n">
        <v>0</v>
      </c>
      <c r="CX368" s="2" t="n">
        <v>93.92</v>
      </c>
      <c r="CY368" s="2" t="n">
        <v>96.45</v>
      </c>
      <c r="CZ368" s="2" t="n">
        <v>0</v>
      </c>
      <c r="DA368" s="2" t="n">
        <v>96.98</v>
      </c>
      <c r="DB368" s="2" t="n">
        <v>96.98</v>
      </c>
      <c r="DC368" s="2" t="n">
        <v>0</v>
      </c>
      <c r="DD368" s="2" t="n">
        <v>97.51000000000001</v>
      </c>
      <c r="DE368" s="2" t="n">
        <v>98.98</v>
      </c>
      <c r="DF368" s="2" t="n">
        <v>0</v>
      </c>
      <c r="DG368" s="2" t="n">
        <v>99.61</v>
      </c>
      <c r="DH368" s="2" t="n">
        <v>99.92</v>
      </c>
      <c r="DI368" s="2" t="n">
        <v>0</v>
      </c>
      <c r="DJ368" s="2" t="n">
        <v>100</v>
      </c>
      <c r="DK368" s="2" t="n">
        <v>100</v>
      </c>
      <c r="DL368" s="2" t="n">
        <v>0</v>
      </c>
      <c r="DM368" s="2" t="n">
        <v>100</v>
      </c>
      <c r="DN368" s="2" t="n">
        <v>100</v>
      </c>
      <c r="DO368" s="2" t="n">
        <v>0</v>
      </c>
      <c r="DP368" s="2" t="n">
        <v>100</v>
      </c>
      <c r="DQ368" s="2" t="n">
        <v>100</v>
      </c>
      <c r="DR368" s="2" t="n">
        <v>0</v>
      </c>
      <c r="DS368" s="2" t="n">
        <v>100</v>
      </c>
      <c r="DT368" s="2" t="n">
        <v>100</v>
      </c>
      <c r="DU368" s="2" t="n">
        <v>0</v>
      </c>
      <c r="DV368" s="2" t="n">
        <v>100</v>
      </c>
      <c r="DW368" s="2" t="n">
        <v>100</v>
      </c>
      <c r="DX368" s="2" t="n">
        <v>0</v>
      </c>
      <c r="DY368" s="2" t="n">
        <v>100</v>
      </c>
      <c r="DZ368" s="2" t="n">
        <v>100</v>
      </c>
      <c r="EA368" s="2" t="n">
        <v>0</v>
      </c>
      <c r="EB368" s="2" t="n">
        <v>100</v>
      </c>
      <c r="EC368" s="2" t="n">
        <v>100</v>
      </c>
      <c r="ED368" s="2" t="n">
        <v>0</v>
      </c>
      <c r="EE368" s="2" t="n">
        <v>100</v>
      </c>
      <c r="EF368" s="2" t="n">
        <v>100</v>
      </c>
      <c r="EG368" s="2" t="n">
        <v>0</v>
      </c>
      <c r="EH368" s="2" t="n">
        <v>100</v>
      </c>
      <c r="EI368" s="2" t="n">
        <v>100</v>
      </c>
      <c r="EJ368" s="2" t="n">
        <v>0</v>
      </c>
      <c r="EK368" s="2" t="n">
        <v>100</v>
      </c>
      <c r="EL368" s="2" t="n">
        <v>100</v>
      </c>
      <c r="EM368" s="2" t="n">
        <v>0</v>
      </c>
      <c r="EN368" s="2" t="n">
        <v>100</v>
      </c>
      <c r="EO368" s="2" t="n">
        <v>100</v>
      </c>
      <c r="EP368" s="2" t="n">
        <v>0</v>
      </c>
      <c r="EQ368" s="2" t="n">
        <v>100</v>
      </c>
      <c r="ER368" s="2" t="n">
        <v>100</v>
      </c>
      <c r="ES368" s="2" t="n">
        <v>0</v>
      </c>
    </row>
    <row r="369">
      <c r="A369" s="2" t="n">
        <v>3</v>
      </c>
      <c r="B369" s="2" t="inlineStr">
        <is>
          <t>18.01.03</t>
        </is>
      </c>
      <c r="C369" s="2" t="inlineStr">
        <is>
          <t>Esp. 19cm</t>
        </is>
      </c>
      <c r="D369" s="2" t="inlineStr">
        <is>
          <t>16/03/2027</t>
        </is>
      </c>
      <c r="E369" s="2" t="inlineStr">
        <is>
          <t>04/05/2028</t>
        </is>
      </c>
      <c r="F369" s="2" t="n">
        <v>1327127.092806611</v>
      </c>
      <c r="G369" s="2" t="n">
        <v>0</v>
      </c>
      <c r="H369" s="2" t="n">
        <v>1327127.092806611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0</v>
      </c>
      <c r="AK369" s="2" t="n">
        <v>0</v>
      </c>
      <c r="AL369" s="2" t="n">
        <v>0</v>
      </c>
      <c r="AM369" s="2" t="n">
        <v>0</v>
      </c>
      <c r="AN369" s="2" t="n">
        <v>0</v>
      </c>
      <c r="AO369" s="2" t="n">
        <v>0</v>
      </c>
      <c r="AP369" s="2" t="n">
        <v>0</v>
      </c>
      <c r="AQ369" s="2" t="n">
        <v>0</v>
      </c>
      <c r="AR369" s="2" t="n">
        <v>0</v>
      </c>
      <c r="AS369" s="2" t="n">
        <v>0</v>
      </c>
      <c r="AT369" s="2" t="n">
        <v>0</v>
      </c>
      <c r="AU369" s="2" t="n">
        <v>0</v>
      </c>
      <c r="AV369" s="2" t="n">
        <v>0</v>
      </c>
      <c r="AW369" s="2" t="n">
        <v>0</v>
      </c>
      <c r="AX369" s="2" t="n">
        <v>0</v>
      </c>
      <c r="AY369" s="2" t="n">
        <v>0</v>
      </c>
      <c r="AZ369" s="2" t="n">
        <v>0</v>
      </c>
      <c r="BA369" s="2" t="n">
        <v>0</v>
      </c>
      <c r="BB369" s="2" t="n">
        <v>0</v>
      </c>
      <c r="BC369" s="2" t="n">
        <v>0</v>
      </c>
      <c r="BD369" s="2" t="n">
        <v>0</v>
      </c>
      <c r="BE369" s="2" t="n">
        <v>0</v>
      </c>
      <c r="BF369" s="2" t="n">
        <v>0</v>
      </c>
      <c r="BG369" s="2" t="n">
        <v>0</v>
      </c>
      <c r="BH369" s="2" t="n">
        <v>0</v>
      </c>
      <c r="BI369" s="2" t="n">
        <v>0</v>
      </c>
      <c r="BJ369" s="2" t="n">
        <v>0</v>
      </c>
      <c r="BK369" s="2" t="n">
        <v>0</v>
      </c>
      <c r="BL369" s="2" t="n">
        <v>0</v>
      </c>
      <c r="BM369" s="2" t="n">
        <v>0</v>
      </c>
      <c r="BN369" s="2" t="n">
        <v>0</v>
      </c>
      <c r="BO369" s="2" t="n">
        <v>0</v>
      </c>
      <c r="BP369" s="2" t="n">
        <v>0</v>
      </c>
      <c r="BQ369" s="2" t="n">
        <v>0</v>
      </c>
      <c r="BR369" s="2" t="n">
        <v>0</v>
      </c>
      <c r="BS369" s="2" t="n">
        <v>0</v>
      </c>
      <c r="BT369" s="2" t="n">
        <v>1.58</v>
      </c>
      <c r="BU369" s="2" t="n">
        <v>2.89</v>
      </c>
      <c r="BV369" s="2" t="n">
        <v>0</v>
      </c>
      <c r="BW369" s="2" t="n">
        <v>7.09</v>
      </c>
      <c r="BX369" s="2" t="n">
        <v>10.52</v>
      </c>
      <c r="BY369" s="2" t="n">
        <v>0</v>
      </c>
      <c r="BZ369" s="2" t="n">
        <v>18.31</v>
      </c>
      <c r="CA369" s="2" t="n">
        <v>22.87</v>
      </c>
      <c r="CB369" s="2" t="n">
        <v>0</v>
      </c>
      <c r="CC369" s="2" t="n">
        <v>33.02</v>
      </c>
      <c r="CD369" s="2" t="n">
        <v>37.18</v>
      </c>
      <c r="CE369" s="2" t="n">
        <v>0</v>
      </c>
      <c r="CF369" s="2" t="n">
        <v>42.74</v>
      </c>
      <c r="CG369" s="2" t="n">
        <v>46.92</v>
      </c>
      <c r="CH369" s="2" t="n">
        <v>0</v>
      </c>
      <c r="CI369" s="2" t="n">
        <v>52.53</v>
      </c>
      <c r="CJ369" s="2" t="n">
        <v>56.7</v>
      </c>
      <c r="CK369" s="2" t="n">
        <v>0</v>
      </c>
      <c r="CL369" s="2" t="n">
        <v>61.5</v>
      </c>
      <c r="CM369" s="2" t="n">
        <v>65.65000000000001</v>
      </c>
      <c r="CN369" s="2" t="n">
        <v>0</v>
      </c>
      <c r="CO369" s="2" t="n">
        <v>69.90000000000001</v>
      </c>
      <c r="CP369" s="2" t="n">
        <v>74.06</v>
      </c>
      <c r="CQ369" s="2" t="n">
        <v>0</v>
      </c>
      <c r="CR369" s="2" t="n">
        <v>78.81</v>
      </c>
      <c r="CS369" s="2" t="n">
        <v>82.95</v>
      </c>
      <c r="CT369" s="2" t="n">
        <v>0</v>
      </c>
      <c r="CU369" s="2" t="n">
        <v>85.27</v>
      </c>
      <c r="CV369" s="2" t="n">
        <v>89.28</v>
      </c>
      <c r="CW369" s="2" t="n">
        <v>0</v>
      </c>
      <c r="CX369" s="2" t="n">
        <v>93.92</v>
      </c>
      <c r="CY369" s="2" t="n">
        <v>96.45</v>
      </c>
      <c r="CZ369" s="2" t="n">
        <v>0</v>
      </c>
      <c r="DA369" s="2" t="n">
        <v>96.98</v>
      </c>
      <c r="DB369" s="2" t="n">
        <v>96.98</v>
      </c>
      <c r="DC369" s="2" t="n">
        <v>0</v>
      </c>
      <c r="DD369" s="2" t="n">
        <v>97.51000000000001</v>
      </c>
      <c r="DE369" s="2" t="n">
        <v>98.98</v>
      </c>
      <c r="DF369" s="2" t="n">
        <v>0</v>
      </c>
      <c r="DG369" s="2" t="n">
        <v>99.61</v>
      </c>
      <c r="DH369" s="2" t="n">
        <v>99.92</v>
      </c>
      <c r="DI369" s="2" t="n">
        <v>0</v>
      </c>
      <c r="DJ369" s="2" t="n">
        <v>100</v>
      </c>
      <c r="DK369" s="2" t="n">
        <v>100</v>
      </c>
      <c r="DL369" s="2" t="n">
        <v>0</v>
      </c>
      <c r="DM369" s="2" t="n">
        <v>100</v>
      </c>
      <c r="DN369" s="2" t="n">
        <v>100</v>
      </c>
      <c r="DO369" s="2" t="n">
        <v>0</v>
      </c>
      <c r="DP369" s="2" t="n">
        <v>100</v>
      </c>
      <c r="DQ369" s="2" t="n">
        <v>100</v>
      </c>
      <c r="DR369" s="2" t="n">
        <v>0</v>
      </c>
      <c r="DS369" s="2" t="n">
        <v>100</v>
      </c>
      <c r="DT369" s="2" t="n">
        <v>100</v>
      </c>
      <c r="DU369" s="2" t="n">
        <v>0</v>
      </c>
      <c r="DV369" s="2" t="n">
        <v>100</v>
      </c>
      <c r="DW369" s="2" t="n">
        <v>100</v>
      </c>
      <c r="DX369" s="2" t="n">
        <v>0</v>
      </c>
      <c r="DY369" s="2" t="n">
        <v>100</v>
      </c>
      <c r="DZ369" s="2" t="n">
        <v>100</v>
      </c>
      <c r="EA369" s="2" t="n">
        <v>0</v>
      </c>
      <c r="EB369" s="2" t="n">
        <v>100</v>
      </c>
      <c r="EC369" s="2" t="n">
        <v>100</v>
      </c>
      <c r="ED369" s="2" t="n">
        <v>0</v>
      </c>
      <c r="EE369" s="2" t="n">
        <v>100</v>
      </c>
      <c r="EF369" s="2" t="n">
        <v>100</v>
      </c>
      <c r="EG369" s="2" t="n">
        <v>0</v>
      </c>
      <c r="EH369" s="2" t="n">
        <v>100</v>
      </c>
      <c r="EI369" s="2" t="n">
        <v>100</v>
      </c>
      <c r="EJ369" s="2" t="n">
        <v>0</v>
      </c>
      <c r="EK369" s="2" t="n">
        <v>100</v>
      </c>
      <c r="EL369" s="2" t="n">
        <v>100</v>
      </c>
      <c r="EM369" s="2" t="n">
        <v>0</v>
      </c>
      <c r="EN369" s="2" t="n">
        <v>100</v>
      </c>
      <c r="EO369" s="2" t="n">
        <v>100</v>
      </c>
      <c r="EP369" s="2" t="n">
        <v>0</v>
      </c>
      <c r="EQ369" s="2" t="n">
        <v>100</v>
      </c>
      <c r="ER369" s="2" t="n">
        <v>100</v>
      </c>
      <c r="ES369" s="2" t="n">
        <v>0</v>
      </c>
    </row>
    <row r="370">
      <c r="A370" s="2" t="n">
        <v>4</v>
      </c>
      <c r="B370" s="2" t="inlineStr">
        <is>
          <t>18.01.03.01</t>
        </is>
      </c>
      <c r="C370" s="2" t="inlineStr">
        <is>
          <t>Demarcação de alvenaria de vedação com blocos cerâmicos esp.19cm</t>
        </is>
      </c>
      <c r="D370" s="2" t="inlineStr">
        <is>
          <t>16/03/2027</t>
        </is>
      </c>
      <c r="E370" s="2" t="inlineStr">
        <is>
          <t>04/05/2028</t>
        </is>
      </c>
      <c r="F370" s="2" t="n">
        <v>99312.8250475152</v>
      </c>
      <c r="G370" s="2" t="n">
        <v>0</v>
      </c>
      <c r="H370" s="2" t="n">
        <v>99312.8250475152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0</v>
      </c>
      <c r="AK370" s="2" t="n">
        <v>0</v>
      </c>
      <c r="AL370" s="2" t="n">
        <v>0</v>
      </c>
      <c r="AM370" s="2" t="n">
        <v>0</v>
      </c>
      <c r="AN370" s="2" t="n">
        <v>0</v>
      </c>
      <c r="AO370" s="2" t="n">
        <v>0</v>
      </c>
      <c r="AP370" s="2" t="n">
        <v>0</v>
      </c>
      <c r="AQ370" s="2" t="n">
        <v>0</v>
      </c>
      <c r="AR370" s="2" t="n">
        <v>0</v>
      </c>
      <c r="AS370" s="2" t="n">
        <v>0</v>
      </c>
      <c r="AT370" s="2" t="n">
        <v>0</v>
      </c>
      <c r="AU370" s="2" t="n">
        <v>0</v>
      </c>
      <c r="AV370" s="2" t="n">
        <v>0</v>
      </c>
      <c r="AW370" s="2" t="n">
        <v>0</v>
      </c>
      <c r="AX370" s="2" t="n">
        <v>0</v>
      </c>
      <c r="AY370" s="2" t="n">
        <v>0</v>
      </c>
      <c r="AZ370" s="2" t="n">
        <v>0</v>
      </c>
      <c r="BA370" s="2" t="n">
        <v>0</v>
      </c>
      <c r="BB370" s="2" t="n">
        <v>0</v>
      </c>
      <c r="BC370" s="2" t="n">
        <v>0</v>
      </c>
      <c r="BD370" s="2" t="n">
        <v>0</v>
      </c>
      <c r="BE370" s="2" t="n">
        <v>0</v>
      </c>
      <c r="BF370" s="2" t="n">
        <v>0</v>
      </c>
      <c r="BG370" s="2" t="n">
        <v>0</v>
      </c>
      <c r="BH370" s="2" t="n">
        <v>0</v>
      </c>
      <c r="BI370" s="2" t="n">
        <v>0</v>
      </c>
      <c r="BJ370" s="2" t="n">
        <v>0</v>
      </c>
      <c r="BK370" s="2" t="n">
        <v>0</v>
      </c>
      <c r="BL370" s="2" t="n">
        <v>0</v>
      </c>
      <c r="BM370" s="2" t="n">
        <v>0</v>
      </c>
      <c r="BN370" s="2" t="n">
        <v>0</v>
      </c>
      <c r="BO370" s="2" t="n">
        <v>0</v>
      </c>
      <c r="BP370" s="2" t="n">
        <v>0</v>
      </c>
      <c r="BQ370" s="2" t="n">
        <v>0</v>
      </c>
      <c r="BR370" s="2" t="n">
        <v>0</v>
      </c>
      <c r="BS370" s="2" t="n">
        <v>0</v>
      </c>
      <c r="BT370" s="2" t="n">
        <v>1.58</v>
      </c>
      <c r="BU370" s="2" t="n">
        <v>2.89</v>
      </c>
      <c r="BV370" s="2" t="n">
        <v>0</v>
      </c>
      <c r="BW370" s="2" t="n">
        <v>7.09</v>
      </c>
      <c r="BX370" s="2" t="n">
        <v>10.52</v>
      </c>
      <c r="BY370" s="2" t="n">
        <v>0</v>
      </c>
      <c r="BZ370" s="2" t="n">
        <v>18.31</v>
      </c>
      <c r="CA370" s="2" t="n">
        <v>22.87</v>
      </c>
      <c r="CB370" s="2" t="n">
        <v>0</v>
      </c>
      <c r="CC370" s="2" t="n">
        <v>33.02</v>
      </c>
      <c r="CD370" s="2" t="n">
        <v>37.18</v>
      </c>
      <c r="CE370" s="2" t="n">
        <v>0</v>
      </c>
      <c r="CF370" s="2" t="n">
        <v>42.74</v>
      </c>
      <c r="CG370" s="2" t="n">
        <v>46.92</v>
      </c>
      <c r="CH370" s="2" t="n">
        <v>0</v>
      </c>
      <c r="CI370" s="2" t="n">
        <v>52.53</v>
      </c>
      <c r="CJ370" s="2" t="n">
        <v>56.7</v>
      </c>
      <c r="CK370" s="2" t="n">
        <v>0</v>
      </c>
      <c r="CL370" s="2" t="n">
        <v>61.5</v>
      </c>
      <c r="CM370" s="2" t="n">
        <v>65.65000000000001</v>
      </c>
      <c r="CN370" s="2" t="n">
        <v>0</v>
      </c>
      <c r="CO370" s="2" t="n">
        <v>69.90000000000001</v>
      </c>
      <c r="CP370" s="2" t="n">
        <v>74.06</v>
      </c>
      <c r="CQ370" s="2" t="n">
        <v>0</v>
      </c>
      <c r="CR370" s="2" t="n">
        <v>78.81</v>
      </c>
      <c r="CS370" s="2" t="n">
        <v>82.95</v>
      </c>
      <c r="CT370" s="2" t="n">
        <v>0</v>
      </c>
      <c r="CU370" s="2" t="n">
        <v>85.27</v>
      </c>
      <c r="CV370" s="2" t="n">
        <v>89.28</v>
      </c>
      <c r="CW370" s="2" t="n">
        <v>0</v>
      </c>
      <c r="CX370" s="2" t="n">
        <v>93.92</v>
      </c>
      <c r="CY370" s="2" t="n">
        <v>96.45</v>
      </c>
      <c r="CZ370" s="2" t="n">
        <v>0</v>
      </c>
      <c r="DA370" s="2" t="n">
        <v>96.98</v>
      </c>
      <c r="DB370" s="2" t="n">
        <v>96.98</v>
      </c>
      <c r="DC370" s="2" t="n">
        <v>0</v>
      </c>
      <c r="DD370" s="2" t="n">
        <v>97.51000000000001</v>
      </c>
      <c r="DE370" s="2" t="n">
        <v>98.98</v>
      </c>
      <c r="DF370" s="2" t="n">
        <v>0</v>
      </c>
      <c r="DG370" s="2" t="n">
        <v>99.61</v>
      </c>
      <c r="DH370" s="2" t="n">
        <v>99.92</v>
      </c>
      <c r="DI370" s="2" t="n">
        <v>0</v>
      </c>
      <c r="DJ370" s="2" t="n">
        <v>100</v>
      </c>
      <c r="DK370" s="2" t="n">
        <v>100</v>
      </c>
      <c r="DL370" s="2" t="n">
        <v>0</v>
      </c>
      <c r="DM370" s="2" t="n">
        <v>100</v>
      </c>
      <c r="DN370" s="2" t="n">
        <v>100</v>
      </c>
      <c r="DO370" s="2" t="n">
        <v>0</v>
      </c>
      <c r="DP370" s="2" t="n">
        <v>100</v>
      </c>
      <c r="DQ370" s="2" t="n">
        <v>100</v>
      </c>
      <c r="DR370" s="2" t="n">
        <v>0</v>
      </c>
      <c r="DS370" s="2" t="n">
        <v>100</v>
      </c>
      <c r="DT370" s="2" t="n">
        <v>100</v>
      </c>
      <c r="DU370" s="2" t="n">
        <v>0</v>
      </c>
      <c r="DV370" s="2" t="n">
        <v>100</v>
      </c>
      <c r="DW370" s="2" t="n">
        <v>100</v>
      </c>
      <c r="DX370" s="2" t="n">
        <v>0</v>
      </c>
      <c r="DY370" s="2" t="n">
        <v>100</v>
      </c>
      <c r="DZ370" s="2" t="n">
        <v>100</v>
      </c>
      <c r="EA370" s="2" t="n">
        <v>0</v>
      </c>
      <c r="EB370" s="2" t="n">
        <v>100</v>
      </c>
      <c r="EC370" s="2" t="n">
        <v>100</v>
      </c>
      <c r="ED370" s="2" t="n">
        <v>0</v>
      </c>
      <c r="EE370" s="2" t="n">
        <v>100</v>
      </c>
      <c r="EF370" s="2" t="n">
        <v>100</v>
      </c>
      <c r="EG370" s="2" t="n">
        <v>0</v>
      </c>
      <c r="EH370" s="2" t="n">
        <v>100</v>
      </c>
      <c r="EI370" s="2" t="n">
        <v>100</v>
      </c>
      <c r="EJ370" s="2" t="n">
        <v>0</v>
      </c>
      <c r="EK370" s="2" t="n">
        <v>100</v>
      </c>
      <c r="EL370" s="2" t="n">
        <v>100</v>
      </c>
      <c r="EM370" s="2" t="n">
        <v>0</v>
      </c>
      <c r="EN370" s="2" t="n">
        <v>100</v>
      </c>
      <c r="EO370" s="2" t="n">
        <v>100</v>
      </c>
      <c r="EP370" s="2" t="n">
        <v>0</v>
      </c>
      <c r="EQ370" s="2" t="n">
        <v>100</v>
      </c>
      <c r="ER370" s="2" t="n">
        <v>100</v>
      </c>
      <c r="ES370" s="2" t="n">
        <v>0</v>
      </c>
    </row>
    <row r="371">
      <c r="A371" s="2" t="n">
        <v>4</v>
      </c>
      <c r="B371" s="2" t="inlineStr">
        <is>
          <t>18.01.03.02</t>
        </is>
      </c>
      <c r="C371" s="2" t="inlineStr">
        <is>
          <t>Alvenaria de vedação com blocos cerâmicos  esp. 19m</t>
        </is>
      </c>
      <c r="D371" s="2" t="inlineStr">
        <is>
          <t>16/03/2027</t>
        </is>
      </c>
      <c r="E371" s="2" t="inlineStr">
        <is>
          <t>04/05/2028</t>
        </is>
      </c>
      <c r="F371" s="2" t="n">
        <v>1153114.54218716</v>
      </c>
      <c r="G371" s="2" t="n">
        <v>0</v>
      </c>
      <c r="H371" s="2" t="n">
        <v>1153114.54218716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0</v>
      </c>
      <c r="AK371" s="2" t="n">
        <v>0</v>
      </c>
      <c r="AL371" s="2" t="n">
        <v>0</v>
      </c>
      <c r="AM371" s="2" t="n">
        <v>0</v>
      </c>
      <c r="AN371" s="2" t="n">
        <v>0</v>
      </c>
      <c r="AO371" s="2" t="n">
        <v>0</v>
      </c>
      <c r="AP371" s="2" t="n">
        <v>0</v>
      </c>
      <c r="AQ371" s="2" t="n">
        <v>0</v>
      </c>
      <c r="AR371" s="2" t="n">
        <v>0</v>
      </c>
      <c r="AS371" s="2" t="n">
        <v>0</v>
      </c>
      <c r="AT371" s="2" t="n">
        <v>0</v>
      </c>
      <c r="AU371" s="2" t="n">
        <v>0</v>
      </c>
      <c r="AV371" s="2" t="n">
        <v>0</v>
      </c>
      <c r="AW371" s="2" t="n">
        <v>0</v>
      </c>
      <c r="AX371" s="2" t="n">
        <v>0</v>
      </c>
      <c r="AY371" s="2" t="n">
        <v>0</v>
      </c>
      <c r="AZ371" s="2" t="n">
        <v>0</v>
      </c>
      <c r="BA371" s="2" t="n">
        <v>0</v>
      </c>
      <c r="BB371" s="2" t="n">
        <v>0</v>
      </c>
      <c r="BC371" s="2" t="n">
        <v>0</v>
      </c>
      <c r="BD371" s="2" t="n">
        <v>0</v>
      </c>
      <c r="BE371" s="2" t="n">
        <v>0</v>
      </c>
      <c r="BF371" s="2" t="n">
        <v>0</v>
      </c>
      <c r="BG371" s="2" t="n">
        <v>0</v>
      </c>
      <c r="BH371" s="2" t="n">
        <v>0</v>
      </c>
      <c r="BI371" s="2" t="n">
        <v>0</v>
      </c>
      <c r="BJ371" s="2" t="n">
        <v>0</v>
      </c>
      <c r="BK371" s="2" t="n">
        <v>0</v>
      </c>
      <c r="BL371" s="2" t="n">
        <v>0</v>
      </c>
      <c r="BM371" s="2" t="n">
        <v>0</v>
      </c>
      <c r="BN371" s="2" t="n">
        <v>0</v>
      </c>
      <c r="BO371" s="2" t="n">
        <v>0</v>
      </c>
      <c r="BP371" s="2" t="n">
        <v>0</v>
      </c>
      <c r="BQ371" s="2" t="n">
        <v>0</v>
      </c>
      <c r="BR371" s="2" t="n">
        <v>0</v>
      </c>
      <c r="BS371" s="2" t="n">
        <v>0</v>
      </c>
      <c r="BT371" s="2" t="n">
        <v>1.58</v>
      </c>
      <c r="BU371" s="2" t="n">
        <v>2.89</v>
      </c>
      <c r="BV371" s="2" t="n">
        <v>0</v>
      </c>
      <c r="BW371" s="2" t="n">
        <v>7.09</v>
      </c>
      <c r="BX371" s="2" t="n">
        <v>10.52</v>
      </c>
      <c r="BY371" s="2" t="n">
        <v>0</v>
      </c>
      <c r="BZ371" s="2" t="n">
        <v>18.31</v>
      </c>
      <c r="CA371" s="2" t="n">
        <v>22.87</v>
      </c>
      <c r="CB371" s="2" t="n">
        <v>0</v>
      </c>
      <c r="CC371" s="2" t="n">
        <v>33.02</v>
      </c>
      <c r="CD371" s="2" t="n">
        <v>37.18</v>
      </c>
      <c r="CE371" s="2" t="n">
        <v>0</v>
      </c>
      <c r="CF371" s="2" t="n">
        <v>42.74</v>
      </c>
      <c r="CG371" s="2" t="n">
        <v>46.92</v>
      </c>
      <c r="CH371" s="2" t="n">
        <v>0</v>
      </c>
      <c r="CI371" s="2" t="n">
        <v>52.53</v>
      </c>
      <c r="CJ371" s="2" t="n">
        <v>56.7</v>
      </c>
      <c r="CK371" s="2" t="n">
        <v>0</v>
      </c>
      <c r="CL371" s="2" t="n">
        <v>61.5</v>
      </c>
      <c r="CM371" s="2" t="n">
        <v>65.65000000000001</v>
      </c>
      <c r="CN371" s="2" t="n">
        <v>0</v>
      </c>
      <c r="CO371" s="2" t="n">
        <v>69.90000000000001</v>
      </c>
      <c r="CP371" s="2" t="n">
        <v>74.06</v>
      </c>
      <c r="CQ371" s="2" t="n">
        <v>0</v>
      </c>
      <c r="CR371" s="2" t="n">
        <v>78.81</v>
      </c>
      <c r="CS371" s="2" t="n">
        <v>82.95</v>
      </c>
      <c r="CT371" s="2" t="n">
        <v>0</v>
      </c>
      <c r="CU371" s="2" t="n">
        <v>85.27</v>
      </c>
      <c r="CV371" s="2" t="n">
        <v>89.28</v>
      </c>
      <c r="CW371" s="2" t="n">
        <v>0</v>
      </c>
      <c r="CX371" s="2" t="n">
        <v>93.92</v>
      </c>
      <c r="CY371" s="2" t="n">
        <v>96.45</v>
      </c>
      <c r="CZ371" s="2" t="n">
        <v>0</v>
      </c>
      <c r="DA371" s="2" t="n">
        <v>96.98</v>
      </c>
      <c r="DB371" s="2" t="n">
        <v>96.98</v>
      </c>
      <c r="DC371" s="2" t="n">
        <v>0</v>
      </c>
      <c r="DD371" s="2" t="n">
        <v>97.51000000000001</v>
      </c>
      <c r="DE371" s="2" t="n">
        <v>98.98</v>
      </c>
      <c r="DF371" s="2" t="n">
        <v>0</v>
      </c>
      <c r="DG371" s="2" t="n">
        <v>99.61</v>
      </c>
      <c r="DH371" s="2" t="n">
        <v>99.92</v>
      </c>
      <c r="DI371" s="2" t="n">
        <v>0</v>
      </c>
      <c r="DJ371" s="2" t="n">
        <v>100</v>
      </c>
      <c r="DK371" s="2" t="n">
        <v>100</v>
      </c>
      <c r="DL371" s="2" t="n">
        <v>0</v>
      </c>
      <c r="DM371" s="2" t="n">
        <v>100</v>
      </c>
      <c r="DN371" s="2" t="n">
        <v>100</v>
      </c>
      <c r="DO371" s="2" t="n">
        <v>0</v>
      </c>
      <c r="DP371" s="2" t="n">
        <v>100</v>
      </c>
      <c r="DQ371" s="2" t="n">
        <v>100</v>
      </c>
      <c r="DR371" s="2" t="n">
        <v>0</v>
      </c>
      <c r="DS371" s="2" t="n">
        <v>100</v>
      </c>
      <c r="DT371" s="2" t="n">
        <v>100</v>
      </c>
      <c r="DU371" s="2" t="n">
        <v>0</v>
      </c>
      <c r="DV371" s="2" t="n">
        <v>100</v>
      </c>
      <c r="DW371" s="2" t="n">
        <v>100</v>
      </c>
      <c r="DX371" s="2" t="n">
        <v>0</v>
      </c>
      <c r="DY371" s="2" t="n">
        <v>100</v>
      </c>
      <c r="DZ371" s="2" t="n">
        <v>100</v>
      </c>
      <c r="EA371" s="2" t="n">
        <v>0</v>
      </c>
      <c r="EB371" s="2" t="n">
        <v>100</v>
      </c>
      <c r="EC371" s="2" t="n">
        <v>100</v>
      </c>
      <c r="ED371" s="2" t="n">
        <v>0</v>
      </c>
      <c r="EE371" s="2" t="n">
        <v>100</v>
      </c>
      <c r="EF371" s="2" t="n">
        <v>100</v>
      </c>
      <c r="EG371" s="2" t="n">
        <v>0</v>
      </c>
      <c r="EH371" s="2" t="n">
        <v>100</v>
      </c>
      <c r="EI371" s="2" t="n">
        <v>100</v>
      </c>
      <c r="EJ371" s="2" t="n">
        <v>0</v>
      </c>
      <c r="EK371" s="2" t="n">
        <v>100</v>
      </c>
      <c r="EL371" s="2" t="n">
        <v>100</v>
      </c>
      <c r="EM371" s="2" t="n">
        <v>0</v>
      </c>
      <c r="EN371" s="2" t="n">
        <v>100</v>
      </c>
      <c r="EO371" s="2" t="n">
        <v>100</v>
      </c>
      <c r="EP371" s="2" t="n">
        <v>0</v>
      </c>
      <c r="EQ371" s="2" t="n">
        <v>100</v>
      </c>
      <c r="ER371" s="2" t="n">
        <v>100</v>
      </c>
      <c r="ES371" s="2" t="n">
        <v>0</v>
      </c>
    </row>
    <row r="372">
      <c r="A372" s="2" t="n">
        <v>4</v>
      </c>
      <c r="B372" s="2" t="inlineStr">
        <is>
          <t>18.01.03.03</t>
        </is>
      </c>
      <c r="C372" s="2" t="inlineStr">
        <is>
          <t>Encunhamento com espuma expansiva de poliuretano</t>
        </is>
      </c>
      <c r="D372" s="2" t="inlineStr">
        <is>
          <t>16/03/2027</t>
        </is>
      </c>
      <c r="E372" s="2" t="inlineStr">
        <is>
          <t>04/05/2028</t>
        </is>
      </c>
      <c r="F372" s="2" t="n">
        <v>40936.32413679139</v>
      </c>
      <c r="G372" s="2" t="n">
        <v>0</v>
      </c>
      <c r="H372" s="2" t="n">
        <v>40936.32413679139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0</v>
      </c>
      <c r="AK372" s="2" t="n">
        <v>0</v>
      </c>
      <c r="AL372" s="2" t="n">
        <v>0</v>
      </c>
      <c r="AM372" s="2" t="n">
        <v>0</v>
      </c>
      <c r="AN372" s="2" t="n">
        <v>0</v>
      </c>
      <c r="AO372" s="2" t="n">
        <v>0</v>
      </c>
      <c r="AP372" s="2" t="n">
        <v>0</v>
      </c>
      <c r="AQ372" s="2" t="n">
        <v>0</v>
      </c>
      <c r="AR372" s="2" t="n">
        <v>0</v>
      </c>
      <c r="AS372" s="2" t="n">
        <v>0</v>
      </c>
      <c r="AT372" s="2" t="n">
        <v>0</v>
      </c>
      <c r="AU372" s="2" t="n">
        <v>0</v>
      </c>
      <c r="AV372" s="2" t="n">
        <v>0</v>
      </c>
      <c r="AW372" s="2" t="n">
        <v>0</v>
      </c>
      <c r="AX372" s="2" t="n">
        <v>0</v>
      </c>
      <c r="AY372" s="2" t="n">
        <v>0</v>
      </c>
      <c r="AZ372" s="2" t="n">
        <v>0</v>
      </c>
      <c r="BA372" s="2" t="n">
        <v>0</v>
      </c>
      <c r="BB372" s="2" t="n">
        <v>0</v>
      </c>
      <c r="BC372" s="2" t="n">
        <v>0</v>
      </c>
      <c r="BD372" s="2" t="n">
        <v>0</v>
      </c>
      <c r="BE372" s="2" t="n">
        <v>0</v>
      </c>
      <c r="BF372" s="2" t="n">
        <v>0</v>
      </c>
      <c r="BG372" s="2" t="n">
        <v>0</v>
      </c>
      <c r="BH372" s="2" t="n">
        <v>0</v>
      </c>
      <c r="BI372" s="2" t="n">
        <v>0</v>
      </c>
      <c r="BJ372" s="2" t="n">
        <v>0</v>
      </c>
      <c r="BK372" s="2" t="n">
        <v>0</v>
      </c>
      <c r="BL372" s="2" t="n">
        <v>0</v>
      </c>
      <c r="BM372" s="2" t="n">
        <v>0</v>
      </c>
      <c r="BN372" s="2" t="n">
        <v>0</v>
      </c>
      <c r="BO372" s="2" t="n">
        <v>0</v>
      </c>
      <c r="BP372" s="2" t="n">
        <v>0</v>
      </c>
      <c r="BQ372" s="2" t="n">
        <v>0</v>
      </c>
      <c r="BR372" s="2" t="n">
        <v>0</v>
      </c>
      <c r="BS372" s="2" t="n">
        <v>0</v>
      </c>
      <c r="BT372" s="2" t="n">
        <v>1.58</v>
      </c>
      <c r="BU372" s="2" t="n">
        <v>2.89</v>
      </c>
      <c r="BV372" s="2" t="n">
        <v>0</v>
      </c>
      <c r="BW372" s="2" t="n">
        <v>7.09</v>
      </c>
      <c r="BX372" s="2" t="n">
        <v>10.52</v>
      </c>
      <c r="BY372" s="2" t="n">
        <v>0</v>
      </c>
      <c r="BZ372" s="2" t="n">
        <v>18.31</v>
      </c>
      <c r="CA372" s="2" t="n">
        <v>22.87</v>
      </c>
      <c r="CB372" s="2" t="n">
        <v>0</v>
      </c>
      <c r="CC372" s="2" t="n">
        <v>33.02</v>
      </c>
      <c r="CD372" s="2" t="n">
        <v>37.18</v>
      </c>
      <c r="CE372" s="2" t="n">
        <v>0</v>
      </c>
      <c r="CF372" s="2" t="n">
        <v>42.74</v>
      </c>
      <c r="CG372" s="2" t="n">
        <v>46.92</v>
      </c>
      <c r="CH372" s="2" t="n">
        <v>0</v>
      </c>
      <c r="CI372" s="2" t="n">
        <v>52.53</v>
      </c>
      <c r="CJ372" s="2" t="n">
        <v>56.7</v>
      </c>
      <c r="CK372" s="2" t="n">
        <v>0</v>
      </c>
      <c r="CL372" s="2" t="n">
        <v>61.5</v>
      </c>
      <c r="CM372" s="2" t="n">
        <v>65.65000000000001</v>
      </c>
      <c r="CN372" s="2" t="n">
        <v>0</v>
      </c>
      <c r="CO372" s="2" t="n">
        <v>69.90000000000001</v>
      </c>
      <c r="CP372" s="2" t="n">
        <v>74.06</v>
      </c>
      <c r="CQ372" s="2" t="n">
        <v>0</v>
      </c>
      <c r="CR372" s="2" t="n">
        <v>78.81</v>
      </c>
      <c r="CS372" s="2" t="n">
        <v>82.95</v>
      </c>
      <c r="CT372" s="2" t="n">
        <v>0</v>
      </c>
      <c r="CU372" s="2" t="n">
        <v>85.27</v>
      </c>
      <c r="CV372" s="2" t="n">
        <v>89.28</v>
      </c>
      <c r="CW372" s="2" t="n">
        <v>0</v>
      </c>
      <c r="CX372" s="2" t="n">
        <v>93.92</v>
      </c>
      <c r="CY372" s="2" t="n">
        <v>96.45</v>
      </c>
      <c r="CZ372" s="2" t="n">
        <v>0</v>
      </c>
      <c r="DA372" s="2" t="n">
        <v>96.98</v>
      </c>
      <c r="DB372" s="2" t="n">
        <v>96.98</v>
      </c>
      <c r="DC372" s="2" t="n">
        <v>0</v>
      </c>
      <c r="DD372" s="2" t="n">
        <v>97.51000000000001</v>
      </c>
      <c r="DE372" s="2" t="n">
        <v>98.98</v>
      </c>
      <c r="DF372" s="2" t="n">
        <v>0</v>
      </c>
      <c r="DG372" s="2" t="n">
        <v>99.61</v>
      </c>
      <c r="DH372" s="2" t="n">
        <v>99.92</v>
      </c>
      <c r="DI372" s="2" t="n">
        <v>0</v>
      </c>
      <c r="DJ372" s="2" t="n">
        <v>100</v>
      </c>
      <c r="DK372" s="2" t="n">
        <v>100</v>
      </c>
      <c r="DL372" s="2" t="n">
        <v>0</v>
      </c>
      <c r="DM372" s="2" t="n">
        <v>100</v>
      </c>
      <c r="DN372" s="2" t="n">
        <v>100</v>
      </c>
      <c r="DO372" s="2" t="n">
        <v>0</v>
      </c>
      <c r="DP372" s="2" t="n">
        <v>100</v>
      </c>
      <c r="DQ372" s="2" t="n">
        <v>100</v>
      </c>
      <c r="DR372" s="2" t="n">
        <v>0</v>
      </c>
      <c r="DS372" s="2" t="n">
        <v>100</v>
      </c>
      <c r="DT372" s="2" t="n">
        <v>100</v>
      </c>
      <c r="DU372" s="2" t="n">
        <v>0</v>
      </c>
      <c r="DV372" s="2" t="n">
        <v>100</v>
      </c>
      <c r="DW372" s="2" t="n">
        <v>100</v>
      </c>
      <c r="DX372" s="2" t="n">
        <v>0</v>
      </c>
      <c r="DY372" s="2" t="n">
        <v>100</v>
      </c>
      <c r="DZ372" s="2" t="n">
        <v>100</v>
      </c>
      <c r="EA372" s="2" t="n">
        <v>0</v>
      </c>
      <c r="EB372" s="2" t="n">
        <v>100</v>
      </c>
      <c r="EC372" s="2" t="n">
        <v>100</v>
      </c>
      <c r="ED372" s="2" t="n">
        <v>0</v>
      </c>
      <c r="EE372" s="2" t="n">
        <v>100</v>
      </c>
      <c r="EF372" s="2" t="n">
        <v>100</v>
      </c>
      <c r="EG372" s="2" t="n">
        <v>0</v>
      </c>
      <c r="EH372" s="2" t="n">
        <v>100</v>
      </c>
      <c r="EI372" s="2" t="n">
        <v>100</v>
      </c>
      <c r="EJ372" s="2" t="n">
        <v>0</v>
      </c>
      <c r="EK372" s="2" t="n">
        <v>100</v>
      </c>
      <c r="EL372" s="2" t="n">
        <v>100</v>
      </c>
      <c r="EM372" s="2" t="n">
        <v>0</v>
      </c>
      <c r="EN372" s="2" t="n">
        <v>100</v>
      </c>
      <c r="EO372" s="2" t="n">
        <v>100</v>
      </c>
      <c r="EP372" s="2" t="n">
        <v>0</v>
      </c>
      <c r="EQ372" s="2" t="n">
        <v>100</v>
      </c>
      <c r="ER372" s="2" t="n">
        <v>100</v>
      </c>
      <c r="ES372" s="2" t="n">
        <v>0</v>
      </c>
    </row>
    <row r="373">
      <c r="A373" s="2" t="n">
        <v>4</v>
      </c>
      <c r="B373" s="2" t="inlineStr">
        <is>
          <t>18.01.03.04</t>
        </is>
      </c>
      <c r="C373" s="2" t="inlineStr">
        <is>
          <t>Amarração de Alvenaria</t>
        </is>
      </c>
      <c r="D373" s="2" t="inlineStr">
        <is>
          <t>16/03/2027</t>
        </is>
      </c>
      <c r="E373" s="2" t="inlineStr">
        <is>
          <t>04/05/2028</t>
        </is>
      </c>
      <c r="F373" s="2" t="n">
        <v>33763.40143514395</v>
      </c>
      <c r="G373" s="2" t="n">
        <v>0</v>
      </c>
      <c r="H373" s="2" t="n">
        <v>33763.40143514395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0</v>
      </c>
      <c r="AK373" s="2" t="n">
        <v>0</v>
      </c>
      <c r="AL373" s="2" t="n">
        <v>0</v>
      </c>
      <c r="AM373" s="2" t="n">
        <v>0</v>
      </c>
      <c r="AN373" s="2" t="n">
        <v>0</v>
      </c>
      <c r="AO373" s="2" t="n">
        <v>0</v>
      </c>
      <c r="AP373" s="2" t="n">
        <v>0</v>
      </c>
      <c r="AQ373" s="2" t="n">
        <v>0</v>
      </c>
      <c r="AR373" s="2" t="n">
        <v>0</v>
      </c>
      <c r="AS373" s="2" t="n">
        <v>0</v>
      </c>
      <c r="AT373" s="2" t="n">
        <v>0</v>
      </c>
      <c r="AU373" s="2" t="n">
        <v>0</v>
      </c>
      <c r="AV373" s="2" t="n">
        <v>0</v>
      </c>
      <c r="AW373" s="2" t="n">
        <v>0</v>
      </c>
      <c r="AX373" s="2" t="n">
        <v>0</v>
      </c>
      <c r="AY373" s="2" t="n">
        <v>0</v>
      </c>
      <c r="AZ373" s="2" t="n">
        <v>0</v>
      </c>
      <c r="BA373" s="2" t="n">
        <v>0</v>
      </c>
      <c r="BB373" s="2" t="n">
        <v>0</v>
      </c>
      <c r="BC373" s="2" t="n">
        <v>0</v>
      </c>
      <c r="BD373" s="2" t="n">
        <v>0</v>
      </c>
      <c r="BE373" s="2" t="n">
        <v>0</v>
      </c>
      <c r="BF373" s="2" t="n">
        <v>0</v>
      </c>
      <c r="BG373" s="2" t="n">
        <v>0</v>
      </c>
      <c r="BH373" s="2" t="n">
        <v>0</v>
      </c>
      <c r="BI373" s="2" t="n">
        <v>0</v>
      </c>
      <c r="BJ373" s="2" t="n">
        <v>0</v>
      </c>
      <c r="BK373" s="2" t="n">
        <v>0</v>
      </c>
      <c r="BL373" s="2" t="n">
        <v>0</v>
      </c>
      <c r="BM373" s="2" t="n">
        <v>0</v>
      </c>
      <c r="BN373" s="2" t="n">
        <v>0</v>
      </c>
      <c r="BO373" s="2" t="n">
        <v>0</v>
      </c>
      <c r="BP373" s="2" t="n">
        <v>0</v>
      </c>
      <c r="BQ373" s="2" t="n">
        <v>0</v>
      </c>
      <c r="BR373" s="2" t="n">
        <v>0</v>
      </c>
      <c r="BS373" s="2" t="n">
        <v>0</v>
      </c>
      <c r="BT373" s="2" t="n">
        <v>1.58</v>
      </c>
      <c r="BU373" s="2" t="n">
        <v>2.89</v>
      </c>
      <c r="BV373" s="2" t="n">
        <v>0</v>
      </c>
      <c r="BW373" s="2" t="n">
        <v>7.09</v>
      </c>
      <c r="BX373" s="2" t="n">
        <v>10.52</v>
      </c>
      <c r="BY373" s="2" t="n">
        <v>0</v>
      </c>
      <c r="BZ373" s="2" t="n">
        <v>18.31</v>
      </c>
      <c r="CA373" s="2" t="n">
        <v>22.87</v>
      </c>
      <c r="CB373" s="2" t="n">
        <v>0</v>
      </c>
      <c r="CC373" s="2" t="n">
        <v>33.02</v>
      </c>
      <c r="CD373" s="2" t="n">
        <v>37.18</v>
      </c>
      <c r="CE373" s="2" t="n">
        <v>0</v>
      </c>
      <c r="CF373" s="2" t="n">
        <v>42.74</v>
      </c>
      <c r="CG373" s="2" t="n">
        <v>46.92</v>
      </c>
      <c r="CH373" s="2" t="n">
        <v>0</v>
      </c>
      <c r="CI373" s="2" t="n">
        <v>52.53</v>
      </c>
      <c r="CJ373" s="2" t="n">
        <v>56.7</v>
      </c>
      <c r="CK373" s="2" t="n">
        <v>0</v>
      </c>
      <c r="CL373" s="2" t="n">
        <v>61.5</v>
      </c>
      <c r="CM373" s="2" t="n">
        <v>65.65000000000001</v>
      </c>
      <c r="CN373" s="2" t="n">
        <v>0</v>
      </c>
      <c r="CO373" s="2" t="n">
        <v>69.90000000000001</v>
      </c>
      <c r="CP373" s="2" t="n">
        <v>74.06</v>
      </c>
      <c r="CQ373" s="2" t="n">
        <v>0</v>
      </c>
      <c r="CR373" s="2" t="n">
        <v>78.81</v>
      </c>
      <c r="CS373" s="2" t="n">
        <v>82.95</v>
      </c>
      <c r="CT373" s="2" t="n">
        <v>0</v>
      </c>
      <c r="CU373" s="2" t="n">
        <v>85.27</v>
      </c>
      <c r="CV373" s="2" t="n">
        <v>89.28</v>
      </c>
      <c r="CW373" s="2" t="n">
        <v>0</v>
      </c>
      <c r="CX373" s="2" t="n">
        <v>93.92</v>
      </c>
      <c r="CY373" s="2" t="n">
        <v>96.45</v>
      </c>
      <c r="CZ373" s="2" t="n">
        <v>0</v>
      </c>
      <c r="DA373" s="2" t="n">
        <v>96.98</v>
      </c>
      <c r="DB373" s="2" t="n">
        <v>96.98</v>
      </c>
      <c r="DC373" s="2" t="n">
        <v>0</v>
      </c>
      <c r="DD373" s="2" t="n">
        <v>97.51000000000001</v>
      </c>
      <c r="DE373" s="2" t="n">
        <v>98.98</v>
      </c>
      <c r="DF373" s="2" t="n">
        <v>0</v>
      </c>
      <c r="DG373" s="2" t="n">
        <v>99.61</v>
      </c>
      <c r="DH373" s="2" t="n">
        <v>99.92</v>
      </c>
      <c r="DI373" s="2" t="n">
        <v>0</v>
      </c>
      <c r="DJ373" s="2" t="n">
        <v>100</v>
      </c>
      <c r="DK373" s="2" t="n">
        <v>100</v>
      </c>
      <c r="DL373" s="2" t="n">
        <v>0</v>
      </c>
      <c r="DM373" s="2" t="n">
        <v>100</v>
      </c>
      <c r="DN373" s="2" t="n">
        <v>100</v>
      </c>
      <c r="DO373" s="2" t="n">
        <v>0</v>
      </c>
      <c r="DP373" s="2" t="n">
        <v>100</v>
      </c>
      <c r="DQ373" s="2" t="n">
        <v>100</v>
      </c>
      <c r="DR373" s="2" t="n">
        <v>0</v>
      </c>
      <c r="DS373" s="2" t="n">
        <v>100</v>
      </c>
      <c r="DT373" s="2" t="n">
        <v>100</v>
      </c>
      <c r="DU373" s="2" t="n">
        <v>0</v>
      </c>
      <c r="DV373" s="2" t="n">
        <v>100</v>
      </c>
      <c r="DW373" s="2" t="n">
        <v>100</v>
      </c>
      <c r="DX373" s="2" t="n">
        <v>0</v>
      </c>
      <c r="DY373" s="2" t="n">
        <v>100</v>
      </c>
      <c r="DZ373" s="2" t="n">
        <v>100</v>
      </c>
      <c r="EA373" s="2" t="n">
        <v>0</v>
      </c>
      <c r="EB373" s="2" t="n">
        <v>100</v>
      </c>
      <c r="EC373" s="2" t="n">
        <v>100</v>
      </c>
      <c r="ED373" s="2" t="n">
        <v>0</v>
      </c>
      <c r="EE373" s="2" t="n">
        <v>100</v>
      </c>
      <c r="EF373" s="2" t="n">
        <v>100</v>
      </c>
      <c r="EG373" s="2" t="n">
        <v>0</v>
      </c>
      <c r="EH373" s="2" t="n">
        <v>100</v>
      </c>
      <c r="EI373" s="2" t="n">
        <v>100</v>
      </c>
      <c r="EJ373" s="2" t="n">
        <v>0</v>
      </c>
      <c r="EK373" s="2" t="n">
        <v>100</v>
      </c>
      <c r="EL373" s="2" t="n">
        <v>100</v>
      </c>
      <c r="EM373" s="2" t="n">
        <v>0</v>
      </c>
      <c r="EN373" s="2" t="n">
        <v>100</v>
      </c>
      <c r="EO373" s="2" t="n">
        <v>100</v>
      </c>
      <c r="EP373" s="2" t="n">
        <v>0</v>
      </c>
      <c r="EQ373" s="2" t="n">
        <v>100</v>
      </c>
      <c r="ER373" s="2" t="n">
        <v>100</v>
      </c>
      <c r="ES373" s="2" t="n">
        <v>0</v>
      </c>
    </row>
    <row r="374">
      <c r="A374" s="2" t="n">
        <v>2</v>
      </c>
      <c r="B374" s="2" t="inlineStr">
        <is>
          <t>18.02</t>
        </is>
      </c>
      <c r="C374" s="2" t="inlineStr">
        <is>
          <t>Alvenaria de vedação  com blocos de concreto</t>
        </is>
      </c>
      <c r="D374" s="2" t="inlineStr">
        <is>
          <t>16/03/2027</t>
        </is>
      </c>
      <c r="E374" s="2" t="inlineStr">
        <is>
          <t>04/05/2028</t>
        </is>
      </c>
      <c r="F374" s="2" t="n">
        <v>417726.240661798</v>
      </c>
      <c r="G374" s="2" t="n">
        <v>0</v>
      </c>
      <c r="H374" s="2" t="n">
        <v>417726.240661798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0</v>
      </c>
      <c r="AK374" s="2" t="n">
        <v>0</v>
      </c>
      <c r="AL374" s="2" t="n">
        <v>0</v>
      </c>
      <c r="AM374" s="2" t="n">
        <v>0</v>
      </c>
      <c r="AN374" s="2" t="n">
        <v>0</v>
      </c>
      <c r="AO374" s="2" t="n">
        <v>0</v>
      </c>
      <c r="AP374" s="2" t="n">
        <v>0</v>
      </c>
      <c r="AQ374" s="2" t="n">
        <v>0</v>
      </c>
      <c r="AR374" s="2" t="n">
        <v>0</v>
      </c>
      <c r="AS374" s="2" t="n">
        <v>0</v>
      </c>
      <c r="AT374" s="2" t="n">
        <v>0</v>
      </c>
      <c r="AU374" s="2" t="n">
        <v>0</v>
      </c>
      <c r="AV374" s="2" t="n">
        <v>0</v>
      </c>
      <c r="AW374" s="2" t="n">
        <v>0</v>
      </c>
      <c r="AX374" s="2" t="n">
        <v>0</v>
      </c>
      <c r="AY374" s="2" t="n">
        <v>0</v>
      </c>
      <c r="AZ374" s="2" t="n">
        <v>0</v>
      </c>
      <c r="BA374" s="2" t="n">
        <v>0</v>
      </c>
      <c r="BB374" s="2" t="n">
        <v>0</v>
      </c>
      <c r="BC374" s="2" t="n">
        <v>0</v>
      </c>
      <c r="BD374" s="2" t="n">
        <v>0</v>
      </c>
      <c r="BE374" s="2" t="n">
        <v>0</v>
      </c>
      <c r="BF374" s="2" t="n">
        <v>0</v>
      </c>
      <c r="BG374" s="2" t="n">
        <v>0</v>
      </c>
      <c r="BH374" s="2" t="n">
        <v>0</v>
      </c>
      <c r="BI374" s="2" t="n">
        <v>0</v>
      </c>
      <c r="BJ374" s="2" t="n">
        <v>0</v>
      </c>
      <c r="BK374" s="2" t="n">
        <v>0</v>
      </c>
      <c r="BL374" s="2" t="n">
        <v>0</v>
      </c>
      <c r="BM374" s="2" t="n">
        <v>0</v>
      </c>
      <c r="BN374" s="2" t="n">
        <v>0</v>
      </c>
      <c r="BO374" s="2" t="n">
        <v>0</v>
      </c>
      <c r="BP374" s="2" t="n">
        <v>0</v>
      </c>
      <c r="BQ374" s="2" t="n">
        <v>0</v>
      </c>
      <c r="BR374" s="2" t="n">
        <v>0</v>
      </c>
      <c r="BS374" s="2" t="n">
        <v>0</v>
      </c>
      <c r="BT374" s="2" t="n">
        <v>1.58</v>
      </c>
      <c r="BU374" s="2" t="n">
        <v>2.89</v>
      </c>
      <c r="BV374" s="2" t="n">
        <v>0</v>
      </c>
      <c r="BW374" s="2" t="n">
        <v>7.09</v>
      </c>
      <c r="BX374" s="2" t="n">
        <v>10.52</v>
      </c>
      <c r="BY374" s="2" t="n">
        <v>0</v>
      </c>
      <c r="BZ374" s="2" t="n">
        <v>18.31</v>
      </c>
      <c r="CA374" s="2" t="n">
        <v>22.87</v>
      </c>
      <c r="CB374" s="2" t="n">
        <v>0</v>
      </c>
      <c r="CC374" s="2" t="n">
        <v>33.02</v>
      </c>
      <c r="CD374" s="2" t="n">
        <v>37.18</v>
      </c>
      <c r="CE374" s="2" t="n">
        <v>0</v>
      </c>
      <c r="CF374" s="2" t="n">
        <v>42.74</v>
      </c>
      <c r="CG374" s="2" t="n">
        <v>46.92</v>
      </c>
      <c r="CH374" s="2" t="n">
        <v>0</v>
      </c>
      <c r="CI374" s="2" t="n">
        <v>52.53</v>
      </c>
      <c r="CJ374" s="2" t="n">
        <v>56.7</v>
      </c>
      <c r="CK374" s="2" t="n">
        <v>0</v>
      </c>
      <c r="CL374" s="2" t="n">
        <v>61.5</v>
      </c>
      <c r="CM374" s="2" t="n">
        <v>65.65000000000001</v>
      </c>
      <c r="CN374" s="2" t="n">
        <v>0</v>
      </c>
      <c r="CO374" s="2" t="n">
        <v>69.90000000000001</v>
      </c>
      <c r="CP374" s="2" t="n">
        <v>74.06</v>
      </c>
      <c r="CQ374" s="2" t="n">
        <v>0</v>
      </c>
      <c r="CR374" s="2" t="n">
        <v>78.81</v>
      </c>
      <c r="CS374" s="2" t="n">
        <v>82.95</v>
      </c>
      <c r="CT374" s="2" t="n">
        <v>0</v>
      </c>
      <c r="CU374" s="2" t="n">
        <v>85.27</v>
      </c>
      <c r="CV374" s="2" t="n">
        <v>89.28</v>
      </c>
      <c r="CW374" s="2" t="n">
        <v>0</v>
      </c>
      <c r="CX374" s="2" t="n">
        <v>93.92</v>
      </c>
      <c r="CY374" s="2" t="n">
        <v>96.45</v>
      </c>
      <c r="CZ374" s="2" t="n">
        <v>0</v>
      </c>
      <c r="DA374" s="2" t="n">
        <v>96.98</v>
      </c>
      <c r="DB374" s="2" t="n">
        <v>96.98</v>
      </c>
      <c r="DC374" s="2" t="n">
        <v>0</v>
      </c>
      <c r="DD374" s="2" t="n">
        <v>97.51000000000001</v>
      </c>
      <c r="DE374" s="2" t="n">
        <v>98.98</v>
      </c>
      <c r="DF374" s="2" t="n">
        <v>0</v>
      </c>
      <c r="DG374" s="2" t="n">
        <v>99.61</v>
      </c>
      <c r="DH374" s="2" t="n">
        <v>99.92</v>
      </c>
      <c r="DI374" s="2" t="n">
        <v>0</v>
      </c>
      <c r="DJ374" s="2" t="n">
        <v>100</v>
      </c>
      <c r="DK374" s="2" t="n">
        <v>100</v>
      </c>
      <c r="DL374" s="2" t="n">
        <v>0</v>
      </c>
      <c r="DM374" s="2" t="n">
        <v>100</v>
      </c>
      <c r="DN374" s="2" t="n">
        <v>100</v>
      </c>
      <c r="DO374" s="2" t="n">
        <v>0</v>
      </c>
      <c r="DP374" s="2" t="n">
        <v>100</v>
      </c>
      <c r="DQ374" s="2" t="n">
        <v>100</v>
      </c>
      <c r="DR374" s="2" t="n">
        <v>0</v>
      </c>
      <c r="DS374" s="2" t="n">
        <v>100</v>
      </c>
      <c r="DT374" s="2" t="n">
        <v>100</v>
      </c>
      <c r="DU374" s="2" t="n">
        <v>0</v>
      </c>
      <c r="DV374" s="2" t="n">
        <v>100</v>
      </c>
      <c r="DW374" s="2" t="n">
        <v>100</v>
      </c>
      <c r="DX374" s="2" t="n">
        <v>0</v>
      </c>
      <c r="DY374" s="2" t="n">
        <v>100</v>
      </c>
      <c r="DZ374" s="2" t="n">
        <v>100</v>
      </c>
      <c r="EA374" s="2" t="n">
        <v>0</v>
      </c>
      <c r="EB374" s="2" t="n">
        <v>100</v>
      </c>
      <c r="EC374" s="2" t="n">
        <v>100</v>
      </c>
      <c r="ED374" s="2" t="n">
        <v>0</v>
      </c>
      <c r="EE374" s="2" t="n">
        <v>100</v>
      </c>
      <c r="EF374" s="2" t="n">
        <v>100</v>
      </c>
      <c r="EG374" s="2" t="n">
        <v>0</v>
      </c>
      <c r="EH374" s="2" t="n">
        <v>100</v>
      </c>
      <c r="EI374" s="2" t="n">
        <v>100</v>
      </c>
      <c r="EJ374" s="2" t="n">
        <v>0</v>
      </c>
      <c r="EK374" s="2" t="n">
        <v>100</v>
      </c>
      <c r="EL374" s="2" t="n">
        <v>100</v>
      </c>
      <c r="EM374" s="2" t="n">
        <v>0</v>
      </c>
      <c r="EN374" s="2" t="n">
        <v>100</v>
      </c>
      <c r="EO374" s="2" t="n">
        <v>100</v>
      </c>
      <c r="EP374" s="2" t="n">
        <v>0</v>
      </c>
      <c r="EQ374" s="2" t="n">
        <v>100</v>
      </c>
      <c r="ER374" s="2" t="n">
        <v>100</v>
      </c>
      <c r="ES374" s="2" t="n">
        <v>0</v>
      </c>
    </row>
    <row r="375">
      <c r="A375" s="2" t="n">
        <v>3</v>
      </c>
      <c r="B375" s="2" t="inlineStr">
        <is>
          <t>18.02.01</t>
        </is>
      </c>
      <c r="C375" s="2" t="inlineStr">
        <is>
          <t>Esp. 9cm</t>
        </is>
      </c>
      <c r="D375" s="2" t="inlineStr">
        <is>
          <t>16/03/2027</t>
        </is>
      </c>
      <c r="E375" s="2" t="inlineStr">
        <is>
          <t>04/05/2028</t>
        </is>
      </c>
      <c r="F375" s="2" t="n">
        <v>21504.99235415065</v>
      </c>
      <c r="G375" s="2" t="n">
        <v>0</v>
      </c>
      <c r="H375" s="2" t="n">
        <v>21504.99235415065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0</v>
      </c>
      <c r="AK375" s="2" t="n">
        <v>0</v>
      </c>
      <c r="AL375" s="2" t="n">
        <v>0</v>
      </c>
      <c r="AM375" s="2" t="n">
        <v>0</v>
      </c>
      <c r="AN375" s="2" t="n">
        <v>0</v>
      </c>
      <c r="AO375" s="2" t="n">
        <v>0</v>
      </c>
      <c r="AP375" s="2" t="n">
        <v>0</v>
      </c>
      <c r="AQ375" s="2" t="n">
        <v>0</v>
      </c>
      <c r="AR375" s="2" t="n">
        <v>0</v>
      </c>
      <c r="AS375" s="2" t="n">
        <v>0</v>
      </c>
      <c r="AT375" s="2" t="n">
        <v>0</v>
      </c>
      <c r="AU375" s="2" t="n">
        <v>0</v>
      </c>
      <c r="AV375" s="2" t="n">
        <v>0</v>
      </c>
      <c r="AW375" s="2" t="n">
        <v>0</v>
      </c>
      <c r="AX375" s="2" t="n">
        <v>0</v>
      </c>
      <c r="AY375" s="2" t="n">
        <v>0</v>
      </c>
      <c r="AZ375" s="2" t="n">
        <v>0</v>
      </c>
      <c r="BA375" s="2" t="n">
        <v>0</v>
      </c>
      <c r="BB375" s="2" t="n">
        <v>0</v>
      </c>
      <c r="BC375" s="2" t="n">
        <v>0</v>
      </c>
      <c r="BD375" s="2" t="n">
        <v>0</v>
      </c>
      <c r="BE375" s="2" t="n">
        <v>0</v>
      </c>
      <c r="BF375" s="2" t="n">
        <v>0</v>
      </c>
      <c r="BG375" s="2" t="n">
        <v>0</v>
      </c>
      <c r="BH375" s="2" t="n">
        <v>0</v>
      </c>
      <c r="BI375" s="2" t="n">
        <v>0</v>
      </c>
      <c r="BJ375" s="2" t="n">
        <v>0</v>
      </c>
      <c r="BK375" s="2" t="n">
        <v>0</v>
      </c>
      <c r="BL375" s="2" t="n">
        <v>0</v>
      </c>
      <c r="BM375" s="2" t="n">
        <v>0</v>
      </c>
      <c r="BN375" s="2" t="n">
        <v>0</v>
      </c>
      <c r="BO375" s="2" t="n">
        <v>0</v>
      </c>
      <c r="BP375" s="2" t="n">
        <v>0</v>
      </c>
      <c r="BQ375" s="2" t="n">
        <v>0</v>
      </c>
      <c r="BR375" s="2" t="n">
        <v>0</v>
      </c>
      <c r="BS375" s="2" t="n">
        <v>0</v>
      </c>
      <c r="BT375" s="2" t="n">
        <v>1.58</v>
      </c>
      <c r="BU375" s="2" t="n">
        <v>2.89</v>
      </c>
      <c r="BV375" s="2" t="n">
        <v>0</v>
      </c>
      <c r="BW375" s="2" t="n">
        <v>7.09</v>
      </c>
      <c r="BX375" s="2" t="n">
        <v>10.52</v>
      </c>
      <c r="BY375" s="2" t="n">
        <v>0</v>
      </c>
      <c r="BZ375" s="2" t="n">
        <v>18.31</v>
      </c>
      <c r="CA375" s="2" t="n">
        <v>22.87</v>
      </c>
      <c r="CB375" s="2" t="n">
        <v>0</v>
      </c>
      <c r="CC375" s="2" t="n">
        <v>33.02</v>
      </c>
      <c r="CD375" s="2" t="n">
        <v>37.18</v>
      </c>
      <c r="CE375" s="2" t="n">
        <v>0</v>
      </c>
      <c r="CF375" s="2" t="n">
        <v>42.74</v>
      </c>
      <c r="CG375" s="2" t="n">
        <v>46.92</v>
      </c>
      <c r="CH375" s="2" t="n">
        <v>0</v>
      </c>
      <c r="CI375" s="2" t="n">
        <v>52.53</v>
      </c>
      <c r="CJ375" s="2" t="n">
        <v>56.7</v>
      </c>
      <c r="CK375" s="2" t="n">
        <v>0</v>
      </c>
      <c r="CL375" s="2" t="n">
        <v>61.5</v>
      </c>
      <c r="CM375" s="2" t="n">
        <v>65.65000000000001</v>
      </c>
      <c r="CN375" s="2" t="n">
        <v>0</v>
      </c>
      <c r="CO375" s="2" t="n">
        <v>69.90000000000001</v>
      </c>
      <c r="CP375" s="2" t="n">
        <v>74.06</v>
      </c>
      <c r="CQ375" s="2" t="n">
        <v>0</v>
      </c>
      <c r="CR375" s="2" t="n">
        <v>78.81</v>
      </c>
      <c r="CS375" s="2" t="n">
        <v>82.95</v>
      </c>
      <c r="CT375" s="2" t="n">
        <v>0</v>
      </c>
      <c r="CU375" s="2" t="n">
        <v>85.27</v>
      </c>
      <c r="CV375" s="2" t="n">
        <v>89.28</v>
      </c>
      <c r="CW375" s="2" t="n">
        <v>0</v>
      </c>
      <c r="CX375" s="2" t="n">
        <v>93.92</v>
      </c>
      <c r="CY375" s="2" t="n">
        <v>96.45</v>
      </c>
      <c r="CZ375" s="2" t="n">
        <v>0</v>
      </c>
      <c r="DA375" s="2" t="n">
        <v>96.98</v>
      </c>
      <c r="DB375" s="2" t="n">
        <v>96.98</v>
      </c>
      <c r="DC375" s="2" t="n">
        <v>0</v>
      </c>
      <c r="DD375" s="2" t="n">
        <v>97.51000000000001</v>
      </c>
      <c r="DE375" s="2" t="n">
        <v>98.98</v>
      </c>
      <c r="DF375" s="2" t="n">
        <v>0</v>
      </c>
      <c r="DG375" s="2" t="n">
        <v>99.61</v>
      </c>
      <c r="DH375" s="2" t="n">
        <v>99.92</v>
      </c>
      <c r="DI375" s="2" t="n">
        <v>0</v>
      </c>
      <c r="DJ375" s="2" t="n">
        <v>100</v>
      </c>
      <c r="DK375" s="2" t="n">
        <v>100</v>
      </c>
      <c r="DL375" s="2" t="n">
        <v>0</v>
      </c>
      <c r="DM375" s="2" t="n">
        <v>100</v>
      </c>
      <c r="DN375" s="2" t="n">
        <v>100</v>
      </c>
      <c r="DO375" s="2" t="n">
        <v>0</v>
      </c>
      <c r="DP375" s="2" t="n">
        <v>100</v>
      </c>
      <c r="DQ375" s="2" t="n">
        <v>100</v>
      </c>
      <c r="DR375" s="2" t="n">
        <v>0</v>
      </c>
      <c r="DS375" s="2" t="n">
        <v>100</v>
      </c>
      <c r="DT375" s="2" t="n">
        <v>100</v>
      </c>
      <c r="DU375" s="2" t="n">
        <v>0</v>
      </c>
      <c r="DV375" s="2" t="n">
        <v>100</v>
      </c>
      <c r="DW375" s="2" t="n">
        <v>100</v>
      </c>
      <c r="DX375" s="2" t="n">
        <v>0</v>
      </c>
      <c r="DY375" s="2" t="n">
        <v>100</v>
      </c>
      <c r="DZ375" s="2" t="n">
        <v>100</v>
      </c>
      <c r="EA375" s="2" t="n">
        <v>0</v>
      </c>
      <c r="EB375" s="2" t="n">
        <v>100</v>
      </c>
      <c r="EC375" s="2" t="n">
        <v>100</v>
      </c>
      <c r="ED375" s="2" t="n">
        <v>0</v>
      </c>
      <c r="EE375" s="2" t="n">
        <v>100</v>
      </c>
      <c r="EF375" s="2" t="n">
        <v>100</v>
      </c>
      <c r="EG375" s="2" t="n">
        <v>0</v>
      </c>
      <c r="EH375" s="2" t="n">
        <v>100</v>
      </c>
      <c r="EI375" s="2" t="n">
        <v>100</v>
      </c>
      <c r="EJ375" s="2" t="n">
        <v>0</v>
      </c>
      <c r="EK375" s="2" t="n">
        <v>100</v>
      </c>
      <c r="EL375" s="2" t="n">
        <v>100</v>
      </c>
      <c r="EM375" s="2" t="n">
        <v>0</v>
      </c>
      <c r="EN375" s="2" t="n">
        <v>100</v>
      </c>
      <c r="EO375" s="2" t="n">
        <v>100</v>
      </c>
      <c r="EP375" s="2" t="n">
        <v>0</v>
      </c>
      <c r="EQ375" s="2" t="n">
        <v>100</v>
      </c>
      <c r="ER375" s="2" t="n">
        <v>100</v>
      </c>
      <c r="ES375" s="2" t="n">
        <v>0</v>
      </c>
    </row>
    <row r="376">
      <c r="A376" s="2" t="n">
        <v>4</v>
      </c>
      <c r="B376" s="2" t="inlineStr">
        <is>
          <t>18.02.01.01</t>
        </is>
      </c>
      <c r="C376" s="2" t="inlineStr">
        <is>
          <t>Demarcação de alvenaria de vedação com blocos de concreto esp.9cm</t>
        </is>
      </c>
      <c r="D376" s="2" t="inlineStr">
        <is>
          <t>16/03/2027</t>
        </is>
      </c>
      <c r="E376" s="2" t="inlineStr">
        <is>
          <t>04/05/2028</t>
        </is>
      </c>
      <c r="F376" s="2" t="n">
        <v>1772.512870165765</v>
      </c>
      <c r="G376" s="2" t="n">
        <v>0</v>
      </c>
      <c r="H376" s="2" t="n">
        <v>1772.512870165765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0</v>
      </c>
      <c r="AK376" s="2" t="n">
        <v>0</v>
      </c>
      <c r="AL376" s="2" t="n">
        <v>0</v>
      </c>
      <c r="AM376" s="2" t="n">
        <v>0</v>
      </c>
      <c r="AN376" s="2" t="n">
        <v>0</v>
      </c>
      <c r="AO376" s="2" t="n">
        <v>0</v>
      </c>
      <c r="AP376" s="2" t="n">
        <v>0</v>
      </c>
      <c r="AQ376" s="2" t="n">
        <v>0</v>
      </c>
      <c r="AR376" s="2" t="n">
        <v>0</v>
      </c>
      <c r="AS376" s="2" t="n">
        <v>0</v>
      </c>
      <c r="AT376" s="2" t="n">
        <v>0</v>
      </c>
      <c r="AU376" s="2" t="n">
        <v>0</v>
      </c>
      <c r="AV376" s="2" t="n">
        <v>0</v>
      </c>
      <c r="AW376" s="2" t="n">
        <v>0</v>
      </c>
      <c r="AX376" s="2" t="n">
        <v>0</v>
      </c>
      <c r="AY376" s="2" t="n">
        <v>0</v>
      </c>
      <c r="AZ376" s="2" t="n">
        <v>0</v>
      </c>
      <c r="BA376" s="2" t="n">
        <v>0</v>
      </c>
      <c r="BB376" s="2" t="n">
        <v>0</v>
      </c>
      <c r="BC376" s="2" t="n">
        <v>0</v>
      </c>
      <c r="BD376" s="2" t="n">
        <v>0</v>
      </c>
      <c r="BE376" s="2" t="n">
        <v>0</v>
      </c>
      <c r="BF376" s="2" t="n">
        <v>0</v>
      </c>
      <c r="BG376" s="2" t="n">
        <v>0</v>
      </c>
      <c r="BH376" s="2" t="n">
        <v>0</v>
      </c>
      <c r="BI376" s="2" t="n">
        <v>0</v>
      </c>
      <c r="BJ376" s="2" t="n">
        <v>0</v>
      </c>
      <c r="BK376" s="2" t="n">
        <v>0</v>
      </c>
      <c r="BL376" s="2" t="n">
        <v>0</v>
      </c>
      <c r="BM376" s="2" t="n">
        <v>0</v>
      </c>
      <c r="BN376" s="2" t="n">
        <v>0</v>
      </c>
      <c r="BO376" s="2" t="n">
        <v>0</v>
      </c>
      <c r="BP376" s="2" t="n">
        <v>0</v>
      </c>
      <c r="BQ376" s="2" t="n">
        <v>0</v>
      </c>
      <c r="BR376" s="2" t="n">
        <v>0</v>
      </c>
      <c r="BS376" s="2" t="n">
        <v>0</v>
      </c>
      <c r="BT376" s="2" t="n">
        <v>1.58</v>
      </c>
      <c r="BU376" s="2" t="n">
        <v>2.89</v>
      </c>
      <c r="BV376" s="2" t="n">
        <v>0</v>
      </c>
      <c r="BW376" s="2" t="n">
        <v>7.09</v>
      </c>
      <c r="BX376" s="2" t="n">
        <v>10.52</v>
      </c>
      <c r="BY376" s="2" t="n">
        <v>0</v>
      </c>
      <c r="BZ376" s="2" t="n">
        <v>18.31</v>
      </c>
      <c r="CA376" s="2" t="n">
        <v>22.87</v>
      </c>
      <c r="CB376" s="2" t="n">
        <v>0</v>
      </c>
      <c r="CC376" s="2" t="n">
        <v>33.02</v>
      </c>
      <c r="CD376" s="2" t="n">
        <v>37.18</v>
      </c>
      <c r="CE376" s="2" t="n">
        <v>0</v>
      </c>
      <c r="CF376" s="2" t="n">
        <v>42.74</v>
      </c>
      <c r="CG376" s="2" t="n">
        <v>46.92</v>
      </c>
      <c r="CH376" s="2" t="n">
        <v>0</v>
      </c>
      <c r="CI376" s="2" t="n">
        <v>52.53</v>
      </c>
      <c r="CJ376" s="2" t="n">
        <v>56.7</v>
      </c>
      <c r="CK376" s="2" t="n">
        <v>0</v>
      </c>
      <c r="CL376" s="2" t="n">
        <v>61.5</v>
      </c>
      <c r="CM376" s="2" t="n">
        <v>65.65000000000001</v>
      </c>
      <c r="CN376" s="2" t="n">
        <v>0</v>
      </c>
      <c r="CO376" s="2" t="n">
        <v>69.90000000000001</v>
      </c>
      <c r="CP376" s="2" t="n">
        <v>74.06</v>
      </c>
      <c r="CQ376" s="2" t="n">
        <v>0</v>
      </c>
      <c r="CR376" s="2" t="n">
        <v>78.81</v>
      </c>
      <c r="CS376" s="2" t="n">
        <v>82.95</v>
      </c>
      <c r="CT376" s="2" t="n">
        <v>0</v>
      </c>
      <c r="CU376" s="2" t="n">
        <v>85.27</v>
      </c>
      <c r="CV376" s="2" t="n">
        <v>89.28</v>
      </c>
      <c r="CW376" s="2" t="n">
        <v>0</v>
      </c>
      <c r="CX376" s="2" t="n">
        <v>93.92</v>
      </c>
      <c r="CY376" s="2" t="n">
        <v>96.45</v>
      </c>
      <c r="CZ376" s="2" t="n">
        <v>0</v>
      </c>
      <c r="DA376" s="2" t="n">
        <v>96.98</v>
      </c>
      <c r="DB376" s="2" t="n">
        <v>96.98</v>
      </c>
      <c r="DC376" s="2" t="n">
        <v>0</v>
      </c>
      <c r="DD376" s="2" t="n">
        <v>97.51000000000001</v>
      </c>
      <c r="DE376" s="2" t="n">
        <v>98.98</v>
      </c>
      <c r="DF376" s="2" t="n">
        <v>0</v>
      </c>
      <c r="DG376" s="2" t="n">
        <v>99.61</v>
      </c>
      <c r="DH376" s="2" t="n">
        <v>99.92</v>
      </c>
      <c r="DI376" s="2" t="n">
        <v>0</v>
      </c>
      <c r="DJ376" s="2" t="n">
        <v>100</v>
      </c>
      <c r="DK376" s="2" t="n">
        <v>100</v>
      </c>
      <c r="DL376" s="2" t="n">
        <v>0</v>
      </c>
      <c r="DM376" s="2" t="n">
        <v>100</v>
      </c>
      <c r="DN376" s="2" t="n">
        <v>100</v>
      </c>
      <c r="DO376" s="2" t="n">
        <v>0</v>
      </c>
      <c r="DP376" s="2" t="n">
        <v>100</v>
      </c>
      <c r="DQ376" s="2" t="n">
        <v>100</v>
      </c>
      <c r="DR376" s="2" t="n">
        <v>0</v>
      </c>
      <c r="DS376" s="2" t="n">
        <v>100</v>
      </c>
      <c r="DT376" s="2" t="n">
        <v>100</v>
      </c>
      <c r="DU376" s="2" t="n">
        <v>0</v>
      </c>
      <c r="DV376" s="2" t="n">
        <v>100</v>
      </c>
      <c r="DW376" s="2" t="n">
        <v>100</v>
      </c>
      <c r="DX376" s="2" t="n">
        <v>0</v>
      </c>
      <c r="DY376" s="2" t="n">
        <v>100</v>
      </c>
      <c r="DZ376" s="2" t="n">
        <v>100</v>
      </c>
      <c r="EA376" s="2" t="n">
        <v>0</v>
      </c>
      <c r="EB376" s="2" t="n">
        <v>100</v>
      </c>
      <c r="EC376" s="2" t="n">
        <v>100</v>
      </c>
      <c r="ED376" s="2" t="n">
        <v>0</v>
      </c>
      <c r="EE376" s="2" t="n">
        <v>100</v>
      </c>
      <c r="EF376" s="2" t="n">
        <v>100</v>
      </c>
      <c r="EG376" s="2" t="n">
        <v>0</v>
      </c>
      <c r="EH376" s="2" t="n">
        <v>100</v>
      </c>
      <c r="EI376" s="2" t="n">
        <v>100</v>
      </c>
      <c r="EJ376" s="2" t="n">
        <v>0</v>
      </c>
      <c r="EK376" s="2" t="n">
        <v>100</v>
      </c>
      <c r="EL376" s="2" t="n">
        <v>100</v>
      </c>
      <c r="EM376" s="2" t="n">
        <v>0</v>
      </c>
      <c r="EN376" s="2" t="n">
        <v>100</v>
      </c>
      <c r="EO376" s="2" t="n">
        <v>100</v>
      </c>
      <c r="EP376" s="2" t="n">
        <v>0</v>
      </c>
      <c r="EQ376" s="2" t="n">
        <v>100</v>
      </c>
      <c r="ER376" s="2" t="n">
        <v>100</v>
      </c>
      <c r="ES376" s="2" t="n">
        <v>0</v>
      </c>
    </row>
    <row r="377">
      <c r="A377" s="2" t="n">
        <v>4</v>
      </c>
      <c r="B377" s="2" t="inlineStr">
        <is>
          <t>18.02.01.02</t>
        </is>
      </c>
      <c r="C377" s="2" t="inlineStr">
        <is>
          <t>Alvenaria de vedação com blocos de concreto esp. 9cm</t>
        </is>
      </c>
      <c r="D377" s="2" t="inlineStr">
        <is>
          <t>16/03/2027</t>
        </is>
      </c>
      <c r="E377" s="2" t="inlineStr">
        <is>
          <t>04/05/2028</t>
        </is>
      </c>
      <c r="F377" s="2" t="n">
        <v>18623.08437818754</v>
      </c>
      <c r="G377" s="2" t="n">
        <v>0</v>
      </c>
      <c r="H377" s="2" t="n">
        <v>18623.08437818754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0</v>
      </c>
      <c r="AK377" s="2" t="n">
        <v>0</v>
      </c>
      <c r="AL377" s="2" t="n">
        <v>0</v>
      </c>
      <c r="AM377" s="2" t="n">
        <v>0</v>
      </c>
      <c r="AN377" s="2" t="n">
        <v>0</v>
      </c>
      <c r="AO377" s="2" t="n">
        <v>0</v>
      </c>
      <c r="AP377" s="2" t="n">
        <v>0</v>
      </c>
      <c r="AQ377" s="2" t="n">
        <v>0</v>
      </c>
      <c r="AR377" s="2" t="n">
        <v>0</v>
      </c>
      <c r="AS377" s="2" t="n">
        <v>0</v>
      </c>
      <c r="AT377" s="2" t="n">
        <v>0</v>
      </c>
      <c r="AU377" s="2" t="n">
        <v>0</v>
      </c>
      <c r="AV377" s="2" t="n">
        <v>0</v>
      </c>
      <c r="AW377" s="2" t="n">
        <v>0</v>
      </c>
      <c r="AX377" s="2" t="n">
        <v>0</v>
      </c>
      <c r="AY377" s="2" t="n">
        <v>0</v>
      </c>
      <c r="AZ377" s="2" t="n">
        <v>0</v>
      </c>
      <c r="BA377" s="2" t="n">
        <v>0</v>
      </c>
      <c r="BB377" s="2" t="n">
        <v>0</v>
      </c>
      <c r="BC377" s="2" t="n">
        <v>0</v>
      </c>
      <c r="BD377" s="2" t="n">
        <v>0</v>
      </c>
      <c r="BE377" s="2" t="n">
        <v>0</v>
      </c>
      <c r="BF377" s="2" t="n">
        <v>0</v>
      </c>
      <c r="BG377" s="2" t="n">
        <v>0</v>
      </c>
      <c r="BH377" s="2" t="n">
        <v>0</v>
      </c>
      <c r="BI377" s="2" t="n">
        <v>0</v>
      </c>
      <c r="BJ377" s="2" t="n">
        <v>0</v>
      </c>
      <c r="BK377" s="2" t="n">
        <v>0</v>
      </c>
      <c r="BL377" s="2" t="n">
        <v>0</v>
      </c>
      <c r="BM377" s="2" t="n">
        <v>0</v>
      </c>
      <c r="BN377" s="2" t="n">
        <v>0</v>
      </c>
      <c r="BO377" s="2" t="n">
        <v>0</v>
      </c>
      <c r="BP377" s="2" t="n">
        <v>0</v>
      </c>
      <c r="BQ377" s="2" t="n">
        <v>0</v>
      </c>
      <c r="BR377" s="2" t="n">
        <v>0</v>
      </c>
      <c r="BS377" s="2" t="n">
        <v>0</v>
      </c>
      <c r="BT377" s="2" t="n">
        <v>1.58</v>
      </c>
      <c r="BU377" s="2" t="n">
        <v>2.89</v>
      </c>
      <c r="BV377" s="2" t="n">
        <v>0</v>
      </c>
      <c r="BW377" s="2" t="n">
        <v>7.09</v>
      </c>
      <c r="BX377" s="2" t="n">
        <v>10.52</v>
      </c>
      <c r="BY377" s="2" t="n">
        <v>0</v>
      </c>
      <c r="BZ377" s="2" t="n">
        <v>18.31</v>
      </c>
      <c r="CA377" s="2" t="n">
        <v>22.87</v>
      </c>
      <c r="CB377" s="2" t="n">
        <v>0</v>
      </c>
      <c r="CC377" s="2" t="n">
        <v>33.02</v>
      </c>
      <c r="CD377" s="2" t="n">
        <v>37.18</v>
      </c>
      <c r="CE377" s="2" t="n">
        <v>0</v>
      </c>
      <c r="CF377" s="2" t="n">
        <v>42.74</v>
      </c>
      <c r="CG377" s="2" t="n">
        <v>46.92</v>
      </c>
      <c r="CH377" s="2" t="n">
        <v>0</v>
      </c>
      <c r="CI377" s="2" t="n">
        <v>52.53</v>
      </c>
      <c r="CJ377" s="2" t="n">
        <v>56.7</v>
      </c>
      <c r="CK377" s="2" t="n">
        <v>0</v>
      </c>
      <c r="CL377" s="2" t="n">
        <v>61.5</v>
      </c>
      <c r="CM377" s="2" t="n">
        <v>65.65000000000001</v>
      </c>
      <c r="CN377" s="2" t="n">
        <v>0</v>
      </c>
      <c r="CO377" s="2" t="n">
        <v>69.90000000000001</v>
      </c>
      <c r="CP377" s="2" t="n">
        <v>74.06</v>
      </c>
      <c r="CQ377" s="2" t="n">
        <v>0</v>
      </c>
      <c r="CR377" s="2" t="n">
        <v>78.81</v>
      </c>
      <c r="CS377" s="2" t="n">
        <v>82.95</v>
      </c>
      <c r="CT377" s="2" t="n">
        <v>0</v>
      </c>
      <c r="CU377" s="2" t="n">
        <v>85.27</v>
      </c>
      <c r="CV377" s="2" t="n">
        <v>89.28</v>
      </c>
      <c r="CW377" s="2" t="n">
        <v>0</v>
      </c>
      <c r="CX377" s="2" t="n">
        <v>93.92</v>
      </c>
      <c r="CY377" s="2" t="n">
        <v>96.45</v>
      </c>
      <c r="CZ377" s="2" t="n">
        <v>0</v>
      </c>
      <c r="DA377" s="2" t="n">
        <v>96.98</v>
      </c>
      <c r="DB377" s="2" t="n">
        <v>96.98</v>
      </c>
      <c r="DC377" s="2" t="n">
        <v>0</v>
      </c>
      <c r="DD377" s="2" t="n">
        <v>97.51000000000001</v>
      </c>
      <c r="DE377" s="2" t="n">
        <v>98.98</v>
      </c>
      <c r="DF377" s="2" t="n">
        <v>0</v>
      </c>
      <c r="DG377" s="2" t="n">
        <v>99.61</v>
      </c>
      <c r="DH377" s="2" t="n">
        <v>99.92</v>
      </c>
      <c r="DI377" s="2" t="n">
        <v>0</v>
      </c>
      <c r="DJ377" s="2" t="n">
        <v>100</v>
      </c>
      <c r="DK377" s="2" t="n">
        <v>100</v>
      </c>
      <c r="DL377" s="2" t="n">
        <v>0</v>
      </c>
      <c r="DM377" s="2" t="n">
        <v>100</v>
      </c>
      <c r="DN377" s="2" t="n">
        <v>100</v>
      </c>
      <c r="DO377" s="2" t="n">
        <v>0</v>
      </c>
      <c r="DP377" s="2" t="n">
        <v>100</v>
      </c>
      <c r="DQ377" s="2" t="n">
        <v>100</v>
      </c>
      <c r="DR377" s="2" t="n">
        <v>0</v>
      </c>
      <c r="DS377" s="2" t="n">
        <v>100</v>
      </c>
      <c r="DT377" s="2" t="n">
        <v>100</v>
      </c>
      <c r="DU377" s="2" t="n">
        <v>0</v>
      </c>
      <c r="DV377" s="2" t="n">
        <v>100</v>
      </c>
      <c r="DW377" s="2" t="n">
        <v>100</v>
      </c>
      <c r="DX377" s="2" t="n">
        <v>0</v>
      </c>
      <c r="DY377" s="2" t="n">
        <v>100</v>
      </c>
      <c r="DZ377" s="2" t="n">
        <v>100</v>
      </c>
      <c r="EA377" s="2" t="n">
        <v>0</v>
      </c>
      <c r="EB377" s="2" t="n">
        <v>100</v>
      </c>
      <c r="EC377" s="2" t="n">
        <v>100</v>
      </c>
      <c r="ED377" s="2" t="n">
        <v>0</v>
      </c>
      <c r="EE377" s="2" t="n">
        <v>100</v>
      </c>
      <c r="EF377" s="2" t="n">
        <v>100</v>
      </c>
      <c r="EG377" s="2" t="n">
        <v>0</v>
      </c>
      <c r="EH377" s="2" t="n">
        <v>100</v>
      </c>
      <c r="EI377" s="2" t="n">
        <v>100</v>
      </c>
      <c r="EJ377" s="2" t="n">
        <v>0</v>
      </c>
      <c r="EK377" s="2" t="n">
        <v>100</v>
      </c>
      <c r="EL377" s="2" t="n">
        <v>100</v>
      </c>
      <c r="EM377" s="2" t="n">
        <v>0</v>
      </c>
      <c r="EN377" s="2" t="n">
        <v>100</v>
      </c>
      <c r="EO377" s="2" t="n">
        <v>100</v>
      </c>
      <c r="EP377" s="2" t="n">
        <v>0</v>
      </c>
      <c r="EQ377" s="2" t="n">
        <v>100</v>
      </c>
      <c r="ER377" s="2" t="n">
        <v>100</v>
      </c>
      <c r="ES377" s="2" t="n">
        <v>0</v>
      </c>
    </row>
    <row r="378">
      <c r="A378" s="2" t="n">
        <v>4</v>
      </c>
      <c r="B378" s="2" t="inlineStr">
        <is>
          <t>18.02.01.03</t>
        </is>
      </c>
      <c r="C378" s="2" t="inlineStr">
        <is>
          <t>Encunhamento com espuma expansiva de poliuretano</t>
        </is>
      </c>
      <c r="D378" s="2" t="inlineStr">
        <is>
          <t>16/03/2027</t>
        </is>
      </c>
      <c r="E378" s="2" t="inlineStr">
        <is>
          <t>04/05/2028</t>
        </is>
      </c>
      <c r="F378" s="2" t="n">
        <v>381.3303104383891</v>
      </c>
      <c r="G378" s="2" t="n">
        <v>0</v>
      </c>
      <c r="H378" s="2" t="n">
        <v>381.3303104383891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0</v>
      </c>
      <c r="AK378" s="2" t="n">
        <v>0</v>
      </c>
      <c r="AL378" s="2" t="n">
        <v>0</v>
      </c>
      <c r="AM378" s="2" t="n">
        <v>0</v>
      </c>
      <c r="AN378" s="2" t="n">
        <v>0</v>
      </c>
      <c r="AO378" s="2" t="n">
        <v>0</v>
      </c>
      <c r="AP378" s="2" t="n">
        <v>0</v>
      </c>
      <c r="AQ378" s="2" t="n">
        <v>0</v>
      </c>
      <c r="AR378" s="2" t="n">
        <v>0</v>
      </c>
      <c r="AS378" s="2" t="n">
        <v>0</v>
      </c>
      <c r="AT378" s="2" t="n">
        <v>0</v>
      </c>
      <c r="AU378" s="2" t="n">
        <v>0</v>
      </c>
      <c r="AV378" s="2" t="n">
        <v>0</v>
      </c>
      <c r="AW378" s="2" t="n">
        <v>0</v>
      </c>
      <c r="AX378" s="2" t="n">
        <v>0</v>
      </c>
      <c r="AY378" s="2" t="n">
        <v>0</v>
      </c>
      <c r="AZ378" s="2" t="n">
        <v>0</v>
      </c>
      <c r="BA378" s="2" t="n">
        <v>0</v>
      </c>
      <c r="BB378" s="2" t="n">
        <v>0</v>
      </c>
      <c r="BC378" s="2" t="n">
        <v>0</v>
      </c>
      <c r="BD378" s="2" t="n">
        <v>0</v>
      </c>
      <c r="BE378" s="2" t="n">
        <v>0</v>
      </c>
      <c r="BF378" s="2" t="n">
        <v>0</v>
      </c>
      <c r="BG378" s="2" t="n">
        <v>0</v>
      </c>
      <c r="BH378" s="2" t="n">
        <v>0</v>
      </c>
      <c r="BI378" s="2" t="n">
        <v>0</v>
      </c>
      <c r="BJ378" s="2" t="n">
        <v>0</v>
      </c>
      <c r="BK378" s="2" t="n">
        <v>0</v>
      </c>
      <c r="BL378" s="2" t="n">
        <v>0</v>
      </c>
      <c r="BM378" s="2" t="n">
        <v>0</v>
      </c>
      <c r="BN378" s="2" t="n">
        <v>0</v>
      </c>
      <c r="BO378" s="2" t="n">
        <v>0</v>
      </c>
      <c r="BP378" s="2" t="n">
        <v>0</v>
      </c>
      <c r="BQ378" s="2" t="n">
        <v>0</v>
      </c>
      <c r="BR378" s="2" t="n">
        <v>0</v>
      </c>
      <c r="BS378" s="2" t="n">
        <v>0</v>
      </c>
      <c r="BT378" s="2" t="n">
        <v>1.58</v>
      </c>
      <c r="BU378" s="2" t="n">
        <v>2.89</v>
      </c>
      <c r="BV378" s="2" t="n">
        <v>0</v>
      </c>
      <c r="BW378" s="2" t="n">
        <v>7.09</v>
      </c>
      <c r="BX378" s="2" t="n">
        <v>10.52</v>
      </c>
      <c r="BY378" s="2" t="n">
        <v>0</v>
      </c>
      <c r="BZ378" s="2" t="n">
        <v>18.31</v>
      </c>
      <c r="CA378" s="2" t="n">
        <v>22.87</v>
      </c>
      <c r="CB378" s="2" t="n">
        <v>0</v>
      </c>
      <c r="CC378" s="2" t="n">
        <v>33.02</v>
      </c>
      <c r="CD378" s="2" t="n">
        <v>37.18</v>
      </c>
      <c r="CE378" s="2" t="n">
        <v>0</v>
      </c>
      <c r="CF378" s="2" t="n">
        <v>42.74</v>
      </c>
      <c r="CG378" s="2" t="n">
        <v>46.92</v>
      </c>
      <c r="CH378" s="2" t="n">
        <v>0</v>
      </c>
      <c r="CI378" s="2" t="n">
        <v>52.53</v>
      </c>
      <c r="CJ378" s="2" t="n">
        <v>56.7</v>
      </c>
      <c r="CK378" s="2" t="n">
        <v>0</v>
      </c>
      <c r="CL378" s="2" t="n">
        <v>61.5</v>
      </c>
      <c r="CM378" s="2" t="n">
        <v>65.65000000000001</v>
      </c>
      <c r="CN378" s="2" t="n">
        <v>0</v>
      </c>
      <c r="CO378" s="2" t="n">
        <v>69.90000000000001</v>
      </c>
      <c r="CP378" s="2" t="n">
        <v>74.06</v>
      </c>
      <c r="CQ378" s="2" t="n">
        <v>0</v>
      </c>
      <c r="CR378" s="2" t="n">
        <v>78.81</v>
      </c>
      <c r="CS378" s="2" t="n">
        <v>82.95</v>
      </c>
      <c r="CT378" s="2" t="n">
        <v>0</v>
      </c>
      <c r="CU378" s="2" t="n">
        <v>85.27</v>
      </c>
      <c r="CV378" s="2" t="n">
        <v>89.28</v>
      </c>
      <c r="CW378" s="2" t="n">
        <v>0</v>
      </c>
      <c r="CX378" s="2" t="n">
        <v>93.92</v>
      </c>
      <c r="CY378" s="2" t="n">
        <v>96.45</v>
      </c>
      <c r="CZ378" s="2" t="n">
        <v>0</v>
      </c>
      <c r="DA378" s="2" t="n">
        <v>96.98</v>
      </c>
      <c r="DB378" s="2" t="n">
        <v>96.98</v>
      </c>
      <c r="DC378" s="2" t="n">
        <v>0</v>
      </c>
      <c r="DD378" s="2" t="n">
        <v>97.51000000000001</v>
      </c>
      <c r="DE378" s="2" t="n">
        <v>98.98</v>
      </c>
      <c r="DF378" s="2" t="n">
        <v>0</v>
      </c>
      <c r="DG378" s="2" t="n">
        <v>99.61</v>
      </c>
      <c r="DH378" s="2" t="n">
        <v>99.92</v>
      </c>
      <c r="DI378" s="2" t="n">
        <v>0</v>
      </c>
      <c r="DJ378" s="2" t="n">
        <v>100</v>
      </c>
      <c r="DK378" s="2" t="n">
        <v>100</v>
      </c>
      <c r="DL378" s="2" t="n">
        <v>0</v>
      </c>
      <c r="DM378" s="2" t="n">
        <v>100</v>
      </c>
      <c r="DN378" s="2" t="n">
        <v>100</v>
      </c>
      <c r="DO378" s="2" t="n">
        <v>0</v>
      </c>
      <c r="DP378" s="2" t="n">
        <v>100</v>
      </c>
      <c r="DQ378" s="2" t="n">
        <v>100</v>
      </c>
      <c r="DR378" s="2" t="n">
        <v>0</v>
      </c>
      <c r="DS378" s="2" t="n">
        <v>100</v>
      </c>
      <c r="DT378" s="2" t="n">
        <v>100</v>
      </c>
      <c r="DU378" s="2" t="n">
        <v>0</v>
      </c>
      <c r="DV378" s="2" t="n">
        <v>100</v>
      </c>
      <c r="DW378" s="2" t="n">
        <v>100</v>
      </c>
      <c r="DX378" s="2" t="n">
        <v>0</v>
      </c>
      <c r="DY378" s="2" t="n">
        <v>100</v>
      </c>
      <c r="DZ378" s="2" t="n">
        <v>100</v>
      </c>
      <c r="EA378" s="2" t="n">
        <v>0</v>
      </c>
      <c r="EB378" s="2" t="n">
        <v>100</v>
      </c>
      <c r="EC378" s="2" t="n">
        <v>100</v>
      </c>
      <c r="ED378" s="2" t="n">
        <v>0</v>
      </c>
      <c r="EE378" s="2" t="n">
        <v>100</v>
      </c>
      <c r="EF378" s="2" t="n">
        <v>100</v>
      </c>
      <c r="EG378" s="2" t="n">
        <v>0</v>
      </c>
      <c r="EH378" s="2" t="n">
        <v>100</v>
      </c>
      <c r="EI378" s="2" t="n">
        <v>100</v>
      </c>
      <c r="EJ378" s="2" t="n">
        <v>0</v>
      </c>
      <c r="EK378" s="2" t="n">
        <v>100</v>
      </c>
      <c r="EL378" s="2" t="n">
        <v>100</v>
      </c>
      <c r="EM378" s="2" t="n">
        <v>0</v>
      </c>
      <c r="EN378" s="2" t="n">
        <v>100</v>
      </c>
      <c r="EO378" s="2" t="n">
        <v>100</v>
      </c>
      <c r="EP378" s="2" t="n">
        <v>0</v>
      </c>
      <c r="EQ378" s="2" t="n">
        <v>100</v>
      </c>
      <c r="ER378" s="2" t="n">
        <v>100</v>
      </c>
      <c r="ES378" s="2" t="n">
        <v>0</v>
      </c>
    </row>
    <row r="379">
      <c r="A379" s="2" t="n">
        <v>4</v>
      </c>
      <c r="B379" s="2" t="inlineStr">
        <is>
          <t>18.02.01.04</t>
        </is>
      </c>
      <c r="C379" s="2" t="inlineStr">
        <is>
          <t>Amarração de Alvenaria</t>
        </is>
      </c>
      <c r="D379" s="2" t="inlineStr">
        <is>
          <t>16/03/2027</t>
        </is>
      </c>
      <c r="E379" s="2" t="inlineStr">
        <is>
          <t>04/05/2028</t>
        </is>
      </c>
      <c r="F379" s="2" t="n">
        <v>728.0647953589515</v>
      </c>
      <c r="G379" s="2" t="n">
        <v>0</v>
      </c>
      <c r="H379" s="2" t="n">
        <v>728.0647953589515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1.58</v>
      </c>
      <c r="BU379" s="2" t="n">
        <v>2.89</v>
      </c>
      <c r="BV379" s="2" t="n">
        <v>0</v>
      </c>
      <c r="BW379" s="2" t="n">
        <v>7.09</v>
      </c>
      <c r="BX379" s="2" t="n">
        <v>10.52</v>
      </c>
      <c r="BY379" s="2" t="n">
        <v>0</v>
      </c>
      <c r="BZ379" s="2" t="n">
        <v>18.31</v>
      </c>
      <c r="CA379" s="2" t="n">
        <v>22.87</v>
      </c>
      <c r="CB379" s="2" t="n">
        <v>0</v>
      </c>
      <c r="CC379" s="2" t="n">
        <v>33.02</v>
      </c>
      <c r="CD379" s="2" t="n">
        <v>37.18</v>
      </c>
      <c r="CE379" s="2" t="n">
        <v>0</v>
      </c>
      <c r="CF379" s="2" t="n">
        <v>42.74</v>
      </c>
      <c r="CG379" s="2" t="n">
        <v>46.92</v>
      </c>
      <c r="CH379" s="2" t="n">
        <v>0</v>
      </c>
      <c r="CI379" s="2" t="n">
        <v>52.53</v>
      </c>
      <c r="CJ379" s="2" t="n">
        <v>56.7</v>
      </c>
      <c r="CK379" s="2" t="n">
        <v>0</v>
      </c>
      <c r="CL379" s="2" t="n">
        <v>61.5</v>
      </c>
      <c r="CM379" s="2" t="n">
        <v>65.65000000000001</v>
      </c>
      <c r="CN379" s="2" t="n">
        <v>0</v>
      </c>
      <c r="CO379" s="2" t="n">
        <v>69.90000000000001</v>
      </c>
      <c r="CP379" s="2" t="n">
        <v>74.06</v>
      </c>
      <c r="CQ379" s="2" t="n">
        <v>0</v>
      </c>
      <c r="CR379" s="2" t="n">
        <v>78.81</v>
      </c>
      <c r="CS379" s="2" t="n">
        <v>82.95</v>
      </c>
      <c r="CT379" s="2" t="n">
        <v>0</v>
      </c>
      <c r="CU379" s="2" t="n">
        <v>85.27</v>
      </c>
      <c r="CV379" s="2" t="n">
        <v>89.28</v>
      </c>
      <c r="CW379" s="2" t="n">
        <v>0</v>
      </c>
      <c r="CX379" s="2" t="n">
        <v>93.92</v>
      </c>
      <c r="CY379" s="2" t="n">
        <v>96.45</v>
      </c>
      <c r="CZ379" s="2" t="n">
        <v>0</v>
      </c>
      <c r="DA379" s="2" t="n">
        <v>96.98</v>
      </c>
      <c r="DB379" s="2" t="n">
        <v>96.98</v>
      </c>
      <c r="DC379" s="2" t="n">
        <v>0</v>
      </c>
      <c r="DD379" s="2" t="n">
        <v>97.51000000000001</v>
      </c>
      <c r="DE379" s="2" t="n">
        <v>98.98</v>
      </c>
      <c r="DF379" s="2" t="n">
        <v>0</v>
      </c>
      <c r="DG379" s="2" t="n">
        <v>99.61</v>
      </c>
      <c r="DH379" s="2" t="n">
        <v>99.92</v>
      </c>
      <c r="DI379" s="2" t="n">
        <v>0</v>
      </c>
      <c r="DJ379" s="2" t="n">
        <v>100</v>
      </c>
      <c r="DK379" s="2" t="n">
        <v>100</v>
      </c>
      <c r="DL379" s="2" t="n">
        <v>0</v>
      </c>
      <c r="DM379" s="2" t="n">
        <v>100</v>
      </c>
      <c r="DN379" s="2" t="n">
        <v>100</v>
      </c>
      <c r="DO379" s="2" t="n">
        <v>0</v>
      </c>
      <c r="DP379" s="2" t="n">
        <v>100</v>
      </c>
      <c r="DQ379" s="2" t="n">
        <v>100</v>
      </c>
      <c r="DR379" s="2" t="n">
        <v>0</v>
      </c>
      <c r="DS379" s="2" t="n">
        <v>100</v>
      </c>
      <c r="DT379" s="2" t="n">
        <v>100</v>
      </c>
      <c r="DU379" s="2" t="n">
        <v>0</v>
      </c>
      <c r="DV379" s="2" t="n">
        <v>100</v>
      </c>
      <c r="DW379" s="2" t="n">
        <v>100</v>
      </c>
      <c r="DX379" s="2" t="n">
        <v>0</v>
      </c>
      <c r="DY379" s="2" t="n">
        <v>100</v>
      </c>
      <c r="DZ379" s="2" t="n">
        <v>100</v>
      </c>
      <c r="EA379" s="2" t="n">
        <v>0</v>
      </c>
      <c r="EB379" s="2" t="n">
        <v>100</v>
      </c>
      <c r="EC379" s="2" t="n">
        <v>100</v>
      </c>
      <c r="ED379" s="2" t="n">
        <v>0</v>
      </c>
      <c r="EE379" s="2" t="n">
        <v>100</v>
      </c>
      <c r="EF379" s="2" t="n">
        <v>100</v>
      </c>
      <c r="EG379" s="2" t="n">
        <v>0</v>
      </c>
      <c r="EH379" s="2" t="n">
        <v>100</v>
      </c>
      <c r="EI379" s="2" t="n">
        <v>100</v>
      </c>
      <c r="EJ379" s="2" t="n">
        <v>0</v>
      </c>
      <c r="EK379" s="2" t="n">
        <v>100</v>
      </c>
      <c r="EL379" s="2" t="n">
        <v>100</v>
      </c>
      <c r="EM379" s="2" t="n">
        <v>0</v>
      </c>
      <c r="EN379" s="2" t="n">
        <v>100</v>
      </c>
      <c r="EO379" s="2" t="n">
        <v>100</v>
      </c>
      <c r="EP379" s="2" t="n">
        <v>0</v>
      </c>
      <c r="EQ379" s="2" t="n">
        <v>100</v>
      </c>
      <c r="ER379" s="2" t="n">
        <v>100</v>
      </c>
      <c r="ES379" s="2" t="n">
        <v>0</v>
      </c>
    </row>
    <row r="380">
      <c r="A380" s="2" t="n">
        <v>3</v>
      </c>
      <c r="B380" s="2" t="inlineStr">
        <is>
          <t>18.02.02</t>
        </is>
      </c>
      <c r="C380" s="2" t="inlineStr">
        <is>
          <t>Esp. 14cm</t>
        </is>
      </c>
      <c r="D380" s="2" t="inlineStr">
        <is>
          <t>16/03/2027</t>
        </is>
      </c>
      <c r="E380" s="2" t="inlineStr">
        <is>
          <t>04/05/2028</t>
        </is>
      </c>
      <c r="F380" s="2" t="n">
        <v>64343.55509206609</v>
      </c>
      <c r="G380" s="2" t="n">
        <v>0</v>
      </c>
      <c r="H380" s="2" t="n">
        <v>64343.55509206609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1.58</v>
      </c>
      <c r="BU380" s="2" t="n">
        <v>2.89</v>
      </c>
      <c r="BV380" s="2" t="n">
        <v>0</v>
      </c>
      <c r="BW380" s="2" t="n">
        <v>7.09</v>
      </c>
      <c r="BX380" s="2" t="n">
        <v>10.52</v>
      </c>
      <c r="BY380" s="2" t="n">
        <v>0</v>
      </c>
      <c r="BZ380" s="2" t="n">
        <v>18.31</v>
      </c>
      <c r="CA380" s="2" t="n">
        <v>22.87</v>
      </c>
      <c r="CB380" s="2" t="n">
        <v>0</v>
      </c>
      <c r="CC380" s="2" t="n">
        <v>33.02</v>
      </c>
      <c r="CD380" s="2" t="n">
        <v>37.18</v>
      </c>
      <c r="CE380" s="2" t="n">
        <v>0</v>
      </c>
      <c r="CF380" s="2" t="n">
        <v>42.74</v>
      </c>
      <c r="CG380" s="2" t="n">
        <v>46.92</v>
      </c>
      <c r="CH380" s="2" t="n">
        <v>0</v>
      </c>
      <c r="CI380" s="2" t="n">
        <v>52.53</v>
      </c>
      <c r="CJ380" s="2" t="n">
        <v>56.7</v>
      </c>
      <c r="CK380" s="2" t="n">
        <v>0</v>
      </c>
      <c r="CL380" s="2" t="n">
        <v>61.5</v>
      </c>
      <c r="CM380" s="2" t="n">
        <v>65.65000000000001</v>
      </c>
      <c r="CN380" s="2" t="n">
        <v>0</v>
      </c>
      <c r="CO380" s="2" t="n">
        <v>69.90000000000001</v>
      </c>
      <c r="CP380" s="2" t="n">
        <v>74.06</v>
      </c>
      <c r="CQ380" s="2" t="n">
        <v>0</v>
      </c>
      <c r="CR380" s="2" t="n">
        <v>78.81</v>
      </c>
      <c r="CS380" s="2" t="n">
        <v>82.95</v>
      </c>
      <c r="CT380" s="2" t="n">
        <v>0</v>
      </c>
      <c r="CU380" s="2" t="n">
        <v>85.27</v>
      </c>
      <c r="CV380" s="2" t="n">
        <v>89.28</v>
      </c>
      <c r="CW380" s="2" t="n">
        <v>0</v>
      </c>
      <c r="CX380" s="2" t="n">
        <v>93.92</v>
      </c>
      <c r="CY380" s="2" t="n">
        <v>96.45</v>
      </c>
      <c r="CZ380" s="2" t="n">
        <v>0</v>
      </c>
      <c r="DA380" s="2" t="n">
        <v>96.98</v>
      </c>
      <c r="DB380" s="2" t="n">
        <v>96.98</v>
      </c>
      <c r="DC380" s="2" t="n">
        <v>0</v>
      </c>
      <c r="DD380" s="2" t="n">
        <v>97.51000000000001</v>
      </c>
      <c r="DE380" s="2" t="n">
        <v>98.98</v>
      </c>
      <c r="DF380" s="2" t="n">
        <v>0</v>
      </c>
      <c r="DG380" s="2" t="n">
        <v>99.61</v>
      </c>
      <c r="DH380" s="2" t="n">
        <v>99.92</v>
      </c>
      <c r="DI380" s="2" t="n">
        <v>0</v>
      </c>
      <c r="DJ380" s="2" t="n">
        <v>100</v>
      </c>
      <c r="DK380" s="2" t="n">
        <v>100</v>
      </c>
      <c r="DL380" s="2" t="n">
        <v>0</v>
      </c>
      <c r="DM380" s="2" t="n">
        <v>100</v>
      </c>
      <c r="DN380" s="2" t="n">
        <v>100</v>
      </c>
      <c r="DO380" s="2" t="n">
        <v>0</v>
      </c>
      <c r="DP380" s="2" t="n">
        <v>100</v>
      </c>
      <c r="DQ380" s="2" t="n">
        <v>100</v>
      </c>
      <c r="DR380" s="2" t="n">
        <v>0</v>
      </c>
      <c r="DS380" s="2" t="n">
        <v>100</v>
      </c>
      <c r="DT380" s="2" t="n">
        <v>100</v>
      </c>
      <c r="DU380" s="2" t="n">
        <v>0</v>
      </c>
      <c r="DV380" s="2" t="n">
        <v>100</v>
      </c>
      <c r="DW380" s="2" t="n">
        <v>100</v>
      </c>
      <c r="DX380" s="2" t="n">
        <v>0</v>
      </c>
      <c r="DY380" s="2" t="n">
        <v>100</v>
      </c>
      <c r="DZ380" s="2" t="n">
        <v>100</v>
      </c>
      <c r="EA380" s="2" t="n">
        <v>0</v>
      </c>
      <c r="EB380" s="2" t="n">
        <v>100</v>
      </c>
      <c r="EC380" s="2" t="n">
        <v>100</v>
      </c>
      <c r="ED380" s="2" t="n">
        <v>0</v>
      </c>
      <c r="EE380" s="2" t="n">
        <v>100</v>
      </c>
      <c r="EF380" s="2" t="n">
        <v>100</v>
      </c>
      <c r="EG380" s="2" t="n">
        <v>0</v>
      </c>
      <c r="EH380" s="2" t="n">
        <v>100</v>
      </c>
      <c r="EI380" s="2" t="n">
        <v>100</v>
      </c>
      <c r="EJ380" s="2" t="n">
        <v>0</v>
      </c>
      <c r="EK380" s="2" t="n">
        <v>100</v>
      </c>
      <c r="EL380" s="2" t="n">
        <v>100</v>
      </c>
      <c r="EM380" s="2" t="n">
        <v>0</v>
      </c>
      <c r="EN380" s="2" t="n">
        <v>100</v>
      </c>
      <c r="EO380" s="2" t="n">
        <v>100</v>
      </c>
      <c r="EP380" s="2" t="n">
        <v>0</v>
      </c>
      <c r="EQ380" s="2" t="n">
        <v>100</v>
      </c>
      <c r="ER380" s="2" t="n">
        <v>100</v>
      </c>
      <c r="ES380" s="2" t="n">
        <v>0</v>
      </c>
    </row>
    <row r="381">
      <c r="A381" s="2" t="n">
        <v>4</v>
      </c>
      <c r="B381" s="2" t="inlineStr">
        <is>
          <t>18.02.02.01</t>
        </is>
      </c>
      <c r="C381" s="2" t="inlineStr">
        <is>
          <t>Demarcação de alvenaria de vedação com blocos de concreto  esp. 14cm</t>
        </is>
      </c>
      <c r="D381" s="2" t="inlineStr">
        <is>
          <t>16/03/2027</t>
        </is>
      </c>
      <c r="E381" s="2" t="inlineStr">
        <is>
          <t>04/05/2028</t>
        </is>
      </c>
      <c r="F381" s="2" t="n">
        <v>5526.107522190371</v>
      </c>
      <c r="G381" s="2" t="n">
        <v>0</v>
      </c>
      <c r="H381" s="2" t="n">
        <v>5526.107522190371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1.58</v>
      </c>
      <c r="BU381" s="2" t="n">
        <v>2.89</v>
      </c>
      <c r="BV381" s="2" t="n">
        <v>0</v>
      </c>
      <c r="BW381" s="2" t="n">
        <v>7.09</v>
      </c>
      <c r="BX381" s="2" t="n">
        <v>10.52</v>
      </c>
      <c r="BY381" s="2" t="n">
        <v>0</v>
      </c>
      <c r="BZ381" s="2" t="n">
        <v>18.31</v>
      </c>
      <c r="CA381" s="2" t="n">
        <v>22.87</v>
      </c>
      <c r="CB381" s="2" t="n">
        <v>0</v>
      </c>
      <c r="CC381" s="2" t="n">
        <v>33.02</v>
      </c>
      <c r="CD381" s="2" t="n">
        <v>37.18</v>
      </c>
      <c r="CE381" s="2" t="n">
        <v>0</v>
      </c>
      <c r="CF381" s="2" t="n">
        <v>42.74</v>
      </c>
      <c r="CG381" s="2" t="n">
        <v>46.92</v>
      </c>
      <c r="CH381" s="2" t="n">
        <v>0</v>
      </c>
      <c r="CI381" s="2" t="n">
        <v>52.53</v>
      </c>
      <c r="CJ381" s="2" t="n">
        <v>56.7</v>
      </c>
      <c r="CK381" s="2" t="n">
        <v>0</v>
      </c>
      <c r="CL381" s="2" t="n">
        <v>61.5</v>
      </c>
      <c r="CM381" s="2" t="n">
        <v>65.65000000000001</v>
      </c>
      <c r="CN381" s="2" t="n">
        <v>0</v>
      </c>
      <c r="CO381" s="2" t="n">
        <v>69.90000000000001</v>
      </c>
      <c r="CP381" s="2" t="n">
        <v>74.06</v>
      </c>
      <c r="CQ381" s="2" t="n">
        <v>0</v>
      </c>
      <c r="CR381" s="2" t="n">
        <v>78.81</v>
      </c>
      <c r="CS381" s="2" t="n">
        <v>82.95</v>
      </c>
      <c r="CT381" s="2" t="n">
        <v>0</v>
      </c>
      <c r="CU381" s="2" t="n">
        <v>85.27</v>
      </c>
      <c r="CV381" s="2" t="n">
        <v>89.28</v>
      </c>
      <c r="CW381" s="2" t="n">
        <v>0</v>
      </c>
      <c r="CX381" s="2" t="n">
        <v>93.92</v>
      </c>
      <c r="CY381" s="2" t="n">
        <v>96.45</v>
      </c>
      <c r="CZ381" s="2" t="n">
        <v>0</v>
      </c>
      <c r="DA381" s="2" t="n">
        <v>96.98</v>
      </c>
      <c r="DB381" s="2" t="n">
        <v>96.98</v>
      </c>
      <c r="DC381" s="2" t="n">
        <v>0</v>
      </c>
      <c r="DD381" s="2" t="n">
        <v>97.51000000000001</v>
      </c>
      <c r="DE381" s="2" t="n">
        <v>98.98</v>
      </c>
      <c r="DF381" s="2" t="n">
        <v>0</v>
      </c>
      <c r="DG381" s="2" t="n">
        <v>99.61</v>
      </c>
      <c r="DH381" s="2" t="n">
        <v>99.92</v>
      </c>
      <c r="DI381" s="2" t="n">
        <v>0</v>
      </c>
      <c r="DJ381" s="2" t="n">
        <v>100</v>
      </c>
      <c r="DK381" s="2" t="n">
        <v>100</v>
      </c>
      <c r="DL381" s="2" t="n">
        <v>0</v>
      </c>
      <c r="DM381" s="2" t="n">
        <v>100</v>
      </c>
      <c r="DN381" s="2" t="n">
        <v>100</v>
      </c>
      <c r="DO381" s="2" t="n">
        <v>0</v>
      </c>
      <c r="DP381" s="2" t="n">
        <v>100</v>
      </c>
      <c r="DQ381" s="2" t="n">
        <v>100</v>
      </c>
      <c r="DR381" s="2" t="n">
        <v>0</v>
      </c>
      <c r="DS381" s="2" t="n">
        <v>100</v>
      </c>
      <c r="DT381" s="2" t="n">
        <v>100</v>
      </c>
      <c r="DU381" s="2" t="n">
        <v>0</v>
      </c>
      <c r="DV381" s="2" t="n">
        <v>100</v>
      </c>
      <c r="DW381" s="2" t="n">
        <v>100</v>
      </c>
      <c r="DX381" s="2" t="n">
        <v>0</v>
      </c>
      <c r="DY381" s="2" t="n">
        <v>100</v>
      </c>
      <c r="DZ381" s="2" t="n">
        <v>100</v>
      </c>
      <c r="EA381" s="2" t="n">
        <v>0</v>
      </c>
      <c r="EB381" s="2" t="n">
        <v>100</v>
      </c>
      <c r="EC381" s="2" t="n">
        <v>100</v>
      </c>
      <c r="ED381" s="2" t="n">
        <v>0</v>
      </c>
      <c r="EE381" s="2" t="n">
        <v>100</v>
      </c>
      <c r="EF381" s="2" t="n">
        <v>100</v>
      </c>
      <c r="EG381" s="2" t="n">
        <v>0</v>
      </c>
      <c r="EH381" s="2" t="n">
        <v>100</v>
      </c>
      <c r="EI381" s="2" t="n">
        <v>100</v>
      </c>
      <c r="EJ381" s="2" t="n">
        <v>0</v>
      </c>
      <c r="EK381" s="2" t="n">
        <v>100</v>
      </c>
      <c r="EL381" s="2" t="n">
        <v>100</v>
      </c>
      <c r="EM381" s="2" t="n">
        <v>0</v>
      </c>
      <c r="EN381" s="2" t="n">
        <v>100</v>
      </c>
      <c r="EO381" s="2" t="n">
        <v>100</v>
      </c>
      <c r="EP381" s="2" t="n">
        <v>0</v>
      </c>
      <c r="EQ381" s="2" t="n">
        <v>100</v>
      </c>
      <c r="ER381" s="2" t="n">
        <v>100</v>
      </c>
      <c r="ES381" s="2" t="n">
        <v>0</v>
      </c>
    </row>
    <row r="382">
      <c r="A382" s="2" t="n">
        <v>4</v>
      </c>
      <c r="B382" s="2" t="inlineStr">
        <is>
          <t>18.02.02.02</t>
        </is>
      </c>
      <c r="C382" s="2" t="inlineStr">
        <is>
          <t>Alvenaria de vedação com blocos de concreto esp. 14m</t>
        </is>
      </c>
      <c r="D382" s="2" t="inlineStr">
        <is>
          <t>16/03/2027</t>
        </is>
      </c>
      <c r="E382" s="2" t="inlineStr">
        <is>
          <t>04/05/2028</t>
        </is>
      </c>
      <c r="F382" s="2" t="n">
        <v>55342.47286484025</v>
      </c>
      <c r="G382" s="2" t="n">
        <v>0</v>
      </c>
      <c r="H382" s="2" t="n">
        <v>55342.47286484025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1.58</v>
      </c>
      <c r="BU382" s="2" t="n">
        <v>2.89</v>
      </c>
      <c r="BV382" s="2" t="n">
        <v>0</v>
      </c>
      <c r="BW382" s="2" t="n">
        <v>7.09</v>
      </c>
      <c r="BX382" s="2" t="n">
        <v>10.52</v>
      </c>
      <c r="BY382" s="2" t="n">
        <v>0</v>
      </c>
      <c r="BZ382" s="2" t="n">
        <v>18.31</v>
      </c>
      <c r="CA382" s="2" t="n">
        <v>22.87</v>
      </c>
      <c r="CB382" s="2" t="n">
        <v>0</v>
      </c>
      <c r="CC382" s="2" t="n">
        <v>33.02</v>
      </c>
      <c r="CD382" s="2" t="n">
        <v>37.18</v>
      </c>
      <c r="CE382" s="2" t="n">
        <v>0</v>
      </c>
      <c r="CF382" s="2" t="n">
        <v>42.74</v>
      </c>
      <c r="CG382" s="2" t="n">
        <v>46.92</v>
      </c>
      <c r="CH382" s="2" t="n">
        <v>0</v>
      </c>
      <c r="CI382" s="2" t="n">
        <v>52.53</v>
      </c>
      <c r="CJ382" s="2" t="n">
        <v>56.7</v>
      </c>
      <c r="CK382" s="2" t="n">
        <v>0</v>
      </c>
      <c r="CL382" s="2" t="n">
        <v>61.5</v>
      </c>
      <c r="CM382" s="2" t="n">
        <v>65.65000000000001</v>
      </c>
      <c r="CN382" s="2" t="n">
        <v>0</v>
      </c>
      <c r="CO382" s="2" t="n">
        <v>69.90000000000001</v>
      </c>
      <c r="CP382" s="2" t="n">
        <v>74.06</v>
      </c>
      <c r="CQ382" s="2" t="n">
        <v>0</v>
      </c>
      <c r="CR382" s="2" t="n">
        <v>78.81</v>
      </c>
      <c r="CS382" s="2" t="n">
        <v>82.95</v>
      </c>
      <c r="CT382" s="2" t="n">
        <v>0</v>
      </c>
      <c r="CU382" s="2" t="n">
        <v>85.27</v>
      </c>
      <c r="CV382" s="2" t="n">
        <v>89.28</v>
      </c>
      <c r="CW382" s="2" t="n">
        <v>0</v>
      </c>
      <c r="CX382" s="2" t="n">
        <v>93.92</v>
      </c>
      <c r="CY382" s="2" t="n">
        <v>96.45</v>
      </c>
      <c r="CZ382" s="2" t="n">
        <v>0</v>
      </c>
      <c r="DA382" s="2" t="n">
        <v>96.98</v>
      </c>
      <c r="DB382" s="2" t="n">
        <v>96.98</v>
      </c>
      <c r="DC382" s="2" t="n">
        <v>0</v>
      </c>
      <c r="DD382" s="2" t="n">
        <v>97.51000000000001</v>
      </c>
      <c r="DE382" s="2" t="n">
        <v>98.98</v>
      </c>
      <c r="DF382" s="2" t="n">
        <v>0</v>
      </c>
      <c r="DG382" s="2" t="n">
        <v>99.61</v>
      </c>
      <c r="DH382" s="2" t="n">
        <v>99.92</v>
      </c>
      <c r="DI382" s="2" t="n">
        <v>0</v>
      </c>
      <c r="DJ382" s="2" t="n">
        <v>100</v>
      </c>
      <c r="DK382" s="2" t="n">
        <v>100</v>
      </c>
      <c r="DL382" s="2" t="n">
        <v>0</v>
      </c>
      <c r="DM382" s="2" t="n">
        <v>100</v>
      </c>
      <c r="DN382" s="2" t="n">
        <v>100</v>
      </c>
      <c r="DO382" s="2" t="n">
        <v>0</v>
      </c>
      <c r="DP382" s="2" t="n">
        <v>100</v>
      </c>
      <c r="DQ382" s="2" t="n">
        <v>100</v>
      </c>
      <c r="DR382" s="2" t="n">
        <v>0</v>
      </c>
      <c r="DS382" s="2" t="n">
        <v>100</v>
      </c>
      <c r="DT382" s="2" t="n">
        <v>100</v>
      </c>
      <c r="DU382" s="2" t="n">
        <v>0</v>
      </c>
      <c r="DV382" s="2" t="n">
        <v>100</v>
      </c>
      <c r="DW382" s="2" t="n">
        <v>100</v>
      </c>
      <c r="DX382" s="2" t="n">
        <v>0</v>
      </c>
      <c r="DY382" s="2" t="n">
        <v>100</v>
      </c>
      <c r="DZ382" s="2" t="n">
        <v>100</v>
      </c>
      <c r="EA382" s="2" t="n">
        <v>0</v>
      </c>
      <c r="EB382" s="2" t="n">
        <v>100</v>
      </c>
      <c r="EC382" s="2" t="n">
        <v>100</v>
      </c>
      <c r="ED382" s="2" t="n">
        <v>0</v>
      </c>
      <c r="EE382" s="2" t="n">
        <v>100</v>
      </c>
      <c r="EF382" s="2" t="n">
        <v>100</v>
      </c>
      <c r="EG382" s="2" t="n">
        <v>0</v>
      </c>
      <c r="EH382" s="2" t="n">
        <v>100</v>
      </c>
      <c r="EI382" s="2" t="n">
        <v>100</v>
      </c>
      <c r="EJ382" s="2" t="n">
        <v>0</v>
      </c>
      <c r="EK382" s="2" t="n">
        <v>100</v>
      </c>
      <c r="EL382" s="2" t="n">
        <v>100</v>
      </c>
      <c r="EM382" s="2" t="n">
        <v>0</v>
      </c>
      <c r="EN382" s="2" t="n">
        <v>100</v>
      </c>
      <c r="EO382" s="2" t="n">
        <v>100</v>
      </c>
      <c r="EP382" s="2" t="n">
        <v>0</v>
      </c>
      <c r="EQ382" s="2" t="n">
        <v>100</v>
      </c>
      <c r="ER382" s="2" t="n">
        <v>100</v>
      </c>
      <c r="ES382" s="2" t="n">
        <v>0</v>
      </c>
    </row>
    <row r="383">
      <c r="A383" s="2" t="n">
        <v>4</v>
      </c>
      <c r="B383" s="2" t="inlineStr">
        <is>
          <t>18.02.02.03</t>
        </is>
      </c>
      <c r="C383" s="2" t="inlineStr">
        <is>
          <t>Encunhamento com espuma expansiva de poliuretano</t>
        </is>
      </c>
      <c r="D383" s="2" t="inlineStr">
        <is>
          <t>16/03/2027</t>
        </is>
      </c>
      <c r="E383" s="2" t="inlineStr">
        <is>
          <t>04/05/2028</t>
        </is>
      </c>
      <c r="F383" s="2" t="n">
        <v>1607.7710386051</v>
      </c>
      <c r="G383" s="2" t="n">
        <v>0</v>
      </c>
      <c r="H383" s="2" t="n">
        <v>1607.7710386051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0</v>
      </c>
      <c r="BO383" s="2" t="n">
        <v>0</v>
      </c>
      <c r="BP383" s="2" t="n">
        <v>0</v>
      </c>
      <c r="BQ383" s="2" t="n">
        <v>0</v>
      </c>
      <c r="BR383" s="2" t="n">
        <v>0</v>
      </c>
      <c r="BS383" s="2" t="n">
        <v>0</v>
      </c>
      <c r="BT383" s="2" t="n">
        <v>1.58</v>
      </c>
      <c r="BU383" s="2" t="n">
        <v>2.89</v>
      </c>
      <c r="BV383" s="2" t="n">
        <v>0</v>
      </c>
      <c r="BW383" s="2" t="n">
        <v>7.09</v>
      </c>
      <c r="BX383" s="2" t="n">
        <v>10.52</v>
      </c>
      <c r="BY383" s="2" t="n">
        <v>0</v>
      </c>
      <c r="BZ383" s="2" t="n">
        <v>18.31</v>
      </c>
      <c r="CA383" s="2" t="n">
        <v>22.87</v>
      </c>
      <c r="CB383" s="2" t="n">
        <v>0</v>
      </c>
      <c r="CC383" s="2" t="n">
        <v>33.02</v>
      </c>
      <c r="CD383" s="2" t="n">
        <v>37.18</v>
      </c>
      <c r="CE383" s="2" t="n">
        <v>0</v>
      </c>
      <c r="CF383" s="2" t="n">
        <v>42.74</v>
      </c>
      <c r="CG383" s="2" t="n">
        <v>46.92</v>
      </c>
      <c r="CH383" s="2" t="n">
        <v>0</v>
      </c>
      <c r="CI383" s="2" t="n">
        <v>52.53</v>
      </c>
      <c r="CJ383" s="2" t="n">
        <v>56.7</v>
      </c>
      <c r="CK383" s="2" t="n">
        <v>0</v>
      </c>
      <c r="CL383" s="2" t="n">
        <v>61.5</v>
      </c>
      <c r="CM383" s="2" t="n">
        <v>65.65000000000001</v>
      </c>
      <c r="CN383" s="2" t="n">
        <v>0</v>
      </c>
      <c r="CO383" s="2" t="n">
        <v>69.90000000000001</v>
      </c>
      <c r="CP383" s="2" t="n">
        <v>74.06</v>
      </c>
      <c r="CQ383" s="2" t="n">
        <v>0</v>
      </c>
      <c r="CR383" s="2" t="n">
        <v>78.81</v>
      </c>
      <c r="CS383" s="2" t="n">
        <v>82.95</v>
      </c>
      <c r="CT383" s="2" t="n">
        <v>0</v>
      </c>
      <c r="CU383" s="2" t="n">
        <v>85.27</v>
      </c>
      <c r="CV383" s="2" t="n">
        <v>89.28</v>
      </c>
      <c r="CW383" s="2" t="n">
        <v>0</v>
      </c>
      <c r="CX383" s="2" t="n">
        <v>93.92</v>
      </c>
      <c r="CY383" s="2" t="n">
        <v>96.45</v>
      </c>
      <c r="CZ383" s="2" t="n">
        <v>0</v>
      </c>
      <c r="DA383" s="2" t="n">
        <v>96.98</v>
      </c>
      <c r="DB383" s="2" t="n">
        <v>96.98</v>
      </c>
      <c r="DC383" s="2" t="n">
        <v>0</v>
      </c>
      <c r="DD383" s="2" t="n">
        <v>97.51000000000001</v>
      </c>
      <c r="DE383" s="2" t="n">
        <v>98.98</v>
      </c>
      <c r="DF383" s="2" t="n">
        <v>0</v>
      </c>
      <c r="DG383" s="2" t="n">
        <v>99.61</v>
      </c>
      <c r="DH383" s="2" t="n">
        <v>99.92</v>
      </c>
      <c r="DI383" s="2" t="n">
        <v>0</v>
      </c>
      <c r="DJ383" s="2" t="n">
        <v>100</v>
      </c>
      <c r="DK383" s="2" t="n">
        <v>100</v>
      </c>
      <c r="DL383" s="2" t="n">
        <v>0</v>
      </c>
      <c r="DM383" s="2" t="n">
        <v>100</v>
      </c>
      <c r="DN383" s="2" t="n">
        <v>100</v>
      </c>
      <c r="DO383" s="2" t="n">
        <v>0</v>
      </c>
      <c r="DP383" s="2" t="n">
        <v>100</v>
      </c>
      <c r="DQ383" s="2" t="n">
        <v>100</v>
      </c>
      <c r="DR383" s="2" t="n">
        <v>0</v>
      </c>
      <c r="DS383" s="2" t="n">
        <v>100</v>
      </c>
      <c r="DT383" s="2" t="n">
        <v>100</v>
      </c>
      <c r="DU383" s="2" t="n">
        <v>0</v>
      </c>
      <c r="DV383" s="2" t="n">
        <v>100</v>
      </c>
      <c r="DW383" s="2" t="n">
        <v>100</v>
      </c>
      <c r="DX383" s="2" t="n">
        <v>0</v>
      </c>
      <c r="DY383" s="2" t="n">
        <v>100</v>
      </c>
      <c r="DZ383" s="2" t="n">
        <v>100</v>
      </c>
      <c r="EA383" s="2" t="n">
        <v>0</v>
      </c>
      <c r="EB383" s="2" t="n">
        <v>100</v>
      </c>
      <c r="EC383" s="2" t="n">
        <v>100</v>
      </c>
      <c r="ED383" s="2" t="n">
        <v>0</v>
      </c>
      <c r="EE383" s="2" t="n">
        <v>100</v>
      </c>
      <c r="EF383" s="2" t="n">
        <v>100</v>
      </c>
      <c r="EG383" s="2" t="n">
        <v>0</v>
      </c>
      <c r="EH383" s="2" t="n">
        <v>100</v>
      </c>
      <c r="EI383" s="2" t="n">
        <v>100</v>
      </c>
      <c r="EJ383" s="2" t="n">
        <v>0</v>
      </c>
      <c r="EK383" s="2" t="n">
        <v>100</v>
      </c>
      <c r="EL383" s="2" t="n">
        <v>100</v>
      </c>
      <c r="EM383" s="2" t="n">
        <v>0</v>
      </c>
      <c r="EN383" s="2" t="n">
        <v>100</v>
      </c>
      <c r="EO383" s="2" t="n">
        <v>100</v>
      </c>
      <c r="EP383" s="2" t="n">
        <v>0</v>
      </c>
      <c r="EQ383" s="2" t="n">
        <v>100</v>
      </c>
      <c r="ER383" s="2" t="n">
        <v>100</v>
      </c>
      <c r="ES383" s="2" t="n">
        <v>0</v>
      </c>
    </row>
    <row r="384">
      <c r="A384" s="2" t="n">
        <v>4</v>
      </c>
      <c r="B384" s="2" t="inlineStr">
        <is>
          <t>18.02.02.04</t>
        </is>
      </c>
      <c r="C384" s="2" t="inlineStr">
        <is>
          <t>Amarração de Alvenaria</t>
        </is>
      </c>
      <c r="D384" s="2" t="inlineStr">
        <is>
          <t>16/03/2027</t>
        </is>
      </c>
      <c r="E384" s="2" t="inlineStr">
        <is>
          <t>04/05/2028</t>
        </is>
      </c>
      <c r="F384" s="2" t="n">
        <v>1867.203666430358</v>
      </c>
      <c r="G384" s="2" t="n">
        <v>0</v>
      </c>
      <c r="H384" s="2" t="n">
        <v>1867.203666430358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0</v>
      </c>
      <c r="BO384" s="2" t="n">
        <v>0</v>
      </c>
      <c r="BP384" s="2" t="n">
        <v>0</v>
      </c>
      <c r="BQ384" s="2" t="n">
        <v>0</v>
      </c>
      <c r="BR384" s="2" t="n">
        <v>0</v>
      </c>
      <c r="BS384" s="2" t="n">
        <v>0</v>
      </c>
      <c r="BT384" s="2" t="n">
        <v>1.58</v>
      </c>
      <c r="BU384" s="2" t="n">
        <v>2.89</v>
      </c>
      <c r="BV384" s="2" t="n">
        <v>0</v>
      </c>
      <c r="BW384" s="2" t="n">
        <v>7.09</v>
      </c>
      <c r="BX384" s="2" t="n">
        <v>10.52</v>
      </c>
      <c r="BY384" s="2" t="n">
        <v>0</v>
      </c>
      <c r="BZ384" s="2" t="n">
        <v>18.31</v>
      </c>
      <c r="CA384" s="2" t="n">
        <v>22.87</v>
      </c>
      <c r="CB384" s="2" t="n">
        <v>0</v>
      </c>
      <c r="CC384" s="2" t="n">
        <v>33.02</v>
      </c>
      <c r="CD384" s="2" t="n">
        <v>37.18</v>
      </c>
      <c r="CE384" s="2" t="n">
        <v>0</v>
      </c>
      <c r="CF384" s="2" t="n">
        <v>42.74</v>
      </c>
      <c r="CG384" s="2" t="n">
        <v>46.92</v>
      </c>
      <c r="CH384" s="2" t="n">
        <v>0</v>
      </c>
      <c r="CI384" s="2" t="n">
        <v>52.53</v>
      </c>
      <c r="CJ384" s="2" t="n">
        <v>56.7</v>
      </c>
      <c r="CK384" s="2" t="n">
        <v>0</v>
      </c>
      <c r="CL384" s="2" t="n">
        <v>61.5</v>
      </c>
      <c r="CM384" s="2" t="n">
        <v>65.65000000000001</v>
      </c>
      <c r="CN384" s="2" t="n">
        <v>0</v>
      </c>
      <c r="CO384" s="2" t="n">
        <v>69.90000000000001</v>
      </c>
      <c r="CP384" s="2" t="n">
        <v>74.06</v>
      </c>
      <c r="CQ384" s="2" t="n">
        <v>0</v>
      </c>
      <c r="CR384" s="2" t="n">
        <v>78.81</v>
      </c>
      <c r="CS384" s="2" t="n">
        <v>82.95</v>
      </c>
      <c r="CT384" s="2" t="n">
        <v>0</v>
      </c>
      <c r="CU384" s="2" t="n">
        <v>85.27</v>
      </c>
      <c r="CV384" s="2" t="n">
        <v>89.28</v>
      </c>
      <c r="CW384" s="2" t="n">
        <v>0</v>
      </c>
      <c r="CX384" s="2" t="n">
        <v>93.92</v>
      </c>
      <c r="CY384" s="2" t="n">
        <v>96.45</v>
      </c>
      <c r="CZ384" s="2" t="n">
        <v>0</v>
      </c>
      <c r="DA384" s="2" t="n">
        <v>96.98</v>
      </c>
      <c r="DB384" s="2" t="n">
        <v>96.98</v>
      </c>
      <c r="DC384" s="2" t="n">
        <v>0</v>
      </c>
      <c r="DD384" s="2" t="n">
        <v>97.51000000000001</v>
      </c>
      <c r="DE384" s="2" t="n">
        <v>98.98</v>
      </c>
      <c r="DF384" s="2" t="n">
        <v>0</v>
      </c>
      <c r="DG384" s="2" t="n">
        <v>99.61</v>
      </c>
      <c r="DH384" s="2" t="n">
        <v>99.92</v>
      </c>
      <c r="DI384" s="2" t="n">
        <v>0</v>
      </c>
      <c r="DJ384" s="2" t="n">
        <v>100</v>
      </c>
      <c r="DK384" s="2" t="n">
        <v>100</v>
      </c>
      <c r="DL384" s="2" t="n">
        <v>0</v>
      </c>
      <c r="DM384" s="2" t="n">
        <v>100</v>
      </c>
      <c r="DN384" s="2" t="n">
        <v>100</v>
      </c>
      <c r="DO384" s="2" t="n">
        <v>0</v>
      </c>
      <c r="DP384" s="2" t="n">
        <v>100</v>
      </c>
      <c r="DQ384" s="2" t="n">
        <v>100</v>
      </c>
      <c r="DR384" s="2" t="n">
        <v>0</v>
      </c>
      <c r="DS384" s="2" t="n">
        <v>100</v>
      </c>
      <c r="DT384" s="2" t="n">
        <v>100</v>
      </c>
      <c r="DU384" s="2" t="n">
        <v>0</v>
      </c>
      <c r="DV384" s="2" t="n">
        <v>100</v>
      </c>
      <c r="DW384" s="2" t="n">
        <v>100</v>
      </c>
      <c r="DX384" s="2" t="n">
        <v>0</v>
      </c>
      <c r="DY384" s="2" t="n">
        <v>100</v>
      </c>
      <c r="DZ384" s="2" t="n">
        <v>100</v>
      </c>
      <c r="EA384" s="2" t="n">
        <v>0</v>
      </c>
      <c r="EB384" s="2" t="n">
        <v>100</v>
      </c>
      <c r="EC384" s="2" t="n">
        <v>100</v>
      </c>
      <c r="ED384" s="2" t="n">
        <v>0</v>
      </c>
      <c r="EE384" s="2" t="n">
        <v>100</v>
      </c>
      <c r="EF384" s="2" t="n">
        <v>100</v>
      </c>
      <c r="EG384" s="2" t="n">
        <v>0</v>
      </c>
      <c r="EH384" s="2" t="n">
        <v>100</v>
      </c>
      <c r="EI384" s="2" t="n">
        <v>100</v>
      </c>
      <c r="EJ384" s="2" t="n">
        <v>0</v>
      </c>
      <c r="EK384" s="2" t="n">
        <v>100</v>
      </c>
      <c r="EL384" s="2" t="n">
        <v>100</v>
      </c>
      <c r="EM384" s="2" t="n">
        <v>0</v>
      </c>
      <c r="EN384" s="2" t="n">
        <v>100</v>
      </c>
      <c r="EO384" s="2" t="n">
        <v>100</v>
      </c>
      <c r="EP384" s="2" t="n">
        <v>0</v>
      </c>
      <c r="EQ384" s="2" t="n">
        <v>100</v>
      </c>
      <c r="ER384" s="2" t="n">
        <v>100</v>
      </c>
      <c r="ES384" s="2" t="n">
        <v>0</v>
      </c>
    </row>
    <row r="385">
      <c r="A385" s="2" t="n">
        <v>3</v>
      </c>
      <c r="B385" s="2" t="inlineStr">
        <is>
          <t>18.02.03</t>
        </is>
      </c>
      <c r="C385" s="2" t="inlineStr">
        <is>
          <t>Esp. 19cm</t>
        </is>
      </c>
      <c r="D385" s="2" t="inlineStr">
        <is>
          <t>16/03/2027</t>
        </is>
      </c>
      <c r="E385" s="2" t="inlineStr">
        <is>
          <t>04/05/2028</t>
        </is>
      </c>
      <c r="F385" s="2" t="n">
        <v>331877.6932155812</v>
      </c>
      <c r="G385" s="2" t="n">
        <v>0</v>
      </c>
      <c r="H385" s="2" t="n">
        <v>331877.6932155812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0</v>
      </c>
      <c r="BO385" s="2" t="n">
        <v>0</v>
      </c>
      <c r="BP385" s="2" t="n">
        <v>0</v>
      </c>
      <c r="BQ385" s="2" t="n">
        <v>0</v>
      </c>
      <c r="BR385" s="2" t="n">
        <v>0</v>
      </c>
      <c r="BS385" s="2" t="n">
        <v>0</v>
      </c>
      <c r="BT385" s="2" t="n">
        <v>1.58</v>
      </c>
      <c r="BU385" s="2" t="n">
        <v>2.89</v>
      </c>
      <c r="BV385" s="2" t="n">
        <v>0</v>
      </c>
      <c r="BW385" s="2" t="n">
        <v>7.09</v>
      </c>
      <c r="BX385" s="2" t="n">
        <v>10.52</v>
      </c>
      <c r="BY385" s="2" t="n">
        <v>0</v>
      </c>
      <c r="BZ385" s="2" t="n">
        <v>18.31</v>
      </c>
      <c r="CA385" s="2" t="n">
        <v>22.87</v>
      </c>
      <c r="CB385" s="2" t="n">
        <v>0</v>
      </c>
      <c r="CC385" s="2" t="n">
        <v>33.02</v>
      </c>
      <c r="CD385" s="2" t="n">
        <v>37.18</v>
      </c>
      <c r="CE385" s="2" t="n">
        <v>0</v>
      </c>
      <c r="CF385" s="2" t="n">
        <v>42.74</v>
      </c>
      <c r="CG385" s="2" t="n">
        <v>46.92</v>
      </c>
      <c r="CH385" s="2" t="n">
        <v>0</v>
      </c>
      <c r="CI385" s="2" t="n">
        <v>52.53</v>
      </c>
      <c r="CJ385" s="2" t="n">
        <v>56.7</v>
      </c>
      <c r="CK385" s="2" t="n">
        <v>0</v>
      </c>
      <c r="CL385" s="2" t="n">
        <v>61.5</v>
      </c>
      <c r="CM385" s="2" t="n">
        <v>65.65000000000001</v>
      </c>
      <c r="CN385" s="2" t="n">
        <v>0</v>
      </c>
      <c r="CO385" s="2" t="n">
        <v>69.90000000000001</v>
      </c>
      <c r="CP385" s="2" t="n">
        <v>74.06</v>
      </c>
      <c r="CQ385" s="2" t="n">
        <v>0</v>
      </c>
      <c r="CR385" s="2" t="n">
        <v>78.81</v>
      </c>
      <c r="CS385" s="2" t="n">
        <v>82.95</v>
      </c>
      <c r="CT385" s="2" t="n">
        <v>0</v>
      </c>
      <c r="CU385" s="2" t="n">
        <v>85.27</v>
      </c>
      <c r="CV385" s="2" t="n">
        <v>89.28</v>
      </c>
      <c r="CW385" s="2" t="n">
        <v>0</v>
      </c>
      <c r="CX385" s="2" t="n">
        <v>93.92</v>
      </c>
      <c r="CY385" s="2" t="n">
        <v>96.45</v>
      </c>
      <c r="CZ385" s="2" t="n">
        <v>0</v>
      </c>
      <c r="DA385" s="2" t="n">
        <v>96.98</v>
      </c>
      <c r="DB385" s="2" t="n">
        <v>96.98</v>
      </c>
      <c r="DC385" s="2" t="n">
        <v>0</v>
      </c>
      <c r="DD385" s="2" t="n">
        <v>97.51000000000001</v>
      </c>
      <c r="DE385" s="2" t="n">
        <v>98.98</v>
      </c>
      <c r="DF385" s="2" t="n">
        <v>0</v>
      </c>
      <c r="DG385" s="2" t="n">
        <v>99.61</v>
      </c>
      <c r="DH385" s="2" t="n">
        <v>99.92</v>
      </c>
      <c r="DI385" s="2" t="n">
        <v>0</v>
      </c>
      <c r="DJ385" s="2" t="n">
        <v>100</v>
      </c>
      <c r="DK385" s="2" t="n">
        <v>100</v>
      </c>
      <c r="DL385" s="2" t="n">
        <v>0</v>
      </c>
      <c r="DM385" s="2" t="n">
        <v>100</v>
      </c>
      <c r="DN385" s="2" t="n">
        <v>100</v>
      </c>
      <c r="DO385" s="2" t="n">
        <v>0</v>
      </c>
      <c r="DP385" s="2" t="n">
        <v>100</v>
      </c>
      <c r="DQ385" s="2" t="n">
        <v>100</v>
      </c>
      <c r="DR385" s="2" t="n">
        <v>0</v>
      </c>
      <c r="DS385" s="2" t="n">
        <v>100</v>
      </c>
      <c r="DT385" s="2" t="n">
        <v>100</v>
      </c>
      <c r="DU385" s="2" t="n">
        <v>0</v>
      </c>
      <c r="DV385" s="2" t="n">
        <v>100</v>
      </c>
      <c r="DW385" s="2" t="n">
        <v>100</v>
      </c>
      <c r="DX385" s="2" t="n">
        <v>0</v>
      </c>
      <c r="DY385" s="2" t="n">
        <v>100</v>
      </c>
      <c r="DZ385" s="2" t="n">
        <v>100</v>
      </c>
      <c r="EA385" s="2" t="n">
        <v>0</v>
      </c>
      <c r="EB385" s="2" t="n">
        <v>100</v>
      </c>
      <c r="EC385" s="2" t="n">
        <v>100</v>
      </c>
      <c r="ED385" s="2" t="n">
        <v>0</v>
      </c>
      <c r="EE385" s="2" t="n">
        <v>100</v>
      </c>
      <c r="EF385" s="2" t="n">
        <v>100</v>
      </c>
      <c r="EG385" s="2" t="n">
        <v>0</v>
      </c>
      <c r="EH385" s="2" t="n">
        <v>100</v>
      </c>
      <c r="EI385" s="2" t="n">
        <v>100</v>
      </c>
      <c r="EJ385" s="2" t="n">
        <v>0</v>
      </c>
      <c r="EK385" s="2" t="n">
        <v>100</v>
      </c>
      <c r="EL385" s="2" t="n">
        <v>100</v>
      </c>
      <c r="EM385" s="2" t="n">
        <v>0</v>
      </c>
      <c r="EN385" s="2" t="n">
        <v>100</v>
      </c>
      <c r="EO385" s="2" t="n">
        <v>100</v>
      </c>
      <c r="EP385" s="2" t="n">
        <v>0</v>
      </c>
      <c r="EQ385" s="2" t="n">
        <v>100</v>
      </c>
      <c r="ER385" s="2" t="n">
        <v>100</v>
      </c>
      <c r="ES385" s="2" t="n">
        <v>0</v>
      </c>
    </row>
    <row r="386">
      <c r="A386" s="2" t="n">
        <v>4</v>
      </c>
      <c r="B386" s="2" t="inlineStr">
        <is>
          <t>18.02.03.01</t>
        </is>
      </c>
      <c r="C386" s="2" t="inlineStr">
        <is>
          <t>Demarcação de alvenaria de vedação com blocos de concreto esp.19cm</t>
        </is>
      </c>
      <c r="D386" s="2" t="inlineStr">
        <is>
          <t>16/03/2027</t>
        </is>
      </c>
      <c r="E386" s="2" t="inlineStr">
        <is>
          <t>04/05/2028</t>
        </is>
      </c>
      <c r="F386" s="2" t="n">
        <v>29242.42359456463</v>
      </c>
      <c r="G386" s="2" t="n">
        <v>0</v>
      </c>
      <c r="H386" s="2" t="n">
        <v>29242.42359456463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0</v>
      </c>
      <c r="BO386" s="2" t="n">
        <v>0</v>
      </c>
      <c r="BP386" s="2" t="n">
        <v>0</v>
      </c>
      <c r="BQ386" s="2" t="n">
        <v>0</v>
      </c>
      <c r="BR386" s="2" t="n">
        <v>0</v>
      </c>
      <c r="BS386" s="2" t="n">
        <v>0</v>
      </c>
      <c r="BT386" s="2" t="n">
        <v>1.58</v>
      </c>
      <c r="BU386" s="2" t="n">
        <v>2.89</v>
      </c>
      <c r="BV386" s="2" t="n">
        <v>0</v>
      </c>
      <c r="BW386" s="2" t="n">
        <v>7.09</v>
      </c>
      <c r="BX386" s="2" t="n">
        <v>10.52</v>
      </c>
      <c r="BY386" s="2" t="n">
        <v>0</v>
      </c>
      <c r="BZ386" s="2" t="n">
        <v>18.31</v>
      </c>
      <c r="CA386" s="2" t="n">
        <v>22.87</v>
      </c>
      <c r="CB386" s="2" t="n">
        <v>0</v>
      </c>
      <c r="CC386" s="2" t="n">
        <v>33.02</v>
      </c>
      <c r="CD386" s="2" t="n">
        <v>37.18</v>
      </c>
      <c r="CE386" s="2" t="n">
        <v>0</v>
      </c>
      <c r="CF386" s="2" t="n">
        <v>42.74</v>
      </c>
      <c r="CG386" s="2" t="n">
        <v>46.92</v>
      </c>
      <c r="CH386" s="2" t="n">
        <v>0</v>
      </c>
      <c r="CI386" s="2" t="n">
        <v>52.53</v>
      </c>
      <c r="CJ386" s="2" t="n">
        <v>56.7</v>
      </c>
      <c r="CK386" s="2" t="n">
        <v>0</v>
      </c>
      <c r="CL386" s="2" t="n">
        <v>61.5</v>
      </c>
      <c r="CM386" s="2" t="n">
        <v>65.65000000000001</v>
      </c>
      <c r="CN386" s="2" t="n">
        <v>0</v>
      </c>
      <c r="CO386" s="2" t="n">
        <v>69.90000000000001</v>
      </c>
      <c r="CP386" s="2" t="n">
        <v>74.06</v>
      </c>
      <c r="CQ386" s="2" t="n">
        <v>0</v>
      </c>
      <c r="CR386" s="2" t="n">
        <v>78.81</v>
      </c>
      <c r="CS386" s="2" t="n">
        <v>82.95</v>
      </c>
      <c r="CT386" s="2" t="n">
        <v>0</v>
      </c>
      <c r="CU386" s="2" t="n">
        <v>85.27</v>
      </c>
      <c r="CV386" s="2" t="n">
        <v>89.28</v>
      </c>
      <c r="CW386" s="2" t="n">
        <v>0</v>
      </c>
      <c r="CX386" s="2" t="n">
        <v>93.92</v>
      </c>
      <c r="CY386" s="2" t="n">
        <v>96.45</v>
      </c>
      <c r="CZ386" s="2" t="n">
        <v>0</v>
      </c>
      <c r="DA386" s="2" t="n">
        <v>96.98</v>
      </c>
      <c r="DB386" s="2" t="n">
        <v>96.98</v>
      </c>
      <c r="DC386" s="2" t="n">
        <v>0</v>
      </c>
      <c r="DD386" s="2" t="n">
        <v>97.51000000000001</v>
      </c>
      <c r="DE386" s="2" t="n">
        <v>98.98</v>
      </c>
      <c r="DF386" s="2" t="n">
        <v>0</v>
      </c>
      <c r="DG386" s="2" t="n">
        <v>99.61</v>
      </c>
      <c r="DH386" s="2" t="n">
        <v>99.92</v>
      </c>
      <c r="DI386" s="2" t="n">
        <v>0</v>
      </c>
      <c r="DJ386" s="2" t="n">
        <v>100</v>
      </c>
      <c r="DK386" s="2" t="n">
        <v>100</v>
      </c>
      <c r="DL386" s="2" t="n">
        <v>0</v>
      </c>
      <c r="DM386" s="2" t="n">
        <v>100</v>
      </c>
      <c r="DN386" s="2" t="n">
        <v>100</v>
      </c>
      <c r="DO386" s="2" t="n">
        <v>0</v>
      </c>
      <c r="DP386" s="2" t="n">
        <v>100</v>
      </c>
      <c r="DQ386" s="2" t="n">
        <v>100</v>
      </c>
      <c r="DR386" s="2" t="n">
        <v>0</v>
      </c>
      <c r="DS386" s="2" t="n">
        <v>100</v>
      </c>
      <c r="DT386" s="2" t="n">
        <v>100</v>
      </c>
      <c r="DU386" s="2" t="n">
        <v>0</v>
      </c>
      <c r="DV386" s="2" t="n">
        <v>100</v>
      </c>
      <c r="DW386" s="2" t="n">
        <v>100</v>
      </c>
      <c r="DX386" s="2" t="n">
        <v>0</v>
      </c>
      <c r="DY386" s="2" t="n">
        <v>100</v>
      </c>
      <c r="DZ386" s="2" t="n">
        <v>100</v>
      </c>
      <c r="EA386" s="2" t="n">
        <v>0</v>
      </c>
      <c r="EB386" s="2" t="n">
        <v>100</v>
      </c>
      <c r="EC386" s="2" t="n">
        <v>100</v>
      </c>
      <c r="ED386" s="2" t="n">
        <v>0</v>
      </c>
      <c r="EE386" s="2" t="n">
        <v>100</v>
      </c>
      <c r="EF386" s="2" t="n">
        <v>100</v>
      </c>
      <c r="EG386" s="2" t="n">
        <v>0</v>
      </c>
      <c r="EH386" s="2" t="n">
        <v>100</v>
      </c>
      <c r="EI386" s="2" t="n">
        <v>100</v>
      </c>
      <c r="EJ386" s="2" t="n">
        <v>0</v>
      </c>
      <c r="EK386" s="2" t="n">
        <v>100</v>
      </c>
      <c r="EL386" s="2" t="n">
        <v>100</v>
      </c>
      <c r="EM386" s="2" t="n">
        <v>0</v>
      </c>
      <c r="EN386" s="2" t="n">
        <v>100</v>
      </c>
      <c r="EO386" s="2" t="n">
        <v>100</v>
      </c>
      <c r="EP386" s="2" t="n">
        <v>0</v>
      </c>
      <c r="EQ386" s="2" t="n">
        <v>100</v>
      </c>
      <c r="ER386" s="2" t="n">
        <v>100</v>
      </c>
      <c r="ES386" s="2" t="n">
        <v>0</v>
      </c>
    </row>
    <row r="387">
      <c r="A387" s="2" t="n">
        <v>4</v>
      </c>
      <c r="B387" s="2" t="inlineStr">
        <is>
          <t>18.02.03.02</t>
        </is>
      </c>
      <c r="C387" s="2" t="inlineStr">
        <is>
          <t>Alvenaria de vedação com blocos de concreto  esp. 19m</t>
        </is>
      </c>
      <c r="D387" s="2" t="inlineStr">
        <is>
          <t>16/03/2027</t>
        </is>
      </c>
      <c r="E387" s="2" t="inlineStr">
        <is>
          <t>04/05/2028</t>
        </is>
      </c>
      <c r="F387" s="2" t="n">
        <v>283960.3382280328</v>
      </c>
      <c r="G387" s="2" t="n">
        <v>0</v>
      </c>
      <c r="H387" s="2" t="n">
        <v>283960.3382280328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0</v>
      </c>
      <c r="BO387" s="2" t="n">
        <v>0</v>
      </c>
      <c r="BP387" s="2" t="n">
        <v>0</v>
      </c>
      <c r="BQ387" s="2" t="n">
        <v>0</v>
      </c>
      <c r="BR387" s="2" t="n">
        <v>0</v>
      </c>
      <c r="BS387" s="2" t="n">
        <v>0</v>
      </c>
      <c r="BT387" s="2" t="n">
        <v>1.58</v>
      </c>
      <c r="BU387" s="2" t="n">
        <v>2.89</v>
      </c>
      <c r="BV387" s="2" t="n">
        <v>0</v>
      </c>
      <c r="BW387" s="2" t="n">
        <v>7.09</v>
      </c>
      <c r="BX387" s="2" t="n">
        <v>10.52</v>
      </c>
      <c r="BY387" s="2" t="n">
        <v>0</v>
      </c>
      <c r="BZ387" s="2" t="n">
        <v>18.31</v>
      </c>
      <c r="CA387" s="2" t="n">
        <v>22.87</v>
      </c>
      <c r="CB387" s="2" t="n">
        <v>0</v>
      </c>
      <c r="CC387" s="2" t="n">
        <v>33.02</v>
      </c>
      <c r="CD387" s="2" t="n">
        <v>37.18</v>
      </c>
      <c r="CE387" s="2" t="n">
        <v>0</v>
      </c>
      <c r="CF387" s="2" t="n">
        <v>42.74</v>
      </c>
      <c r="CG387" s="2" t="n">
        <v>46.92</v>
      </c>
      <c r="CH387" s="2" t="n">
        <v>0</v>
      </c>
      <c r="CI387" s="2" t="n">
        <v>52.53</v>
      </c>
      <c r="CJ387" s="2" t="n">
        <v>56.7</v>
      </c>
      <c r="CK387" s="2" t="n">
        <v>0</v>
      </c>
      <c r="CL387" s="2" t="n">
        <v>61.5</v>
      </c>
      <c r="CM387" s="2" t="n">
        <v>65.65000000000001</v>
      </c>
      <c r="CN387" s="2" t="n">
        <v>0</v>
      </c>
      <c r="CO387" s="2" t="n">
        <v>69.90000000000001</v>
      </c>
      <c r="CP387" s="2" t="n">
        <v>74.06</v>
      </c>
      <c r="CQ387" s="2" t="n">
        <v>0</v>
      </c>
      <c r="CR387" s="2" t="n">
        <v>78.81</v>
      </c>
      <c r="CS387" s="2" t="n">
        <v>82.95</v>
      </c>
      <c r="CT387" s="2" t="n">
        <v>0</v>
      </c>
      <c r="CU387" s="2" t="n">
        <v>85.27</v>
      </c>
      <c r="CV387" s="2" t="n">
        <v>89.28</v>
      </c>
      <c r="CW387" s="2" t="n">
        <v>0</v>
      </c>
      <c r="CX387" s="2" t="n">
        <v>93.92</v>
      </c>
      <c r="CY387" s="2" t="n">
        <v>96.45</v>
      </c>
      <c r="CZ387" s="2" t="n">
        <v>0</v>
      </c>
      <c r="DA387" s="2" t="n">
        <v>96.98</v>
      </c>
      <c r="DB387" s="2" t="n">
        <v>96.98</v>
      </c>
      <c r="DC387" s="2" t="n">
        <v>0</v>
      </c>
      <c r="DD387" s="2" t="n">
        <v>97.51000000000001</v>
      </c>
      <c r="DE387" s="2" t="n">
        <v>98.98</v>
      </c>
      <c r="DF387" s="2" t="n">
        <v>0</v>
      </c>
      <c r="DG387" s="2" t="n">
        <v>99.61</v>
      </c>
      <c r="DH387" s="2" t="n">
        <v>99.92</v>
      </c>
      <c r="DI387" s="2" t="n">
        <v>0</v>
      </c>
      <c r="DJ387" s="2" t="n">
        <v>100</v>
      </c>
      <c r="DK387" s="2" t="n">
        <v>100</v>
      </c>
      <c r="DL387" s="2" t="n">
        <v>0</v>
      </c>
      <c r="DM387" s="2" t="n">
        <v>100</v>
      </c>
      <c r="DN387" s="2" t="n">
        <v>100</v>
      </c>
      <c r="DO387" s="2" t="n">
        <v>0</v>
      </c>
      <c r="DP387" s="2" t="n">
        <v>100</v>
      </c>
      <c r="DQ387" s="2" t="n">
        <v>100</v>
      </c>
      <c r="DR387" s="2" t="n">
        <v>0</v>
      </c>
      <c r="DS387" s="2" t="n">
        <v>100</v>
      </c>
      <c r="DT387" s="2" t="n">
        <v>100</v>
      </c>
      <c r="DU387" s="2" t="n">
        <v>0</v>
      </c>
      <c r="DV387" s="2" t="n">
        <v>100</v>
      </c>
      <c r="DW387" s="2" t="n">
        <v>100</v>
      </c>
      <c r="DX387" s="2" t="n">
        <v>0</v>
      </c>
      <c r="DY387" s="2" t="n">
        <v>100</v>
      </c>
      <c r="DZ387" s="2" t="n">
        <v>100</v>
      </c>
      <c r="EA387" s="2" t="n">
        <v>0</v>
      </c>
      <c r="EB387" s="2" t="n">
        <v>100</v>
      </c>
      <c r="EC387" s="2" t="n">
        <v>100</v>
      </c>
      <c r="ED387" s="2" t="n">
        <v>0</v>
      </c>
      <c r="EE387" s="2" t="n">
        <v>100</v>
      </c>
      <c r="EF387" s="2" t="n">
        <v>100</v>
      </c>
      <c r="EG387" s="2" t="n">
        <v>0</v>
      </c>
      <c r="EH387" s="2" t="n">
        <v>100</v>
      </c>
      <c r="EI387" s="2" t="n">
        <v>100</v>
      </c>
      <c r="EJ387" s="2" t="n">
        <v>0</v>
      </c>
      <c r="EK387" s="2" t="n">
        <v>100</v>
      </c>
      <c r="EL387" s="2" t="n">
        <v>100</v>
      </c>
      <c r="EM387" s="2" t="n">
        <v>0</v>
      </c>
      <c r="EN387" s="2" t="n">
        <v>100</v>
      </c>
      <c r="EO387" s="2" t="n">
        <v>100</v>
      </c>
      <c r="EP387" s="2" t="n">
        <v>0</v>
      </c>
      <c r="EQ387" s="2" t="n">
        <v>100</v>
      </c>
      <c r="ER387" s="2" t="n">
        <v>100</v>
      </c>
      <c r="ES387" s="2" t="n">
        <v>0</v>
      </c>
    </row>
    <row r="388">
      <c r="A388" s="2" t="n">
        <v>4</v>
      </c>
      <c r="B388" s="2" t="inlineStr">
        <is>
          <t>18.02.03.03</t>
        </is>
      </c>
      <c r="C388" s="2" t="inlineStr">
        <is>
          <t>Encunhamento com espuma expansiva de poliuretano</t>
        </is>
      </c>
      <c r="D388" s="2" t="inlineStr">
        <is>
          <t>16/03/2027</t>
        </is>
      </c>
      <c r="E388" s="2" t="inlineStr">
        <is>
          <t>04/05/2028</t>
        </is>
      </c>
      <c r="F388" s="2" t="n">
        <v>10234.08103419785</v>
      </c>
      <c r="G388" s="2" t="n">
        <v>0</v>
      </c>
      <c r="H388" s="2" t="n">
        <v>10234.08103419785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0</v>
      </c>
      <c r="BO388" s="2" t="n">
        <v>0</v>
      </c>
      <c r="BP388" s="2" t="n">
        <v>0</v>
      </c>
      <c r="BQ388" s="2" t="n">
        <v>0</v>
      </c>
      <c r="BR388" s="2" t="n">
        <v>0</v>
      </c>
      <c r="BS388" s="2" t="n">
        <v>0</v>
      </c>
      <c r="BT388" s="2" t="n">
        <v>1.58</v>
      </c>
      <c r="BU388" s="2" t="n">
        <v>2.89</v>
      </c>
      <c r="BV388" s="2" t="n">
        <v>0</v>
      </c>
      <c r="BW388" s="2" t="n">
        <v>7.09</v>
      </c>
      <c r="BX388" s="2" t="n">
        <v>10.52</v>
      </c>
      <c r="BY388" s="2" t="n">
        <v>0</v>
      </c>
      <c r="BZ388" s="2" t="n">
        <v>18.31</v>
      </c>
      <c r="CA388" s="2" t="n">
        <v>22.87</v>
      </c>
      <c r="CB388" s="2" t="n">
        <v>0</v>
      </c>
      <c r="CC388" s="2" t="n">
        <v>33.02</v>
      </c>
      <c r="CD388" s="2" t="n">
        <v>37.18</v>
      </c>
      <c r="CE388" s="2" t="n">
        <v>0</v>
      </c>
      <c r="CF388" s="2" t="n">
        <v>42.74</v>
      </c>
      <c r="CG388" s="2" t="n">
        <v>46.92</v>
      </c>
      <c r="CH388" s="2" t="n">
        <v>0</v>
      </c>
      <c r="CI388" s="2" t="n">
        <v>52.53</v>
      </c>
      <c r="CJ388" s="2" t="n">
        <v>56.7</v>
      </c>
      <c r="CK388" s="2" t="n">
        <v>0</v>
      </c>
      <c r="CL388" s="2" t="n">
        <v>61.5</v>
      </c>
      <c r="CM388" s="2" t="n">
        <v>65.65000000000001</v>
      </c>
      <c r="CN388" s="2" t="n">
        <v>0</v>
      </c>
      <c r="CO388" s="2" t="n">
        <v>69.90000000000001</v>
      </c>
      <c r="CP388" s="2" t="n">
        <v>74.06</v>
      </c>
      <c r="CQ388" s="2" t="n">
        <v>0</v>
      </c>
      <c r="CR388" s="2" t="n">
        <v>78.81</v>
      </c>
      <c r="CS388" s="2" t="n">
        <v>82.95</v>
      </c>
      <c r="CT388" s="2" t="n">
        <v>0</v>
      </c>
      <c r="CU388" s="2" t="n">
        <v>85.27</v>
      </c>
      <c r="CV388" s="2" t="n">
        <v>89.28</v>
      </c>
      <c r="CW388" s="2" t="n">
        <v>0</v>
      </c>
      <c r="CX388" s="2" t="n">
        <v>93.92</v>
      </c>
      <c r="CY388" s="2" t="n">
        <v>96.45</v>
      </c>
      <c r="CZ388" s="2" t="n">
        <v>0</v>
      </c>
      <c r="DA388" s="2" t="n">
        <v>96.98</v>
      </c>
      <c r="DB388" s="2" t="n">
        <v>96.98</v>
      </c>
      <c r="DC388" s="2" t="n">
        <v>0</v>
      </c>
      <c r="DD388" s="2" t="n">
        <v>97.51000000000001</v>
      </c>
      <c r="DE388" s="2" t="n">
        <v>98.98</v>
      </c>
      <c r="DF388" s="2" t="n">
        <v>0</v>
      </c>
      <c r="DG388" s="2" t="n">
        <v>99.61</v>
      </c>
      <c r="DH388" s="2" t="n">
        <v>99.92</v>
      </c>
      <c r="DI388" s="2" t="n">
        <v>0</v>
      </c>
      <c r="DJ388" s="2" t="n">
        <v>100</v>
      </c>
      <c r="DK388" s="2" t="n">
        <v>100</v>
      </c>
      <c r="DL388" s="2" t="n">
        <v>0</v>
      </c>
      <c r="DM388" s="2" t="n">
        <v>100</v>
      </c>
      <c r="DN388" s="2" t="n">
        <v>100</v>
      </c>
      <c r="DO388" s="2" t="n">
        <v>0</v>
      </c>
      <c r="DP388" s="2" t="n">
        <v>100</v>
      </c>
      <c r="DQ388" s="2" t="n">
        <v>100</v>
      </c>
      <c r="DR388" s="2" t="n">
        <v>0</v>
      </c>
      <c r="DS388" s="2" t="n">
        <v>100</v>
      </c>
      <c r="DT388" s="2" t="n">
        <v>100</v>
      </c>
      <c r="DU388" s="2" t="n">
        <v>0</v>
      </c>
      <c r="DV388" s="2" t="n">
        <v>100</v>
      </c>
      <c r="DW388" s="2" t="n">
        <v>100</v>
      </c>
      <c r="DX388" s="2" t="n">
        <v>0</v>
      </c>
      <c r="DY388" s="2" t="n">
        <v>100</v>
      </c>
      <c r="DZ388" s="2" t="n">
        <v>100</v>
      </c>
      <c r="EA388" s="2" t="n">
        <v>0</v>
      </c>
      <c r="EB388" s="2" t="n">
        <v>100</v>
      </c>
      <c r="EC388" s="2" t="n">
        <v>100</v>
      </c>
      <c r="ED388" s="2" t="n">
        <v>0</v>
      </c>
      <c r="EE388" s="2" t="n">
        <v>100</v>
      </c>
      <c r="EF388" s="2" t="n">
        <v>100</v>
      </c>
      <c r="EG388" s="2" t="n">
        <v>0</v>
      </c>
      <c r="EH388" s="2" t="n">
        <v>100</v>
      </c>
      <c r="EI388" s="2" t="n">
        <v>100</v>
      </c>
      <c r="EJ388" s="2" t="n">
        <v>0</v>
      </c>
      <c r="EK388" s="2" t="n">
        <v>100</v>
      </c>
      <c r="EL388" s="2" t="n">
        <v>100</v>
      </c>
      <c r="EM388" s="2" t="n">
        <v>0</v>
      </c>
      <c r="EN388" s="2" t="n">
        <v>100</v>
      </c>
      <c r="EO388" s="2" t="n">
        <v>100</v>
      </c>
      <c r="EP388" s="2" t="n">
        <v>0</v>
      </c>
      <c r="EQ388" s="2" t="n">
        <v>100</v>
      </c>
      <c r="ER388" s="2" t="n">
        <v>100</v>
      </c>
      <c r="ES388" s="2" t="n">
        <v>0</v>
      </c>
    </row>
    <row r="389">
      <c r="A389" s="2" t="n">
        <v>4</v>
      </c>
      <c r="B389" s="2" t="inlineStr">
        <is>
          <t>18.02.03.04</t>
        </is>
      </c>
      <c r="C389" s="2" t="inlineStr">
        <is>
          <t>Amarração de Alvenaria</t>
        </is>
      </c>
      <c r="D389" s="2" t="inlineStr">
        <is>
          <t>16/03/2027</t>
        </is>
      </c>
      <c r="E389" s="2" t="inlineStr">
        <is>
          <t>04/05/2028</t>
        </is>
      </c>
      <c r="F389" s="2" t="n">
        <v>8440.850358785987</v>
      </c>
      <c r="G389" s="2" t="n">
        <v>0</v>
      </c>
      <c r="H389" s="2" t="n">
        <v>8440.850358785987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0</v>
      </c>
      <c r="BO389" s="2" t="n">
        <v>0</v>
      </c>
      <c r="BP389" s="2" t="n">
        <v>0</v>
      </c>
      <c r="BQ389" s="2" t="n">
        <v>0</v>
      </c>
      <c r="BR389" s="2" t="n">
        <v>0</v>
      </c>
      <c r="BS389" s="2" t="n">
        <v>0</v>
      </c>
      <c r="BT389" s="2" t="n">
        <v>1.58</v>
      </c>
      <c r="BU389" s="2" t="n">
        <v>2.89</v>
      </c>
      <c r="BV389" s="2" t="n">
        <v>0</v>
      </c>
      <c r="BW389" s="2" t="n">
        <v>7.09</v>
      </c>
      <c r="BX389" s="2" t="n">
        <v>10.52</v>
      </c>
      <c r="BY389" s="2" t="n">
        <v>0</v>
      </c>
      <c r="BZ389" s="2" t="n">
        <v>18.31</v>
      </c>
      <c r="CA389" s="2" t="n">
        <v>22.87</v>
      </c>
      <c r="CB389" s="2" t="n">
        <v>0</v>
      </c>
      <c r="CC389" s="2" t="n">
        <v>33.02</v>
      </c>
      <c r="CD389" s="2" t="n">
        <v>37.18</v>
      </c>
      <c r="CE389" s="2" t="n">
        <v>0</v>
      </c>
      <c r="CF389" s="2" t="n">
        <v>42.74</v>
      </c>
      <c r="CG389" s="2" t="n">
        <v>46.92</v>
      </c>
      <c r="CH389" s="2" t="n">
        <v>0</v>
      </c>
      <c r="CI389" s="2" t="n">
        <v>52.53</v>
      </c>
      <c r="CJ389" s="2" t="n">
        <v>56.7</v>
      </c>
      <c r="CK389" s="2" t="n">
        <v>0</v>
      </c>
      <c r="CL389" s="2" t="n">
        <v>61.5</v>
      </c>
      <c r="CM389" s="2" t="n">
        <v>65.65000000000001</v>
      </c>
      <c r="CN389" s="2" t="n">
        <v>0</v>
      </c>
      <c r="CO389" s="2" t="n">
        <v>69.90000000000001</v>
      </c>
      <c r="CP389" s="2" t="n">
        <v>74.06</v>
      </c>
      <c r="CQ389" s="2" t="n">
        <v>0</v>
      </c>
      <c r="CR389" s="2" t="n">
        <v>78.81</v>
      </c>
      <c r="CS389" s="2" t="n">
        <v>82.95</v>
      </c>
      <c r="CT389" s="2" t="n">
        <v>0</v>
      </c>
      <c r="CU389" s="2" t="n">
        <v>85.27</v>
      </c>
      <c r="CV389" s="2" t="n">
        <v>89.28</v>
      </c>
      <c r="CW389" s="2" t="n">
        <v>0</v>
      </c>
      <c r="CX389" s="2" t="n">
        <v>93.92</v>
      </c>
      <c r="CY389" s="2" t="n">
        <v>96.45</v>
      </c>
      <c r="CZ389" s="2" t="n">
        <v>0</v>
      </c>
      <c r="DA389" s="2" t="n">
        <v>96.98</v>
      </c>
      <c r="DB389" s="2" t="n">
        <v>96.98</v>
      </c>
      <c r="DC389" s="2" t="n">
        <v>0</v>
      </c>
      <c r="DD389" s="2" t="n">
        <v>97.51000000000001</v>
      </c>
      <c r="DE389" s="2" t="n">
        <v>98.98</v>
      </c>
      <c r="DF389" s="2" t="n">
        <v>0</v>
      </c>
      <c r="DG389" s="2" t="n">
        <v>99.61</v>
      </c>
      <c r="DH389" s="2" t="n">
        <v>99.92</v>
      </c>
      <c r="DI389" s="2" t="n">
        <v>0</v>
      </c>
      <c r="DJ389" s="2" t="n">
        <v>100</v>
      </c>
      <c r="DK389" s="2" t="n">
        <v>100</v>
      </c>
      <c r="DL389" s="2" t="n">
        <v>0</v>
      </c>
      <c r="DM389" s="2" t="n">
        <v>100</v>
      </c>
      <c r="DN389" s="2" t="n">
        <v>100</v>
      </c>
      <c r="DO389" s="2" t="n">
        <v>0</v>
      </c>
      <c r="DP389" s="2" t="n">
        <v>100</v>
      </c>
      <c r="DQ389" s="2" t="n">
        <v>100</v>
      </c>
      <c r="DR389" s="2" t="n">
        <v>0</v>
      </c>
      <c r="DS389" s="2" t="n">
        <v>100</v>
      </c>
      <c r="DT389" s="2" t="n">
        <v>100</v>
      </c>
      <c r="DU389" s="2" t="n">
        <v>0</v>
      </c>
      <c r="DV389" s="2" t="n">
        <v>100</v>
      </c>
      <c r="DW389" s="2" t="n">
        <v>100</v>
      </c>
      <c r="DX389" s="2" t="n">
        <v>0</v>
      </c>
      <c r="DY389" s="2" t="n">
        <v>100</v>
      </c>
      <c r="DZ389" s="2" t="n">
        <v>100</v>
      </c>
      <c r="EA389" s="2" t="n">
        <v>0</v>
      </c>
      <c r="EB389" s="2" t="n">
        <v>100</v>
      </c>
      <c r="EC389" s="2" t="n">
        <v>100</v>
      </c>
      <c r="ED389" s="2" t="n">
        <v>0</v>
      </c>
      <c r="EE389" s="2" t="n">
        <v>100</v>
      </c>
      <c r="EF389" s="2" t="n">
        <v>100</v>
      </c>
      <c r="EG389" s="2" t="n">
        <v>0</v>
      </c>
      <c r="EH389" s="2" t="n">
        <v>100</v>
      </c>
      <c r="EI389" s="2" t="n">
        <v>100</v>
      </c>
      <c r="EJ389" s="2" t="n">
        <v>0</v>
      </c>
      <c r="EK389" s="2" t="n">
        <v>100</v>
      </c>
      <c r="EL389" s="2" t="n">
        <v>100</v>
      </c>
      <c r="EM389" s="2" t="n">
        <v>0</v>
      </c>
      <c r="EN389" s="2" t="n">
        <v>100</v>
      </c>
      <c r="EO389" s="2" t="n">
        <v>100</v>
      </c>
      <c r="EP389" s="2" t="n">
        <v>0</v>
      </c>
      <c r="EQ389" s="2" t="n">
        <v>100</v>
      </c>
      <c r="ER389" s="2" t="n">
        <v>100</v>
      </c>
      <c r="ES389" s="2" t="n">
        <v>0</v>
      </c>
    </row>
    <row r="390">
      <c r="A390" s="2" t="n">
        <v>2</v>
      </c>
      <c r="B390" s="2" t="inlineStr">
        <is>
          <t>18.03</t>
        </is>
      </c>
      <c r="C390" s="2" t="inlineStr">
        <is>
          <t>Gesso acartonado (Dry-wall)</t>
        </is>
      </c>
      <c r="D390" s="2" t="inlineStr">
        <is>
          <t>05/07/2027</t>
        </is>
      </c>
      <c r="E390" s="2" t="inlineStr">
        <is>
          <t>21/08/2028</t>
        </is>
      </c>
      <c r="F390" s="2" t="n">
        <v>3641532.02</v>
      </c>
      <c r="G390" s="2" t="n">
        <v>0</v>
      </c>
      <c r="H390" s="2" t="n">
        <v>3641532.02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0</v>
      </c>
      <c r="BO390" s="2" t="n">
        <v>0</v>
      </c>
      <c r="BP390" s="2" t="n">
        <v>0</v>
      </c>
      <c r="BQ390" s="2" t="n">
        <v>0</v>
      </c>
      <c r="BR390" s="2" t="n">
        <v>0</v>
      </c>
      <c r="BS390" s="2" t="n">
        <v>0</v>
      </c>
      <c r="BT390" s="2" t="n">
        <v>0</v>
      </c>
      <c r="BU390" s="2" t="n">
        <v>0</v>
      </c>
      <c r="BV390" s="2" t="n">
        <v>0</v>
      </c>
      <c r="BW390" s="2" t="n">
        <v>0</v>
      </c>
      <c r="BX390" s="2" t="n">
        <v>0</v>
      </c>
      <c r="BY390" s="2" t="n">
        <v>0</v>
      </c>
      <c r="BZ390" s="2" t="n">
        <v>0</v>
      </c>
      <c r="CA390" s="2" t="n">
        <v>0</v>
      </c>
      <c r="CB390" s="2" t="n">
        <v>0</v>
      </c>
      <c r="CC390" s="2" t="n">
        <v>0</v>
      </c>
      <c r="CD390" s="2" t="n">
        <v>0</v>
      </c>
      <c r="CE390" s="2" t="n">
        <v>0</v>
      </c>
      <c r="CF390" s="2" t="n">
        <v>2.69</v>
      </c>
      <c r="CG390" s="2" t="n">
        <v>3.94</v>
      </c>
      <c r="CH390" s="2" t="n">
        <v>0</v>
      </c>
      <c r="CI390" s="2" t="n">
        <v>10.01</v>
      </c>
      <c r="CJ390" s="2" t="n">
        <v>11.8</v>
      </c>
      <c r="CK390" s="2" t="n">
        <v>0</v>
      </c>
      <c r="CL390" s="2" t="n">
        <v>19.78</v>
      </c>
      <c r="CM390" s="2" t="n">
        <v>21.72</v>
      </c>
      <c r="CN390" s="2" t="n">
        <v>0</v>
      </c>
      <c r="CO390" s="2" t="n">
        <v>31.51</v>
      </c>
      <c r="CP390" s="2" t="n">
        <v>33.56</v>
      </c>
      <c r="CQ390" s="2" t="n">
        <v>0</v>
      </c>
      <c r="CR390" s="2" t="n">
        <v>42.99</v>
      </c>
      <c r="CS390" s="2" t="n">
        <v>44.95</v>
      </c>
      <c r="CT390" s="2" t="n">
        <v>0</v>
      </c>
      <c r="CU390" s="2" t="n">
        <v>50.96</v>
      </c>
      <c r="CV390" s="2" t="n">
        <v>52.75</v>
      </c>
      <c r="CW390" s="2" t="n">
        <v>0</v>
      </c>
      <c r="CX390" s="2" t="n">
        <v>58.98</v>
      </c>
      <c r="CY390" s="2" t="n">
        <v>60.85</v>
      </c>
      <c r="CZ390" s="2" t="n">
        <v>0</v>
      </c>
      <c r="DA390" s="2" t="n">
        <v>71.18000000000001</v>
      </c>
      <c r="DB390" s="2" t="n">
        <v>73.41</v>
      </c>
      <c r="DC390" s="2" t="n">
        <v>0</v>
      </c>
      <c r="DD390" s="2" t="n">
        <v>80.72</v>
      </c>
      <c r="DE390" s="2" t="n">
        <v>82.5</v>
      </c>
      <c r="DF390" s="2" t="n">
        <v>0</v>
      </c>
      <c r="DG390" s="2" t="n">
        <v>87.15000000000001</v>
      </c>
      <c r="DH390" s="2" t="n">
        <v>88.93000000000001</v>
      </c>
      <c r="DI390" s="2" t="n">
        <v>0</v>
      </c>
      <c r="DJ390" s="2" t="n">
        <v>94.12</v>
      </c>
      <c r="DK390" s="2" t="n">
        <v>95.01000000000001</v>
      </c>
      <c r="DL390" s="2" t="n">
        <v>0</v>
      </c>
      <c r="DM390" s="2" t="n">
        <v>96.67</v>
      </c>
      <c r="DN390" s="2" t="n">
        <v>96.79000000000001</v>
      </c>
      <c r="DO390" s="2" t="n">
        <v>0</v>
      </c>
      <c r="DP390" s="2" t="n">
        <v>98.22</v>
      </c>
      <c r="DQ390" s="2" t="n">
        <v>98.40000000000001</v>
      </c>
      <c r="DR390" s="2" t="n">
        <v>0</v>
      </c>
      <c r="DS390" s="2" t="n">
        <v>100</v>
      </c>
      <c r="DT390" s="2" t="n">
        <v>100</v>
      </c>
      <c r="DU390" s="2" t="n">
        <v>0</v>
      </c>
      <c r="DV390" s="2" t="n">
        <v>100</v>
      </c>
      <c r="DW390" s="2" t="n">
        <v>100</v>
      </c>
      <c r="DX390" s="2" t="n">
        <v>0</v>
      </c>
      <c r="DY390" s="2" t="n">
        <v>100</v>
      </c>
      <c r="DZ390" s="2" t="n">
        <v>100</v>
      </c>
      <c r="EA390" s="2" t="n">
        <v>0</v>
      </c>
      <c r="EB390" s="2" t="n">
        <v>100</v>
      </c>
      <c r="EC390" s="2" t="n">
        <v>100</v>
      </c>
      <c r="ED390" s="2" t="n">
        <v>0</v>
      </c>
      <c r="EE390" s="2" t="n">
        <v>100</v>
      </c>
      <c r="EF390" s="2" t="n">
        <v>100</v>
      </c>
      <c r="EG390" s="2" t="n">
        <v>0</v>
      </c>
      <c r="EH390" s="2" t="n">
        <v>100</v>
      </c>
      <c r="EI390" s="2" t="n">
        <v>100</v>
      </c>
      <c r="EJ390" s="2" t="n">
        <v>0</v>
      </c>
      <c r="EK390" s="2" t="n">
        <v>100</v>
      </c>
      <c r="EL390" s="2" t="n">
        <v>100</v>
      </c>
      <c r="EM390" s="2" t="n">
        <v>0</v>
      </c>
      <c r="EN390" s="2" t="n">
        <v>100</v>
      </c>
      <c r="EO390" s="2" t="n">
        <v>100</v>
      </c>
      <c r="EP390" s="2" t="n">
        <v>0</v>
      </c>
      <c r="EQ390" s="2" t="n">
        <v>100</v>
      </c>
      <c r="ER390" s="2" t="n">
        <v>100</v>
      </c>
      <c r="ES390" s="2" t="n">
        <v>0</v>
      </c>
    </row>
    <row r="391">
      <c r="A391" s="2" t="n">
        <v>3</v>
      </c>
      <c r="B391" s="2" t="inlineStr">
        <is>
          <t>18.03.01</t>
        </is>
      </c>
      <c r="C391" s="2" t="inlineStr">
        <is>
          <t>Gesso acartonado - S (Chapa Standard)</t>
        </is>
      </c>
      <c r="D391" s="2" t="inlineStr">
        <is>
          <t>05/07/2027</t>
        </is>
      </c>
      <c r="E391" s="2" t="inlineStr">
        <is>
          <t>21/08/2028</t>
        </is>
      </c>
      <c r="F391" s="2" t="n">
        <v>47323.8</v>
      </c>
      <c r="G391" s="2" t="n">
        <v>0</v>
      </c>
      <c r="H391" s="2" t="n">
        <v>47323.8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0</v>
      </c>
      <c r="BO391" s="2" t="n">
        <v>0</v>
      </c>
      <c r="BP391" s="2" t="n">
        <v>0</v>
      </c>
      <c r="BQ391" s="2" t="n">
        <v>0</v>
      </c>
      <c r="BR391" s="2" t="n">
        <v>0</v>
      </c>
      <c r="BS391" s="2" t="n">
        <v>0</v>
      </c>
      <c r="BT391" s="2" t="n">
        <v>0</v>
      </c>
      <c r="BU391" s="2" t="n">
        <v>0</v>
      </c>
      <c r="BV391" s="2" t="n">
        <v>0</v>
      </c>
      <c r="BW391" s="2" t="n">
        <v>0</v>
      </c>
      <c r="BX391" s="2" t="n">
        <v>0</v>
      </c>
      <c r="BY391" s="2" t="n">
        <v>0</v>
      </c>
      <c r="BZ391" s="2" t="n">
        <v>0</v>
      </c>
      <c r="CA391" s="2" t="n">
        <v>0</v>
      </c>
      <c r="CB391" s="2" t="n">
        <v>0</v>
      </c>
      <c r="CC391" s="2" t="n">
        <v>0</v>
      </c>
      <c r="CD391" s="2" t="n">
        <v>0</v>
      </c>
      <c r="CE391" s="2" t="n">
        <v>0</v>
      </c>
      <c r="CF391" s="2" t="n">
        <v>2.69</v>
      </c>
      <c r="CG391" s="2" t="n">
        <v>3.94</v>
      </c>
      <c r="CH391" s="2" t="n">
        <v>0</v>
      </c>
      <c r="CI391" s="2" t="n">
        <v>10.01</v>
      </c>
      <c r="CJ391" s="2" t="n">
        <v>11.8</v>
      </c>
      <c r="CK391" s="2" t="n">
        <v>0</v>
      </c>
      <c r="CL391" s="2" t="n">
        <v>19.78</v>
      </c>
      <c r="CM391" s="2" t="n">
        <v>21.72</v>
      </c>
      <c r="CN391" s="2" t="n">
        <v>0</v>
      </c>
      <c r="CO391" s="2" t="n">
        <v>31.51</v>
      </c>
      <c r="CP391" s="2" t="n">
        <v>33.56</v>
      </c>
      <c r="CQ391" s="2" t="n">
        <v>0</v>
      </c>
      <c r="CR391" s="2" t="n">
        <v>42.99</v>
      </c>
      <c r="CS391" s="2" t="n">
        <v>44.95</v>
      </c>
      <c r="CT391" s="2" t="n">
        <v>0</v>
      </c>
      <c r="CU391" s="2" t="n">
        <v>50.96</v>
      </c>
      <c r="CV391" s="2" t="n">
        <v>52.75</v>
      </c>
      <c r="CW391" s="2" t="n">
        <v>0</v>
      </c>
      <c r="CX391" s="2" t="n">
        <v>58.98</v>
      </c>
      <c r="CY391" s="2" t="n">
        <v>60.85</v>
      </c>
      <c r="CZ391" s="2" t="n">
        <v>0</v>
      </c>
      <c r="DA391" s="2" t="n">
        <v>71.18000000000001</v>
      </c>
      <c r="DB391" s="2" t="n">
        <v>73.41</v>
      </c>
      <c r="DC391" s="2" t="n">
        <v>0</v>
      </c>
      <c r="DD391" s="2" t="n">
        <v>80.72</v>
      </c>
      <c r="DE391" s="2" t="n">
        <v>82.5</v>
      </c>
      <c r="DF391" s="2" t="n">
        <v>0</v>
      </c>
      <c r="DG391" s="2" t="n">
        <v>87.15000000000001</v>
      </c>
      <c r="DH391" s="2" t="n">
        <v>88.93000000000001</v>
      </c>
      <c r="DI391" s="2" t="n">
        <v>0</v>
      </c>
      <c r="DJ391" s="2" t="n">
        <v>94.12</v>
      </c>
      <c r="DK391" s="2" t="n">
        <v>95.01000000000001</v>
      </c>
      <c r="DL391" s="2" t="n">
        <v>0</v>
      </c>
      <c r="DM391" s="2" t="n">
        <v>96.67</v>
      </c>
      <c r="DN391" s="2" t="n">
        <v>96.79000000000001</v>
      </c>
      <c r="DO391" s="2" t="n">
        <v>0</v>
      </c>
      <c r="DP391" s="2" t="n">
        <v>98.22</v>
      </c>
      <c r="DQ391" s="2" t="n">
        <v>98.40000000000001</v>
      </c>
      <c r="DR391" s="2" t="n">
        <v>0</v>
      </c>
      <c r="DS391" s="2" t="n">
        <v>100</v>
      </c>
      <c r="DT391" s="2" t="n">
        <v>100</v>
      </c>
      <c r="DU391" s="2" t="n">
        <v>0</v>
      </c>
      <c r="DV391" s="2" t="n">
        <v>100</v>
      </c>
      <c r="DW391" s="2" t="n">
        <v>100</v>
      </c>
      <c r="DX391" s="2" t="n">
        <v>0</v>
      </c>
      <c r="DY391" s="2" t="n">
        <v>100</v>
      </c>
      <c r="DZ391" s="2" t="n">
        <v>100</v>
      </c>
      <c r="EA391" s="2" t="n">
        <v>0</v>
      </c>
      <c r="EB391" s="2" t="n">
        <v>100</v>
      </c>
      <c r="EC391" s="2" t="n">
        <v>100</v>
      </c>
      <c r="ED391" s="2" t="n">
        <v>0</v>
      </c>
      <c r="EE391" s="2" t="n">
        <v>100</v>
      </c>
      <c r="EF391" s="2" t="n">
        <v>100</v>
      </c>
      <c r="EG391" s="2" t="n">
        <v>0</v>
      </c>
      <c r="EH391" s="2" t="n">
        <v>100</v>
      </c>
      <c r="EI391" s="2" t="n">
        <v>100</v>
      </c>
      <c r="EJ391" s="2" t="n">
        <v>0</v>
      </c>
      <c r="EK391" s="2" t="n">
        <v>100</v>
      </c>
      <c r="EL391" s="2" t="n">
        <v>100</v>
      </c>
      <c r="EM391" s="2" t="n">
        <v>0</v>
      </c>
      <c r="EN391" s="2" t="n">
        <v>100</v>
      </c>
      <c r="EO391" s="2" t="n">
        <v>100</v>
      </c>
      <c r="EP391" s="2" t="n">
        <v>0</v>
      </c>
      <c r="EQ391" s="2" t="n">
        <v>100</v>
      </c>
      <c r="ER391" s="2" t="n">
        <v>100</v>
      </c>
      <c r="ES391" s="2" t="n">
        <v>0</v>
      </c>
    </row>
    <row r="392">
      <c r="A392" s="2" t="n">
        <v>3</v>
      </c>
      <c r="B392" s="2" t="inlineStr">
        <is>
          <t>18.03.02</t>
        </is>
      </c>
      <c r="C392" s="2" t="inlineStr">
        <is>
          <t>Gesso acartonado - RU (Chapa resistente à umidade) - Fechamento de shafts</t>
        </is>
      </c>
      <c r="D392" s="2" t="inlineStr">
        <is>
          <t>05/07/2027</t>
        </is>
      </c>
      <c r="E392" s="2" t="inlineStr">
        <is>
          <t>21/08/2028</t>
        </is>
      </c>
      <c r="F392" s="2" t="n">
        <v>383591</v>
      </c>
      <c r="G392" s="2" t="n">
        <v>0</v>
      </c>
      <c r="H392" s="2" t="n">
        <v>383591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0</v>
      </c>
      <c r="BO392" s="2" t="n">
        <v>0</v>
      </c>
      <c r="BP392" s="2" t="n">
        <v>0</v>
      </c>
      <c r="BQ392" s="2" t="n">
        <v>0</v>
      </c>
      <c r="BR392" s="2" t="n">
        <v>0</v>
      </c>
      <c r="BS392" s="2" t="n">
        <v>0</v>
      </c>
      <c r="BT392" s="2" t="n">
        <v>0</v>
      </c>
      <c r="BU392" s="2" t="n">
        <v>0</v>
      </c>
      <c r="BV392" s="2" t="n">
        <v>0</v>
      </c>
      <c r="BW392" s="2" t="n">
        <v>0</v>
      </c>
      <c r="BX392" s="2" t="n">
        <v>0</v>
      </c>
      <c r="BY392" s="2" t="n">
        <v>0</v>
      </c>
      <c r="BZ392" s="2" t="n">
        <v>0</v>
      </c>
      <c r="CA392" s="2" t="n">
        <v>0</v>
      </c>
      <c r="CB392" s="2" t="n">
        <v>0</v>
      </c>
      <c r="CC392" s="2" t="n">
        <v>0</v>
      </c>
      <c r="CD392" s="2" t="n">
        <v>0</v>
      </c>
      <c r="CE392" s="2" t="n">
        <v>0</v>
      </c>
      <c r="CF392" s="2" t="n">
        <v>2.69</v>
      </c>
      <c r="CG392" s="2" t="n">
        <v>3.94</v>
      </c>
      <c r="CH392" s="2" t="n">
        <v>0</v>
      </c>
      <c r="CI392" s="2" t="n">
        <v>10.01</v>
      </c>
      <c r="CJ392" s="2" t="n">
        <v>11.8</v>
      </c>
      <c r="CK392" s="2" t="n">
        <v>0</v>
      </c>
      <c r="CL392" s="2" t="n">
        <v>19.78</v>
      </c>
      <c r="CM392" s="2" t="n">
        <v>21.72</v>
      </c>
      <c r="CN392" s="2" t="n">
        <v>0</v>
      </c>
      <c r="CO392" s="2" t="n">
        <v>31.51</v>
      </c>
      <c r="CP392" s="2" t="n">
        <v>33.56</v>
      </c>
      <c r="CQ392" s="2" t="n">
        <v>0</v>
      </c>
      <c r="CR392" s="2" t="n">
        <v>42.99</v>
      </c>
      <c r="CS392" s="2" t="n">
        <v>44.95</v>
      </c>
      <c r="CT392" s="2" t="n">
        <v>0</v>
      </c>
      <c r="CU392" s="2" t="n">
        <v>50.96</v>
      </c>
      <c r="CV392" s="2" t="n">
        <v>52.75</v>
      </c>
      <c r="CW392" s="2" t="n">
        <v>0</v>
      </c>
      <c r="CX392" s="2" t="n">
        <v>58.98</v>
      </c>
      <c r="CY392" s="2" t="n">
        <v>60.85</v>
      </c>
      <c r="CZ392" s="2" t="n">
        <v>0</v>
      </c>
      <c r="DA392" s="2" t="n">
        <v>71.18000000000001</v>
      </c>
      <c r="DB392" s="2" t="n">
        <v>73.41</v>
      </c>
      <c r="DC392" s="2" t="n">
        <v>0</v>
      </c>
      <c r="DD392" s="2" t="n">
        <v>80.72</v>
      </c>
      <c r="DE392" s="2" t="n">
        <v>82.5</v>
      </c>
      <c r="DF392" s="2" t="n">
        <v>0</v>
      </c>
      <c r="DG392" s="2" t="n">
        <v>87.15000000000001</v>
      </c>
      <c r="DH392" s="2" t="n">
        <v>88.93000000000001</v>
      </c>
      <c r="DI392" s="2" t="n">
        <v>0</v>
      </c>
      <c r="DJ392" s="2" t="n">
        <v>94.12</v>
      </c>
      <c r="DK392" s="2" t="n">
        <v>95.01000000000001</v>
      </c>
      <c r="DL392" s="2" t="n">
        <v>0</v>
      </c>
      <c r="DM392" s="2" t="n">
        <v>96.67</v>
      </c>
      <c r="DN392" s="2" t="n">
        <v>96.79000000000001</v>
      </c>
      <c r="DO392" s="2" t="n">
        <v>0</v>
      </c>
      <c r="DP392" s="2" t="n">
        <v>98.22</v>
      </c>
      <c r="DQ392" s="2" t="n">
        <v>98.40000000000001</v>
      </c>
      <c r="DR392" s="2" t="n">
        <v>0</v>
      </c>
      <c r="DS392" s="2" t="n">
        <v>100</v>
      </c>
      <c r="DT392" s="2" t="n">
        <v>100</v>
      </c>
      <c r="DU392" s="2" t="n">
        <v>0</v>
      </c>
      <c r="DV392" s="2" t="n">
        <v>100</v>
      </c>
      <c r="DW392" s="2" t="n">
        <v>100</v>
      </c>
      <c r="DX392" s="2" t="n">
        <v>0</v>
      </c>
      <c r="DY392" s="2" t="n">
        <v>100</v>
      </c>
      <c r="DZ392" s="2" t="n">
        <v>100</v>
      </c>
      <c r="EA392" s="2" t="n">
        <v>0</v>
      </c>
      <c r="EB392" s="2" t="n">
        <v>100</v>
      </c>
      <c r="EC392" s="2" t="n">
        <v>100</v>
      </c>
      <c r="ED392" s="2" t="n">
        <v>0</v>
      </c>
      <c r="EE392" s="2" t="n">
        <v>100</v>
      </c>
      <c r="EF392" s="2" t="n">
        <v>100</v>
      </c>
      <c r="EG392" s="2" t="n">
        <v>0</v>
      </c>
      <c r="EH392" s="2" t="n">
        <v>100</v>
      </c>
      <c r="EI392" s="2" t="n">
        <v>100</v>
      </c>
      <c r="EJ392" s="2" t="n">
        <v>0</v>
      </c>
      <c r="EK392" s="2" t="n">
        <v>100</v>
      </c>
      <c r="EL392" s="2" t="n">
        <v>100</v>
      </c>
      <c r="EM392" s="2" t="n">
        <v>0</v>
      </c>
      <c r="EN392" s="2" t="n">
        <v>100</v>
      </c>
      <c r="EO392" s="2" t="n">
        <v>100</v>
      </c>
      <c r="EP392" s="2" t="n">
        <v>0</v>
      </c>
      <c r="EQ392" s="2" t="n">
        <v>100</v>
      </c>
      <c r="ER392" s="2" t="n">
        <v>100</v>
      </c>
      <c r="ES392" s="2" t="n">
        <v>0</v>
      </c>
    </row>
    <row r="393">
      <c r="A393" s="2" t="n">
        <v>3</v>
      </c>
      <c r="B393" s="2" t="inlineStr">
        <is>
          <t>18.03.03</t>
        </is>
      </c>
      <c r="C393" s="2" t="inlineStr">
        <is>
          <t>Gesso acartonado - S-A-S</t>
        </is>
      </c>
      <c r="D393" s="2" t="inlineStr">
        <is>
          <t>05/07/2027</t>
        </is>
      </c>
      <c r="E393" s="2" t="inlineStr">
        <is>
          <t>21/08/2028</t>
        </is>
      </c>
      <c r="F393" s="2" t="n">
        <v>974240.2</v>
      </c>
      <c r="G393" s="2" t="n">
        <v>0</v>
      </c>
      <c r="H393" s="2" t="n">
        <v>974240.2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0</v>
      </c>
      <c r="BO393" s="2" t="n">
        <v>0</v>
      </c>
      <c r="BP393" s="2" t="n">
        <v>0</v>
      </c>
      <c r="BQ393" s="2" t="n">
        <v>0</v>
      </c>
      <c r="BR393" s="2" t="n">
        <v>0</v>
      </c>
      <c r="BS393" s="2" t="n">
        <v>0</v>
      </c>
      <c r="BT393" s="2" t="n">
        <v>0</v>
      </c>
      <c r="BU393" s="2" t="n">
        <v>0</v>
      </c>
      <c r="BV393" s="2" t="n">
        <v>0</v>
      </c>
      <c r="BW393" s="2" t="n">
        <v>0</v>
      </c>
      <c r="BX393" s="2" t="n">
        <v>0</v>
      </c>
      <c r="BY393" s="2" t="n">
        <v>0</v>
      </c>
      <c r="BZ393" s="2" t="n">
        <v>0</v>
      </c>
      <c r="CA393" s="2" t="n">
        <v>0</v>
      </c>
      <c r="CB393" s="2" t="n">
        <v>0</v>
      </c>
      <c r="CC393" s="2" t="n">
        <v>0</v>
      </c>
      <c r="CD393" s="2" t="n">
        <v>0</v>
      </c>
      <c r="CE393" s="2" t="n">
        <v>0</v>
      </c>
      <c r="CF393" s="2" t="n">
        <v>2.69</v>
      </c>
      <c r="CG393" s="2" t="n">
        <v>3.94</v>
      </c>
      <c r="CH393" s="2" t="n">
        <v>0</v>
      </c>
      <c r="CI393" s="2" t="n">
        <v>10.01</v>
      </c>
      <c r="CJ393" s="2" t="n">
        <v>11.8</v>
      </c>
      <c r="CK393" s="2" t="n">
        <v>0</v>
      </c>
      <c r="CL393" s="2" t="n">
        <v>19.78</v>
      </c>
      <c r="CM393" s="2" t="n">
        <v>21.72</v>
      </c>
      <c r="CN393" s="2" t="n">
        <v>0</v>
      </c>
      <c r="CO393" s="2" t="n">
        <v>31.51</v>
      </c>
      <c r="CP393" s="2" t="n">
        <v>33.56</v>
      </c>
      <c r="CQ393" s="2" t="n">
        <v>0</v>
      </c>
      <c r="CR393" s="2" t="n">
        <v>42.99</v>
      </c>
      <c r="CS393" s="2" t="n">
        <v>44.95</v>
      </c>
      <c r="CT393" s="2" t="n">
        <v>0</v>
      </c>
      <c r="CU393" s="2" t="n">
        <v>50.96</v>
      </c>
      <c r="CV393" s="2" t="n">
        <v>52.75</v>
      </c>
      <c r="CW393" s="2" t="n">
        <v>0</v>
      </c>
      <c r="CX393" s="2" t="n">
        <v>58.98</v>
      </c>
      <c r="CY393" s="2" t="n">
        <v>60.85</v>
      </c>
      <c r="CZ393" s="2" t="n">
        <v>0</v>
      </c>
      <c r="DA393" s="2" t="n">
        <v>71.18000000000001</v>
      </c>
      <c r="DB393" s="2" t="n">
        <v>73.41</v>
      </c>
      <c r="DC393" s="2" t="n">
        <v>0</v>
      </c>
      <c r="DD393" s="2" t="n">
        <v>80.72</v>
      </c>
      <c r="DE393" s="2" t="n">
        <v>82.5</v>
      </c>
      <c r="DF393" s="2" t="n">
        <v>0</v>
      </c>
      <c r="DG393" s="2" t="n">
        <v>87.15000000000001</v>
      </c>
      <c r="DH393" s="2" t="n">
        <v>88.93000000000001</v>
      </c>
      <c r="DI393" s="2" t="n">
        <v>0</v>
      </c>
      <c r="DJ393" s="2" t="n">
        <v>94.12</v>
      </c>
      <c r="DK393" s="2" t="n">
        <v>95.01000000000001</v>
      </c>
      <c r="DL393" s="2" t="n">
        <v>0</v>
      </c>
      <c r="DM393" s="2" t="n">
        <v>96.67</v>
      </c>
      <c r="DN393" s="2" t="n">
        <v>96.79000000000001</v>
      </c>
      <c r="DO393" s="2" t="n">
        <v>0</v>
      </c>
      <c r="DP393" s="2" t="n">
        <v>98.22</v>
      </c>
      <c r="DQ393" s="2" t="n">
        <v>98.40000000000001</v>
      </c>
      <c r="DR393" s="2" t="n">
        <v>0</v>
      </c>
      <c r="DS393" s="2" t="n">
        <v>100</v>
      </c>
      <c r="DT393" s="2" t="n">
        <v>100</v>
      </c>
      <c r="DU393" s="2" t="n">
        <v>0</v>
      </c>
      <c r="DV393" s="2" t="n">
        <v>100</v>
      </c>
      <c r="DW393" s="2" t="n">
        <v>100</v>
      </c>
      <c r="DX393" s="2" t="n">
        <v>0</v>
      </c>
      <c r="DY393" s="2" t="n">
        <v>100</v>
      </c>
      <c r="DZ393" s="2" t="n">
        <v>100</v>
      </c>
      <c r="EA393" s="2" t="n">
        <v>0</v>
      </c>
      <c r="EB393" s="2" t="n">
        <v>100</v>
      </c>
      <c r="EC393" s="2" t="n">
        <v>100</v>
      </c>
      <c r="ED393" s="2" t="n">
        <v>0</v>
      </c>
      <c r="EE393" s="2" t="n">
        <v>100</v>
      </c>
      <c r="EF393" s="2" t="n">
        <v>100</v>
      </c>
      <c r="EG393" s="2" t="n">
        <v>0</v>
      </c>
      <c r="EH393" s="2" t="n">
        <v>100</v>
      </c>
      <c r="EI393" s="2" t="n">
        <v>100</v>
      </c>
      <c r="EJ393" s="2" t="n">
        <v>0</v>
      </c>
      <c r="EK393" s="2" t="n">
        <v>100</v>
      </c>
      <c r="EL393" s="2" t="n">
        <v>100</v>
      </c>
      <c r="EM393" s="2" t="n">
        <v>0</v>
      </c>
      <c r="EN393" s="2" t="n">
        <v>100</v>
      </c>
      <c r="EO393" s="2" t="n">
        <v>100</v>
      </c>
      <c r="EP393" s="2" t="n">
        <v>0</v>
      </c>
      <c r="EQ393" s="2" t="n">
        <v>100</v>
      </c>
      <c r="ER393" s="2" t="n">
        <v>100</v>
      </c>
      <c r="ES393" s="2" t="n">
        <v>0</v>
      </c>
    </row>
    <row r="394">
      <c r="A394" s="2" t="n">
        <v>3</v>
      </c>
      <c r="B394" s="2" t="inlineStr">
        <is>
          <t>18.03.04</t>
        </is>
      </c>
      <c r="C394" s="2" t="inlineStr">
        <is>
          <t>Gesso acartonado - S-A-RU</t>
        </is>
      </c>
      <c r="D394" s="2" t="inlineStr">
        <is>
          <t>05/07/2027</t>
        </is>
      </c>
      <c r="E394" s="2" t="inlineStr">
        <is>
          <t>21/08/2028</t>
        </is>
      </c>
      <c r="F394" s="2" t="n">
        <v>1731360.24</v>
      </c>
      <c r="G394" s="2" t="n">
        <v>0</v>
      </c>
      <c r="H394" s="2" t="n">
        <v>1731360.24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0</v>
      </c>
      <c r="BO394" s="2" t="n">
        <v>0</v>
      </c>
      <c r="BP394" s="2" t="n">
        <v>0</v>
      </c>
      <c r="BQ394" s="2" t="n">
        <v>0</v>
      </c>
      <c r="BR394" s="2" t="n">
        <v>0</v>
      </c>
      <c r="BS394" s="2" t="n">
        <v>0</v>
      </c>
      <c r="BT394" s="2" t="n">
        <v>0</v>
      </c>
      <c r="BU394" s="2" t="n">
        <v>0</v>
      </c>
      <c r="BV394" s="2" t="n">
        <v>0</v>
      </c>
      <c r="BW394" s="2" t="n">
        <v>0</v>
      </c>
      <c r="BX394" s="2" t="n">
        <v>0</v>
      </c>
      <c r="BY394" s="2" t="n">
        <v>0</v>
      </c>
      <c r="BZ394" s="2" t="n">
        <v>0</v>
      </c>
      <c r="CA394" s="2" t="n">
        <v>0</v>
      </c>
      <c r="CB394" s="2" t="n">
        <v>0</v>
      </c>
      <c r="CC394" s="2" t="n">
        <v>0</v>
      </c>
      <c r="CD394" s="2" t="n">
        <v>0</v>
      </c>
      <c r="CE394" s="2" t="n">
        <v>0</v>
      </c>
      <c r="CF394" s="2" t="n">
        <v>2.69</v>
      </c>
      <c r="CG394" s="2" t="n">
        <v>3.94</v>
      </c>
      <c r="CH394" s="2" t="n">
        <v>0</v>
      </c>
      <c r="CI394" s="2" t="n">
        <v>10.01</v>
      </c>
      <c r="CJ394" s="2" t="n">
        <v>11.8</v>
      </c>
      <c r="CK394" s="2" t="n">
        <v>0</v>
      </c>
      <c r="CL394" s="2" t="n">
        <v>19.78</v>
      </c>
      <c r="CM394" s="2" t="n">
        <v>21.72</v>
      </c>
      <c r="CN394" s="2" t="n">
        <v>0</v>
      </c>
      <c r="CO394" s="2" t="n">
        <v>31.51</v>
      </c>
      <c r="CP394" s="2" t="n">
        <v>33.56</v>
      </c>
      <c r="CQ394" s="2" t="n">
        <v>0</v>
      </c>
      <c r="CR394" s="2" t="n">
        <v>42.99</v>
      </c>
      <c r="CS394" s="2" t="n">
        <v>44.95</v>
      </c>
      <c r="CT394" s="2" t="n">
        <v>0</v>
      </c>
      <c r="CU394" s="2" t="n">
        <v>50.96</v>
      </c>
      <c r="CV394" s="2" t="n">
        <v>52.75</v>
      </c>
      <c r="CW394" s="2" t="n">
        <v>0</v>
      </c>
      <c r="CX394" s="2" t="n">
        <v>58.98</v>
      </c>
      <c r="CY394" s="2" t="n">
        <v>60.85</v>
      </c>
      <c r="CZ394" s="2" t="n">
        <v>0</v>
      </c>
      <c r="DA394" s="2" t="n">
        <v>71.18000000000001</v>
      </c>
      <c r="DB394" s="2" t="n">
        <v>73.41</v>
      </c>
      <c r="DC394" s="2" t="n">
        <v>0</v>
      </c>
      <c r="DD394" s="2" t="n">
        <v>80.72</v>
      </c>
      <c r="DE394" s="2" t="n">
        <v>82.5</v>
      </c>
      <c r="DF394" s="2" t="n">
        <v>0</v>
      </c>
      <c r="DG394" s="2" t="n">
        <v>87.15000000000001</v>
      </c>
      <c r="DH394" s="2" t="n">
        <v>88.93000000000001</v>
      </c>
      <c r="DI394" s="2" t="n">
        <v>0</v>
      </c>
      <c r="DJ394" s="2" t="n">
        <v>94.12</v>
      </c>
      <c r="DK394" s="2" t="n">
        <v>95.01000000000001</v>
      </c>
      <c r="DL394" s="2" t="n">
        <v>0</v>
      </c>
      <c r="DM394" s="2" t="n">
        <v>96.67</v>
      </c>
      <c r="DN394" s="2" t="n">
        <v>96.79000000000001</v>
      </c>
      <c r="DO394" s="2" t="n">
        <v>0</v>
      </c>
      <c r="DP394" s="2" t="n">
        <v>98.22</v>
      </c>
      <c r="DQ394" s="2" t="n">
        <v>98.40000000000001</v>
      </c>
      <c r="DR394" s="2" t="n">
        <v>0</v>
      </c>
      <c r="DS394" s="2" t="n">
        <v>100</v>
      </c>
      <c r="DT394" s="2" t="n">
        <v>100</v>
      </c>
      <c r="DU394" s="2" t="n">
        <v>0</v>
      </c>
      <c r="DV394" s="2" t="n">
        <v>100</v>
      </c>
      <c r="DW394" s="2" t="n">
        <v>100</v>
      </c>
      <c r="DX394" s="2" t="n">
        <v>0</v>
      </c>
      <c r="DY394" s="2" t="n">
        <v>100</v>
      </c>
      <c r="DZ394" s="2" t="n">
        <v>100</v>
      </c>
      <c r="EA394" s="2" t="n">
        <v>0</v>
      </c>
      <c r="EB394" s="2" t="n">
        <v>100</v>
      </c>
      <c r="EC394" s="2" t="n">
        <v>100</v>
      </c>
      <c r="ED394" s="2" t="n">
        <v>0</v>
      </c>
      <c r="EE394" s="2" t="n">
        <v>100</v>
      </c>
      <c r="EF394" s="2" t="n">
        <v>100</v>
      </c>
      <c r="EG394" s="2" t="n">
        <v>0</v>
      </c>
      <c r="EH394" s="2" t="n">
        <v>100</v>
      </c>
      <c r="EI394" s="2" t="n">
        <v>100</v>
      </c>
      <c r="EJ394" s="2" t="n">
        <v>0</v>
      </c>
      <c r="EK394" s="2" t="n">
        <v>100</v>
      </c>
      <c r="EL394" s="2" t="n">
        <v>100</v>
      </c>
      <c r="EM394" s="2" t="n">
        <v>0</v>
      </c>
      <c r="EN394" s="2" t="n">
        <v>100</v>
      </c>
      <c r="EO394" s="2" t="n">
        <v>100</v>
      </c>
      <c r="EP394" s="2" t="n">
        <v>0</v>
      </c>
      <c r="EQ394" s="2" t="n">
        <v>100</v>
      </c>
      <c r="ER394" s="2" t="n">
        <v>100</v>
      </c>
      <c r="ES394" s="2" t="n">
        <v>0</v>
      </c>
    </row>
    <row r="395">
      <c r="A395" s="2" t="n">
        <v>3</v>
      </c>
      <c r="B395" s="2" t="inlineStr">
        <is>
          <t>18.03.05</t>
        </is>
      </c>
      <c r="C395" s="2" t="inlineStr">
        <is>
          <t>Gesso acartonado - RU-A-RU</t>
        </is>
      </c>
      <c r="D395" s="2" t="inlineStr">
        <is>
          <t>05/07/2027</t>
        </is>
      </c>
      <c r="E395" s="2" t="inlineStr">
        <is>
          <t>21/08/2028</t>
        </is>
      </c>
      <c r="F395" s="2" t="n">
        <v>265096.78</v>
      </c>
      <c r="G395" s="2" t="n">
        <v>0</v>
      </c>
      <c r="H395" s="2" t="n">
        <v>265096.78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0</v>
      </c>
      <c r="BO395" s="2" t="n">
        <v>0</v>
      </c>
      <c r="BP395" s="2" t="n">
        <v>0</v>
      </c>
      <c r="BQ395" s="2" t="n">
        <v>0</v>
      </c>
      <c r="BR395" s="2" t="n">
        <v>0</v>
      </c>
      <c r="BS395" s="2" t="n">
        <v>0</v>
      </c>
      <c r="BT395" s="2" t="n">
        <v>0</v>
      </c>
      <c r="BU395" s="2" t="n">
        <v>0</v>
      </c>
      <c r="BV395" s="2" t="n">
        <v>0</v>
      </c>
      <c r="BW395" s="2" t="n">
        <v>0</v>
      </c>
      <c r="BX395" s="2" t="n">
        <v>0</v>
      </c>
      <c r="BY395" s="2" t="n">
        <v>0</v>
      </c>
      <c r="BZ395" s="2" t="n">
        <v>0</v>
      </c>
      <c r="CA395" s="2" t="n">
        <v>0</v>
      </c>
      <c r="CB395" s="2" t="n">
        <v>0</v>
      </c>
      <c r="CC395" s="2" t="n">
        <v>0</v>
      </c>
      <c r="CD395" s="2" t="n">
        <v>0</v>
      </c>
      <c r="CE395" s="2" t="n">
        <v>0</v>
      </c>
      <c r="CF395" s="2" t="n">
        <v>2.69</v>
      </c>
      <c r="CG395" s="2" t="n">
        <v>3.94</v>
      </c>
      <c r="CH395" s="2" t="n">
        <v>0</v>
      </c>
      <c r="CI395" s="2" t="n">
        <v>10.01</v>
      </c>
      <c r="CJ395" s="2" t="n">
        <v>11.8</v>
      </c>
      <c r="CK395" s="2" t="n">
        <v>0</v>
      </c>
      <c r="CL395" s="2" t="n">
        <v>19.78</v>
      </c>
      <c r="CM395" s="2" t="n">
        <v>21.72</v>
      </c>
      <c r="CN395" s="2" t="n">
        <v>0</v>
      </c>
      <c r="CO395" s="2" t="n">
        <v>31.51</v>
      </c>
      <c r="CP395" s="2" t="n">
        <v>33.56</v>
      </c>
      <c r="CQ395" s="2" t="n">
        <v>0</v>
      </c>
      <c r="CR395" s="2" t="n">
        <v>42.99</v>
      </c>
      <c r="CS395" s="2" t="n">
        <v>44.95</v>
      </c>
      <c r="CT395" s="2" t="n">
        <v>0</v>
      </c>
      <c r="CU395" s="2" t="n">
        <v>50.96</v>
      </c>
      <c r="CV395" s="2" t="n">
        <v>52.75</v>
      </c>
      <c r="CW395" s="2" t="n">
        <v>0</v>
      </c>
      <c r="CX395" s="2" t="n">
        <v>58.98</v>
      </c>
      <c r="CY395" s="2" t="n">
        <v>60.85</v>
      </c>
      <c r="CZ395" s="2" t="n">
        <v>0</v>
      </c>
      <c r="DA395" s="2" t="n">
        <v>71.18000000000001</v>
      </c>
      <c r="DB395" s="2" t="n">
        <v>73.41</v>
      </c>
      <c r="DC395" s="2" t="n">
        <v>0</v>
      </c>
      <c r="DD395" s="2" t="n">
        <v>80.72</v>
      </c>
      <c r="DE395" s="2" t="n">
        <v>82.5</v>
      </c>
      <c r="DF395" s="2" t="n">
        <v>0</v>
      </c>
      <c r="DG395" s="2" t="n">
        <v>87.15000000000001</v>
      </c>
      <c r="DH395" s="2" t="n">
        <v>88.93000000000001</v>
      </c>
      <c r="DI395" s="2" t="n">
        <v>0</v>
      </c>
      <c r="DJ395" s="2" t="n">
        <v>94.12</v>
      </c>
      <c r="DK395" s="2" t="n">
        <v>95.01000000000001</v>
      </c>
      <c r="DL395" s="2" t="n">
        <v>0</v>
      </c>
      <c r="DM395" s="2" t="n">
        <v>96.67</v>
      </c>
      <c r="DN395" s="2" t="n">
        <v>96.79000000000001</v>
      </c>
      <c r="DO395" s="2" t="n">
        <v>0</v>
      </c>
      <c r="DP395" s="2" t="n">
        <v>98.22</v>
      </c>
      <c r="DQ395" s="2" t="n">
        <v>98.40000000000001</v>
      </c>
      <c r="DR395" s="2" t="n">
        <v>0</v>
      </c>
      <c r="DS395" s="2" t="n">
        <v>100</v>
      </c>
      <c r="DT395" s="2" t="n">
        <v>100</v>
      </c>
      <c r="DU395" s="2" t="n">
        <v>0</v>
      </c>
      <c r="DV395" s="2" t="n">
        <v>100</v>
      </c>
      <c r="DW395" s="2" t="n">
        <v>100</v>
      </c>
      <c r="DX395" s="2" t="n">
        <v>0</v>
      </c>
      <c r="DY395" s="2" t="n">
        <v>100</v>
      </c>
      <c r="DZ395" s="2" t="n">
        <v>100</v>
      </c>
      <c r="EA395" s="2" t="n">
        <v>0</v>
      </c>
      <c r="EB395" s="2" t="n">
        <v>100</v>
      </c>
      <c r="EC395" s="2" t="n">
        <v>100</v>
      </c>
      <c r="ED395" s="2" t="n">
        <v>0</v>
      </c>
      <c r="EE395" s="2" t="n">
        <v>100</v>
      </c>
      <c r="EF395" s="2" t="n">
        <v>100</v>
      </c>
      <c r="EG395" s="2" t="n">
        <v>0</v>
      </c>
      <c r="EH395" s="2" t="n">
        <v>100</v>
      </c>
      <c r="EI395" s="2" t="n">
        <v>100</v>
      </c>
      <c r="EJ395" s="2" t="n">
        <v>0</v>
      </c>
      <c r="EK395" s="2" t="n">
        <v>100</v>
      </c>
      <c r="EL395" s="2" t="n">
        <v>100</v>
      </c>
      <c r="EM395" s="2" t="n">
        <v>0</v>
      </c>
      <c r="EN395" s="2" t="n">
        <v>100</v>
      </c>
      <c r="EO395" s="2" t="n">
        <v>100</v>
      </c>
      <c r="EP395" s="2" t="n">
        <v>0</v>
      </c>
      <c r="EQ395" s="2" t="n">
        <v>100</v>
      </c>
      <c r="ER395" s="2" t="n">
        <v>100</v>
      </c>
      <c r="ES395" s="2" t="n">
        <v>0</v>
      </c>
    </row>
    <row r="396">
      <c r="A396" s="2" t="n">
        <v>3</v>
      </c>
      <c r="B396" s="2" t="inlineStr">
        <is>
          <t>18.03.06</t>
        </is>
      </c>
      <c r="C396" s="2" t="inlineStr">
        <is>
          <t>Reforços para Drywall</t>
        </is>
      </c>
      <c r="D396" s="2" t="inlineStr">
        <is>
          <t>05/07/2027</t>
        </is>
      </c>
      <c r="E396" s="2" t="inlineStr">
        <is>
          <t>21/08/2028</t>
        </is>
      </c>
      <c r="F396" s="2" t="n">
        <v>239920</v>
      </c>
      <c r="G396" s="2" t="n">
        <v>0</v>
      </c>
      <c r="H396" s="2" t="n">
        <v>239920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0</v>
      </c>
      <c r="BO396" s="2" t="n">
        <v>0</v>
      </c>
      <c r="BP396" s="2" t="n">
        <v>0</v>
      </c>
      <c r="BQ396" s="2" t="n">
        <v>0</v>
      </c>
      <c r="BR396" s="2" t="n">
        <v>0</v>
      </c>
      <c r="BS396" s="2" t="n">
        <v>0</v>
      </c>
      <c r="BT396" s="2" t="n">
        <v>0</v>
      </c>
      <c r="BU396" s="2" t="n">
        <v>0</v>
      </c>
      <c r="BV396" s="2" t="n">
        <v>0</v>
      </c>
      <c r="BW396" s="2" t="n">
        <v>0</v>
      </c>
      <c r="BX396" s="2" t="n">
        <v>0</v>
      </c>
      <c r="BY396" s="2" t="n">
        <v>0</v>
      </c>
      <c r="BZ396" s="2" t="n">
        <v>0</v>
      </c>
      <c r="CA396" s="2" t="n">
        <v>0</v>
      </c>
      <c r="CB396" s="2" t="n">
        <v>0</v>
      </c>
      <c r="CC396" s="2" t="n">
        <v>0</v>
      </c>
      <c r="CD396" s="2" t="n">
        <v>0</v>
      </c>
      <c r="CE396" s="2" t="n">
        <v>0</v>
      </c>
      <c r="CF396" s="2" t="n">
        <v>2.69</v>
      </c>
      <c r="CG396" s="2" t="n">
        <v>3.94</v>
      </c>
      <c r="CH396" s="2" t="n">
        <v>0</v>
      </c>
      <c r="CI396" s="2" t="n">
        <v>10.01</v>
      </c>
      <c r="CJ396" s="2" t="n">
        <v>11.8</v>
      </c>
      <c r="CK396" s="2" t="n">
        <v>0</v>
      </c>
      <c r="CL396" s="2" t="n">
        <v>19.78</v>
      </c>
      <c r="CM396" s="2" t="n">
        <v>21.72</v>
      </c>
      <c r="CN396" s="2" t="n">
        <v>0</v>
      </c>
      <c r="CO396" s="2" t="n">
        <v>31.51</v>
      </c>
      <c r="CP396" s="2" t="n">
        <v>33.56</v>
      </c>
      <c r="CQ396" s="2" t="n">
        <v>0</v>
      </c>
      <c r="CR396" s="2" t="n">
        <v>42.99</v>
      </c>
      <c r="CS396" s="2" t="n">
        <v>44.95</v>
      </c>
      <c r="CT396" s="2" t="n">
        <v>0</v>
      </c>
      <c r="CU396" s="2" t="n">
        <v>50.96</v>
      </c>
      <c r="CV396" s="2" t="n">
        <v>52.75</v>
      </c>
      <c r="CW396" s="2" t="n">
        <v>0</v>
      </c>
      <c r="CX396" s="2" t="n">
        <v>58.98</v>
      </c>
      <c r="CY396" s="2" t="n">
        <v>60.85</v>
      </c>
      <c r="CZ396" s="2" t="n">
        <v>0</v>
      </c>
      <c r="DA396" s="2" t="n">
        <v>71.18000000000001</v>
      </c>
      <c r="DB396" s="2" t="n">
        <v>73.41</v>
      </c>
      <c r="DC396" s="2" t="n">
        <v>0</v>
      </c>
      <c r="DD396" s="2" t="n">
        <v>80.72</v>
      </c>
      <c r="DE396" s="2" t="n">
        <v>82.5</v>
      </c>
      <c r="DF396" s="2" t="n">
        <v>0</v>
      </c>
      <c r="DG396" s="2" t="n">
        <v>87.15000000000001</v>
      </c>
      <c r="DH396" s="2" t="n">
        <v>88.93000000000001</v>
      </c>
      <c r="DI396" s="2" t="n">
        <v>0</v>
      </c>
      <c r="DJ396" s="2" t="n">
        <v>94.12</v>
      </c>
      <c r="DK396" s="2" t="n">
        <v>95.01000000000001</v>
      </c>
      <c r="DL396" s="2" t="n">
        <v>0</v>
      </c>
      <c r="DM396" s="2" t="n">
        <v>96.67</v>
      </c>
      <c r="DN396" s="2" t="n">
        <v>96.79000000000001</v>
      </c>
      <c r="DO396" s="2" t="n">
        <v>0</v>
      </c>
      <c r="DP396" s="2" t="n">
        <v>98.22</v>
      </c>
      <c r="DQ396" s="2" t="n">
        <v>98.40000000000001</v>
      </c>
      <c r="DR396" s="2" t="n">
        <v>0</v>
      </c>
      <c r="DS396" s="2" t="n">
        <v>100</v>
      </c>
      <c r="DT396" s="2" t="n">
        <v>100</v>
      </c>
      <c r="DU396" s="2" t="n">
        <v>0</v>
      </c>
      <c r="DV396" s="2" t="n">
        <v>100</v>
      </c>
      <c r="DW396" s="2" t="n">
        <v>100</v>
      </c>
      <c r="DX396" s="2" t="n">
        <v>0</v>
      </c>
      <c r="DY396" s="2" t="n">
        <v>100</v>
      </c>
      <c r="DZ396" s="2" t="n">
        <v>100</v>
      </c>
      <c r="EA396" s="2" t="n">
        <v>0</v>
      </c>
      <c r="EB396" s="2" t="n">
        <v>100</v>
      </c>
      <c r="EC396" s="2" t="n">
        <v>100</v>
      </c>
      <c r="ED396" s="2" t="n">
        <v>0</v>
      </c>
      <c r="EE396" s="2" t="n">
        <v>100</v>
      </c>
      <c r="EF396" s="2" t="n">
        <v>100</v>
      </c>
      <c r="EG396" s="2" t="n">
        <v>0</v>
      </c>
      <c r="EH396" s="2" t="n">
        <v>100</v>
      </c>
      <c r="EI396" s="2" t="n">
        <v>100</v>
      </c>
      <c r="EJ396" s="2" t="n">
        <v>0</v>
      </c>
      <c r="EK396" s="2" t="n">
        <v>100</v>
      </c>
      <c r="EL396" s="2" t="n">
        <v>100</v>
      </c>
      <c r="EM396" s="2" t="n">
        <v>0</v>
      </c>
      <c r="EN396" s="2" t="n">
        <v>100</v>
      </c>
      <c r="EO396" s="2" t="n">
        <v>100</v>
      </c>
      <c r="EP396" s="2" t="n">
        <v>0</v>
      </c>
      <c r="EQ396" s="2" t="n">
        <v>100</v>
      </c>
      <c r="ER396" s="2" t="n">
        <v>100</v>
      </c>
      <c r="ES396" s="2" t="n">
        <v>0</v>
      </c>
    </row>
    <row r="397">
      <c r="A397" s="2" t="n">
        <v>2</v>
      </c>
      <c r="B397" s="2" t="inlineStr">
        <is>
          <t>18.04</t>
        </is>
      </c>
      <c r="C397" s="2" t="inlineStr">
        <is>
          <t>Verga e Contra-verga</t>
        </is>
      </c>
      <c r="D397" s="2" t="inlineStr">
        <is>
          <t>16/03/2027</t>
        </is>
      </c>
      <c r="E397" s="2" t="inlineStr">
        <is>
          <t>04/05/2028</t>
        </is>
      </c>
      <c r="F397" s="2" t="n">
        <v>229772.2064658829</v>
      </c>
      <c r="G397" s="2" t="n">
        <v>0</v>
      </c>
      <c r="H397" s="2" t="n">
        <v>229772.2064658829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0</v>
      </c>
      <c r="BO397" s="2" t="n">
        <v>0</v>
      </c>
      <c r="BP397" s="2" t="n">
        <v>0</v>
      </c>
      <c r="BQ397" s="2" t="n">
        <v>0</v>
      </c>
      <c r="BR397" s="2" t="n">
        <v>0</v>
      </c>
      <c r="BS397" s="2" t="n">
        <v>0</v>
      </c>
      <c r="BT397" s="2" t="n">
        <v>1.58</v>
      </c>
      <c r="BU397" s="2" t="n">
        <v>2.89</v>
      </c>
      <c r="BV397" s="2" t="n">
        <v>0</v>
      </c>
      <c r="BW397" s="2" t="n">
        <v>7.09</v>
      </c>
      <c r="BX397" s="2" t="n">
        <v>10.52</v>
      </c>
      <c r="BY397" s="2" t="n">
        <v>0</v>
      </c>
      <c r="BZ397" s="2" t="n">
        <v>18.31</v>
      </c>
      <c r="CA397" s="2" t="n">
        <v>22.87</v>
      </c>
      <c r="CB397" s="2" t="n">
        <v>0</v>
      </c>
      <c r="CC397" s="2" t="n">
        <v>33.02</v>
      </c>
      <c r="CD397" s="2" t="n">
        <v>37.18</v>
      </c>
      <c r="CE397" s="2" t="n">
        <v>0</v>
      </c>
      <c r="CF397" s="2" t="n">
        <v>42.74</v>
      </c>
      <c r="CG397" s="2" t="n">
        <v>46.92</v>
      </c>
      <c r="CH397" s="2" t="n">
        <v>0</v>
      </c>
      <c r="CI397" s="2" t="n">
        <v>52.53</v>
      </c>
      <c r="CJ397" s="2" t="n">
        <v>56.7</v>
      </c>
      <c r="CK397" s="2" t="n">
        <v>0</v>
      </c>
      <c r="CL397" s="2" t="n">
        <v>61.5</v>
      </c>
      <c r="CM397" s="2" t="n">
        <v>65.65000000000001</v>
      </c>
      <c r="CN397" s="2" t="n">
        <v>0</v>
      </c>
      <c r="CO397" s="2" t="n">
        <v>69.90000000000001</v>
      </c>
      <c r="CP397" s="2" t="n">
        <v>74.06</v>
      </c>
      <c r="CQ397" s="2" t="n">
        <v>0</v>
      </c>
      <c r="CR397" s="2" t="n">
        <v>78.81</v>
      </c>
      <c r="CS397" s="2" t="n">
        <v>82.95</v>
      </c>
      <c r="CT397" s="2" t="n">
        <v>0</v>
      </c>
      <c r="CU397" s="2" t="n">
        <v>85.27</v>
      </c>
      <c r="CV397" s="2" t="n">
        <v>89.28</v>
      </c>
      <c r="CW397" s="2" t="n">
        <v>0</v>
      </c>
      <c r="CX397" s="2" t="n">
        <v>93.92</v>
      </c>
      <c r="CY397" s="2" t="n">
        <v>96.45</v>
      </c>
      <c r="CZ397" s="2" t="n">
        <v>0</v>
      </c>
      <c r="DA397" s="2" t="n">
        <v>96.98</v>
      </c>
      <c r="DB397" s="2" t="n">
        <v>96.98</v>
      </c>
      <c r="DC397" s="2" t="n">
        <v>0</v>
      </c>
      <c r="DD397" s="2" t="n">
        <v>97.51000000000001</v>
      </c>
      <c r="DE397" s="2" t="n">
        <v>98.98</v>
      </c>
      <c r="DF397" s="2" t="n">
        <v>0</v>
      </c>
      <c r="DG397" s="2" t="n">
        <v>99.61</v>
      </c>
      <c r="DH397" s="2" t="n">
        <v>99.92</v>
      </c>
      <c r="DI397" s="2" t="n">
        <v>0</v>
      </c>
      <c r="DJ397" s="2" t="n">
        <v>100</v>
      </c>
      <c r="DK397" s="2" t="n">
        <v>100</v>
      </c>
      <c r="DL397" s="2" t="n">
        <v>0</v>
      </c>
      <c r="DM397" s="2" t="n">
        <v>100</v>
      </c>
      <c r="DN397" s="2" t="n">
        <v>100</v>
      </c>
      <c r="DO397" s="2" t="n">
        <v>0</v>
      </c>
      <c r="DP397" s="2" t="n">
        <v>100</v>
      </c>
      <c r="DQ397" s="2" t="n">
        <v>100</v>
      </c>
      <c r="DR397" s="2" t="n">
        <v>0</v>
      </c>
      <c r="DS397" s="2" t="n">
        <v>100</v>
      </c>
      <c r="DT397" s="2" t="n">
        <v>100</v>
      </c>
      <c r="DU397" s="2" t="n">
        <v>0</v>
      </c>
      <c r="DV397" s="2" t="n">
        <v>100</v>
      </c>
      <c r="DW397" s="2" t="n">
        <v>100</v>
      </c>
      <c r="DX397" s="2" t="n">
        <v>0</v>
      </c>
      <c r="DY397" s="2" t="n">
        <v>100</v>
      </c>
      <c r="DZ397" s="2" t="n">
        <v>100</v>
      </c>
      <c r="EA397" s="2" t="n">
        <v>0</v>
      </c>
      <c r="EB397" s="2" t="n">
        <v>100</v>
      </c>
      <c r="EC397" s="2" t="n">
        <v>100</v>
      </c>
      <c r="ED397" s="2" t="n">
        <v>0</v>
      </c>
      <c r="EE397" s="2" t="n">
        <v>100</v>
      </c>
      <c r="EF397" s="2" t="n">
        <v>100</v>
      </c>
      <c r="EG397" s="2" t="n">
        <v>0</v>
      </c>
      <c r="EH397" s="2" t="n">
        <v>100</v>
      </c>
      <c r="EI397" s="2" t="n">
        <v>100</v>
      </c>
      <c r="EJ397" s="2" t="n">
        <v>0</v>
      </c>
      <c r="EK397" s="2" t="n">
        <v>100</v>
      </c>
      <c r="EL397" s="2" t="n">
        <v>100</v>
      </c>
      <c r="EM397" s="2" t="n">
        <v>0</v>
      </c>
      <c r="EN397" s="2" t="n">
        <v>100</v>
      </c>
      <c r="EO397" s="2" t="n">
        <v>100</v>
      </c>
      <c r="EP397" s="2" t="n">
        <v>0</v>
      </c>
      <c r="EQ397" s="2" t="n">
        <v>100</v>
      </c>
      <c r="ER397" s="2" t="n">
        <v>100</v>
      </c>
      <c r="ES397" s="2" t="n">
        <v>0</v>
      </c>
    </row>
    <row r="398">
      <c r="A398" s="2" t="n">
        <v>3</v>
      </c>
      <c r="B398" s="2" t="inlineStr">
        <is>
          <t>18.04.01</t>
        </is>
      </c>
      <c r="C398" s="2" t="inlineStr">
        <is>
          <t>Vergas e contravergas</t>
        </is>
      </c>
      <c r="D398" s="2" t="inlineStr">
        <is>
          <t>16/03/2027</t>
        </is>
      </c>
      <c r="E398" s="2" t="inlineStr">
        <is>
          <t>04/05/2028</t>
        </is>
      </c>
      <c r="F398" s="2" t="n">
        <v>229772.2064658829</v>
      </c>
      <c r="G398" s="2" t="n">
        <v>0</v>
      </c>
      <c r="H398" s="2" t="n">
        <v>229772.2064658829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0</v>
      </c>
      <c r="BO398" s="2" t="n">
        <v>0</v>
      </c>
      <c r="BP398" s="2" t="n">
        <v>0</v>
      </c>
      <c r="BQ398" s="2" t="n">
        <v>0</v>
      </c>
      <c r="BR398" s="2" t="n">
        <v>0</v>
      </c>
      <c r="BS398" s="2" t="n">
        <v>0</v>
      </c>
      <c r="BT398" s="2" t="n">
        <v>1.58</v>
      </c>
      <c r="BU398" s="2" t="n">
        <v>2.89</v>
      </c>
      <c r="BV398" s="2" t="n">
        <v>0</v>
      </c>
      <c r="BW398" s="2" t="n">
        <v>7.09</v>
      </c>
      <c r="BX398" s="2" t="n">
        <v>10.52</v>
      </c>
      <c r="BY398" s="2" t="n">
        <v>0</v>
      </c>
      <c r="BZ398" s="2" t="n">
        <v>18.31</v>
      </c>
      <c r="CA398" s="2" t="n">
        <v>22.87</v>
      </c>
      <c r="CB398" s="2" t="n">
        <v>0</v>
      </c>
      <c r="CC398" s="2" t="n">
        <v>33.02</v>
      </c>
      <c r="CD398" s="2" t="n">
        <v>37.18</v>
      </c>
      <c r="CE398" s="2" t="n">
        <v>0</v>
      </c>
      <c r="CF398" s="2" t="n">
        <v>42.74</v>
      </c>
      <c r="CG398" s="2" t="n">
        <v>46.92</v>
      </c>
      <c r="CH398" s="2" t="n">
        <v>0</v>
      </c>
      <c r="CI398" s="2" t="n">
        <v>52.53</v>
      </c>
      <c r="CJ398" s="2" t="n">
        <v>56.7</v>
      </c>
      <c r="CK398" s="2" t="n">
        <v>0</v>
      </c>
      <c r="CL398" s="2" t="n">
        <v>61.5</v>
      </c>
      <c r="CM398" s="2" t="n">
        <v>65.65000000000001</v>
      </c>
      <c r="CN398" s="2" t="n">
        <v>0</v>
      </c>
      <c r="CO398" s="2" t="n">
        <v>69.90000000000001</v>
      </c>
      <c r="CP398" s="2" t="n">
        <v>74.06</v>
      </c>
      <c r="CQ398" s="2" t="n">
        <v>0</v>
      </c>
      <c r="CR398" s="2" t="n">
        <v>78.81</v>
      </c>
      <c r="CS398" s="2" t="n">
        <v>82.95</v>
      </c>
      <c r="CT398" s="2" t="n">
        <v>0</v>
      </c>
      <c r="CU398" s="2" t="n">
        <v>85.27</v>
      </c>
      <c r="CV398" s="2" t="n">
        <v>89.28</v>
      </c>
      <c r="CW398" s="2" t="n">
        <v>0</v>
      </c>
      <c r="CX398" s="2" t="n">
        <v>93.92</v>
      </c>
      <c r="CY398" s="2" t="n">
        <v>96.45</v>
      </c>
      <c r="CZ398" s="2" t="n">
        <v>0</v>
      </c>
      <c r="DA398" s="2" t="n">
        <v>96.98</v>
      </c>
      <c r="DB398" s="2" t="n">
        <v>96.98</v>
      </c>
      <c r="DC398" s="2" t="n">
        <v>0</v>
      </c>
      <c r="DD398" s="2" t="n">
        <v>97.51000000000001</v>
      </c>
      <c r="DE398" s="2" t="n">
        <v>98.98</v>
      </c>
      <c r="DF398" s="2" t="n">
        <v>0</v>
      </c>
      <c r="DG398" s="2" t="n">
        <v>99.61</v>
      </c>
      <c r="DH398" s="2" t="n">
        <v>99.92</v>
      </c>
      <c r="DI398" s="2" t="n">
        <v>0</v>
      </c>
      <c r="DJ398" s="2" t="n">
        <v>100</v>
      </c>
      <c r="DK398" s="2" t="n">
        <v>100</v>
      </c>
      <c r="DL398" s="2" t="n">
        <v>0</v>
      </c>
      <c r="DM398" s="2" t="n">
        <v>100</v>
      </c>
      <c r="DN398" s="2" t="n">
        <v>100</v>
      </c>
      <c r="DO398" s="2" t="n">
        <v>0</v>
      </c>
      <c r="DP398" s="2" t="n">
        <v>100</v>
      </c>
      <c r="DQ398" s="2" t="n">
        <v>100</v>
      </c>
      <c r="DR398" s="2" t="n">
        <v>0</v>
      </c>
      <c r="DS398" s="2" t="n">
        <v>100</v>
      </c>
      <c r="DT398" s="2" t="n">
        <v>100</v>
      </c>
      <c r="DU398" s="2" t="n">
        <v>0</v>
      </c>
      <c r="DV398" s="2" t="n">
        <v>100</v>
      </c>
      <c r="DW398" s="2" t="n">
        <v>100</v>
      </c>
      <c r="DX398" s="2" t="n">
        <v>0</v>
      </c>
      <c r="DY398" s="2" t="n">
        <v>100</v>
      </c>
      <c r="DZ398" s="2" t="n">
        <v>100</v>
      </c>
      <c r="EA398" s="2" t="n">
        <v>0</v>
      </c>
      <c r="EB398" s="2" t="n">
        <v>100</v>
      </c>
      <c r="EC398" s="2" t="n">
        <v>100</v>
      </c>
      <c r="ED398" s="2" t="n">
        <v>0</v>
      </c>
      <c r="EE398" s="2" t="n">
        <v>100</v>
      </c>
      <c r="EF398" s="2" t="n">
        <v>100</v>
      </c>
      <c r="EG398" s="2" t="n">
        <v>0</v>
      </c>
      <c r="EH398" s="2" t="n">
        <v>100</v>
      </c>
      <c r="EI398" s="2" t="n">
        <v>100</v>
      </c>
      <c r="EJ398" s="2" t="n">
        <v>0</v>
      </c>
      <c r="EK398" s="2" t="n">
        <v>100</v>
      </c>
      <c r="EL398" s="2" t="n">
        <v>100</v>
      </c>
      <c r="EM398" s="2" t="n">
        <v>0</v>
      </c>
      <c r="EN398" s="2" t="n">
        <v>100</v>
      </c>
      <c r="EO398" s="2" t="n">
        <v>100</v>
      </c>
      <c r="EP398" s="2" t="n">
        <v>0</v>
      </c>
      <c r="EQ398" s="2" t="n">
        <v>100</v>
      </c>
      <c r="ER398" s="2" t="n">
        <v>100</v>
      </c>
      <c r="ES398" s="2" t="n">
        <v>0</v>
      </c>
    </row>
    <row r="399">
      <c r="A399" s="2" t="n">
        <v>1</v>
      </c>
      <c r="B399" s="2" t="inlineStr">
        <is>
          <t>19</t>
        </is>
      </c>
      <c r="C399" s="2" t="inlineStr">
        <is>
          <t>IMPERMEABILIZAÇÃO</t>
        </is>
      </c>
      <c r="D399" s="2" t="inlineStr">
        <is>
          <t>11/08/2027</t>
        </is>
      </c>
      <c r="E399" s="2" t="inlineStr">
        <is>
          <t>01/09/2028</t>
        </is>
      </c>
      <c r="F399" s="2" t="n">
        <v>3928343.287144306</v>
      </c>
      <c r="G399" s="2" t="n">
        <v>0</v>
      </c>
      <c r="H399" s="2" t="n">
        <v>3928343.287144306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0</v>
      </c>
      <c r="BO399" s="2" t="n">
        <v>0</v>
      </c>
      <c r="BP399" s="2" t="n">
        <v>0</v>
      </c>
      <c r="BQ399" s="2" t="n">
        <v>0</v>
      </c>
      <c r="BR399" s="2" t="n">
        <v>0</v>
      </c>
      <c r="BS399" s="2" t="n">
        <v>0</v>
      </c>
      <c r="BT399" s="2" t="n">
        <v>0</v>
      </c>
      <c r="BU399" s="2" t="n">
        <v>0</v>
      </c>
      <c r="BV399" s="2" t="n">
        <v>0</v>
      </c>
      <c r="BW399" s="2" t="n">
        <v>0</v>
      </c>
      <c r="BX399" s="2" t="n">
        <v>0</v>
      </c>
      <c r="BY399" s="2" t="n">
        <v>0</v>
      </c>
      <c r="BZ399" s="2" t="n">
        <v>0</v>
      </c>
      <c r="CA399" s="2" t="n">
        <v>0</v>
      </c>
      <c r="CB399" s="2" t="n">
        <v>0</v>
      </c>
      <c r="CC399" s="2" t="n">
        <v>0</v>
      </c>
      <c r="CD399" s="2" t="n">
        <v>0</v>
      </c>
      <c r="CE399" s="2" t="n">
        <v>0</v>
      </c>
      <c r="CF399" s="2" t="n">
        <v>0</v>
      </c>
      <c r="CG399" s="2" t="n">
        <v>0</v>
      </c>
      <c r="CH399" s="2" t="n">
        <v>0</v>
      </c>
      <c r="CI399" s="2" t="n">
        <v>2.65</v>
      </c>
      <c r="CJ399" s="2" t="n">
        <v>3.97</v>
      </c>
      <c r="CK399" s="2" t="n">
        <v>0</v>
      </c>
      <c r="CL399" s="2" t="n">
        <v>8.199999999999999</v>
      </c>
      <c r="CM399" s="2" t="n">
        <v>9.52</v>
      </c>
      <c r="CN399" s="2" t="n">
        <v>0</v>
      </c>
      <c r="CO399" s="2" t="n">
        <v>13.49</v>
      </c>
      <c r="CP399" s="2" t="n">
        <v>17.2</v>
      </c>
      <c r="CQ399" s="2" t="n">
        <v>0</v>
      </c>
      <c r="CR399" s="2" t="n">
        <v>23.54</v>
      </c>
      <c r="CS399" s="2" t="n">
        <v>24.87</v>
      </c>
      <c r="CT399" s="2" t="n">
        <v>0</v>
      </c>
      <c r="CU399" s="2" t="n">
        <v>27.78</v>
      </c>
      <c r="CV399" s="2" t="n">
        <v>30.53</v>
      </c>
      <c r="CW399" s="2" t="n">
        <v>0</v>
      </c>
      <c r="CX399" s="2" t="n">
        <v>35</v>
      </c>
      <c r="CY399" s="2" t="n">
        <v>37.04</v>
      </c>
      <c r="CZ399" s="2" t="n">
        <v>0</v>
      </c>
      <c r="DA399" s="2" t="n">
        <v>41.27</v>
      </c>
      <c r="DB399" s="2" t="n">
        <v>43.54</v>
      </c>
      <c r="DC399" s="2" t="n">
        <v>0</v>
      </c>
      <c r="DD399" s="2" t="n">
        <v>54.32</v>
      </c>
      <c r="DE399" s="2" t="n">
        <v>56.56</v>
      </c>
      <c r="DF399" s="2" t="n">
        <v>0</v>
      </c>
      <c r="DG399" s="2" t="n">
        <v>63.54</v>
      </c>
      <c r="DH399" s="2" t="n">
        <v>65.38</v>
      </c>
      <c r="DI399" s="2" t="n">
        <v>0</v>
      </c>
      <c r="DJ399" s="2" t="n">
        <v>72.54000000000001</v>
      </c>
      <c r="DK399" s="2" t="n">
        <v>81.36</v>
      </c>
      <c r="DL399" s="2" t="n">
        <v>0</v>
      </c>
      <c r="DM399" s="2" t="n">
        <v>86.23999999999999</v>
      </c>
      <c r="DN399" s="2" t="n">
        <v>94.76000000000001</v>
      </c>
      <c r="DO399" s="2" t="n">
        <v>0</v>
      </c>
      <c r="DP399" s="2" t="n">
        <v>97.45999999999999</v>
      </c>
      <c r="DQ399" s="2" t="n">
        <v>97.62</v>
      </c>
      <c r="DR399" s="2" t="n">
        <v>0</v>
      </c>
      <c r="DS399" s="2" t="n">
        <v>98.41</v>
      </c>
      <c r="DT399" s="2" t="n">
        <v>99.73999999999999</v>
      </c>
      <c r="DU399" s="2" t="n">
        <v>0</v>
      </c>
      <c r="DV399" s="2" t="n">
        <v>100</v>
      </c>
      <c r="DW399" s="2" t="n">
        <v>100</v>
      </c>
      <c r="DX399" s="2" t="n">
        <v>0</v>
      </c>
      <c r="DY399" s="2" t="n">
        <v>100</v>
      </c>
      <c r="DZ399" s="2" t="n">
        <v>100</v>
      </c>
      <c r="EA399" s="2" t="n">
        <v>0</v>
      </c>
      <c r="EB399" s="2" t="n">
        <v>100</v>
      </c>
      <c r="EC399" s="2" t="n">
        <v>100</v>
      </c>
      <c r="ED399" s="2" t="n">
        <v>0</v>
      </c>
      <c r="EE399" s="2" t="n">
        <v>100</v>
      </c>
      <c r="EF399" s="2" t="n">
        <v>100</v>
      </c>
      <c r="EG399" s="2" t="n">
        <v>0</v>
      </c>
      <c r="EH399" s="2" t="n">
        <v>100</v>
      </c>
      <c r="EI399" s="2" t="n">
        <v>100</v>
      </c>
      <c r="EJ399" s="2" t="n">
        <v>0</v>
      </c>
      <c r="EK399" s="2" t="n">
        <v>100</v>
      </c>
      <c r="EL399" s="2" t="n">
        <v>100</v>
      </c>
      <c r="EM399" s="2" t="n">
        <v>0</v>
      </c>
      <c r="EN399" s="2" t="n">
        <v>100</v>
      </c>
      <c r="EO399" s="2" t="n">
        <v>100</v>
      </c>
      <c r="EP399" s="2" t="n">
        <v>0</v>
      </c>
      <c r="EQ399" s="2" t="n">
        <v>100</v>
      </c>
      <c r="ER399" s="2" t="n">
        <v>100</v>
      </c>
      <c r="ES399" s="2" t="n">
        <v>0</v>
      </c>
    </row>
    <row r="400">
      <c r="A400" s="2" t="n">
        <v>2</v>
      </c>
      <c r="B400" s="2" t="inlineStr">
        <is>
          <t>19.01</t>
        </is>
      </c>
      <c r="C400" s="2" t="inlineStr">
        <is>
          <t>Argamassa flexível (médio módulo) com consumo de 4,0kg/m², estrutura com tela poliéster resinada malha de 3x3mm. A impermeabilização deverá subir até a altura mínima de 20cm acima do nível acabado. * Nos box de chuveiro, a impermeabilização deverá subir até a altura mínima de 1,80m nas paredes| * Onde houver fechamento com drywall deverá ser feito reforço do sistema no rodapé</t>
        </is>
      </c>
      <c r="D400" s="2" t="inlineStr">
        <is>
          <t>11/08/2027</t>
        </is>
      </c>
      <c r="E400" s="2" t="inlineStr">
        <is>
          <t>01/09/2028</t>
        </is>
      </c>
      <c r="F400" s="2" t="n">
        <v>723539.9552156748</v>
      </c>
      <c r="G400" s="2" t="n">
        <v>0</v>
      </c>
      <c r="H400" s="2" t="n">
        <v>723539.9552156748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0</v>
      </c>
      <c r="BO400" s="2" t="n">
        <v>0</v>
      </c>
      <c r="BP400" s="2" t="n">
        <v>0</v>
      </c>
      <c r="BQ400" s="2" t="n">
        <v>0</v>
      </c>
      <c r="BR400" s="2" t="n">
        <v>0</v>
      </c>
      <c r="BS400" s="2" t="n">
        <v>0</v>
      </c>
      <c r="BT400" s="2" t="n">
        <v>0</v>
      </c>
      <c r="BU400" s="2" t="n">
        <v>0</v>
      </c>
      <c r="BV400" s="2" t="n">
        <v>0</v>
      </c>
      <c r="BW400" s="2" t="n">
        <v>0</v>
      </c>
      <c r="BX400" s="2" t="n">
        <v>0</v>
      </c>
      <c r="BY400" s="2" t="n">
        <v>0</v>
      </c>
      <c r="BZ400" s="2" t="n">
        <v>0</v>
      </c>
      <c r="CA400" s="2" t="n">
        <v>0</v>
      </c>
      <c r="CB400" s="2" t="n">
        <v>0</v>
      </c>
      <c r="CC400" s="2" t="n">
        <v>0</v>
      </c>
      <c r="CD400" s="2" t="n">
        <v>0</v>
      </c>
      <c r="CE400" s="2" t="n">
        <v>0</v>
      </c>
      <c r="CF400" s="2" t="n">
        <v>0</v>
      </c>
      <c r="CG400" s="2" t="n">
        <v>0</v>
      </c>
      <c r="CH400" s="2" t="n">
        <v>0</v>
      </c>
      <c r="CI400" s="2" t="n">
        <v>2.65</v>
      </c>
      <c r="CJ400" s="2" t="n">
        <v>3.97</v>
      </c>
      <c r="CK400" s="2" t="n">
        <v>0</v>
      </c>
      <c r="CL400" s="2" t="n">
        <v>8.199999999999999</v>
      </c>
      <c r="CM400" s="2" t="n">
        <v>9.52</v>
      </c>
      <c r="CN400" s="2" t="n">
        <v>0</v>
      </c>
      <c r="CO400" s="2" t="n">
        <v>13.49</v>
      </c>
      <c r="CP400" s="2" t="n">
        <v>17.2</v>
      </c>
      <c r="CQ400" s="2" t="n">
        <v>0</v>
      </c>
      <c r="CR400" s="2" t="n">
        <v>23.54</v>
      </c>
      <c r="CS400" s="2" t="n">
        <v>24.87</v>
      </c>
      <c r="CT400" s="2" t="n">
        <v>0</v>
      </c>
      <c r="CU400" s="2" t="n">
        <v>27.78</v>
      </c>
      <c r="CV400" s="2" t="n">
        <v>30.53</v>
      </c>
      <c r="CW400" s="2" t="n">
        <v>0</v>
      </c>
      <c r="CX400" s="2" t="n">
        <v>35</v>
      </c>
      <c r="CY400" s="2" t="n">
        <v>37.04</v>
      </c>
      <c r="CZ400" s="2" t="n">
        <v>0</v>
      </c>
      <c r="DA400" s="2" t="n">
        <v>41.27</v>
      </c>
      <c r="DB400" s="2" t="n">
        <v>43.54</v>
      </c>
      <c r="DC400" s="2" t="n">
        <v>0</v>
      </c>
      <c r="DD400" s="2" t="n">
        <v>54.32</v>
      </c>
      <c r="DE400" s="2" t="n">
        <v>56.56</v>
      </c>
      <c r="DF400" s="2" t="n">
        <v>0</v>
      </c>
      <c r="DG400" s="2" t="n">
        <v>63.54</v>
      </c>
      <c r="DH400" s="2" t="n">
        <v>65.38</v>
      </c>
      <c r="DI400" s="2" t="n">
        <v>0</v>
      </c>
      <c r="DJ400" s="2" t="n">
        <v>72.54000000000001</v>
      </c>
      <c r="DK400" s="2" t="n">
        <v>81.36</v>
      </c>
      <c r="DL400" s="2" t="n">
        <v>0</v>
      </c>
      <c r="DM400" s="2" t="n">
        <v>86.23999999999999</v>
      </c>
      <c r="DN400" s="2" t="n">
        <v>94.76000000000001</v>
      </c>
      <c r="DO400" s="2" t="n">
        <v>0</v>
      </c>
      <c r="DP400" s="2" t="n">
        <v>97.45999999999999</v>
      </c>
      <c r="DQ400" s="2" t="n">
        <v>97.62</v>
      </c>
      <c r="DR400" s="2" t="n">
        <v>0</v>
      </c>
      <c r="DS400" s="2" t="n">
        <v>98.41</v>
      </c>
      <c r="DT400" s="2" t="n">
        <v>99.73999999999999</v>
      </c>
      <c r="DU400" s="2" t="n">
        <v>0</v>
      </c>
      <c r="DV400" s="2" t="n">
        <v>100</v>
      </c>
      <c r="DW400" s="2" t="n">
        <v>100</v>
      </c>
      <c r="DX400" s="2" t="n">
        <v>0</v>
      </c>
      <c r="DY400" s="2" t="n">
        <v>100</v>
      </c>
      <c r="DZ400" s="2" t="n">
        <v>100</v>
      </c>
      <c r="EA400" s="2" t="n">
        <v>0</v>
      </c>
      <c r="EB400" s="2" t="n">
        <v>100</v>
      </c>
      <c r="EC400" s="2" t="n">
        <v>100</v>
      </c>
      <c r="ED400" s="2" t="n">
        <v>0</v>
      </c>
      <c r="EE400" s="2" t="n">
        <v>100</v>
      </c>
      <c r="EF400" s="2" t="n">
        <v>100</v>
      </c>
      <c r="EG400" s="2" t="n">
        <v>0</v>
      </c>
      <c r="EH400" s="2" t="n">
        <v>100</v>
      </c>
      <c r="EI400" s="2" t="n">
        <v>100</v>
      </c>
      <c r="EJ400" s="2" t="n">
        <v>0</v>
      </c>
      <c r="EK400" s="2" t="n">
        <v>100</v>
      </c>
      <c r="EL400" s="2" t="n">
        <v>100</v>
      </c>
      <c r="EM400" s="2" t="n">
        <v>0</v>
      </c>
      <c r="EN400" s="2" t="n">
        <v>100</v>
      </c>
      <c r="EO400" s="2" t="n">
        <v>100</v>
      </c>
      <c r="EP400" s="2" t="n">
        <v>0</v>
      </c>
      <c r="EQ400" s="2" t="n">
        <v>100</v>
      </c>
      <c r="ER400" s="2" t="n">
        <v>100</v>
      </c>
      <c r="ES400" s="2" t="n">
        <v>0</v>
      </c>
    </row>
    <row r="401">
      <c r="A401" s="2" t="n">
        <v>3</v>
      </c>
      <c r="B401" s="2" t="inlineStr">
        <is>
          <t>19.01.01</t>
        </is>
      </c>
      <c r="C401" s="2" t="inlineStr">
        <is>
          <t>Cozinha multiuso, gourmet, salão de festas</t>
        </is>
      </c>
      <c r="D401" s="2" t="inlineStr">
        <is>
          <t>11/08/2027</t>
        </is>
      </c>
      <c r="E401" s="2" t="inlineStr">
        <is>
          <t>01/09/2028</t>
        </is>
      </c>
      <c r="F401" s="2" t="n">
        <v>15674.12</v>
      </c>
      <c r="G401" s="2" t="n">
        <v>0</v>
      </c>
      <c r="H401" s="2" t="n">
        <v>15674.12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0</v>
      </c>
      <c r="BO401" s="2" t="n">
        <v>0</v>
      </c>
      <c r="BP401" s="2" t="n">
        <v>0</v>
      </c>
      <c r="BQ401" s="2" t="n">
        <v>0</v>
      </c>
      <c r="BR401" s="2" t="n">
        <v>0</v>
      </c>
      <c r="BS401" s="2" t="n">
        <v>0</v>
      </c>
      <c r="BT401" s="2" t="n">
        <v>0</v>
      </c>
      <c r="BU401" s="2" t="n">
        <v>0</v>
      </c>
      <c r="BV401" s="2" t="n">
        <v>0</v>
      </c>
      <c r="BW401" s="2" t="n">
        <v>0</v>
      </c>
      <c r="BX401" s="2" t="n">
        <v>0</v>
      </c>
      <c r="BY401" s="2" t="n">
        <v>0</v>
      </c>
      <c r="BZ401" s="2" t="n">
        <v>0</v>
      </c>
      <c r="CA401" s="2" t="n">
        <v>0</v>
      </c>
      <c r="CB401" s="2" t="n">
        <v>0</v>
      </c>
      <c r="CC401" s="2" t="n">
        <v>0</v>
      </c>
      <c r="CD401" s="2" t="n">
        <v>0</v>
      </c>
      <c r="CE401" s="2" t="n">
        <v>0</v>
      </c>
      <c r="CF401" s="2" t="n">
        <v>0</v>
      </c>
      <c r="CG401" s="2" t="n">
        <v>0</v>
      </c>
      <c r="CH401" s="2" t="n">
        <v>0</v>
      </c>
      <c r="CI401" s="2" t="n">
        <v>2.65</v>
      </c>
      <c r="CJ401" s="2" t="n">
        <v>3.97</v>
      </c>
      <c r="CK401" s="2" t="n">
        <v>0</v>
      </c>
      <c r="CL401" s="2" t="n">
        <v>8.199999999999999</v>
      </c>
      <c r="CM401" s="2" t="n">
        <v>9.52</v>
      </c>
      <c r="CN401" s="2" t="n">
        <v>0</v>
      </c>
      <c r="CO401" s="2" t="n">
        <v>13.49</v>
      </c>
      <c r="CP401" s="2" t="n">
        <v>17.2</v>
      </c>
      <c r="CQ401" s="2" t="n">
        <v>0</v>
      </c>
      <c r="CR401" s="2" t="n">
        <v>23.54</v>
      </c>
      <c r="CS401" s="2" t="n">
        <v>24.87</v>
      </c>
      <c r="CT401" s="2" t="n">
        <v>0</v>
      </c>
      <c r="CU401" s="2" t="n">
        <v>27.78</v>
      </c>
      <c r="CV401" s="2" t="n">
        <v>30.53</v>
      </c>
      <c r="CW401" s="2" t="n">
        <v>0</v>
      </c>
      <c r="CX401" s="2" t="n">
        <v>35</v>
      </c>
      <c r="CY401" s="2" t="n">
        <v>37.04</v>
      </c>
      <c r="CZ401" s="2" t="n">
        <v>0</v>
      </c>
      <c r="DA401" s="2" t="n">
        <v>41.27</v>
      </c>
      <c r="DB401" s="2" t="n">
        <v>43.54</v>
      </c>
      <c r="DC401" s="2" t="n">
        <v>0</v>
      </c>
      <c r="DD401" s="2" t="n">
        <v>54.32</v>
      </c>
      <c r="DE401" s="2" t="n">
        <v>56.56</v>
      </c>
      <c r="DF401" s="2" t="n">
        <v>0</v>
      </c>
      <c r="DG401" s="2" t="n">
        <v>63.54</v>
      </c>
      <c r="DH401" s="2" t="n">
        <v>65.38</v>
      </c>
      <c r="DI401" s="2" t="n">
        <v>0</v>
      </c>
      <c r="DJ401" s="2" t="n">
        <v>72.54000000000001</v>
      </c>
      <c r="DK401" s="2" t="n">
        <v>81.36</v>
      </c>
      <c r="DL401" s="2" t="n">
        <v>0</v>
      </c>
      <c r="DM401" s="2" t="n">
        <v>86.23999999999999</v>
      </c>
      <c r="DN401" s="2" t="n">
        <v>94.76000000000001</v>
      </c>
      <c r="DO401" s="2" t="n">
        <v>0</v>
      </c>
      <c r="DP401" s="2" t="n">
        <v>97.45999999999999</v>
      </c>
      <c r="DQ401" s="2" t="n">
        <v>97.62</v>
      </c>
      <c r="DR401" s="2" t="n">
        <v>0</v>
      </c>
      <c r="DS401" s="2" t="n">
        <v>98.41</v>
      </c>
      <c r="DT401" s="2" t="n">
        <v>99.73999999999999</v>
      </c>
      <c r="DU401" s="2" t="n">
        <v>0</v>
      </c>
      <c r="DV401" s="2" t="n">
        <v>100</v>
      </c>
      <c r="DW401" s="2" t="n">
        <v>100</v>
      </c>
      <c r="DX401" s="2" t="n">
        <v>0</v>
      </c>
      <c r="DY401" s="2" t="n">
        <v>100</v>
      </c>
      <c r="DZ401" s="2" t="n">
        <v>100</v>
      </c>
      <c r="EA401" s="2" t="n">
        <v>0</v>
      </c>
      <c r="EB401" s="2" t="n">
        <v>100</v>
      </c>
      <c r="EC401" s="2" t="n">
        <v>100</v>
      </c>
      <c r="ED401" s="2" t="n">
        <v>0</v>
      </c>
      <c r="EE401" s="2" t="n">
        <v>100</v>
      </c>
      <c r="EF401" s="2" t="n">
        <v>100</v>
      </c>
      <c r="EG401" s="2" t="n">
        <v>0</v>
      </c>
      <c r="EH401" s="2" t="n">
        <v>100</v>
      </c>
      <c r="EI401" s="2" t="n">
        <v>100</v>
      </c>
      <c r="EJ401" s="2" t="n">
        <v>0</v>
      </c>
      <c r="EK401" s="2" t="n">
        <v>100</v>
      </c>
      <c r="EL401" s="2" t="n">
        <v>100</v>
      </c>
      <c r="EM401" s="2" t="n">
        <v>0</v>
      </c>
      <c r="EN401" s="2" t="n">
        <v>100</v>
      </c>
      <c r="EO401" s="2" t="n">
        <v>100</v>
      </c>
      <c r="EP401" s="2" t="n">
        <v>0</v>
      </c>
      <c r="EQ401" s="2" t="n">
        <v>100</v>
      </c>
      <c r="ER401" s="2" t="n">
        <v>100</v>
      </c>
      <c r="ES401" s="2" t="n">
        <v>0</v>
      </c>
    </row>
    <row r="402">
      <c r="A402" s="2" t="n">
        <v>3</v>
      </c>
      <c r="B402" s="2" t="inlineStr">
        <is>
          <t>19.01.02</t>
        </is>
      </c>
      <c r="C402" s="2" t="inlineStr">
        <is>
          <t>Áreas de serviço</t>
        </is>
      </c>
      <c r="D402" s="2" t="inlineStr">
        <is>
          <t>11/08/2027</t>
        </is>
      </c>
      <c r="E402" s="2" t="inlineStr">
        <is>
          <t>01/09/2028</t>
        </is>
      </c>
      <c r="F402" s="2" t="n">
        <v>93268.56</v>
      </c>
      <c r="G402" s="2" t="n">
        <v>0</v>
      </c>
      <c r="H402" s="2" t="n">
        <v>93268.56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0</v>
      </c>
      <c r="BO402" s="2" t="n">
        <v>0</v>
      </c>
      <c r="BP402" s="2" t="n">
        <v>0</v>
      </c>
      <c r="BQ402" s="2" t="n">
        <v>0</v>
      </c>
      <c r="BR402" s="2" t="n">
        <v>0</v>
      </c>
      <c r="BS402" s="2" t="n">
        <v>0</v>
      </c>
      <c r="BT402" s="2" t="n">
        <v>0</v>
      </c>
      <c r="BU402" s="2" t="n">
        <v>0</v>
      </c>
      <c r="BV402" s="2" t="n">
        <v>0</v>
      </c>
      <c r="BW402" s="2" t="n">
        <v>0</v>
      </c>
      <c r="BX402" s="2" t="n">
        <v>0</v>
      </c>
      <c r="BY402" s="2" t="n">
        <v>0</v>
      </c>
      <c r="BZ402" s="2" t="n">
        <v>0</v>
      </c>
      <c r="CA402" s="2" t="n">
        <v>0</v>
      </c>
      <c r="CB402" s="2" t="n">
        <v>0</v>
      </c>
      <c r="CC402" s="2" t="n">
        <v>0</v>
      </c>
      <c r="CD402" s="2" t="n">
        <v>0</v>
      </c>
      <c r="CE402" s="2" t="n">
        <v>0</v>
      </c>
      <c r="CF402" s="2" t="n">
        <v>0</v>
      </c>
      <c r="CG402" s="2" t="n">
        <v>0</v>
      </c>
      <c r="CH402" s="2" t="n">
        <v>0</v>
      </c>
      <c r="CI402" s="2" t="n">
        <v>2.65</v>
      </c>
      <c r="CJ402" s="2" t="n">
        <v>3.97</v>
      </c>
      <c r="CK402" s="2" t="n">
        <v>0</v>
      </c>
      <c r="CL402" s="2" t="n">
        <v>8.199999999999999</v>
      </c>
      <c r="CM402" s="2" t="n">
        <v>9.52</v>
      </c>
      <c r="CN402" s="2" t="n">
        <v>0</v>
      </c>
      <c r="CO402" s="2" t="n">
        <v>13.49</v>
      </c>
      <c r="CP402" s="2" t="n">
        <v>17.2</v>
      </c>
      <c r="CQ402" s="2" t="n">
        <v>0</v>
      </c>
      <c r="CR402" s="2" t="n">
        <v>23.54</v>
      </c>
      <c r="CS402" s="2" t="n">
        <v>24.87</v>
      </c>
      <c r="CT402" s="2" t="n">
        <v>0</v>
      </c>
      <c r="CU402" s="2" t="n">
        <v>27.78</v>
      </c>
      <c r="CV402" s="2" t="n">
        <v>30.53</v>
      </c>
      <c r="CW402" s="2" t="n">
        <v>0</v>
      </c>
      <c r="CX402" s="2" t="n">
        <v>35</v>
      </c>
      <c r="CY402" s="2" t="n">
        <v>37.04</v>
      </c>
      <c r="CZ402" s="2" t="n">
        <v>0</v>
      </c>
      <c r="DA402" s="2" t="n">
        <v>41.27</v>
      </c>
      <c r="DB402" s="2" t="n">
        <v>43.54</v>
      </c>
      <c r="DC402" s="2" t="n">
        <v>0</v>
      </c>
      <c r="DD402" s="2" t="n">
        <v>54.32</v>
      </c>
      <c r="DE402" s="2" t="n">
        <v>56.56</v>
      </c>
      <c r="DF402" s="2" t="n">
        <v>0</v>
      </c>
      <c r="DG402" s="2" t="n">
        <v>63.54</v>
      </c>
      <c r="DH402" s="2" t="n">
        <v>65.38</v>
      </c>
      <c r="DI402" s="2" t="n">
        <v>0</v>
      </c>
      <c r="DJ402" s="2" t="n">
        <v>72.54000000000001</v>
      </c>
      <c r="DK402" s="2" t="n">
        <v>81.36</v>
      </c>
      <c r="DL402" s="2" t="n">
        <v>0</v>
      </c>
      <c r="DM402" s="2" t="n">
        <v>86.23999999999999</v>
      </c>
      <c r="DN402" s="2" t="n">
        <v>94.76000000000001</v>
      </c>
      <c r="DO402" s="2" t="n">
        <v>0</v>
      </c>
      <c r="DP402" s="2" t="n">
        <v>97.45999999999999</v>
      </c>
      <c r="DQ402" s="2" t="n">
        <v>97.62</v>
      </c>
      <c r="DR402" s="2" t="n">
        <v>0</v>
      </c>
      <c r="DS402" s="2" t="n">
        <v>98.41</v>
      </c>
      <c r="DT402" s="2" t="n">
        <v>99.73999999999999</v>
      </c>
      <c r="DU402" s="2" t="n">
        <v>0</v>
      </c>
      <c r="DV402" s="2" t="n">
        <v>100</v>
      </c>
      <c r="DW402" s="2" t="n">
        <v>100</v>
      </c>
      <c r="DX402" s="2" t="n">
        <v>0</v>
      </c>
      <c r="DY402" s="2" t="n">
        <v>100</v>
      </c>
      <c r="DZ402" s="2" t="n">
        <v>100</v>
      </c>
      <c r="EA402" s="2" t="n">
        <v>0</v>
      </c>
      <c r="EB402" s="2" t="n">
        <v>100</v>
      </c>
      <c r="EC402" s="2" t="n">
        <v>100</v>
      </c>
      <c r="ED402" s="2" t="n">
        <v>0</v>
      </c>
      <c r="EE402" s="2" t="n">
        <v>100</v>
      </c>
      <c r="EF402" s="2" t="n">
        <v>100</v>
      </c>
      <c r="EG402" s="2" t="n">
        <v>0</v>
      </c>
      <c r="EH402" s="2" t="n">
        <v>100</v>
      </c>
      <c r="EI402" s="2" t="n">
        <v>100</v>
      </c>
      <c r="EJ402" s="2" t="n">
        <v>0</v>
      </c>
      <c r="EK402" s="2" t="n">
        <v>100</v>
      </c>
      <c r="EL402" s="2" t="n">
        <v>100</v>
      </c>
      <c r="EM402" s="2" t="n">
        <v>0</v>
      </c>
      <c r="EN402" s="2" t="n">
        <v>100</v>
      </c>
      <c r="EO402" s="2" t="n">
        <v>100</v>
      </c>
      <c r="EP402" s="2" t="n">
        <v>0</v>
      </c>
      <c r="EQ402" s="2" t="n">
        <v>100</v>
      </c>
      <c r="ER402" s="2" t="n">
        <v>100</v>
      </c>
      <c r="ES402" s="2" t="n">
        <v>0</v>
      </c>
    </row>
    <row r="403">
      <c r="A403" s="2" t="n">
        <v>3</v>
      </c>
      <c r="B403" s="2" t="inlineStr">
        <is>
          <t>19.01.03</t>
        </is>
      </c>
      <c r="C403" s="2" t="inlineStr">
        <is>
          <t>Banheiros</t>
        </is>
      </c>
      <c r="D403" s="2" t="inlineStr">
        <is>
          <t>11/08/2027</t>
        </is>
      </c>
      <c r="E403" s="2" t="inlineStr">
        <is>
          <t>01/09/2028</t>
        </is>
      </c>
      <c r="F403" s="2" t="n">
        <v>182018.76</v>
      </c>
      <c r="G403" s="2" t="n">
        <v>0</v>
      </c>
      <c r="H403" s="2" t="n">
        <v>182018.76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0</v>
      </c>
      <c r="BO403" s="2" t="n">
        <v>0</v>
      </c>
      <c r="BP403" s="2" t="n">
        <v>0</v>
      </c>
      <c r="BQ403" s="2" t="n">
        <v>0</v>
      </c>
      <c r="BR403" s="2" t="n">
        <v>0</v>
      </c>
      <c r="BS403" s="2" t="n">
        <v>0</v>
      </c>
      <c r="BT403" s="2" t="n">
        <v>0</v>
      </c>
      <c r="BU403" s="2" t="n">
        <v>0</v>
      </c>
      <c r="BV403" s="2" t="n">
        <v>0</v>
      </c>
      <c r="BW403" s="2" t="n">
        <v>0</v>
      </c>
      <c r="BX403" s="2" t="n">
        <v>0</v>
      </c>
      <c r="BY403" s="2" t="n">
        <v>0</v>
      </c>
      <c r="BZ403" s="2" t="n">
        <v>0</v>
      </c>
      <c r="CA403" s="2" t="n">
        <v>0</v>
      </c>
      <c r="CB403" s="2" t="n">
        <v>0</v>
      </c>
      <c r="CC403" s="2" t="n">
        <v>0</v>
      </c>
      <c r="CD403" s="2" t="n">
        <v>0</v>
      </c>
      <c r="CE403" s="2" t="n">
        <v>0</v>
      </c>
      <c r="CF403" s="2" t="n">
        <v>0</v>
      </c>
      <c r="CG403" s="2" t="n">
        <v>0</v>
      </c>
      <c r="CH403" s="2" t="n">
        <v>0</v>
      </c>
      <c r="CI403" s="2" t="n">
        <v>2.65</v>
      </c>
      <c r="CJ403" s="2" t="n">
        <v>3.97</v>
      </c>
      <c r="CK403" s="2" t="n">
        <v>0</v>
      </c>
      <c r="CL403" s="2" t="n">
        <v>8.199999999999999</v>
      </c>
      <c r="CM403" s="2" t="n">
        <v>9.52</v>
      </c>
      <c r="CN403" s="2" t="n">
        <v>0</v>
      </c>
      <c r="CO403" s="2" t="n">
        <v>13.49</v>
      </c>
      <c r="CP403" s="2" t="n">
        <v>17.2</v>
      </c>
      <c r="CQ403" s="2" t="n">
        <v>0</v>
      </c>
      <c r="CR403" s="2" t="n">
        <v>23.54</v>
      </c>
      <c r="CS403" s="2" t="n">
        <v>24.87</v>
      </c>
      <c r="CT403" s="2" t="n">
        <v>0</v>
      </c>
      <c r="CU403" s="2" t="n">
        <v>27.78</v>
      </c>
      <c r="CV403" s="2" t="n">
        <v>30.53</v>
      </c>
      <c r="CW403" s="2" t="n">
        <v>0</v>
      </c>
      <c r="CX403" s="2" t="n">
        <v>35</v>
      </c>
      <c r="CY403" s="2" t="n">
        <v>37.04</v>
      </c>
      <c r="CZ403" s="2" t="n">
        <v>0</v>
      </c>
      <c r="DA403" s="2" t="n">
        <v>41.27</v>
      </c>
      <c r="DB403" s="2" t="n">
        <v>43.54</v>
      </c>
      <c r="DC403" s="2" t="n">
        <v>0</v>
      </c>
      <c r="DD403" s="2" t="n">
        <v>54.32</v>
      </c>
      <c r="DE403" s="2" t="n">
        <v>56.56</v>
      </c>
      <c r="DF403" s="2" t="n">
        <v>0</v>
      </c>
      <c r="DG403" s="2" t="n">
        <v>63.54</v>
      </c>
      <c r="DH403" s="2" t="n">
        <v>65.38</v>
      </c>
      <c r="DI403" s="2" t="n">
        <v>0</v>
      </c>
      <c r="DJ403" s="2" t="n">
        <v>72.54000000000001</v>
      </c>
      <c r="DK403" s="2" t="n">
        <v>81.36</v>
      </c>
      <c r="DL403" s="2" t="n">
        <v>0</v>
      </c>
      <c r="DM403" s="2" t="n">
        <v>86.23999999999999</v>
      </c>
      <c r="DN403" s="2" t="n">
        <v>94.76000000000001</v>
      </c>
      <c r="DO403" s="2" t="n">
        <v>0</v>
      </c>
      <c r="DP403" s="2" t="n">
        <v>97.45999999999999</v>
      </c>
      <c r="DQ403" s="2" t="n">
        <v>97.62</v>
      </c>
      <c r="DR403" s="2" t="n">
        <v>0</v>
      </c>
      <c r="DS403" s="2" t="n">
        <v>98.41</v>
      </c>
      <c r="DT403" s="2" t="n">
        <v>99.73999999999999</v>
      </c>
      <c r="DU403" s="2" t="n">
        <v>0</v>
      </c>
      <c r="DV403" s="2" t="n">
        <v>100</v>
      </c>
      <c r="DW403" s="2" t="n">
        <v>100</v>
      </c>
      <c r="DX403" s="2" t="n">
        <v>0</v>
      </c>
      <c r="DY403" s="2" t="n">
        <v>100</v>
      </c>
      <c r="DZ403" s="2" t="n">
        <v>100</v>
      </c>
      <c r="EA403" s="2" t="n">
        <v>0</v>
      </c>
      <c r="EB403" s="2" t="n">
        <v>100</v>
      </c>
      <c r="EC403" s="2" t="n">
        <v>100</v>
      </c>
      <c r="ED403" s="2" t="n">
        <v>0</v>
      </c>
      <c r="EE403" s="2" t="n">
        <v>100</v>
      </c>
      <c r="EF403" s="2" t="n">
        <v>100</v>
      </c>
      <c r="EG403" s="2" t="n">
        <v>0</v>
      </c>
      <c r="EH403" s="2" t="n">
        <v>100</v>
      </c>
      <c r="EI403" s="2" t="n">
        <v>100</v>
      </c>
      <c r="EJ403" s="2" t="n">
        <v>0</v>
      </c>
      <c r="EK403" s="2" t="n">
        <v>100</v>
      </c>
      <c r="EL403" s="2" t="n">
        <v>100</v>
      </c>
      <c r="EM403" s="2" t="n">
        <v>0</v>
      </c>
      <c r="EN403" s="2" t="n">
        <v>100</v>
      </c>
      <c r="EO403" s="2" t="n">
        <v>100</v>
      </c>
      <c r="EP403" s="2" t="n">
        <v>0</v>
      </c>
      <c r="EQ403" s="2" t="n">
        <v>100</v>
      </c>
      <c r="ER403" s="2" t="n">
        <v>100</v>
      </c>
      <c r="ES403" s="2" t="n">
        <v>0</v>
      </c>
    </row>
    <row r="404">
      <c r="A404" s="2" t="n">
        <v>3</v>
      </c>
      <c r="B404" s="2" t="inlineStr">
        <is>
          <t>19.01.04</t>
        </is>
      </c>
      <c r="C404" s="2" t="inlineStr">
        <is>
          <t>Saunas</t>
        </is>
      </c>
      <c r="D404" s="2" t="inlineStr">
        <is>
          <t>11/08/2027</t>
        </is>
      </c>
      <c r="E404" s="2" t="inlineStr">
        <is>
          <t>01/09/2028</t>
        </is>
      </c>
      <c r="F404" s="2" t="n">
        <v>4993.391865</v>
      </c>
      <c r="G404" s="2" t="n">
        <v>0</v>
      </c>
      <c r="H404" s="2" t="n">
        <v>4993.391865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0</v>
      </c>
      <c r="BO404" s="2" t="n">
        <v>0</v>
      </c>
      <c r="BP404" s="2" t="n">
        <v>0</v>
      </c>
      <c r="BQ404" s="2" t="n">
        <v>0</v>
      </c>
      <c r="BR404" s="2" t="n">
        <v>0</v>
      </c>
      <c r="BS404" s="2" t="n">
        <v>0</v>
      </c>
      <c r="BT404" s="2" t="n">
        <v>0</v>
      </c>
      <c r="BU404" s="2" t="n">
        <v>0</v>
      </c>
      <c r="BV404" s="2" t="n">
        <v>0</v>
      </c>
      <c r="BW404" s="2" t="n">
        <v>0</v>
      </c>
      <c r="BX404" s="2" t="n">
        <v>0</v>
      </c>
      <c r="BY404" s="2" t="n">
        <v>0</v>
      </c>
      <c r="BZ404" s="2" t="n">
        <v>0</v>
      </c>
      <c r="CA404" s="2" t="n">
        <v>0</v>
      </c>
      <c r="CB404" s="2" t="n">
        <v>0</v>
      </c>
      <c r="CC404" s="2" t="n">
        <v>0</v>
      </c>
      <c r="CD404" s="2" t="n">
        <v>0</v>
      </c>
      <c r="CE404" s="2" t="n">
        <v>0</v>
      </c>
      <c r="CF404" s="2" t="n">
        <v>0</v>
      </c>
      <c r="CG404" s="2" t="n">
        <v>0</v>
      </c>
      <c r="CH404" s="2" t="n">
        <v>0</v>
      </c>
      <c r="CI404" s="2" t="n">
        <v>2.65</v>
      </c>
      <c r="CJ404" s="2" t="n">
        <v>3.97</v>
      </c>
      <c r="CK404" s="2" t="n">
        <v>0</v>
      </c>
      <c r="CL404" s="2" t="n">
        <v>8.199999999999999</v>
      </c>
      <c r="CM404" s="2" t="n">
        <v>9.52</v>
      </c>
      <c r="CN404" s="2" t="n">
        <v>0</v>
      </c>
      <c r="CO404" s="2" t="n">
        <v>13.49</v>
      </c>
      <c r="CP404" s="2" t="n">
        <v>17.2</v>
      </c>
      <c r="CQ404" s="2" t="n">
        <v>0</v>
      </c>
      <c r="CR404" s="2" t="n">
        <v>23.54</v>
      </c>
      <c r="CS404" s="2" t="n">
        <v>24.87</v>
      </c>
      <c r="CT404" s="2" t="n">
        <v>0</v>
      </c>
      <c r="CU404" s="2" t="n">
        <v>27.78</v>
      </c>
      <c r="CV404" s="2" t="n">
        <v>30.53</v>
      </c>
      <c r="CW404" s="2" t="n">
        <v>0</v>
      </c>
      <c r="CX404" s="2" t="n">
        <v>35</v>
      </c>
      <c r="CY404" s="2" t="n">
        <v>37.04</v>
      </c>
      <c r="CZ404" s="2" t="n">
        <v>0</v>
      </c>
      <c r="DA404" s="2" t="n">
        <v>41.27</v>
      </c>
      <c r="DB404" s="2" t="n">
        <v>43.54</v>
      </c>
      <c r="DC404" s="2" t="n">
        <v>0</v>
      </c>
      <c r="DD404" s="2" t="n">
        <v>54.32</v>
      </c>
      <c r="DE404" s="2" t="n">
        <v>56.56</v>
      </c>
      <c r="DF404" s="2" t="n">
        <v>0</v>
      </c>
      <c r="DG404" s="2" t="n">
        <v>63.54</v>
      </c>
      <c r="DH404" s="2" t="n">
        <v>65.38</v>
      </c>
      <c r="DI404" s="2" t="n">
        <v>0</v>
      </c>
      <c r="DJ404" s="2" t="n">
        <v>72.54000000000001</v>
      </c>
      <c r="DK404" s="2" t="n">
        <v>81.36</v>
      </c>
      <c r="DL404" s="2" t="n">
        <v>0</v>
      </c>
      <c r="DM404" s="2" t="n">
        <v>86.23999999999999</v>
      </c>
      <c r="DN404" s="2" t="n">
        <v>94.76000000000001</v>
      </c>
      <c r="DO404" s="2" t="n">
        <v>0</v>
      </c>
      <c r="DP404" s="2" t="n">
        <v>97.45999999999999</v>
      </c>
      <c r="DQ404" s="2" t="n">
        <v>97.62</v>
      </c>
      <c r="DR404" s="2" t="n">
        <v>0</v>
      </c>
      <c r="DS404" s="2" t="n">
        <v>98.41</v>
      </c>
      <c r="DT404" s="2" t="n">
        <v>99.73999999999999</v>
      </c>
      <c r="DU404" s="2" t="n">
        <v>0</v>
      </c>
      <c r="DV404" s="2" t="n">
        <v>100</v>
      </c>
      <c r="DW404" s="2" t="n">
        <v>100</v>
      </c>
      <c r="DX404" s="2" t="n">
        <v>0</v>
      </c>
      <c r="DY404" s="2" t="n">
        <v>100</v>
      </c>
      <c r="DZ404" s="2" t="n">
        <v>100</v>
      </c>
      <c r="EA404" s="2" t="n">
        <v>0</v>
      </c>
      <c r="EB404" s="2" t="n">
        <v>100</v>
      </c>
      <c r="EC404" s="2" t="n">
        <v>100</v>
      </c>
      <c r="ED404" s="2" t="n">
        <v>0</v>
      </c>
      <c r="EE404" s="2" t="n">
        <v>100</v>
      </c>
      <c r="EF404" s="2" t="n">
        <v>100</v>
      </c>
      <c r="EG404" s="2" t="n">
        <v>0</v>
      </c>
      <c r="EH404" s="2" t="n">
        <v>100</v>
      </c>
      <c r="EI404" s="2" t="n">
        <v>100</v>
      </c>
      <c r="EJ404" s="2" t="n">
        <v>0</v>
      </c>
      <c r="EK404" s="2" t="n">
        <v>100</v>
      </c>
      <c r="EL404" s="2" t="n">
        <v>100</v>
      </c>
      <c r="EM404" s="2" t="n">
        <v>0</v>
      </c>
      <c r="EN404" s="2" t="n">
        <v>100</v>
      </c>
      <c r="EO404" s="2" t="n">
        <v>100</v>
      </c>
      <c r="EP404" s="2" t="n">
        <v>0</v>
      </c>
      <c r="EQ404" s="2" t="n">
        <v>100</v>
      </c>
      <c r="ER404" s="2" t="n">
        <v>100</v>
      </c>
      <c r="ES404" s="2" t="n">
        <v>0</v>
      </c>
    </row>
    <row r="405">
      <c r="A405" s="2" t="n">
        <v>3</v>
      </c>
      <c r="B405" s="2" t="inlineStr">
        <is>
          <t>19.01.05</t>
        </is>
      </c>
      <c r="C405" s="2" t="inlineStr">
        <is>
          <t>Varanda</t>
        </is>
      </c>
      <c r="D405" s="2" t="inlineStr">
        <is>
          <t>11/08/2027</t>
        </is>
      </c>
      <c r="E405" s="2" t="inlineStr">
        <is>
          <t>01/09/2028</t>
        </is>
      </c>
      <c r="F405" s="2" t="n">
        <v>141131.76</v>
      </c>
      <c r="G405" s="2" t="n">
        <v>0</v>
      </c>
      <c r="H405" s="2" t="n">
        <v>141131.76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0</v>
      </c>
      <c r="BO405" s="2" t="n">
        <v>0</v>
      </c>
      <c r="BP405" s="2" t="n">
        <v>0</v>
      </c>
      <c r="BQ405" s="2" t="n">
        <v>0</v>
      </c>
      <c r="BR405" s="2" t="n">
        <v>0</v>
      </c>
      <c r="BS405" s="2" t="n">
        <v>0</v>
      </c>
      <c r="BT405" s="2" t="n">
        <v>0</v>
      </c>
      <c r="BU405" s="2" t="n">
        <v>0</v>
      </c>
      <c r="BV405" s="2" t="n">
        <v>0</v>
      </c>
      <c r="BW405" s="2" t="n">
        <v>0</v>
      </c>
      <c r="BX405" s="2" t="n">
        <v>0</v>
      </c>
      <c r="BY405" s="2" t="n">
        <v>0</v>
      </c>
      <c r="BZ405" s="2" t="n">
        <v>0</v>
      </c>
      <c r="CA405" s="2" t="n">
        <v>0</v>
      </c>
      <c r="CB405" s="2" t="n">
        <v>0</v>
      </c>
      <c r="CC405" s="2" t="n">
        <v>0</v>
      </c>
      <c r="CD405" s="2" t="n">
        <v>0</v>
      </c>
      <c r="CE405" s="2" t="n">
        <v>0</v>
      </c>
      <c r="CF405" s="2" t="n">
        <v>0</v>
      </c>
      <c r="CG405" s="2" t="n">
        <v>0</v>
      </c>
      <c r="CH405" s="2" t="n">
        <v>0</v>
      </c>
      <c r="CI405" s="2" t="n">
        <v>2.65</v>
      </c>
      <c r="CJ405" s="2" t="n">
        <v>3.97</v>
      </c>
      <c r="CK405" s="2" t="n">
        <v>0</v>
      </c>
      <c r="CL405" s="2" t="n">
        <v>8.199999999999999</v>
      </c>
      <c r="CM405" s="2" t="n">
        <v>9.52</v>
      </c>
      <c r="CN405" s="2" t="n">
        <v>0</v>
      </c>
      <c r="CO405" s="2" t="n">
        <v>13.49</v>
      </c>
      <c r="CP405" s="2" t="n">
        <v>17.2</v>
      </c>
      <c r="CQ405" s="2" t="n">
        <v>0</v>
      </c>
      <c r="CR405" s="2" t="n">
        <v>23.54</v>
      </c>
      <c r="CS405" s="2" t="n">
        <v>24.87</v>
      </c>
      <c r="CT405" s="2" t="n">
        <v>0</v>
      </c>
      <c r="CU405" s="2" t="n">
        <v>27.78</v>
      </c>
      <c r="CV405" s="2" t="n">
        <v>30.53</v>
      </c>
      <c r="CW405" s="2" t="n">
        <v>0</v>
      </c>
      <c r="CX405" s="2" t="n">
        <v>35</v>
      </c>
      <c r="CY405" s="2" t="n">
        <v>37.04</v>
      </c>
      <c r="CZ405" s="2" t="n">
        <v>0</v>
      </c>
      <c r="DA405" s="2" t="n">
        <v>41.27</v>
      </c>
      <c r="DB405" s="2" t="n">
        <v>43.54</v>
      </c>
      <c r="DC405" s="2" t="n">
        <v>0</v>
      </c>
      <c r="DD405" s="2" t="n">
        <v>54.32</v>
      </c>
      <c r="DE405" s="2" t="n">
        <v>56.56</v>
      </c>
      <c r="DF405" s="2" t="n">
        <v>0</v>
      </c>
      <c r="DG405" s="2" t="n">
        <v>63.54</v>
      </c>
      <c r="DH405" s="2" t="n">
        <v>65.38</v>
      </c>
      <c r="DI405" s="2" t="n">
        <v>0</v>
      </c>
      <c r="DJ405" s="2" t="n">
        <v>72.54000000000001</v>
      </c>
      <c r="DK405" s="2" t="n">
        <v>81.36</v>
      </c>
      <c r="DL405" s="2" t="n">
        <v>0</v>
      </c>
      <c r="DM405" s="2" t="n">
        <v>86.23999999999999</v>
      </c>
      <c r="DN405" s="2" t="n">
        <v>94.76000000000001</v>
      </c>
      <c r="DO405" s="2" t="n">
        <v>0</v>
      </c>
      <c r="DP405" s="2" t="n">
        <v>97.45999999999999</v>
      </c>
      <c r="DQ405" s="2" t="n">
        <v>97.62</v>
      </c>
      <c r="DR405" s="2" t="n">
        <v>0</v>
      </c>
      <c r="DS405" s="2" t="n">
        <v>98.41</v>
      </c>
      <c r="DT405" s="2" t="n">
        <v>99.73999999999999</v>
      </c>
      <c r="DU405" s="2" t="n">
        <v>0</v>
      </c>
      <c r="DV405" s="2" t="n">
        <v>100</v>
      </c>
      <c r="DW405" s="2" t="n">
        <v>100</v>
      </c>
      <c r="DX405" s="2" t="n">
        <v>0</v>
      </c>
      <c r="DY405" s="2" t="n">
        <v>100</v>
      </c>
      <c r="DZ405" s="2" t="n">
        <v>100</v>
      </c>
      <c r="EA405" s="2" t="n">
        <v>0</v>
      </c>
      <c r="EB405" s="2" t="n">
        <v>100</v>
      </c>
      <c r="EC405" s="2" t="n">
        <v>100</v>
      </c>
      <c r="ED405" s="2" t="n">
        <v>0</v>
      </c>
      <c r="EE405" s="2" t="n">
        <v>100</v>
      </c>
      <c r="EF405" s="2" t="n">
        <v>100</v>
      </c>
      <c r="EG405" s="2" t="n">
        <v>0</v>
      </c>
      <c r="EH405" s="2" t="n">
        <v>100</v>
      </c>
      <c r="EI405" s="2" t="n">
        <v>100</v>
      </c>
      <c r="EJ405" s="2" t="n">
        <v>0</v>
      </c>
      <c r="EK405" s="2" t="n">
        <v>100</v>
      </c>
      <c r="EL405" s="2" t="n">
        <v>100</v>
      </c>
      <c r="EM405" s="2" t="n">
        <v>0</v>
      </c>
      <c r="EN405" s="2" t="n">
        <v>100</v>
      </c>
      <c r="EO405" s="2" t="n">
        <v>100</v>
      </c>
      <c r="EP405" s="2" t="n">
        <v>0</v>
      </c>
      <c r="EQ405" s="2" t="n">
        <v>100</v>
      </c>
      <c r="ER405" s="2" t="n">
        <v>100</v>
      </c>
      <c r="ES405" s="2" t="n">
        <v>0</v>
      </c>
    </row>
    <row r="406">
      <c r="A406" s="2" t="n">
        <v>3</v>
      </c>
      <c r="B406" s="2" t="inlineStr">
        <is>
          <t>19.01.06</t>
        </is>
      </c>
      <c r="C406" s="2" t="inlineStr">
        <is>
          <t>Barrilete</t>
        </is>
      </c>
      <c r="D406" s="2" t="inlineStr">
        <is>
          <t>11/08/2027</t>
        </is>
      </c>
      <c r="E406" s="2" t="inlineStr">
        <is>
          <t>01/09/2028</t>
        </is>
      </c>
      <c r="F406" s="2" t="n">
        <v>3033.09776</v>
      </c>
      <c r="G406" s="2" t="n">
        <v>0</v>
      </c>
      <c r="H406" s="2" t="n">
        <v>3033.09776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0</v>
      </c>
      <c r="BO406" s="2" t="n">
        <v>0</v>
      </c>
      <c r="BP406" s="2" t="n">
        <v>0</v>
      </c>
      <c r="BQ406" s="2" t="n">
        <v>0</v>
      </c>
      <c r="BR406" s="2" t="n">
        <v>0</v>
      </c>
      <c r="BS406" s="2" t="n">
        <v>0</v>
      </c>
      <c r="BT406" s="2" t="n">
        <v>0</v>
      </c>
      <c r="BU406" s="2" t="n">
        <v>0</v>
      </c>
      <c r="BV406" s="2" t="n">
        <v>0</v>
      </c>
      <c r="BW406" s="2" t="n">
        <v>0</v>
      </c>
      <c r="BX406" s="2" t="n">
        <v>0</v>
      </c>
      <c r="BY406" s="2" t="n">
        <v>0</v>
      </c>
      <c r="BZ406" s="2" t="n">
        <v>0</v>
      </c>
      <c r="CA406" s="2" t="n">
        <v>0</v>
      </c>
      <c r="CB406" s="2" t="n">
        <v>0</v>
      </c>
      <c r="CC406" s="2" t="n">
        <v>0</v>
      </c>
      <c r="CD406" s="2" t="n">
        <v>0</v>
      </c>
      <c r="CE406" s="2" t="n">
        <v>0</v>
      </c>
      <c r="CF406" s="2" t="n">
        <v>0</v>
      </c>
      <c r="CG406" s="2" t="n">
        <v>0</v>
      </c>
      <c r="CH406" s="2" t="n">
        <v>0</v>
      </c>
      <c r="CI406" s="2" t="n">
        <v>2.65</v>
      </c>
      <c r="CJ406" s="2" t="n">
        <v>3.97</v>
      </c>
      <c r="CK406" s="2" t="n">
        <v>0</v>
      </c>
      <c r="CL406" s="2" t="n">
        <v>8.199999999999999</v>
      </c>
      <c r="CM406" s="2" t="n">
        <v>9.52</v>
      </c>
      <c r="CN406" s="2" t="n">
        <v>0</v>
      </c>
      <c r="CO406" s="2" t="n">
        <v>13.49</v>
      </c>
      <c r="CP406" s="2" t="n">
        <v>17.2</v>
      </c>
      <c r="CQ406" s="2" t="n">
        <v>0</v>
      </c>
      <c r="CR406" s="2" t="n">
        <v>23.54</v>
      </c>
      <c r="CS406" s="2" t="n">
        <v>24.87</v>
      </c>
      <c r="CT406" s="2" t="n">
        <v>0</v>
      </c>
      <c r="CU406" s="2" t="n">
        <v>27.78</v>
      </c>
      <c r="CV406" s="2" t="n">
        <v>30.53</v>
      </c>
      <c r="CW406" s="2" t="n">
        <v>0</v>
      </c>
      <c r="CX406" s="2" t="n">
        <v>35</v>
      </c>
      <c r="CY406" s="2" t="n">
        <v>37.04</v>
      </c>
      <c r="CZ406" s="2" t="n">
        <v>0</v>
      </c>
      <c r="DA406" s="2" t="n">
        <v>41.27</v>
      </c>
      <c r="DB406" s="2" t="n">
        <v>43.54</v>
      </c>
      <c r="DC406" s="2" t="n">
        <v>0</v>
      </c>
      <c r="DD406" s="2" t="n">
        <v>54.32</v>
      </c>
      <c r="DE406" s="2" t="n">
        <v>56.56</v>
      </c>
      <c r="DF406" s="2" t="n">
        <v>0</v>
      </c>
      <c r="DG406" s="2" t="n">
        <v>63.54</v>
      </c>
      <c r="DH406" s="2" t="n">
        <v>65.38</v>
      </c>
      <c r="DI406" s="2" t="n">
        <v>0</v>
      </c>
      <c r="DJ406" s="2" t="n">
        <v>72.54000000000001</v>
      </c>
      <c r="DK406" s="2" t="n">
        <v>81.36</v>
      </c>
      <c r="DL406" s="2" t="n">
        <v>0</v>
      </c>
      <c r="DM406" s="2" t="n">
        <v>86.23999999999999</v>
      </c>
      <c r="DN406" s="2" t="n">
        <v>94.76000000000001</v>
      </c>
      <c r="DO406" s="2" t="n">
        <v>0</v>
      </c>
      <c r="DP406" s="2" t="n">
        <v>97.45999999999999</v>
      </c>
      <c r="DQ406" s="2" t="n">
        <v>97.62</v>
      </c>
      <c r="DR406" s="2" t="n">
        <v>0</v>
      </c>
      <c r="DS406" s="2" t="n">
        <v>98.41</v>
      </c>
      <c r="DT406" s="2" t="n">
        <v>99.73999999999999</v>
      </c>
      <c r="DU406" s="2" t="n">
        <v>0</v>
      </c>
      <c r="DV406" s="2" t="n">
        <v>100</v>
      </c>
      <c r="DW406" s="2" t="n">
        <v>100</v>
      </c>
      <c r="DX406" s="2" t="n">
        <v>0</v>
      </c>
      <c r="DY406" s="2" t="n">
        <v>100</v>
      </c>
      <c r="DZ406" s="2" t="n">
        <v>100</v>
      </c>
      <c r="EA406" s="2" t="n">
        <v>0</v>
      </c>
      <c r="EB406" s="2" t="n">
        <v>100</v>
      </c>
      <c r="EC406" s="2" t="n">
        <v>100</v>
      </c>
      <c r="ED406" s="2" t="n">
        <v>0</v>
      </c>
      <c r="EE406" s="2" t="n">
        <v>100</v>
      </c>
      <c r="EF406" s="2" t="n">
        <v>100</v>
      </c>
      <c r="EG406" s="2" t="n">
        <v>0</v>
      </c>
      <c r="EH406" s="2" t="n">
        <v>100</v>
      </c>
      <c r="EI406" s="2" t="n">
        <v>100</v>
      </c>
      <c r="EJ406" s="2" t="n">
        <v>0</v>
      </c>
      <c r="EK406" s="2" t="n">
        <v>100</v>
      </c>
      <c r="EL406" s="2" t="n">
        <v>100</v>
      </c>
      <c r="EM406" s="2" t="n">
        <v>0</v>
      </c>
      <c r="EN406" s="2" t="n">
        <v>100</v>
      </c>
      <c r="EO406" s="2" t="n">
        <v>100</v>
      </c>
      <c r="EP406" s="2" t="n">
        <v>0</v>
      </c>
      <c r="EQ406" s="2" t="n">
        <v>100</v>
      </c>
      <c r="ER406" s="2" t="n">
        <v>100</v>
      </c>
      <c r="ES406" s="2" t="n">
        <v>0</v>
      </c>
    </row>
    <row r="407">
      <c r="A407" s="2" t="n">
        <v>3</v>
      </c>
      <c r="B407" s="2" t="inlineStr">
        <is>
          <t>19.01.07</t>
        </is>
      </c>
      <c r="C407" s="2" t="inlineStr">
        <is>
          <t>ARS</t>
        </is>
      </c>
      <c r="D407" s="2" t="inlineStr">
        <is>
          <t>11/08/2027</t>
        </is>
      </c>
      <c r="E407" s="2" t="inlineStr">
        <is>
          <t>01/09/2028</t>
        </is>
      </c>
      <c r="F407" s="2" t="n">
        <v>826.98</v>
      </c>
      <c r="G407" s="2" t="n">
        <v>0</v>
      </c>
      <c r="H407" s="2" t="n">
        <v>826.98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0</v>
      </c>
      <c r="BO407" s="2" t="n">
        <v>0</v>
      </c>
      <c r="BP407" s="2" t="n">
        <v>0</v>
      </c>
      <c r="BQ407" s="2" t="n">
        <v>0</v>
      </c>
      <c r="BR407" s="2" t="n">
        <v>0</v>
      </c>
      <c r="BS407" s="2" t="n">
        <v>0</v>
      </c>
      <c r="BT407" s="2" t="n">
        <v>0</v>
      </c>
      <c r="BU407" s="2" t="n">
        <v>0</v>
      </c>
      <c r="BV407" s="2" t="n">
        <v>0</v>
      </c>
      <c r="BW407" s="2" t="n">
        <v>0</v>
      </c>
      <c r="BX407" s="2" t="n">
        <v>0</v>
      </c>
      <c r="BY407" s="2" t="n">
        <v>0</v>
      </c>
      <c r="BZ407" s="2" t="n">
        <v>0</v>
      </c>
      <c r="CA407" s="2" t="n">
        <v>0</v>
      </c>
      <c r="CB407" s="2" t="n">
        <v>0</v>
      </c>
      <c r="CC407" s="2" t="n">
        <v>0</v>
      </c>
      <c r="CD407" s="2" t="n">
        <v>0</v>
      </c>
      <c r="CE407" s="2" t="n">
        <v>0</v>
      </c>
      <c r="CF407" s="2" t="n">
        <v>0</v>
      </c>
      <c r="CG407" s="2" t="n">
        <v>0</v>
      </c>
      <c r="CH407" s="2" t="n">
        <v>0</v>
      </c>
      <c r="CI407" s="2" t="n">
        <v>2.65</v>
      </c>
      <c r="CJ407" s="2" t="n">
        <v>3.97</v>
      </c>
      <c r="CK407" s="2" t="n">
        <v>0</v>
      </c>
      <c r="CL407" s="2" t="n">
        <v>8.199999999999999</v>
      </c>
      <c r="CM407" s="2" t="n">
        <v>9.52</v>
      </c>
      <c r="CN407" s="2" t="n">
        <v>0</v>
      </c>
      <c r="CO407" s="2" t="n">
        <v>13.49</v>
      </c>
      <c r="CP407" s="2" t="n">
        <v>17.2</v>
      </c>
      <c r="CQ407" s="2" t="n">
        <v>0</v>
      </c>
      <c r="CR407" s="2" t="n">
        <v>23.54</v>
      </c>
      <c r="CS407" s="2" t="n">
        <v>24.87</v>
      </c>
      <c r="CT407" s="2" t="n">
        <v>0</v>
      </c>
      <c r="CU407" s="2" t="n">
        <v>27.78</v>
      </c>
      <c r="CV407" s="2" t="n">
        <v>30.53</v>
      </c>
      <c r="CW407" s="2" t="n">
        <v>0</v>
      </c>
      <c r="CX407" s="2" t="n">
        <v>35</v>
      </c>
      <c r="CY407" s="2" t="n">
        <v>37.04</v>
      </c>
      <c r="CZ407" s="2" t="n">
        <v>0</v>
      </c>
      <c r="DA407" s="2" t="n">
        <v>41.27</v>
      </c>
      <c r="DB407" s="2" t="n">
        <v>43.54</v>
      </c>
      <c r="DC407" s="2" t="n">
        <v>0</v>
      </c>
      <c r="DD407" s="2" t="n">
        <v>54.32</v>
      </c>
      <c r="DE407" s="2" t="n">
        <v>56.56</v>
      </c>
      <c r="DF407" s="2" t="n">
        <v>0</v>
      </c>
      <c r="DG407" s="2" t="n">
        <v>63.54</v>
      </c>
      <c r="DH407" s="2" t="n">
        <v>65.38</v>
      </c>
      <c r="DI407" s="2" t="n">
        <v>0</v>
      </c>
      <c r="DJ407" s="2" t="n">
        <v>72.54000000000001</v>
      </c>
      <c r="DK407" s="2" t="n">
        <v>81.36</v>
      </c>
      <c r="DL407" s="2" t="n">
        <v>0</v>
      </c>
      <c r="DM407" s="2" t="n">
        <v>86.23999999999999</v>
      </c>
      <c r="DN407" s="2" t="n">
        <v>94.76000000000001</v>
      </c>
      <c r="DO407" s="2" t="n">
        <v>0</v>
      </c>
      <c r="DP407" s="2" t="n">
        <v>97.45999999999999</v>
      </c>
      <c r="DQ407" s="2" t="n">
        <v>97.62</v>
      </c>
      <c r="DR407" s="2" t="n">
        <v>0</v>
      </c>
      <c r="DS407" s="2" t="n">
        <v>98.41</v>
      </c>
      <c r="DT407" s="2" t="n">
        <v>99.73999999999999</v>
      </c>
      <c r="DU407" s="2" t="n">
        <v>0</v>
      </c>
      <c r="DV407" s="2" t="n">
        <v>100</v>
      </c>
      <c r="DW407" s="2" t="n">
        <v>100</v>
      </c>
      <c r="DX407" s="2" t="n">
        <v>0</v>
      </c>
      <c r="DY407" s="2" t="n">
        <v>100</v>
      </c>
      <c r="DZ407" s="2" t="n">
        <v>100</v>
      </c>
      <c r="EA407" s="2" t="n">
        <v>0</v>
      </c>
      <c r="EB407" s="2" t="n">
        <v>100</v>
      </c>
      <c r="EC407" s="2" t="n">
        <v>100</v>
      </c>
      <c r="ED407" s="2" t="n">
        <v>0</v>
      </c>
      <c r="EE407" s="2" t="n">
        <v>100</v>
      </c>
      <c r="EF407" s="2" t="n">
        <v>100</v>
      </c>
      <c r="EG407" s="2" t="n">
        <v>0</v>
      </c>
      <c r="EH407" s="2" t="n">
        <v>100</v>
      </c>
      <c r="EI407" s="2" t="n">
        <v>100</v>
      </c>
      <c r="EJ407" s="2" t="n">
        <v>0</v>
      </c>
      <c r="EK407" s="2" t="n">
        <v>100</v>
      </c>
      <c r="EL407" s="2" t="n">
        <v>100</v>
      </c>
      <c r="EM407" s="2" t="n">
        <v>0</v>
      </c>
      <c r="EN407" s="2" t="n">
        <v>100</v>
      </c>
      <c r="EO407" s="2" t="n">
        <v>100</v>
      </c>
      <c r="EP407" s="2" t="n">
        <v>0</v>
      </c>
      <c r="EQ407" s="2" t="n">
        <v>100</v>
      </c>
      <c r="ER407" s="2" t="n">
        <v>100</v>
      </c>
      <c r="ES407" s="2" t="n">
        <v>0</v>
      </c>
    </row>
    <row r="408">
      <c r="A408" s="2" t="n">
        <v>3</v>
      </c>
      <c r="B408" s="2" t="inlineStr">
        <is>
          <t>19.01.08</t>
        </is>
      </c>
      <c r="C408" s="2" t="inlineStr">
        <is>
          <t>Dml</t>
        </is>
      </c>
      <c r="D408" s="2" t="inlineStr">
        <is>
          <t>11/08/2027</t>
        </is>
      </c>
      <c r="E408" s="2" t="inlineStr">
        <is>
          <t>01/09/2028</t>
        </is>
      </c>
      <c r="F408" s="2" t="n">
        <v>22671.88</v>
      </c>
      <c r="G408" s="2" t="n">
        <v>0</v>
      </c>
      <c r="H408" s="2" t="n">
        <v>22671.88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0</v>
      </c>
      <c r="CG408" s="2" t="n">
        <v>0</v>
      </c>
      <c r="CH408" s="2" t="n">
        <v>0</v>
      </c>
      <c r="CI408" s="2" t="n">
        <v>2.65</v>
      </c>
      <c r="CJ408" s="2" t="n">
        <v>3.97</v>
      </c>
      <c r="CK408" s="2" t="n">
        <v>0</v>
      </c>
      <c r="CL408" s="2" t="n">
        <v>8.199999999999999</v>
      </c>
      <c r="CM408" s="2" t="n">
        <v>9.52</v>
      </c>
      <c r="CN408" s="2" t="n">
        <v>0</v>
      </c>
      <c r="CO408" s="2" t="n">
        <v>13.49</v>
      </c>
      <c r="CP408" s="2" t="n">
        <v>17.2</v>
      </c>
      <c r="CQ408" s="2" t="n">
        <v>0</v>
      </c>
      <c r="CR408" s="2" t="n">
        <v>23.54</v>
      </c>
      <c r="CS408" s="2" t="n">
        <v>24.87</v>
      </c>
      <c r="CT408" s="2" t="n">
        <v>0</v>
      </c>
      <c r="CU408" s="2" t="n">
        <v>27.78</v>
      </c>
      <c r="CV408" s="2" t="n">
        <v>30.53</v>
      </c>
      <c r="CW408" s="2" t="n">
        <v>0</v>
      </c>
      <c r="CX408" s="2" t="n">
        <v>35</v>
      </c>
      <c r="CY408" s="2" t="n">
        <v>37.04</v>
      </c>
      <c r="CZ408" s="2" t="n">
        <v>0</v>
      </c>
      <c r="DA408" s="2" t="n">
        <v>41.27</v>
      </c>
      <c r="DB408" s="2" t="n">
        <v>43.54</v>
      </c>
      <c r="DC408" s="2" t="n">
        <v>0</v>
      </c>
      <c r="DD408" s="2" t="n">
        <v>54.32</v>
      </c>
      <c r="DE408" s="2" t="n">
        <v>56.56</v>
      </c>
      <c r="DF408" s="2" t="n">
        <v>0</v>
      </c>
      <c r="DG408" s="2" t="n">
        <v>63.54</v>
      </c>
      <c r="DH408" s="2" t="n">
        <v>65.38</v>
      </c>
      <c r="DI408" s="2" t="n">
        <v>0</v>
      </c>
      <c r="DJ408" s="2" t="n">
        <v>72.54000000000001</v>
      </c>
      <c r="DK408" s="2" t="n">
        <v>81.36</v>
      </c>
      <c r="DL408" s="2" t="n">
        <v>0</v>
      </c>
      <c r="DM408" s="2" t="n">
        <v>86.23999999999999</v>
      </c>
      <c r="DN408" s="2" t="n">
        <v>94.76000000000001</v>
      </c>
      <c r="DO408" s="2" t="n">
        <v>0</v>
      </c>
      <c r="DP408" s="2" t="n">
        <v>97.45999999999999</v>
      </c>
      <c r="DQ408" s="2" t="n">
        <v>97.62</v>
      </c>
      <c r="DR408" s="2" t="n">
        <v>0</v>
      </c>
      <c r="DS408" s="2" t="n">
        <v>98.41</v>
      </c>
      <c r="DT408" s="2" t="n">
        <v>99.73999999999999</v>
      </c>
      <c r="DU408" s="2" t="n">
        <v>0</v>
      </c>
      <c r="DV408" s="2" t="n">
        <v>100</v>
      </c>
      <c r="DW408" s="2" t="n">
        <v>100</v>
      </c>
      <c r="DX408" s="2" t="n">
        <v>0</v>
      </c>
      <c r="DY408" s="2" t="n">
        <v>100</v>
      </c>
      <c r="DZ408" s="2" t="n">
        <v>100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</row>
    <row r="409">
      <c r="A409" s="2" t="n">
        <v>3</v>
      </c>
      <c r="B409" s="2" t="inlineStr">
        <is>
          <t>19.01.09</t>
        </is>
      </c>
      <c r="C409" s="2" t="inlineStr">
        <is>
          <t>Laje em área de reservatório de fibra lojas</t>
        </is>
      </c>
      <c r="D409" s="2" t="inlineStr">
        <is>
          <t>11/08/2027</t>
        </is>
      </c>
      <c r="E409" s="2" t="inlineStr">
        <is>
          <t>01/09/2028</t>
        </is>
      </c>
      <c r="F409" s="2" t="n">
        <v>12062.82</v>
      </c>
      <c r="G409" s="2" t="n">
        <v>0</v>
      </c>
      <c r="H409" s="2" t="n">
        <v>12062.82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0</v>
      </c>
      <c r="CG409" s="2" t="n">
        <v>0</v>
      </c>
      <c r="CH409" s="2" t="n">
        <v>0</v>
      </c>
      <c r="CI409" s="2" t="n">
        <v>2.65</v>
      </c>
      <c r="CJ409" s="2" t="n">
        <v>3.97</v>
      </c>
      <c r="CK409" s="2" t="n">
        <v>0</v>
      </c>
      <c r="CL409" s="2" t="n">
        <v>8.199999999999999</v>
      </c>
      <c r="CM409" s="2" t="n">
        <v>9.52</v>
      </c>
      <c r="CN409" s="2" t="n">
        <v>0</v>
      </c>
      <c r="CO409" s="2" t="n">
        <v>13.49</v>
      </c>
      <c r="CP409" s="2" t="n">
        <v>17.2</v>
      </c>
      <c r="CQ409" s="2" t="n">
        <v>0</v>
      </c>
      <c r="CR409" s="2" t="n">
        <v>23.54</v>
      </c>
      <c r="CS409" s="2" t="n">
        <v>24.87</v>
      </c>
      <c r="CT409" s="2" t="n">
        <v>0</v>
      </c>
      <c r="CU409" s="2" t="n">
        <v>27.78</v>
      </c>
      <c r="CV409" s="2" t="n">
        <v>30.53</v>
      </c>
      <c r="CW409" s="2" t="n">
        <v>0</v>
      </c>
      <c r="CX409" s="2" t="n">
        <v>35</v>
      </c>
      <c r="CY409" s="2" t="n">
        <v>37.04</v>
      </c>
      <c r="CZ409" s="2" t="n">
        <v>0</v>
      </c>
      <c r="DA409" s="2" t="n">
        <v>41.27</v>
      </c>
      <c r="DB409" s="2" t="n">
        <v>43.54</v>
      </c>
      <c r="DC409" s="2" t="n">
        <v>0</v>
      </c>
      <c r="DD409" s="2" t="n">
        <v>54.32</v>
      </c>
      <c r="DE409" s="2" t="n">
        <v>56.56</v>
      </c>
      <c r="DF409" s="2" t="n">
        <v>0</v>
      </c>
      <c r="DG409" s="2" t="n">
        <v>63.54</v>
      </c>
      <c r="DH409" s="2" t="n">
        <v>65.38</v>
      </c>
      <c r="DI409" s="2" t="n">
        <v>0</v>
      </c>
      <c r="DJ409" s="2" t="n">
        <v>72.54000000000001</v>
      </c>
      <c r="DK409" s="2" t="n">
        <v>81.36</v>
      </c>
      <c r="DL409" s="2" t="n">
        <v>0</v>
      </c>
      <c r="DM409" s="2" t="n">
        <v>86.23999999999999</v>
      </c>
      <c r="DN409" s="2" t="n">
        <v>94.76000000000001</v>
      </c>
      <c r="DO409" s="2" t="n">
        <v>0</v>
      </c>
      <c r="DP409" s="2" t="n">
        <v>97.45999999999999</v>
      </c>
      <c r="DQ409" s="2" t="n">
        <v>97.62</v>
      </c>
      <c r="DR409" s="2" t="n">
        <v>0</v>
      </c>
      <c r="DS409" s="2" t="n">
        <v>98.41</v>
      </c>
      <c r="DT409" s="2" t="n">
        <v>99.73999999999999</v>
      </c>
      <c r="DU409" s="2" t="n">
        <v>0</v>
      </c>
      <c r="DV409" s="2" t="n">
        <v>100</v>
      </c>
      <c r="DW409" s="2" t="n">
        <v>100</v>
      </c>
      <c r="DX409" s="2" t="n">
        <v>0</v>
      </c>
      <c r="DY409" s="2" t="n">
        <v>100</v>
      </c>
      <c r="DZ409" s="2" t="n">
        <v>100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</row>
    <row r="410">
      <c r="A410" s="2" t="n">
        <v>3</v>
      </c>
      <c r="B410" s="2" t="inlineStr">
        <is>
          <t>19.01.10</t>
        </is>
      </c>
      <c r="C410" s="2" t="inlineStr">
        <is>
          <t>Cantoneira de alumínio/ Galvaizada 2x2" fixada com parafuso e bucha S6 a cada 30cm</t>
        </is>
      </c>
      <c r="D410" s="2" t="inlineStr">
        <is>
          <t>11/08/2027</t>
        </is>
      </c>
      <c r="E410" s="2" t="inlineStr">
        <is>
          <t>01/09/2028</t>
        </is>
      </c>
      <c r="F410" s="2" t="n">
        <v>118819.44</v>
      </c>
      <c r="G410" s="2" t="n">
        <v>0</v>
      </c>
      <c r="H410" s="2" t="n">
        <v>118819.44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0</v>
      </c>
      <c r="CG410" s="2" t="n">
        <v>0</v>
      </c>
      <c r="CH410" s="2" t="n">
        <v>0</v>
      </c>
      <c r="CI410" s="2" t="n">
        <v>2.65</v>
      </c>
      <c r="CJ410" s="2" t="n">
        <v>3.97</v>
      </c>
      <c r="CK410" s="2" t="n">
        <v>0</v>
      </c>
      <c r="CL410" s="2" t="n">
        <v>8.199999999999999</v>
      </c>
      <c r="CM410" s="2" t="n">
        <v>9.52</v>
      </c>
      <c r="CN410" s="2" t="n">
        <v>0</v>
      </c>
      <c r="CO410" s="2" t="n">
        <v>13.49</v>
      </c>
      <c r="CP410" s="2" t="n">
        <v>17.2</v>
      </c>
      <c r="CQ410" s="2" t="n">
        <v>0</v>
      </c>
      <c r="CR410" s="2" t="n">
        <v>23.54</v>
      </c>
      <c r="CS410" s="2" t="n">
        <v>24.87</v>
      </c>
      <c r="CT410" s="2" t="n">
        <v>0</v>
      </c>
      <c r="CU410" s="2" t="n">
        <v>27.78</v>
      </c>
      <c r="CV410" s="2" t="n">
        <v>30.53</v>
      </c>
      <c r="CW410" s="2" t="n">
        <v>0</v>
      </c>
      <c r="CX410" s="2" t="n">
        <v>35</v>
      </c>
      <c r="CY410" s="2" t="n">
        <v>37.04</v>
      </c>
      <c r="CZ410" s="2" t="n">
        <v>0</v>
      </c>
      <c r="DA410" s="2" t="n">
        <v>41.27</v>
      </c>
      <c r="DB410" s="2" t="n">
        <v>43.54</v>
      </c>
      <c r="DC410" s="2" t="n">
        <v>0</v>
      </c>
      <c r="DD410" s="2" t="n">
        <v>54.32</v>
      </c>
      <c r="DE410" s="2" t="n">
        <v>56.56</v>
      </c>
      <c r="DF410" s="2" t="n">
        <v>0</v>
      </c>
      <c r="DG410" s="2" t="n">
        <v>63.54</v>
      </c>
      <c r="DH410" s="2" t="n">
        <v>65.38</v>
      </c>
      <c r="DI410" s="2" t="n">
        <v>0</v>
      </c>
      <c r="DJ410" s="2" t="n">
        <v>72.54000000000001</v>
      </c>
      <c r="DK410" s="2" t="n">
        <v>81.36</v>
      </c>
      <c r="DL410" s="2" t="n">
        <v>0</v>
      </c>
      <c r="DM410" s="2" t="n">
        <v>86.23999999999999</v>
      </c>
      <c r="DN410" s="2" t="n">
        <v>94.76000000000001</v>
      </c>
      <c r="DO410" s="2" t="n">
        <v>0</v>
      </c>
      <c r="DP410" s="2" t="n">
        <v>97.45999999999999</v>
      </c>
      <c r="DQ410" s="2" t="n">
        <v>97.62</v>
      </c>
      <c r="DR410" s="2" t="n">
        <v>0</v>
      </c>
      <c r="DS410" s="2" t="n">
        <v>98.41</v>
      </c>
      <c r="DT410" s="2" t="n">
        <v>99.73999999999999</v>
      </c>
      <c r="DU410" s="2" t="n">
        <v>0</v>
      </c>
      <c r="DV410" s="2" t="n">
        <v>100</v>
      </c>
      <c r="DW410" s="2" t="n">
        <v>100</v>
      </c>
      <c r="DX410" s="2" t="n">
        <v>0</v>
      </c>
      <c r="DY410" s="2" t="n">
        <v>100</v>
      </c>
      <c r="DZ410" s="2" t="n">
        <v>100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</row>
    <row r="411">
      <c r="A411" s="2" t="n">
        <v>3</v>
      </c>
      <c r="B411" s="2" t="inlineStr">
        <is>
          <t>19.01.11</t>
        </is>
      </c>
      <c r="C411" s="2" t="inlineStr">
        <is>
          <t>Virada reforçada  e vedada com mastique de poliuretano (PU) obs.: O mesmo tratamento é recomendado para o encontro entre a placa de drywall e a parede de alvaneria com incremento neste caso de um limitador de profundidade (tarucel) prévio, sob PU</t>
        </is>
      </c>
      <c r="D411" s="2" t="inlineStr">
        <is>
          <t>11/08/2027</t>
        </is>
      </c>
      <c r="E411" s="2" t="inlineStr">
        <is>
          <t>01/09/2028</t>
        </is>
      </c>
      <c r="F411" s="2" t="n">
        <v>80960.25051408444</v>
      </c>
      <c r="G411" s="2" t="n">
        <v>0</v>
      </c>
      <c r="H411" s="2" t="n">
        <v>80960.25051408444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0</v>
      </c>
      <c r="BO411" s="2" t="n">
        <v>0</v>
      </c>
      <c r="BP411" s="2" t="n">
        <v>0</v>
      </c>
      <c r="BQ411" s="2" t="n">
        <v>0</v>
      </c>
      <c r="BR411" s="2" t="n">
        <v>0</v>
      </c>
      <c r="BS411" s="2" t="n">
        <v>0</v>
      </c>
      <c r="BT411" s="2" t="n">
        <v>0</v>
      </c>
      <c r="BU411" s="2" t="n">
        <v>0</v>
      </c>
      <c r="BV411" s="2" t="n">
        <v>0</v>
      </c>
      <c r="BW411" s="2" t="n">
        <v>0</v>
      </c>
      <c r="BX411" s="2" t="n">
        <v>0</v>
      </c>
      <c r="BY411" s="2" t="n">
        <v>0</v>
      </c>
      <c r="BZ411" s="2" t="n">
        <v>0</v>
      </c>
      <c r="CA411" s="2" t="n">
        <v>0</v>
      </c>
      <c r="CB411" s="2" t="n">
        <v>0</v>
      </c>
      <c r="CC411" s="2" t="n">
        <v>0</v>
      </c>
      <c r="CD411" s="2" t="n">
        <v>0</v>
      </c>
      <c r="CE411" s="2" t="n">
        <v>0</v>
      </c>
      <c r="CF411" s="2" t="n">
        <v>0</v>
      </c>
      <c r="CG411" s="2" t="n">
        <v>0</v>
      </c>
      <c r="CH411" s="2" t="n">
        <v>0</v>
      </c>
      <c r="CI411" s="2" t="n">
        <v>2.65</v>
      </c>
      <c r="CJ411" s="2" t="n">
        <v>3.97</v>
      </c>
      <c r="CK411" s="2" t="n">
        <v>0</v>
      </c>
      <c r="CL411" s="2" t="n">
        <v>8.199999999999999</v>
      </c>
      <c r="CM411" s="2" t="n">
        <v>9.52</v>
      </c>
      <c r="CN411" s="2" t="n">
        <v>0</v>
      </c>
      <c r="CO411" s="2" t="n">
        <v>13.49</v>
      </c>
      <c r="CP411" s="2" t="n">
        <v>17.2</v>
      </c>
      <c r="CQ411" s="2" t="n">
        <v>0</v>
      </c>
      <c r="CR411" s="2" t="n">
        <v>23.54</v>
      </c>
      <c r="CS411" s="2" t="n">
        <v>24.87</v>
      </c>
      <c r="CT411" s="2" t="n">
        <v>0</v>
      </c>
      <c r="CU411" s="2" t="n">
        <v>27.78</v>
      </c>
      <c r="CV411" s="2" t="n">
        <v>30.53</v>
      </c>
      <c r="CW411" s="2" t="n">
        <v>0</v>
      </c>
      <c r="CX411" s="2" t="n">
        <v>35</v>
      </c>
      <c r="CY411" s="2" t="n">
        <v>37.04</v>
      </c>
      <c r="CZ411" s="2" t="n">
        <v>0</v>
      </c>
      <c r="DA411" s="2" t="n">
        <v>41.27</v>
      </c>
      <c r="DB411" s="2" t="n">
        <v>43.54</v>
      </c>
      <c r="DC411" s="2" t="n">
        <v>0</v>
      </c>
      <c r="DD411" s="2" t="n">
        <v>54.32</v>
      </c>
      <c r="DE411" s="2" t="n">
        <v>56.56</v>
      </c>
      <c r="DF411" s="2" t="n">
        <v>0</v>
      </c>
      <c r="DG411" s="2" t="n">
        <v>63.54</v>
      </c>
      <c r="DH411" s="2" t="n">
        <v>65.38</v>
      </c>
      <c r="DI411" s="2" t="n">
        <v>0</v>
      </c>
      <c r="DJ411" s="2" t="n">
        <v>72.54000000000001</v>
      </c>
      <c r="DK411" s="2" t="n">
        <v>81.36</v>
      </c>
      <c r="DL411" s="2" t="n">
        <v>0</v>
      </c>
      <c r="DM411" s="2" t="n">
        <v>86.23999999999999</v>
      </c>
      <c r="DN411" s="2" t="n">
        <v>94.76000000000001</v>
      </c>
      <c r="DO411" s="2" t="n">
        <v>0</v>
      </c>
      <c r="DP411" s="2" t="n">
        <v>97.45999999999999</v>
      </c>
      <c r="DQ411" s="2" t="n">
        <v>97.62</v>
      </c>
      <c r="DR411" s="2" t="n">
        <v>0</v>
      </c>
      <c r="DS411" s="2" t="n">
        <v>98.41</v>
      </c>
      <c r="DT411" s="2" t="n">
        <v>99.73999999999999</v>
      </c>
      <c r="DU411" s="2" t="n">
        <v>0</v>
      </c>
      <c r="DV411" s="2" t="n">
        <v>100</v>
      </c>
      <c r="DW411" s="2" t="n">
        <v>100</v>
      </c>
      <c r="DX411" s="2" t="n">
        <v>0</v>
      </c>
      <c r="DY411" s="2" t="n">
        <v>100</v>
      </c>
      <c r="DZ411" s="2" t="n">
        <v>100</v>
      </c>
      <c r="EA411" s="2" t="n">
        <v>0</v>
      </c>
      <c r="EB411" s="2" t="n">
        <v>100</v>
      </c>
      <c r="EC411" s="2" t="n">
        <v>100</v>
      </c>
      <c r="ED411" s="2" t="n">
        <v>0</v>
      </c>
      <c r="EE411" s="2" t="n">
        <v>100</v>
      </c>
      <c r="EF411" s="2" t="n">
        <v>100</v>
      </c>
      <c r="EG411" s="2" t="n">
        <v>0</v>
      </c>
      <c r="EH411" s="2" t="n">
        <v>100</v>
      </c>
      <c r="EI411" s="2" t="n">
        <v>100</v>
      </c>
      <c r="EJ411" s="2" t="n">
        <v>0</v>
      </c>
      <c r="EK411" s="2" t="n">
        <v>100</v>
      </c>
      <c r="EL411" s="2" t="n">
        <v>100</v>
      </c>
      <c r="EM411" s="2" t="n">
        <v>0</v>
      </c>
      <c r="EN411" s="2" t="n">
        <v>100</v>
      </c>
      <c r="EO411" s="2" t="n">
        <v>100</v>
      </c>
      <c r="EP411" s="2" t="n">
        <v>0</v>
      </c>
      <c r="EQ411" s="2" t="n">
        <v>100</v>
      </c>
      <c r="ER411" s="2" t="n">
        <v>100</v>
      </c>
      <c r="ES411" s="2" t="n">
        <v>0</v>
      </c>
    </row>
    <row r="412">
      <c r="A412" s="2" t="n">
        <v>3</v>
      </c>
      <c r="B412" s="2" t="inlineStr">
        <is>
          <t>19.01.12</t>
        </is>
      </c>
      <c r="C412" s="2" t="inlineStr">
        <is>
          <t>Impermabilização de ralos</t>
        </is>
      </c>
      <c r="D412" s="2" t="inlineStr">
        <is>
          <t>11/08/2027</t>
        </is>
      </c>
      <c r="E412" s="2" t="inlineStr">
        <is>
          <t>01/09/2028</t>
        </is>
      </c>
      <c r="F412" s="2" t="n">
        <v>48078.89507659033</v>
      </c>
      <c r="G412" s="2" t="n">
        <v>0</v>
      </c>
      <c r="H412" s="2" t="n">
        <v>48078.89507659033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0</v>
      </c>
      <c r="BO412" s="2" t="n">
        <v>0</v>
      </c>
      <c r="BP412" s="2" t="n">
        <v>0</v>
      </c>
      <c r="BQ412" s="2" t="n">
        <v>0</v>
      </c>
      <c r="BR412" s="2" t="n">
        <v>0</v>
      </c>
      <c r="BS412" s="2" t="n">
        <v>0</v>
      </c>
      <c r="BT412" s="2" t="n">
        <v>0</v>
      </c>
      <c r="BU412" s="2" t="n">
        <v>0</v>
      </c>
      <c r="BV412" s="2" t="n">
        <v>0</v>
      </c>
      <c r="BW412" s="2" t="n">
        <v>0</v>
      </c>
      <c r="BX412" s="2" t="n">
        <v>0</v>
      </c>
      <c r="BY412" s="2" t="n">
        <v>0</v>
      </c>
      <c r="BZ412" s="2" t="n">
        <v>0</v>
      </c>
      <c r="CA412" s="2" t="n">
        <v>0</v>
      </c>
      <c r="CB412" s="2" t="n">
        <v>0</v>
      </c>
      <c r="CC412" s="2" t="n">
        <v>0</v>
      </c>
      <c r="CD412" s="2" t="n">
        <v>0</v>
      </c>
      <c r="CE412" s="2" t="n">
        <v>0</v>
      </c>
      <c r="CF412" s="2" t="n">
        <v>0</v>
      </c>
      <c r="CG412" s="2" t="n">
        <v>0</v>
      </c>
      <c r="CH412" s="2" t="n">
        <v>0</v>
      </c>
      <c r="CI412" s="2" t="n">
        <v>2.65</v>
      </c>
      <c r="CJ412" s="2" t="n">
        <v>3.97</v>
      </c>
      <c r="CK412" s="2" t="n">
        <v>0</v>
      </c>
      <c r="CL412" s="2" t="n">
        <v>8.199999999999999</v>
      </c>
      <c r="CM412" s="2" t="n">
        <v>9.52</v>
      </c>
      <c r="CN412" s="2" t="n">
        <v>0</v>
      </c>
      <c r="CO412" s="2" t="n">
        <v>13.49</v>
      </c>
      <c r="CP412" s="2" t="n">
        <v>17.2</v>
      </c>
      <c r="CQ412" s="2" t="n">
        <v>0</v>
      </c>
      <c r="CR412" s="2" t="n">
        <v>23.54</v>
      </c>
      <c r="CS412" s="2" t="n">
        <v>24.87</v>
      </c>
      <c r="CT412" s="2" t="n">
        <v>0</v>
      </c>
      <c r="CU412" s="2" t="n">
        <v>27.78</v>
      </c>
      <c r="CV412" s="2" t="n">
        <v>30.53</v>
      </c>
      <c r="CW412" s="2" t="n">
        <v>0</v>
      </c>
      <c r="CX412" s="2" t="n">
        <v>35</v>
      </c>
      <c r="CY412" s="2" t="n">
        <v>37.04</v>
      </c>
      <c r="CZ412" s="2" t="n">
        <v>0</v>
      </c>
      <c r="DA412" s="2" t="n">
        <v>41.27</v>
      </c>
      <c r="DB412" s="2" t="n">
        <v>43.54</v>
      </c>
      <c r="DC412" s="2" t="n">
        <v>0</v>
      </c>
      <c r="DD412" s="2" t="n">
        <v>54.32</v>
      </c>
      <c r="DE412" s="2" t="n">
        <v>56.56</v>
      </c>
      <c r="DF412" s="2" t="n">
        <v>0</v>
      </c>
      <c r="DG412" s="2" t="n">
        <v>63.54</v>
      </c>
      <c r="DH412" s="2" t="n">
        <v>65.38</v>
      </c>
      <c r="DI412" s="2" t="n">
        <v>0</v>
      </c>
      <c r="DJ412" s="2" t="n">
        <v>72.54000000000001</v>
      </c>
      <c r="DK412" s="2" t="n">
        <v>81.36</v>
      </c>
      <c r="DL412" s="2" t="n">
        <v>0</v>
      </c>
      <c r="DM412" s="2" t="n">
        <v>86.23999999999999</v>
      </c>
      <c r="DN412" s="2" t="n">
        <v>94.76000000000001</v>
      </c>
      <c r="DO412" s="2" t="n">
        <v>0</v>
      </c>
      <c r="DP412" s="2" t="n">
        <v>97.45999999999999</v>
      </c>
      <c r="DQ412" s="2" t="n">
        <v>97.62</v>
      </c>
      <c r="DR412" s="2" t="n">
        <v>0</v>
      </c>
      <c r="DS412" s="2" t="n">
        <v>98.41</v>
      </c>
      <c r="DT412" s="2" t="n">
        <v>99.73999999999999</v>
      </c>
      <c r="DU412" s="2" t="n">
        <v>0</v>
      </c>
      <c r="DV412" s="2" t="n">
        <v>100</v>
      </c>
      <c r="DW412" s="2" t="n">
        <v>100</v>
      </c>
      <c r="DX412" s="2" t="n">
        <v>0</v>
      </c>
      <c r="DY412" s="2" t="n">
        <v>100</v>
      </c>
      <c r="DZ412" s="2" t="n">
        <v>100</v>
      </c>
      <c r="EA412" s="2" t="n">
        <v>0</v>
      </c>
      <c r="EB412" s="2" t="n">
        <v>100</v>
      </c>
      <c r="EC412" s="2" t="n">
        <v>100</v>
      </c>
      <c r="ED412" s="2" t="n">
        <v>0</v>
      </c>
      <c r="EE412" s="2" t="n">
        <v>100</v>
      </c>
      <c r="EF412" s="2" t="n">
        <v>100</v>
      </c>
      <c r="EG412" s="2" t="n">
        <v>0</v>
      </c>
      <c r="EH412" s="2" t="n">
        <v>100</v>
      </c>
      <c r="EI412" s="2" t="n">
        <v>100</v>
      </c>
      <c r="EJ412" s="2" t="n">
        <v>0</v>
      </c>
      <c r="EK412" s="2" t="n">
        <v>100</v>
      </c>
      <c r="EL412" s="2" t="n">
        <v>100</v>
      </c>
      <c r="EM412" s="2" t="n">
        <v>0</v>
      </c>
      <c r="EN412" s="2" t="n">
        <v>100</v>
      </c>
      <c r="EO412" s="2" t="n">
        <v>100</v>
      </c>
      <c r="EP412" s="2" t="n">
        <v>0</v>
      </c>
      <c r="EQ412" s="2" t="n">
        <v>100</v>
      </c>
      <c r="ER412" s="2" t="n">
        <v>100</v>
      </c>
      <c r="ES412" s="2" t="n">
        <v>0</v>
      </c>
    </row>
    <row r="413">
      <c r="A413" s="2" t="n">
        <v>2</v>
      </c>
      <c r="B413" s="2" t="inlineStr">
        <is>
          <t>19.02</t>
        </is>
      </c>
      <c r="C413" s="2" t="inlineStr">
        <is>
          <t>Resina acrílica de alto desempenho com camadas de impermeabilização rígido com consumo de 2,0kg/m2 e reforço com tela poliéster resinada malha de 3x3 e camadas de impermeabilizante flexível com consumo de 2,0kg/m2</t>
        </is>
      </c>
      <c r="D413" s="2" t="inlineStr">
        <is>
          <t>11/08/2027</t>
        </is>
      </c>
      <c r="E413" s="2" t="inlineStr">
        <is>
          <t>01/09/2028</t>
        </is>
      </c>
      <c r="F413" s="2" t="n">
        <v>579547.4566247793</v>
      </c>
      <c r="G413" s="2" t="n">
        <v>0</v>
      </c>
      <c r="H413" s="2" t="n">
        <v>579547.4566247793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2.65</v>
      </c>
      <c r="CJ413" s="2" t="n">
        <v>3.97</v>
      </c>
      <c r="CK413" s="2" t="n">
        <v>0</v>
      </c>
      <c r="CL413" s="2" t="n">
        <v>8.199999999999999</v>
      </c>
      <c r="CM413" s="2" t="n">
        <v>9.52</v>
      </c>
      <c r="CN413" s="2" t="n">
        <v>0</v>
      </c>
      <c r="CO413" s="2" t="n">
        <v>13.49</v>
      </c>
      <c r="CP413" s="2" t="n">
        <v>17.2</v>
      </c>
      <c r="CQ413" s="2" t="n">
        <v>0</v>
      </c>
      <c r="CR413" s="2" t="n">
        <v>23.54</v>
      </c>
      <c r="CS413" s="2" t="n">
        <v>24.87</v>
      </c>
      <c r="CT413" s="2" t="n">
        <v>0</v>
      </c>
      <c r="CU413" s="2" t="n">
        <v>27.78</v>
      </c>
      <c r="CV413" s="2" t="n">
        <v>30.53</v>
      </c>
      <c r="CW413" s="2" t="n">
        <v>0</v>
      </c>
      <c r="CX413" s="2" t="n">
        <v>35</v>
      </c>
      <c r="CY413" s="2" t="n">
        <v>37.04</v>
      </c>
      <c r="CZ413" s="2" t="n">
        <v>0</v>
      </c>
      <c r="DA413" s="2" t="n">
        <v>41.27</v>
      </c>
      <c r="DB413" s="2" t="n">
        <v>43.54</v>
      </c>
      <c r="DC413" s="2" t="n">
        <v>0</v>
      </c>
      <c r="DD413" s="2" t="n">
        <v>54.32</v>
      </c>
      <c r="DE413" s="2" t="n">
        <v>56.56</v>
      </c>
      <c r="DF413" s="2" t="n">
        <v>0</v>
      </c>
      <c r="DG413" s="2" t="n">
        <v>63.54</v>
      </c>
      <c r="DH413" s="2" t="n">
        <v>65.38</v>
      </c>
      <c r="DI413" s="2" t="n">
        <v>0</v>
      </c>
      <c r="DJ413" s="2" t="n">
        <v>72.54000000000001</v>
      </c>
      <c r="DK413" s="2" t="n">
        <v>81.36</v>
      </c>
      <c r="DL413" s="2" t="n">
        <v>0</v>
      </c>
      <c r="DM413" s="2" t="n">
        <v>86.23999999999999</v>
      </c>
      <c r="DN413" s="2" t="n">
        <v>94.76000000000001</v>
      </c>
      <c r="DO413" s="2" t="n">
        <v>0</v>
      </c>
      <c r="DP413" s="2" t="n">
        <v>97.45999999999999</v>
      </c>
      <c r="DQ413" s="2" t="n">
        <v>97.62</v>
      </c>
      <c r="DR413" s="2" t="n">
        <v>0</v>
      </c>
      <c r="DS413" s="2" t="n">
        <v>98.41</v>
      </c>
      <c r="DT413" s="2" t="n">
        <v>99.73999999999999</v>
      </c>
      <c r="DU413" s="2" t="n">
        <v>0</v>
      </c>
      <c r="DV413" s="2" t="n">
        <v>100</v>
      </c>
      <c r="DW413" s="2" t="n">
        <v>100</v>
      </c>
      <c r="DX413" s="2" t="n">
        <v>0</v>
      </c>
      <c r="DY413" s="2" t="n">
        <v>100</v>
      </c>
      <c r="DZ413" s="2" t="n">
        <v>100</v>
      </c>
      <c r="EA413" s="2" t="n">
        <v>0</v>
      </c>
      <c r="EB413" s="2" t="n">
        <v>100</v>
      </c>
      <c r="EC413" s="2" t="n">
        <v>100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</row>
    <row r="414">
      <c r="A414" s="2" t="n">
        <v>3</v>
      </c>
      <c r="B414" s="2" t="inlineStr">
        <is>
          <t>19.02.01</t>
        </is>
      </c>
      <c r="C414" s="2" t="inlineStr">
        <is>
          <t>Camada de regularização com argamassa de cimento e areia</t>
        </is>
      </c>
      <c r="D414" s="2" t="inlineStr">
        <is>
          <t>11/08/2027</t>
        </is>
      </c>
      <c r="E414" s="2" t="inlineStr">
        <is>
          <t>01/09/2028</t>
        </is>
      </c>
      <c r="F414" s="2" t="n">
        <v>131615.8707497793</v>
      </c>
      <c r="G414" s="2" t="n">
        <v>0</v>
      </c>
      <c r="H414" s="2" t="n">
        <v>131615.8707497793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2.65</v>
      </c>
      <c r="CJ414" s="2" t="n">
        <v>3.97</v>
      </c>
      <c r="CK414" s="2" t="n">
        <v>0</v>
      </c>
      <c r="CL414" s="2" t="n">
        <v>8.199999999999999</v>
      </c>
      <c r="CM414" s="2" t="n">
        <v>9.52</v>
      </c>
      <c r="CN414" s="2" t="n">
        <v>0</v>
      </c>
      <c r="CO414" s="2" t="n">
        <v>13.49</v>
      </c>
      <c r="CP414" s="2" t="n">
        <v>17.2</v>
      </c>
      <c r="CQ414" s="2" t="n">
        <v>0</v>
      </c>
      <c r="CR414" s="2" t="n">
        <v>23.54</v>
      </c>
      <c r="CS414" s="2" t="n">
        <v>24.87</v>
      </c>
      <c r="CT414" s="2" t="n">
        <v>0</v>
      </c>
      <c r="CU414" s="2" t="n">
        <v>27.78</v>
      </c>
      <c r="CV414" s="2" t="n">
        <v>30.53</v>
      </c>
      <c r="CW414" s="2" t="n">
        <v>0</v>
      </c>
      <c r="CX414" s="2" t="n">
        <v>35</v>
      </c>
      <c r="CY414" s="2" t="n">
        <v>37.04</v>
      </c>
      <c r="CZ414" s="2" t="n">
        <v>0</v>
      </c>
      <c r="DA414" s="2" t="n">
        <v>41.27</v>
      </c>
      <c r="DB414" s="2" t="n">
        <v>43.54</v>
      </c>
      <c r="DC414" s="2" t="n">
        <v>0</v>
      </c>
      <c r="DD414" s="2" t="n">
        <v>54.32</v>
      </c>
      <c r="DE414" s="2" t="n">
        <v>56.56</v>
      </c>
      <c r="DF414" s="2" t="n">
        <v>0</v>
      </c>
      <c r="DG414" s="2" t="n">
        <v>63.54</v>
      </c>
      <c r="DH414" s="2" t="n">
        <v>65.38</v>
      </c>
      <c r="DI414" s="2" t="n">
        <v>0</v>
      </c>
      <c r="DJ414" s="2" t="n">
        <v>72.54000000000001</v>
      </c>
      <c r="DK414" s="2" t="n">
        <v>81.36</v>
      </c>
      <c r="DL414" s="2" t="n">
        <v>0</v>
      </c>
      <c r="DM414" s="2" t="n">
        <v>86.23999999999999</v>
      </c>
      <c r="DN414" s="2" t="n">
        <v>94.76000000000001</v>
      </c>
      <c r="DO414" s="2" t="n">
        <v>0</v>
      </c>
      <c r="DP414" s="2" t="n">
        <v>97.45999999999999</v>
      </c>
      <c r="DQ414" s="2" t="n">
        <v>97.62</v>
      </c>
      <c r="DR414" s="2" t="n">
        <v>0</v>
      </c>
      <c r="DS414" s="2" t="n">
        <v>98.41</v>
      </c>
      <c r="DT414" s="2" t="n">
        <v>99.73999999999999</v>
      </c>
      <c r="DU414" s="2" t="n">
        <v>0</v>
      </c>
      <c r="DV414" s="2" t="n">
        <v>100</v>
      </c>
      <c r="DW414" s="2" t="n">
        <v>100</v>
      </c>
      <c r="DX414" s="2" t="n">
        <v>0</v>
      </c>
      <c r="DY414" s="2" t="n">
        <v>100</v>
      </c>
      <c r="DZ414" s="2" t="n">
        <v>100</v>
      </c>
      <c r="EA414" s="2" t="n">
        <v>0</v>
      </c>
      <c r="EB414" s="2" t="n">
        <v>100</v>
      </c>
      <c r="EC414" s="2" t="n">
        <v>100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</row>
    <row r="415">
      <c r="A415" s="2" t="n">
        <v>3</v>
      </c>
      <c r="B415" s="2" t="inlineStr">
        <is>
          <t>19.02.02</t>
        </is>
      </c>
      <c r="C415" s="2" t="inlineStr">
        <is>
          <t>Beiral</t>
        </is>
      </c>
      <c r="D415" s="2" t="inlineStr">
        <is>
          <t>11/08/2027</t>
        </is>
      </c>
      <c r="E415" s="2" t="inlineStr">
        <is>
          <t>01/09/2028</t>
        </is>
      </c>
      <c r="F415" s="2" t="n">
        <v>174838.314</v>
      </c>
      <c r="G415" s="2" t="n">
        <v>0</v>
      </c>
      <c r="H415" s="2" t="n">
        <v>174838.314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2.65</v>
      </c>
      <c r="CJ415" s="2" t="n">
        <v>3.97</v>
      </c>
      <c r="CK415" s="2" t="n">
        <v>0</v>
      </c>
      <c r="CL415" s="2" t="n">
        <v>8.199999999999999</v>
      </c>
      <c r="CM415" s="2" t="n">
        <v>9.52</v>
      </c>
      <c r="CN415" s="2" t="n">
        <v>0</v>
      </c>
      <c r="CO415" s="2" t="n">
        <v>13.49</v>
      </c>
      <c r="CP415" s="2" t="n">
        <v>17.2</v>
      </c>
      <c r="CQ415" s="2" t="n">
        <v>0</v>
      </c>
      <c r="CR415" s="2" t="n">
        <v>23.54</v>
      </c>
      <c r="CS415" s="2" t="n">
        <v>24.87</v>
      </c>
      <c r="CT415" s="2" t="n">
        <v>0</v>
      </c>
      <c r="CU415" s="2" t="n">
        <v>27.78</v>
      </c>
      <c r="CV415" s="2" t="n">
        <v>30.53</v>
      </c>
      <c r="CW415" s="2" t="n">
        <v>0</v>
      </c>
      <c r="CX415" s="2" t="n">
        <v>35</v>
      </c>
      <c r="CY415" s="2" t="n">
        <v>37.04</v>
      </c>
      <c r="CZ415" s="2" t="n">
        <v>0</v>
      </c>
      <c r="DA415" s="2" t="n">
        <v>41.27</v>
      </c>
      <c r="DB415" s="2" t="n">
        <v>43.54</v>
      </c>
      <c r="DC415" s="2" t="n">
        <v>0</v>
      </c>
      <c r="DD415" s="2" t="n">
        <v>54.32</v>
      </c>
      <c r="DE415" s="2" t="n">
        <v>56.56</v>
      </c>
      <c r="DF415" s="2" t="n">
        <v>0</v>
      </c>
      <c r="DG415" s="2" t="n">
        <v>63.54</v>
      </c>
      <c r="DH415" s="2" t="n">
        <v>65.38</v>
      </c>
      <c r="DI415" s="2" t="n">
        <v>0</v>
      </c>
      <c r="DJ415" s="2" t="n">
        <v>72.54000000000001</v>
      </c>
      <c r="DK415" s="2" t="n">
        <v>81.36</v>
      </c>
      <c r="DL415" s="2" t="n">
        <v>0</v>
      </c>
      <c r="DM415" s="2" t="n">
        <v>86.23999999999999</v>
      </c>
      <c r="DN415" s="2" t="n">
        <v>94.76000000000001</v>
      </c>
      <c r="DO415" s="2" t="n">
        <v>0</v>
      </c>
      <c r="DP415" s="2" t="n">
        <v>97.45999999999999</v>
      </c>
      <c r="DQ415" s="2" t="n">
        <v>97.62</v>
      </c>
      <c r="DR415" s="2" t="n">
        <v>0</v>
      </c>
      <c r="DS415" s="2" t="n">
        <v>98.41</v>
      </c>
      <c r="DT415" s="2" t="n">
        <v>99.73999999999999</v>
      </c>
      <c r="DU415" s="2" t="n">
        <v>0</v>
      </c>
      <c r="DV415" s="2" t="n">
        <v>100</v>
      </c>
      <c r="DW415" s="2" t="n">
        <v>100</v>
      </c>
      <c r="DX415" s="2" t="n">
        <v>0</v>
      </c>
      <c r="DY415" s="2" t="n">
        <v>100</v>
      </c>
      <c r="DZ415" s="2" t="n">
        <v>100</v>
      </c>
      <c r="EA415" s="2" t="n">
        <v>0</v>
      </c>
      <c r="EB415" s="2" t="n">
        <v>100</v>
      </c>
      <c r="EC415" s="2" t="n">
        <v>100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</row>
    <row r="416">
      <c r="A416" s="2" t="n">
        <v>3</v>
      </c>
      <c r="B416" s="2" t="inlineStr">
        <is>
          <t>19.02.03</t>
        </is>
      </c>
      <c r="C416" s="2" t="inlineStr">
        <is>
          <t>Pingadeira em chapa galvanizada/ alumínio com aba de 5cm, fixada com parafuso/ bucha 6mm a cada de 15cm</t>
        </is>
      </c>
      <c r="D416" s="2" t="inlineStr">
        <is>
          <t>11/08/2027</t>
        </is>
      </c>
      <c r="E416" s="2" t="inlineStr">
        <is>
          <t>01/09/2028</t>
        </is>
      </c>
      <c r="F416" s="2" t="n">
        <v>273093.271875</v>
      </c>
      <c r="G416" s="2" t="n">
        <v>0</v>
      </c>
      <c r="H416" s="2" t="n">
        <v>273093.271875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2.65</v>
      </c>
      <c r="CJ416" s="2" t="n">
        <v>3.97</v>
      </c>
      <c r="CK416" s="2" t="n">
        <v>0</v>
      </c>
      <c r="CL416" s="2" t="n">
        <v>8.199999999999999</v>
      </c>
      <c r="CM416" s="2" t="n">
        <v>9.52</v>
      </c>
      <c r="CN416" s="2" t="n">
        <v>0</v>
      </c>
      <c r="CO416" s="2" t="n">
        <v>13.49</v>
      </c>
      <c r="CP416" s="2" t="n">
        <v>17.2</v>
      </c>
      <c r="CQ416" s="2" t="n">
        <v>0</v>
      </c>
      <c r="CR416" s="2" t="n">
        <v>23.54</v>
      </c>
      <c r="CS416" s="2" t="n">
        <v>24.87</v>
      </c>
      <c r="CT416" s="2" t="n">
        <v>0</v>
      </c>
      <c r="CU416" s="2" t="n">
        <v>27.78</v>
      </c>
      <c r="CV416" s="2" t="n">
        <v>30.53</v>
      </c>
      <c r="CW416" s="2" t="n">
        <v>0</v>
      </c>
      <c r="CX416" s="2" t="n">
        <v>35</v>
      </c>
      <c r="CY416" s="2" t="n">
        <v>37.04</v>
      </c>
      <c r="CZ416" s="2" t="n">
        <v>0</v>
      </c>
      <c r="DA416" s="2" t="n">
        <v>41.27</v>
      </c>
      <c r="DB416" s="2" t="n">
        <v>43.54</v>
      </c>
      <c r="DC416" s="2" t="n">
        <v>0</v>
      </c>
      <c r="DD416" s="2" t="n">
        <v>54.32</v>
      </c>
      <c r="DE416" s="2" t="n">
        <v>56.56</v>
      </c>
      <c r="DF416" s="2" t="n">
        <v>0</v>
      </c>
      <c r="DG416" s="2" t="n">
        <v>63.54</v>
      </c>
      <c r="DH416" s="2" t="n">
        <v>65.38</v>
      </c>
      <c r="DI416" s="2" t="n">
        <v>0</v>
      </c>
      <c r="DJ416" s="2" t="n">
        <v>72.54000000000001</v>
      </c>
      <c r="DK416" s="2" t="n">
        <v>81.36</v>
      </c>
      <c r="DL416" s="2" t="n">
        <v>0</v>
      </c>
      <c r="DM416" s="2" t="n">
        <v>86.23999999999999</v>
      </c>
      <c r="DN416" s="2" t="n">
        <v>94.76000000000001</v>
      </c>
      <c r="DO416" s="2" t="n">
        <v>0</v>
      </c>
      <c r="DP416" s="2" t="n">
        <v>97.45999999999999</v>
      </c>
      <c r="DQ416" s="2" t="n">
        <v>97.62</v>
      </c>
      <c r="DR416" s="2" t="n">
        <v>0</v>
      </c>
      <c r="DS416" s="2" t="n">
        <v>98.41</v>
      </c>
      <c r="DT416" s="2" t="n">
        <v>99.73999999999999</v>
      </c>
      <c r="DU416" s="2" t="n">
        <v>0</v>
      </c>
      <c r="DV416" s="2" t="n">
        <v>100</v>
      </c>
      <c r="DW416" s="2" t="n">
        <v>100</v>
      </c>
      <c r="DX416" s="2" t="n">
        <v>0</v>
      </c>
      <c r="DY416" s="2" t="n">
        <v>100</v>
      </c>
      <c r="DZ416" s="2" t="n">
        <v>100</v>
      </c>
      <c r="EA416" s="2" t="n">
        <v>0</v>
      </c>
      <c r="EB416" s="2" t="n">
        <v>100</v>
      </c>
      <c r="EC416" s="2" t="n">
        <v>100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</row>
    <row r="417">
      <c r="A417" s="2" t="n">
        <v>2</v>
      </c>
      <c r="B417" s="2" t="inlineStr">
        <is>
          <t>19.03</t>
        </is>
      </c>
      <c r="C417" s="2" t="inlineStr">
        <is>
          <t>Dupla manta asfáltica tipo III, 3mm + 4mm de espessura, classe B acabamento AA ambas coldas com asfalto oxidado a quente com consumo de 3,0kg/m2. Sobre a manta, camada de transição com geotêxtil 200g/m2 e proteção mecânica armada estruturada com tela galvanizada fio 22 malha de 1"</t>
        </is>
      </c>
      <c r="D417" s="2" t="inlineStr">
        <is>
          <t>11/08/2027</t>
        </is>
      </c>
      <c r="E417" s="2" t="inlineStr">
        <is>
          <t>01/09/2028</t>
        </is>
      </c>
      <c r="F417" s="2" t="n">
        <v>432530.2260974565</v>
      </c>
      <c r="G417" s="2" t="n">
        <v>0</v>
      </c>
      <c r="H417" s="2" t="n">
        <v>432530.2260974565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2.65</v>
      </c>
      <c r="CJ417" s="2" t="n">
        <v>3.97</v>
      </c>
      <c r="CK417" s="2" t="n">
        <v>0</v>
      </c>
      <c r="CL417" s="2" t="n">
        <v>8.199999999999999</v>
      </c>
      <c r="CM417" s="2" t="n">
        <v>9.52</v>
      </c>
      <c r="CN417" s="2" t="n">
        <v>0</v>
      </c>
      <c r="CO417" s="2" t="n">
        <v>13.49</v>
      </c>
      <c r="CP417" s="2" t="n">
        <v>17.2</v>
      </c>
      <c r="CQ417" s="2" t="n">
        <v>0</v>
      </c>
      <c r="CR417" s="2" t="n">
        <v>23.54</v>
      </c>
      <c r="CS417" s="2" t="n">
        <v>24.87</v>
      </c>
      <c r="CT417" s="2" t="n">
        <v>0</v>
      </c>
      <c r="CU417" s="2" t="n">
        <v>27.78</v>
      </c>
      <c r="CV417" s="2" t="n">
        <v>30.53</v>
      </c>
      <c r="CW417" s="2" t="n">
        <v>0</v>
      </c>
      <c r="CX417" s="2" t="n">
        <v>35</v>
      </c>
      <c r="CY417" s="2" t="n">
        <v>37.04</v>
      </c>
      <c r="CZ417" s="2" t="n">
        <v>0</v>
      </c>
      <c r="DA417" s="2" t="n">
        <v>41.27</v>
      </c>
      <c r="DB417" s="2" t="n">
        <v>43.54</v>
      </c>
      <c r="DC417" s="2" t="n">
        <v>0</v>
      </c>
      <c r="DD417" s="2" t="n">
        <v>54.32</v>
      </c>
      <c r="DE417" s="2" t="n">
        <v>56.56</v>
      </c>
      <c r="DF417" s="2" t="n">
        <v>0</v>
      </c>
      <c r="DG417" s="2" t="n">
        <v>63.54</v>
      </c>
      <c r="DH417" s="2" t="n">
        <v>65.38</v>
      </c>
      <c r="DI417" s="2" t="n">
        <v>0</v>
      </c>
      <c r="DJ417" s="2" t="n">
        <v>72.54000000000001</v>
      </c>
      <c r="DK417" s="2" t="n">
        <v>81.36</v>
      </c>
      <c r="DL417" s="2" t="n">
        <v>0</v>
      </c>
      <c r="DM417" s="2" t="n">
        <v>86.23999999999999</v>
      </c>
      <c r="DN417" s="2" t="n">
        <v>94.76000000000001</v>
      </c>
      <c r="DO417" s="2" t="n">
        <v>0</v>
      </c>
      <c r="DP417" s="2" t="n">
        <v>97.45999999999999</v>
      </c>
      <c r="DQ417" s="2" t="n">
        <v>97.62</v>
      </c>
      <c r="DR417" s="2" t="n">
        <v>0</v>
      </c>
      <c r="DS417" s="2" t="n">
        <v>98.41</v>
      </c>
      <c r="DT417" s="2" t="n">
        <v>99.73999999999999</v>
      </c>
      <c r="DU417" s="2" t="n">
        <v>0</v>
      </c>
      <c r="DV417" s="2" t="n">
        <v>100</v>
      </c>
      <c r="DW417" s="2" t="n">
        <v>100</v>
      </c>
      <c r="DX417" s="2" t="n">
        <v>0</v>
      </c>
      <c r="DY417" s="2" t="n">
        <v>100</v>
      </c>
      <c r="DZ417" s="2" t="n">
        <v>100</v>
      </c>
      <c r="EA417" s="2" t="n">
        <v>0</v>
      </c>
      <c r="EB417" s="2" t="n">
        <v>100</v>
      </c>
      <c r="EC417" s="2" t="n">
        <v>100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</row>
    <row r="418">
      <c r="A418" s="2" t="n">
        <v>3</v>
      </c>
      <c r="B418" s="2" t="inlineStr">
        <is>
          <t>19.03.01</t>
        </is>
      </c>
      <c r="C418" s="2" t="inlineStr">
        <is>
          <t>Camada de regularização com argamassa de cimento e areia</t>
        </is>
      </c>
      <c r="D418" s="2" t="inlineStr">
        <is>
          <t>11/08/2027</t>
        </is>
      </c>
      <c r="E418" s="2" t="inlineStr">
        <is>
          <t>01/09/2028</t>
        </is>
      </c>
      <c r="F418" s="2" t="n">
        <v>62267.85436500873</v>
      </c>
      <c r="G418" s="2" t="n">
        <v>0</v>
      </c>
      <c r="H418" s="2" t="n">
        <v>62267.85436500873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2.65</v>
      </c>
      <c r="CJ418" s="2" t="n">
        <v>3.97</v>
      </c>
      <c r="CK418" s="2" t="n">
        <v>0</v>
      </c>
      <c r="CL418" s="2" t="n">
        <v>8.199999999999999</v>
      </c>
      <c r="CM418" s="2" t="n">
        <v>9.52</v>
      </c>
      <c r="CN418" s="2" t="n">
        <v>0</v>
      </c>
      <c r="CO418" s="2" t="n">
        <v>13.49</v>
      </c>
      <c r="CP418" s="2" t="n">
        <v>17.2</v>
      </c>
      <c r="CQ418" s="2" t="n">
        <v>0</v>
      </c>
      <c r="CR418" s="2" t="n">
        <v>23.54</v>
      </c>
      <c r="CS418" s="2" t="n">
        <v>24.87</v>
      </c>
      <c r="CT418" s="2" t="n">
        <v>0</v>
      </c>
      <c r="CU418" s="2" t="n">
        <v>27.78</v>
      </c>
      <c r="CV418" s="2" t="n">
        <v>30.53</v>
      </c>
      <c r="CW418" s="2" t="n">
        <v>0</v>
      </c>
      <c r="CX418" s="2" t="n">
        <v>35</v>
      </c>
      <c r="CY418" s="2" t="n">
        <v>37.04</v>
      </c>
      <c r="CZ418" s="2" t="n">
        <v>0</v>
      </c>
      <c r="DA418" s="2" t="n">
        <v>41.27</v>
      </c>
      <c r="DB418" s="2" t="n">
        <v>43.54</v>
      </c>
      <c r="DC418" s="2" t="n">
        <v>0</v>
      </c>
      <c r="DD418" s="2" t="n">
        <v>54.32</v>
      </c>
      <c r="DE418" s="2" t="n">
        <v>56.56</v>
      </c>
      <c r="DF418" s="2" t="n">
        <v>0</v>
      </c>
      <c r="DG418" s="2" t="n">
        <v>63.54</v>
      </c>
      <c r="DH418" s="2" t="n">
        <v>65.38</v>
      </c>
      <c r="DI418" s="2" t="n">
        <v>0</v>
      </c>
      <c r="DJ418" s="2" t="n">
        <v>72.54000000000001</v>
      </c>
      <c r="DK418" s="2" t="n">
        <v>81.36</v>
      </c>
      <c r="DL418" s="2" t="n">
        <v>0</v>
      </c>
      <c r="DM418" s="2" t="n">
        <v>86.23999999999999</v>
      </c>
      <c r="DN418" s="2" t="n">
        <v>94.76000000000001</v>
      </c>
      <c r="DO418" s="2" t="n">
        <v>0</v>
      </c>
      <c r="DP418" s="2" t="n">
        <v>97.45999999999999</v>
      </c>
      <c r="DQ418" s="2" t="n">
        <v>97.62</v>
      </c>
      <c r="DR418" s="2" t="n">
        <v>0</v>
      </c>
      <c r="DS418" s="2" t="n">
        <v>98.41</v>
      </c>
      <c r="DT418" s="2" t="n">
        <v>99.73999999999999</v>
      </c>
      <c r="DU418" s="2" t="n">
        <v>0</v>
      </c>
      <c r="DV418" s="2" t="n">
        <v>100</v>
      </c>
      <c r="DW418" s="2" t="n">
        <v>100</v>
      </c>
      <c r="DX418" s="2" t="n">
        <v>0</v>
      </c>
      <c r="DY418" s="2" t="n">
        <v>100</v>
      </c>
      <c r="DZ418" s="2" t="n">
        <v>100</v>
      </c>
      <c r="EA418" s="2" t="n">
        <v>0</v>
      </c>
      <c r="EB418" s="2" t="n">
        <v>100</v>
      </c>
      <c r="EC418" s="2" t="n">
        <v>100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</row>
    <row r="419">
      <c r="A419" s="2" t="n">
        <v>3</v>
      </c>
      <c r="B419" s="2" t="inlineStr">
        <is>
          <t>19.03.02</t>
        </is>
      </c>
      <c r="C419" s="2" t="inlineStr">
        <is>
          <t>Proteção mecânica armada com tela galvanizada, fio 22, malha 1</t>
        </is>
      </c>
      <c r="D419" s="2" t="inlineStr">
        <is>
          <t>11/08/2027</t>
        </is>
      </c>
      <c r="E419" s="2" t="inlineStr">
        <is>
          <t>01/09/2028</t>
        </is>
      </c>
      <c r="F419" s="2" t="n">
        <v>105071.8790164064</v>
      </c>
      <c r="G419" s="2" t="n">
        <v>0</v>
      </c>
      <c r="H419" s="2" t="n">
        <v>105071.8790164064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2.65</v>
      </c>
      <c r="CJ419" s="2" t="n">
        <v>3.97</v>
      </c>
      <c r="CK419" s="2" t="n">
        <v>0</v>
      </c>
      <c r="CL419" s="2" t="n">
        <v>8.199999999999999</v>
      </c>
      <c r="CM419" s="2" t="n">
        <v>9.52</v>
      </c>
      <c r="CN419" s="2" t="n">
        <v>0</v>
      </c>
      <c r="CO419" s="2" t="n">
        <v>13.49</v>
      </c>
      <c r="CP419" s="2" t="n">
        <v>17.2</v>
      </c>
      <c r="CQ419" s="2" t="n">
        <v>0</v>
      </c>
      <c r="CR419" s="2" t="n">
        <v>23.54</v>
      </c>
      <c r="CS419" s="2" t="n">
        <v>24.87</v>
      </c>
      <c r="CT419" s="2" t="n">
        <v>0</v>
      </c>
      <c r="CU419" s="2" t="n">
        <v>27.78</v>
      </c>
      <c r="CV419" s="2" t="n">
        <v>30.53</v>
      </c>
      <c r="CW419" s="2" t="n">
        <v>0</v>
      </c>
      <c r="CX419" s="2" t="n">
        <v>35</v>
      </c>
      <c r="CY419" s="2" t="n">
        <v>37.04</v>
      </c>
      <c r="CZ419" s="2" t="n">
        <v>0</v>
      </c>
      <c r="DA419" s="2" t="n">
        <v>41.27</v>
      </c>
      <c r="DB419" s="2" t="n">
        <v>43.54</v>
      </c>
      <c r="DC419" s="2" t="n">
        <v>0</v>
      </c>
      <c r="DD419" s="2" t="n">
        <v>54.32</v>
      </c>
      <c r="DE419" s="2" t="n">
        <v>56.56</v>
      </c>
      <c r="DF419" s="2" t="n">
        <v>0</v>
      </c>
      <c r="DG419" s="2" t="n">
        <v>63.54</v>
      </c>
      <c r="DH419" s="2" t="n">
        <v>65.38</v>
      </c>
      <c r="DI419" s="2" t="n">
        <v>0</v>
      </c>
      <c r="DJ419" s="2" t="n">
        <v>72.54000000000001</v>
      </c>
      <c r="DK419" s="2" t="n">
        <v>81.36</v>
      </c>
      <c r="DL419" s="2" t="n">
        <v>0</v>
      </c>
      <c r="DM419" s="2" t="n">
        <v>86.23999999999999</v>
      </c>
      <c r="DN419" s="2" t="n">
        <v>94.76000000000001</v>
      </c>
      <c r="DO419" s="2" t="n">
        <v>0</v>
      </c>
      <c r="DP419" s="2" t="n">
        <v>97.45999999999999</v>
      </c>
      <c r="DQ419" s="2" t="n">
        <v>97.62</v>
      </c>
      <c r="DR419" s="2" t="n">
        <v>0</v>
      </c>
      <c r="DS419" s="2" t="n">
        <v>98.41</v>
      </c>
      <c r="DT419" s="2" t="n">
        <v>99.73999999999999</v>
      </c>
      <c r="DU419" s="2" t="n">
        <v>0</v>
      </c>
      <c r="DV419" s="2" t="n">
        <v>100</v>
      </c>
      <c r="DW419" s="2" t="n">
        <v>100</v>
      </c>
      <c r="DX419" s="2" t="n">
        <v>0</v>
      </c>
      <c r="DY419" s="2" t="n">
        <v>100</v>
      </c>
      <c r="DZ419" s="2" t="n">
        <v>100</v>
      </c>
      <c r="EA419" s="2" t="n">
        <v>0</v>
      </c>
      <c r="EB419" s="2" t="n">
        <v>100</v>
      </c>
      <c r="EC419" s="2" t="n">
        <v>100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</row>
    <row r="420">
      <c r="A420" s="2" t="n">
        <v>3</v>
      </c>
      <c r="B420" s="2" t="inlineStr">
        <is>
          <t>19.03.03</t>
        </is>
      </c>
      <c r="C420" s="2" t="inlineStr">
        <is>
          <t>Camada de transição geotêxtil 200g/m2</t>
        </is>
      </c>
      <c r="D420" s="2" t="inlineStr">
        <is>
          <t>11/08/2027</t>
        </is>
      </c>
      <c r="E420" s="2" t="inlineStr">
        <is>
          <t>01/09/2028</t>
        </is>
      </c>
      <c r="F420" s="2" t="n">
        <v>6822.572250000001</v>
      </c>
      <c r="G420" s="2" t="n">
        <v>0</v>
      </c>
      <c r="H420" s="2" t="n">
        <v>6822.572250000001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2.65</v>
      </c>
      <c r="CJ420" s="2" t="n">
        <v>3.97</v>
      </c>
      <c r="CK420" s="2" t="n">
        <v>0</v>
      </c>
      <c r="CL420" s="2" t="n">
        <v>8.199999999999999</v>
      </c>
      <c r="CM420" s="2" t="n">
        <v>9.52</v>
      </c>
      <c r="CN420" s="2" t="n">
        <v>0</v>
      </c>
      <c r="CO420" s="2" t="n">
        <v>13.49</v>
      </c>
      <c r="CP420" s="2" t="n">
        <v>17.2</v>
      </c>
      <c r="CQ420" s="2" t="n">
        <v>0</v>
      </c>
      <c r="CR420" s="2" t="n">
        <v>23.54</v>
      </c>
      <c r="CS420" s="2" t="n">
        <v>24.87</v>
      </c>
      <c r="CT420" s="2" t="n">
        <v>0</v>
      </c>
      <c r="CU420" s="2" t="n">
        <v>27.78</v>
      </c>
      <c r="CV420" s="2" t="n">
        <v>30.53</v>
      </c>
      <c r="CW420" s="2" t="n">
        <v>0</v>
      </c>
      <c r="CX420" s="2" t="n">
        <v>35</v>
      </c>
      <c r="CY420" s="2" t="n">
        <v>37.04</v>
      </c>
      <c r="CZ420" s="2" t="n">
        <v>0</v>
      </c>
      <c r="DA420" s="2" t="n">
        <v>41.27</v>
      </c>
      <c r="DB420" s="2" t="n">
        <v>43.54</v>
      </c>
      <c r="DC420" s="2" t="n">
        <v>0</v>
      </c>
      <c r="DD420" s="2" t="n">
        <v>54.32</v>
      </c>
      <c r="DE420" s="2" t="n">
        <v>56.56</v>
      </c>
      <c r="DF420" s="2" t="n">
        <v>0</v>
      </c>
      <c r="DG420" s="2" t="n">
        <v>63.54</v>
      </c>
      <c r="DH420" s="2" t="n">
        <v>65.38</v>
      </c>
      <c r="DI420" s="2" t="n">
        <v>0</v>
      </c>
      <c r="DJ420" s="2" t="n">
        <v>72.54000000000001</v>
      </c>
      <c r="DK420" s="2" t="n">
        <v>81.36</v>
      </c>
      <c r="DL420" s="2" t="n">
        <v>0</v>
      </c>
      <c r="DM420" s="2" t="n">
        <v>86.23999999999999</v>
      </c>
      <c r="DN420" s="2" t="n">
        <v>94.76000000000001</v>
      </c>
      <c r="DO420" s="2" t="n">
        <v>0</v>
      </c>
      <c r="DP420" s="2" t="n">
        <v>97.45999999999999</v>
      </c>
      <c r="DQ420" s="2" t="n">
        <v>97.62</v>
      </c>
      <c r="DR420" s="2" t="n">
        <v>0</v>
      </c>
      <c r="DS420" s="2" t="n">
        <v>98.41</v>
      </c>
      <c r="DT420" s="2" t="n">
        <v>99.73999999999999</v>
      </c>
      <c r="DU420" s="2" t="n">
        <v>0</v>
      </c>
      <c r="DV420" s="2" t="n">
        <v>100</v>
      </c>
      <c r="DW420" s="2" t="n">
        <v>100</v>
      </c>
      <c r="DX420" s="2" t="n">
        <v>0</v>
      </c>
      <c r="DY420" s="2" t="n">
        <v>100</v>
      </c>
      <c r="DZ420" s="2" t="n">
        <v>100</v>
      </c>
      <c r="EA420" s="2" t="n">
        <v>0</v>
      </c>
      <c r="EB420" s="2" t="n">
        <v>100</v>
      </c>
      <c r="EC420" s="2" t="n">
        <v>100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</row>
    <row r="421">
      <c r="A421" s="2" t="n">
        <v>3</v>
      </c>
      <c r="B421" s="2" t="inlineStr">
        <is>
          <t>19.03.04</t>
        </is>
      </c>
      <c r="C421" s="2" t="inlineStr">
        <is>
          <t>Junta perimetral preenchida com material flexível (mastique de poliuretano ou pasta asfáltica sobre EPS ou equivalente. Usado para preenchimento da área e criação da junta)</t>
        </is>
      </c>
      <c r="D421" s="2" t="inlineStr">
        <is>
          <t>11/08/2027</t>
        </is>
      </c>
      <c r="E421" s="2" t="inlineStr">
        <is>
          <t>01/09/2028</t>
        </is>
      </c>
      <c r="F421" s="2" t="n">
        <v>9184.847264832108</v>
      </c>
      <c r="G421" s="2" t="n">
        <v>0</v>
      </c>
      <c r="H421" s="2" t="n">
        <v>9184.847264832108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2.65</v>
      </c>
      <c r="CJ421" s="2" t="n">
        <v>3.97</v>
      </c>
      <c r="CK421" s="2" t="n">
        <v>0</v>
      </c>
      <c r="CL421" s="2" t="n">
        <v>8.199999999999999</v>
      </c>
      <c r="CM421" s="2" t="n">
        <v>9.52</v>
      </c>
      <c r="CN421" s="2" t="n">
        <v>0</v>
      </c>
      <c r="CO421" s="2" t="n">
        <v>13.49</v>
      </c>
      <c r="CP421" s="2" t="n">
        <v>17.2</v>
      </c>
      <c r="CQ421" s="2" t="n">
        <v>0</v>
      </c>
      <c r="CR421" s="2" t="n">
        <v>23.54</v>
      </c>
      <c r="CS421" s="2" t="n">
        <v>24.87</v>
      </c>
      <c r="CT421" s="2" t="n">
        <v>0</v>
      </c>
      <c r="CU421" s="2" t="n">
        <v>27.78</v>
      </c>
      <c r="CV421" s="2" t="n">
        <v>30.53</v>
      </c>
      <c r="CW421" s="2" t="n">
        <v>0</v>
      </c>
      <c r="CX421" s="2" t="n">
        <v>35</v>
      </c>
      <c r="CY421" s="2" t="n">
        <v>37.04</v>
      </c>
      <c r="CZ421" s="2" t="n">
        <v>0</v>
      </c>
      <c r="DA421" s="2" t="n">
        <v>41.27</v>
      </c>
      <c r="DB421" s="2" t="n">
        <v>43.54</v>
      </c>
      <c r="DC421" s="2" t="n">
        <v>0</v>
      </c>
      <c r="DD421" s="2" t="n">
        <v>54.32</v>
      </c>
      <c r="DE421" s="2" t="n">
        <v>56.56</v>
      </c>
      <c r="DF421" s="2" t="n">
        <v>0</v>
      </c>
      <c r="DG421" s="2" t="n">
        <v>63.54</v>
      </c>
      <c r="DH421" s="2" t="n">
        <v>65.38</v>
      </c>
      <c r="DI421" s="2" t="n">
        <v>0</v>
      </c>
      <c r="DJ421" s="2" t="n">
        <v>72.54000000000001</v>
      </c>
      <c r="DK421" s="2" t="n">
        <v>81.36</v>
      </c>
      <c r="DL421" s="2" t="n">
        <v>0</v>
      </c>
      <c r="DM421" s="2" t="n">
        <v>86.23999999999999</v>
      </c>
      <c r="DN421" s="2" t="n">
        <v>94.76000000000001</v>
      </c>
      <c r="DO421" s="2" t="n">
        <v>0</v>
      </c>
      <c r="DP421" s="2" t="n">
        <v>97.45999999999999</v>
      </c>
      <c r="DQ421" s="2" t="n">
        <v>97.62</v>
      </c>
      <c r="DR421" s="2" t="n">
        <v>0</v>
      </c>
      <c r="DS421" s="2" t="n">
        <v>98.41</v>
      </c>
      <c r="DT421" s="2" t="n">
        <v>99.73999999999999</v>
      </c>
      <c r="DU421" s="2" t="n">
        <v>0</v>
      </c>
      <c r="DV421" s="2" t="n">
        <v>100</v>
      </c>
      <c r="DW421" s="2" t="n">
        <v>100</v>
      </c>
      <c r="DX421" s="2" t="n">
        <v>0</v>
      </c>
      <c r="DY421" s="2" t="n">
        <v>100</v>
      </c>
      <c r="DZ421" s="2" t="n">
        <v>100</v>
      </c>
      <c r="EA421" s="2" t="n">
        <v>0</v>
      </c>
      <c r="EB421" s="2" t="n">
        <v>100</v>
      </c>
      <c r="EC421" s="2" t="n">
        <v>100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</row>
    <row r="422">
      <c r="A422" s="2" t="n">
        <v>3</v>
      </c>
      <c r="B422" s="2" t="inlineStr">
        <is>
          <t>19.03.05</t>
        </is>
      </c>
      <c r="C422" s="2" t="inlineStr">
        <is>
          <t>Cantoneira de alumínio/ galvanizada 2x2" fixada com parafuso e bucha S6 a cada 30cm</t>
        </is>
      </c>
      <c r="D422" s="2" t="inlineStr">
        <is>
          <t>11/08/2027</t>
        </is>
      </c>
      <c r="E422" s="2" t="inlineStr">
        <is>
          <t>01/09/2028</t>
        </is>
      </c>
      <c r="F422" s="2" t="n">
        <v>1034.0625</v>
      </c>
      <c r="G422" s="2" t="n">
        <v>0</v>
      </c>
      <c r="H422" s="2" t="n">
        <v>1034.0625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2.65</v>
      </c>
      <c r="CJ422" s="2" t="n">
        <v>3.97</v>
      </c>
      <c r="CK422" s="2" t="n">
        <v>0</v>
      </c>
      <c r="CL422" s="2" t="n">
        <v>8.199999999999999</v>
      </c>
      <c r="CM422" s="2" t="n">
        <v>9.52</v>
      </c>
      <c r="CN422" s="2" t="n">
        <v>0</v>
      </c>
      <c r="CO422" s="2" t="n">
        <v>13.49</v>
      </c>
      <c r="CP422" s="2" t="n">
        <v>17.2</v>
      </c>
      <c r="CQ422" s="2" t="n">
        <v>0</v>
      </c>
      <c r="CR422" s="2" t="n">
        <v>23.54</v>
      </c>
      <c r="CS422" s="2" t="n">
        <v>24.87</v>
      </c>
      <c r="CT422" s="2" t="n">
        <v>0</v>
      </c>
      <c r="CU422" s="2" t="n">
        <v>27.78</v>
      </c>
      <c r="CV422" s="2" t="n">
        <v>30.53</v>
      </c>
      <c r="CW422" s="2" t="n">
        <v>0</v>
      </c>
      <c r="CX422" s="2" t="n">
        <v>35</v>
      </c>
      <c r="CY422" s="2" t="n">
        <v>37.04</v>
      </c>
      <c r="CZ422" s="2" t="n">
        <v>0</v>
      </c>
      <c r="DA422" s="2" t="n">
        <v>41.27</v>
      </c>
      <c r="DB422" s="2" t="n">
        <v>43.54</v>
      </c>
      <c r="DC422" s="2" t="n">
        <v>0</v>
      </c>
      <c r="DD422" s="2" t="n">
        <v>54.32</v>
      </c>
      <c r="DE422" s="2" t="n">
        <v>56.56</v>
      </c>
      <c r="DF422" s="2" t="n">
        <v>0</v>
      </c>
      <c r="DG422" s="2" t="n">
        <v>63.54</v>
      </c>
      <c r="DH422" s="2" t="n">
        <v>65.38</v>
      </c>
      <c r="DI422" s="2" t="n">
        <v>0</v>
      </c>
      <c r="DJ422" s="2" t="n">
        <v>72.54000000000001</v>
      </c>
      <c r="DK422" s="2" t="n">
        <v>81.36</v>
      </c>
      <c r="DL422" s="2" t="n">
        <v>0</v>
      </c>
      <c r="DM422" s="2" t="n">
        <v>86.23999999999999</v>
      </c>
      <c r="DN422" s="2" t="n">
        <v>94.76000000000001</v>
      </c>
      <c r="DO422" s="2" t="n">
        <v>0</v>
      </c>
      <c r="DP422" s="2" t="n">
        <v>97.45999999999999</v>
      </c>
      <c r="DQ422" s="2" t="n">
        <v>97.62</v>
      </c>
      <c r="DR422" s="2" t="n">
        <v>0</v>
      </c>
      <c r="DS422" s="2" t="n">
        <v>98.41</v>
      </c>
      <c r="DT422" s="2" t="n">
        <v>99.73999999999999</v>
      </c>
      <c r="DU422" s="2" t="n">
        <v>0</v>
      </c>
      <c r="DV422" s="2" t="n">
        <v>100</v>
      </c>
      <c r="DW422" s="2" t="n">
        <v>100</v>
      </c>
      <c r="DX422" s="2" t="n">
        <v>0</v>
      </c>
      <c r="DY422" s="2" t="n">
        <v>100</v>
      </c>
      <c r="DZ422" s="2" t="n">
        <v>100</v>
      </c>
      <c r="EA422" s="2" t="n">
        <v>0</v>
      </c>
      <c r="EB422" s="2" t="n">
        <v>100</v>
      </c>
      <c r="EC422" s="2" t="n">
        <v>100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</row>
    <row r="423">
      <c r="A423" s="2" t="n">
        <v>3</v>
      </c>
      <c r="B423" s="2" t="inlineStr">
        <is>
          <t>19.03.06</t>
        </is>
      </c>
      <c r="C423" s="2" t="inlineStr">
        <is>
          <t>Pilotis - Playground</t>
        </is>
      </c>
      <c r="D423" s="2" t="inlineStr">
        <is>
          <t>11/08/2027</t>
        </is>
      </c>
      <c r="E423" s="2" t="inlineStr">
        <is>
          <t>01/09/2028</t>
        </is>
      </c>
      <c r="F423" s="2" t="n">
        <v>198943.355415</v>
      </c>
      <c r="G423" s="2" t="n">
        <v>0</v>
      </c>
      <c r="H423" s="2" t="n">
        <v>198943.355415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2.65</v>
      </c>
      <c r="CJ423" s="2" t="n">
        <v>3.97</v>
      </c>
      <c r="CK423" s="2" t="n">
        <v>0</v>
      </c>
      <c r="CL423" s="2" t="n">
        <v>8.199999999999999</v>
      </c>
      <c r="CM423" s="2" t="n">
        <v>9.52</v>
      </c>
      <c r="CN423" s="2" t="n">
        <v>0</v>
      </c>
      <c r="CO423" s="2" t="n">
        <v>13.49</v>
      </c>
      <c r="CP423" s="2" t="n">
        <v>17.2</v>
      </c>
      <c r="CQ423" s="2" t="n">
        <v>0</v>
      </c>
      <c r="CR423" s="2" t="n">
        <v>23.54</v>
      </c>
      <c r="CS423" s="2" t="n">
        <v>24.87</v>
      </c>
      <c r="CT423" s="2" t="n">
        <v>0</v>
      </c>
      <c r="CU423" s="2" t="n">
        <v>27.78</v>
      </c>
      <c r="CV423" s="2" t="n">
        <v>30.53</v>
      </c>
      <c r="CW423" s="2" t="n">
        <v>0</v>
      </c>
      <c r="CX423" s="2" t="n">
        <v>35</v>
      </c>
      <c r="CY423" s="2" t="n">
        <v>37.04</v>
      </c>
      <c r="CZ423" s="2" t="n">
        <v>0</v>
      </c>
      <c r="DA423" s="2" t="n">
        <v>41.27</v>
      </c>
      <c r="DB423" s="2" t="n">
        <v>43.54</v>
      </c>
      <c r="DC423" s="2" t="n">
        <v>0</v>
      </c>
      <c r="DD423" s="2" t="n">
        <v>54.32</v>
      </c>
      <c r="DE423" s="2" t="n">
        <v>56.56</v>
      </c>
      <c r="DF423" s="2" t="n">
        <v>0</v>
      </c>
      <c r="DG423" s="2" t="n">
        <v>63.54</v>
      </c>
      <c r="DH423" s="2" t="n">
        <v>65.38</v>
      </c>
      <c r="DI423" s="2" t="n">
        <v>0</v>
      </c>
      <c r="DJ423" s="2" t="n">
        <v>72.54000000000001</v>
      </c>
      <c r="DK423" s="2" t="n">
        <v>81.36</v>
      </c>
      <c r="DL423" s="2" t="n">
        <v>0</v>
      </c>
      <c r="DM423" s="2" t="n">
        <v>86.23999999999999</v>
      </c>
      <c r="DN423" s="2" t="n">
        <v>94.76000000000001</v>
      </c>
      <c r="DO423" s="2" t="n">
        <v>0</v>
      </c>
      <c r="DP423" s="2" t="n">
        <v>97.45999999999999</v>
      </c>
      <c r="DQ423" s="2" t="n">
        <v>97.62</v>
      </c>
      <c r="DR423" s="2" t="n">
        <v>0</v>
      </c>
      <c r="DS423" s="2" t="n">
        <v>98.41</v>
      </c>
      <c r="DT423" s="2" t="n">
        <v>99.73999999999999</v>
      </c>
      <c r="DU423" s="2" t="n">
        <v>0</v>
      </c>
      <c r="DV423" s="2" t="n">
        <v>100</v>
      </c>
      <c r="DW423" s="2" t="n">
        <v>100</v>
      </c>
      <c r="DX423" s="2" t="n">
        <v>0</v>
      </c>
      <c r="DY423" s="2" t="n">
        <v>100</v>
      </c>
      <c r="DZ423" s="2" t="n">
        <v>100</v>
      </c>
      <c r="EA423" s="2" t="n">
        <v>0</v>
      </c>
      <c r="EB423" s="2" t="n">
        <v>100</v>
      </c>
      <c r="EC423" s="2" t="n">
        <v>100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</row>
    <row r="424">
      <c r="A424" s="2" t="n">
        <v>3</v>
      </c>
      <c r="B424" s="2" t="inlineStr">
        <is>
          <t>19.03.07</t>
        </is>
      </c>
      <c r="C424" s="2" t="inlineStr">
        <is>
          <t>Varanda| terraço descoberto</t>
        </is>
      </c>
      <c r="D424" s="2" t="inlineStr">
        <is>
          <t>11/08/2027</t>
        </is>
      </c>
      <c r="E424" s="2" t="inlineStr">
        <is>
          <t>01/09/2028</t>
        </is>
      </c>
      <c r="F424" s="2" t="n">
        <v>48298.5063225</v>
      </c>
      <c r="G424" s="2" t="n">
        <v>0</v>
      </c>
      <c r="H424" s="2" t="n">
        <v>48298.5063225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2.65</v>
      </c>
      <c r="CJ424" s="2" t="n">
        <v>3.97</v>
      </c>
      <c r="CK424" s="2" t="n">
        <v>0</v>
      </c>
      <c r="CL424" s="2" t="n">
        <v>8.199999999999999</v>
      </c>
      <c r="CM424" s="2" t="n">
        <v>9.52</v>
      </c>
      <c r="CN424" s="2" t="n">
        <v>0</v>
      </c>
      <c r="CO424" s="2" t="n">
        <v>13.49</v>
      </c>
      <c r="CP424" s="2" t="n">
        <v>17.2</v>
      </c>
      <c r="CQ424" s="2" t="n">
        <v>0</v>
      </c>
      <c r="CR424" s="2" t="n">
        <v>23.54</v>
      </c>
      <c r="CS424" s="2" t="n">
        <v>24.87</v>
      </c>
      <c r="CT424" s="2" t="n">
        <v>0</v>
      </c>
      <c r="CU424" s="2" t="n">
        <v>27.78</v>
      </c>
      <c r="CV424" s="2" t="n">
        <v>30.53</v>
      </c>
      <c r="CW424" s="2" t="n">
        <v>0</v>
      </c>
      <c r="CX424" s="2" t="n">
        <v>35</v>
      </c>
      <c r="CY424" s="2" t="n">
        <v>37.04</v>
      </c>
      <c r="CZ424" s="2" t="n">
        <v>0</v>
      </c>
      <c r="DA424" s="2" t="n">
        <v>41.27</v>
      </c>
      <c r="DB424" s="2" t="n">
        <v>43.54</v>
      </c>
      <c r="DC424" s="2" t="n">
        <v>0</v>
      </c>
      <c r="DD424" s="2" t="n">
        <v>54.32</v>
      </c>
      <c r="DE424" s="2" t="n">
        <v>56.56</v>
      </c>
      <c r="DF424" s="2" t="n">
        <v>0</v>
      </c>
      <c r="DG424" s="2" t="n">
        <v>63.54</v>
      </c>
      <c r="DH424" s="2" t="n">
        <v>65.38</v>
      </c>
      <c r="DI424" s="2" t="n">
        <v>0</v>
      </c>
      <c r="DJ424" s="2" t="n">
        <v>72.54000000000001</v>
      </c>
      <c r="DK424" s="2" t="n">
        <v>81.36</v>
      </c>
      <c r="DL424" s="2" t="n">
        <v>0</v>
      </c>
      <c r="DM424" s="2" t="n">
        <v>86.23999999999999</v>
      </c>
      <c r="DN424" s="2" t="n">
        <v>94.76000000000001</v>
      </c>
      <c r="DO424" s="2" t="n">
        <v>0</v>
      </c>
      <c r="DP424" s="2" t="n">
        <v>97.45999999999999</v>
      </c>
      <c r="DQ424" s="2" t="n">
        <v>97.62</v>
      </c>
      <c r="DR424" s="2" t="n">
        <v>0</v>
      </c>
      <c r="DS424" s="2" t="n">
        <v>98.41</v>
      </c>
      <c r="DT424" s="2" t="n">
        <v>99.73999999999999</v>
      </c>
      <c r="DU424" s="2" t="n">
        <v>0</v>
      </c>
      <c r="DV424" s="2" t="n">
        <v>100</v>
      </c>
      <c r="DW424" s="2" t="n">
        <v>100</v>
      </c>
      <c r="DX424" s="2" t="n">
        <v>0</v>
      </c>
      <c r="DY424" s="2" t="n">
        <v>100</v>
      </c>
      <c r="DZ424" s="2" t="n">
        <v>100</v>
      </c>
      <c r="EA424" s="2" t="n">
        <v>0</v>
      </c>
      <c r="EB424" s="2" t="n">
        <v>100</v>
      </c>
      <c r="EC424" s="2" t="n">
        <v>100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</row>
    <row r="425">
      <c r="A425" s="2" t="n">
        <v>3</v>
      </c>
      <c r="B425" s="2" t="inlineStr">
        <is>
          <t>19.03.08</t>
        </is>
      </c>
      <c r="C425" s="2" t="inlineStr">
        <is>
          <t>Impermabilização de ralos</t>
        </is>
      </c>
      <c r="D425" s="2" t="inlineStr">
        <is>
          <t>11/08/2027</t>
        </is>
      </c>
      <c r="E425" s="2" t="inlineStr">
        <is>
          <t>01/09/2028</t>
        </is>
      </c>
      <c r="F425" s="2" t="n">
        <v>907.1489637092515</v>
      </c>
      <c r="G425" s="2" t="n">
        <v>0</v>
      </c>
      <c r="H425" s="2" t="n">
        <v>907.1489637092515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2.65</v>
      </c>
      <c r="CJ425" s="2" t="n">
        <v>3.97</v>
      </c>
      <c r="CK425" s="2" t="n">
        <v>0</v>
      </c>
      <c r="CL425" s="2" t="n">
        <v>8.199999999999999</v>
      </c>
      <c r="CM425" s="2" t="n">
        <v>9.52</v>
      </c>
      <c r="CN425" s="2" t="n">
        <v>0</v>
      </c>
      <c r="CO425" s="2" t="n">
        <v>13.49</v>
      </c>
      <c r="CP425" s="2" t="n">
        <v>17.2</v>
      </c>
      <c r="CQ425" s="2" t="n">
        <v>0</v>
      </c>
      <c r="CR425" s="2" t="n">
        <v>23.54</v>
      </c>
      <c r="CS425" s="2" t="n">
        <v>24.87</v>
      </c>
      <c r="CT425" s="2" t="n">
        <v>0</v>
      </c>
      <c r="CU425" s="2" t="n">
        <v>27.78</v>
      </c>
      <c r="CV425" s="2" t="n">
        <v>30.53</v>
      </c>
      <c r="CW425" s="2" t="n">
        <v>0</v>
      </c>
      <c r="CX425" s="2" t="n">
        <v>35</v>
      </c>
      <c r="CY425" s="2" t="n">
        <v>37.04</v>
      </c>
      <c r="CZ425" s="2" t="n">
        <v>0</v>
      </c>
      <c r="DA425" s="2" t="n">
        <v>41.27</v>
      </c>
      <c r="DB425" s="2" t="n">
        <v>43.54</v>
      </c>
      <c r="DC425" s="2" t="n">
        <v>0</v>
      </c>
      <c r="DD425" s="2" t="n">
        <v>54.32</v>
      </c>
      <c r="DE425" s="2" t="n">
        <v>56.56</v>
      </c>
      <c r="DF425" s="2" t="n">
        <v>0</v>
      </c>
      <c r="DG425" s="2" t="n">
        <v>63.54</v>
      </c>
      <c r="DH425" s="2" t="n">
        <v>65.38</v>
      </c>
      <c r="DI425" s="2" t="n">
        <v>0</v>
      </c>
      <c r="DJ425" s="2" t="n">
        <v>72.54000000000001</v>
      </c>
      <c r="DK425" s="2" t="n">
        <v>81.36</v>
      </c>
      <c r="DL425" s="2" t="n">
        <v>0</v>
      </c>
      <c r="DM425" s="2" t="n">
        <v>86.23999999999999</v>
      </c>
      <c r="DN425" s="2" t="n">
        <v>94.76000000000001</v>
      </c>
      <c r="DO425" s="2" t="n">
        <v>0</v>
      </c>
      <c r="DP425" s="2" t="n">
        <v>97.45999999999999</v>
      </c>
      <c r="DQ425" s="2" t="n">
        <v>97.62</v>
      </c>
      <c r="DR425" s="2" t="n">
        <v>0</v>
      </c>
      <c r="DS425" s="2" t="n">
        <v>98.41</v>
      </c>
      <c r="DT425" s="2" t="n">
        <v>99.73999999999999</v>
      </c>
      <c r="DU425" s="2" t="n">
        <v>0</v>
      </c>
      <c r="DV425" s="2" t="n">
        <v>100</v>
      </c>
      <c r="DW425" s="2" t="n">
        <v>100</v>
      </c>
      <c r="DX425" s="2" t="n">
        <v>0</v>
      </c>
      <c r="DY425" s="2" t="n">
        <v>100</v>
      </c>
      <c r="DZ425" s="2" t="n">
        <v>100</v>
      </c>
      <c r="EA425" s="2" t="n">
        <v>0</v>
      </c>
      <c r="EB425" s="2" t="n">
        <v>100</v>
      </c>
      <c r="EC425" s="2" t="n">
        <v>100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</row>
    <row r="426">
      <c r="A426" s="2" t="n">
        <v>2</v>
      </c>
      <c r="B426" s="2" t="inlineStr">
        <is>
          <t>19.04</t>
        </is>
      </c>
      <c r="C426" s="2" t="inlineStr">
        <is>
          <t>Dupla manta asfáltica, tipo III, (3mm + 4mm) classe B, ambas coldas com asfalto oxidado a quente com consumo de 3,0kg/m2, camada de transição com geotêxtil 200g/m2, isolamento térmico com placas poliestireno extrudado (XPS) 4cm de espessura (2 camadas de 2cm) assentados em mata-juntas e coladas com pontos de asfalto e proteção mecânica armada estruturada com tela galvanizada fio 22 malha de 1"</t>
        </is>
      </c>
      <c r="D426" s="2" t="inlineStr">
        <is>
          <t>11/08/2027</t>
        </is>
      </c>
      <c r="E426" s="2" t="inlineStr">
        <is>
          <t>01/09/2028</t>
        </is>
      </c>
      <c r="F426" s="2" t="n">
        <v>514601.7203342452</v>
      </c>
      <c r="G426" s="2" t="n">
        <v>0</v>
      </c>
      <c r="H426" s="2" t="n">
        <v>514601.7203342452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2.65</v>
      </c>
      <c r="CJ426" s="2" t="n">
        <v>3.97</v>
      </c>
      <c r="CK426" s="2" t="n">
        <v>0</v>
      </c>
      <c r="CL426" s="2" t="n">
        <v>8.199999999999999</v>
      </c>
      <c r="CM426" s="2" t="n">
        <v>9.52</v>
      </c>
      <c r="CN426" s="2" t="n">
        <v>0</v>
      </c>
      <c r="CO426" s="2" t="n">
        <v>13.49</v>
      </c>
      <c r="CP426" s="2" t="n">
        <v>17.2</v>
      </c>
      <c r="CQ426" s="2" t="n">
        <v>0</v>
      </c>
      <c r="CR426" s="2" t="n">
        <v>23.54</v>
      </c>
      <c r="CS426" s="2" t="n">
        <v>24.87</v>
      </c>
      <c r="CT426" s="2" t="n">
        <v>0</v>
      </c>
      <c r="CU426" s="2" t="n">
        <v>27.78</v>
      </c>
      <c r="CV426" s="2" t="n">
        <v>30.53</v>
      </c>
      <c r="CW426" s="2" t="n">
        <v>0</v>
      </c>
      <c r="CX426" s="2" t="n">
        <v>35</v>
      </c>
      <c r="CY426" s="2" t="n">
        <v>37.04</v>
      </c>
      <c r="CZ426" s="2" t="n">
        <v>0</v>
      </c>
      <c r="DA426" s="2" t="n">
        <v>41.27</v>
      </c>
      <c r="DB426" s="2" t="n">
        <v>43.54</v>
      </c>
      <c r="DC426" s="2" t="n">
        <v>0</v>
      </c>
      <c r="DD426" s="2" t="n">
        <v>54.32</v>
      </c>
      <c r="DE426" s="2" t="n">
        <v>56.56</v>
      </c>
      <c r="DF426" s="2" t="n">
        <v>0</v>
      </c>
      <c r="DG426" s="2" t="n">
        <v>63.54</v>
      </c>
      <c r="DH426" s="2" t="n">
        <v>65.38</v>
      </c>
      <c r="DI426" s="2" t="n">
        <v>0</v>
      </c>
      <c r="DJ426" s="2" t="n">
        <v>72.54000000000001</v>
      </c>
      <c r="DK426" s="2" t="n">
        <v>81.36</v>
      </c>
      <c r="DL426" s="2" t="n">
        <v>0</v>
      </c>
      <c r="DM426" s="2" t="n">
        <v>86.23999999999999</v>
      </c>
      <c r="DN426" s="2" t="n">
        <v>94.76000000000001</v>
      </c>
      <c r="DO426" s="2" t="n">
        <v>0</v>
      </c>
      <c r="DP426" s="2" t="n">
        <v>97.45999999999999</v>
      </c>
      <c r="DQ426" s="2" t="n">
        <v>97.62</v>
      </c>
      <c r="DR426" s="2" t="n">
        <v>0</v>
      </c>
      <c r="DS426" s="2" t="n">
        <v>98.41</v>
      </c>
      <c r="DT426" s="2" t="n">
        <v>99.73999999999999</v>
      </c>
      <c r="DU426" s="2" t="n">
        <v>0</v>
      </c>
      <c r="DV426" s="2" t="n">
        <v>100</v>
      </c>
      <c r="DW426" s="2" t="n">
        <v>100</v>
      </c>
      <c r="DX426" s="2" t="n">
        <v>0</v>
      </c>
      <c r="DY426" s="2" t="n">
        <v>100</v>
      </c>
      <c r="DZ426" s="2" t="n">
        <v>100</v>
      </c>
      <c r="EA426" s="2" t="n">
        <v>0</v>
      </c>
      <c r="EB426" s="2" t="n">
        <v>100</v>
      </c>
      <c r="EC426" s="2" t="n">
        <v>100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</row>
    <row r="427">
      <c r="A427" s="2" t="n">
        <v>3</v>
      </c>
      <c r="B427" s="2" t="inlineStr">
        <is>
          <t>19.04.01</t>
        </is>
      </c>
      <c r="C427" s="2" t="inlineStr">
        <is>
          <t>Camada de regularização com argamassa de cimento e areia</t>
        </is>
      </c>
      <c r="D427" s="2" t="inlineStr">
        <is>
          <t>11/08/2027</t>
        </is>
      </c>
      <c r="E427" s="2" t="inlineStr">
        <is>
          <t>01/09/2028</t>
        </is>
      </c>
      <c r="F427" s="2" t="n">
        <v>52116.89000078126</v>
      </c>
      <c r="G427" s="2" t="n">
        <v>0</v>
      </c>
      <c r="H427" s="2" t="n">
        <v>52116.89000078126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2.65</v>
      </c>
      <c r="CJ427" s="2" t="n">
        <v>3.97</v>
      </c>
      <c r="CK427" s="2" t="n">
        <v>0</v>
      </c>
      <c r="CL427" s="2" t="n">
        <v>8.199999999999999</v>
      </c>
      <c r="CM427" s="2" t="n">
        <v>9.52</v>
      </c>
      <c r="CN427" s="2" t="n">
        <v>0</v>
      </c>
      <c r="CO427" s="2" t="n">
        <v>13.49</v>
      </c>
      <c r="CP427" s="2" t="n">
        <v>17.2</v>
      </c>
      <c r="CQ427" s="2" t="n">
        <v>0</v>
      </c>
      <c r="CR427" s="2" t="n">
        <v>23.54</v>
      </c>
      <c r="CS427" s="2" t="n">
        <v>24.87</v>
      </c>
      <c r="CT427" s="2" t="n">
        <v>0</v>
      </c>
      <c r="CU427" s="2" t="n">
        <v>27.78</v>
      </c>
      <c r="CV427" s="2" t="n">
        <v>30.53</v>
      </c>
      <c r="CW427" s="2" t="n">
        <v>0</v>
      </c>
      <c r="CX427" s="2" t="n">
        <v>35</v>
      </c>
      <c r="CY427" s="2" t="n">
        <v>37.04</v>
      </c>
      <c r="CZ427" s="2" t="n">
        <v>0</v>
      </c>
      <c r="DA427" s="2" t="n">
        <v>41.27</v>
      </c>
      <c r="DB427" s="2" t="n">
        <v>43.54</v>
      </c>
      <c r="DC427" s="2" t="n">
        <v>0</v>
      </c>
      <c r="DD427" s="2" t="n">
        <v>54.32</v>
      </c>
      <c r="DE427" s="2" t="n">
        <v>56.56</v>
      </c>
      <c r="DF427" s="2" t="n">
        <v>0</v>
      </c>
      <c r="DG427" s="2" t="n">
        <v>63.54</v>
      </c>
      <c r="DH427" s="2" t="n">
        <v>65.38</v>
      </c>
      <c r="DI427" s="2" t="n">
        <v>0</v>
      </c>
      <c r="DJ427" s="2" t="n">
        <v>72.54000000000001</v>
      </c>
      <c r="DK427" s="2" t="n">
        <v>81.36</v>
      </c>
      <c r="DL427" s="2" t="n">
        <v>0</v>
      </c>
      <c r="DM427" s="2" t="n">
        <v>86.23999999999999</v>
      </c>
      <c r="DN427" s="2" t="n">
        <v>94.76000000000001</v>
      </c>
      <c r="DO427" s="2" t="n">
        <v>0</v>
      </c>
      <c r="DP427" s="2" t="n">
        <v>97.45999999999999</v>
      </c>
      <c r="DQ427" s="2" t="n">
        <v>97.62</v>
      </c>
      <c r="DR427" s="2" t="n">
        <v>0</v>
      </c>
      <c r="DS427" s="2" t="n">
        <v>98.41</v>
      </c>
      <c r="DT427" s="2" t="n">
        <v>99.73999999999999</v>
      </c>
      <c r="DU427" s="2" t="n">
        <v>0</v>
      </c>
      <c r="DV427" s="2" t="n">
        <v>100</v>
      </c>
      <c r="DW427" s="2" t="n">
        <v>100</v>
      </c>
      <c r="DX427" s="2" t="n">
        <v>0</v>
      </c>
      <c r="DY427" s="2" t="n">
        <v>100</v>
      </c>
      <c r="DZ427" s="2" t="n">
        <v>100</v>
      </c>
      <c r="EA427" s="2" t="n">
        <v>0</v>
      </c>
      <c r="EB427" s="2" t="n">
        <v>100</v>
      </c>
      <c r="EC427" s="2" t="n">
        <v>100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</row>
    <row r="428">
      <c r="A428" s="2" t="n">
        <v>3</v>
      </c>
      <c r="B428" s="2" t="inlineStr">
        <is>
          <t>19.04.02</t>
        </is>
      </c>
      <c r="C428" s="2" t="inlineStr">
        <is>
          <t>Proteção mecânica armada com tela galvanizada, fio 22, malha 1</t>
        </is>
      </c>
      <c r="D428" s="2" t="inlineStr">
        <is>
          <t>11/08/2027</t>
        </is>
      </c>
      <c r="E428" s="2" t="inlineStr">
        <is>
          <t>01/09/2028</t>
        </is>
      </c>
      <c r="F428" s="2" t="n">
        <v>87942.96217071329</v>
      </c>
      <c r="G428" s="2" t="n">
        <v>0</v>
      </c>
      <c r="H428" s="2" t="n">
        <v>87942.96217071329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2.65</v>
      </c>
      <c r="CJ428" s="2" t="n">
        <v>3.97</v>
      </c>
      <c r="CK428" s="2" t="n">
        <v>0</v>
      </c>
      <c r="CL428" s="2" t="n">
        <v>8.199999999999999</v>
      </c>
      <c r="CM428" s="2" t="n">
        <v>9.52</v>
      </c>
      <c r="CN428" s="2" t="n">
        <v>0</v>
      </c>
      <c r="CO428" s="2" t="n">
        <v>13.49</v>
      </c>
      <c r="CP428" s="2" t="n">
        <v>17.2</v>
      </c>
      <c r="CQ428" s="2" t="n">
        <v>0</v>
      </c>
      <c r="CR428" s="2" t="n">
        <v>23.54</v>
      </c>
      <c r="CS428" s="2" t="n">
        <v>24.87</v>
      </c>
      <c r="CT428" s="2" t="n">
        <v>0</v>
      </c>
      <c r="CU428" s="2" t="n">
        <v>27.78</v>
      </c>
      <c r="CV428" s="2" t="n">
        <v>30.53</v>
      </c>
      <c r="CW428" s="2" t="n">
        <v>0</v>
      </c>
      <c r="CX428" s="2" t="n">
        <v>35</v>
      </c>
      <c r="CY428" s="2" t="n">
        <v>37.04</v>
      </c>
      <c r="CZ428" s="2" t="n">
        <v>0</v>
      </c>
      <c r="DA428" s="2" t="n">
        <v>41.27</v>
      </c>
      <c r="DB428" s="2" t="n">
        <v>43.54</v>
      </c>
      <c r="DC428" s="2" t="n">
        <v>0</v>
      </c>
      <c r="DD428" s="2" t="n">
        <v>54.32</v>
      </c>
      <c r="DE428" s="2" t="n">
        <v>56.56</v>
      </c>
      <c r="DF428" s="2" t="n">
        <v>0</v>
      </c>
      <c r="DG428" s="2" t="n">
        <v>63.54</v>
      </c>
      <c r="DH428" s="2" t="n">
        <v>65.38</v>
      </c>
      <c r="DI428" s="2" t="n">
        <v>0</v>
      </c>
      <c r="DJ428" s="2" t="n">
        <v>72.54000000000001</v>
      </c>
      <c r="DK428" s="2" t="n">
        <v>81.36</v>
      </c>
      <c r="DL428" s="2" t="n">
        <v>0</v>
      </c>
      <c r="DM428" s="2" t="n">
        <v>86.23999999999999</v>
      </c>
      <c r="DN428" s="2" t="n">
        <v>94.76000000000001</v>
      </c>
      <c r="DO428" s="2" t="n">
        <v>0</v>
      </c>
      <c r="DP428" s="2" t="n">
        <v>97.45999999999999</v>
      </c>
      <c r="DQ428" s="2" t="n">
        <v>97.62</v>
      </c>
      <c r="DR428" s="2" t="n">
        <v>0</v>
      </c>
      <c r="DS428" s="2" t="n">
        <v>98.41</v>
      </c>
      <c r="DT428" s="2" t="n">
        <v>99.73999999999999</v>
      </c>
      <c r="DU428" s="2" t="n">
        <v>0</v>
      </c>
      <c r="DV428" s="2" t="n">
        <v>100</v>
      </c>
      <c r="DW428" s="2" t="n">
        <v>100</v>
      </c>
      <c r="DX428" s="2" t="n">
        <v>0</v>
      </c>
      <c r="DY428" s="2" t="n">
        <v>100</v>
      </c>
      <c r="DZ428" s="2" t="n">
        <v>100</v>
      </c>
      <c r="EA428" s="2" t="n">
        <v>0</v>
      </c>
      <c r="EB428" s="2" t="n">
        <v>100</v>
      </c>
      <c r="EC428" s="2" t="n">
        <v>100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</row>
    <row r="429">
      <c r="A429" s="2" t="n">
        <v>3</v>
      </c>
      <c r="B429" s="2" t="inlineStr">
        <is>
          <t>19.04.03</t>
        </is>
      </c>
      <c r="C429" s="2" t="inlineStr">
        <is>
          <t>Camada de transição geotêxtil 200g/m2</t>
        </is>
      </c>
      <c r="D429" s="2" t="inlineStr">
        <is>
          <t>11/08/2027</t>
        </is>
      </c>
      <c r="E429" s="2" t="inlineStr">
        <is>
          <t>01/09/2028</t>
        </is>
      </c>
      <c r="F429" s="2" t="n">
        <v>9481.336500000001</v>
      </c>
      <c r="G429" s="2" t="n">
        <v>0</v>
      </c>
      <c r="H429" s="2" t="n">
        <v>9481.336500000001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2.65</v>
      </c>
      <c r="CJ429" s="2" t="n">
        <v>3.97</v>
      </c>
      <c r="CK429" s="2" t="n">
        <v>0</v>
      </c>
      <c r="CL429" s="2" t="n">
        <v>8.199999999999999</v>
      </c>
      <c r="CM429" s="2" t="n">
        <v>9.52</v>
      </c>
      <c r="CN429" s="2" t="n">
        <v>0</v>
      </c>
      <c r="CO429" s="2" t="n">
        <v>13.49</v>
      </c>
      <c r="CP429" s="2" t="n">
        <v>17.2</v>
      </c>
      <c r="CQ429" s="2" t="n">
        <v>0</v>
      </c>
      <c r="CR429" s="2" t="n">
        <v>23.54</v>
      </c>
      <c r="CS429" s="2" t="n">
        <v>24.87</v>
      </c>
      <c r="CT429" s="2" t="n">
        <v>0</v>
      </c>
      <c r="CU429" s="2" t="n">
        <v>27.78</v>
      </c>
      <c r="CV429" s="2" t="n">
        <v>30.53</v>
      </c>
      <c r="CW429" s="2" t="n">
        <v>0</v>
      </c>
      <c r="CX429" s="2" t="n">
        <v>35</v>
      </c>
      <c r="CY429" s="2" t="n">
        <v>37.04</v>
      </c>
      <c r="CZ429" s="2" t="n">
        <v>0</v>
      </c>
      <c r="DA429" s="2" t="n">
        <v>41.27</v>
      </c>
      <c r="DB429" s="2" t="n">
        <v>43.54</v>
      </c>
      <c r="DC429" s="2" t="n">
        <v>0</v>
      </c>
      <c r="DD429" s="2" t="n">
        <v>54.32</v>
      </c>
      <c r="DE429" s="2" t="n">
        <v>56.56</v>
      </c>
      <c r="DF429" s="2" t="n">
        <v>0</v>
      </c>
      <c r="DG429" s="2" t="n">
        <v>63.54</v>
      </c>
      <c r="DH429" s="2" t="n">
        <v>65.38</v>
      </c>
      <c r="DI429" s="2" t="n">
        <v>0</v>
      </c>
      <c r="DJ429" s="2" t="n">
        <v>72.54000000000001</v>
      </c>
      <c r="DK429" s="2" t="n">
        <v>81.36</v>
      </c>
      <c r="DL429" s="2" t="n">
        <v>0</v>
      </c>
      <c r="DM429" s="2" t="n">
        <v>86.23999999999999</v>
      </c>
      <c r="DN429" s="2" t="n">
        <v>94.76000000000001</v>
      </c>
      <c r="DO429" s="2" t="n">
        <v>0</v>
      </c>
      <c r="DP429" s="2" t="n">
        <v>97.45999999999999</v>
      </c>
      <c r="DQ429" s="2" t="n">
        <v>97.62</v>
      </c>
      <c r="DR429" s="2" t="n">
        <v>0</v>
      </c>
      <c r="DS429" s="2" t="n">
        <v>98.41</v>
      </c>
      <c r="DT429" s="2" t="n">
        <v>99.73999999999999</v>
      </c>
      <c r="DU429" s="2" t="n">
        <v>0</v>
      </c>
      <c r="DV429" s="2" t="n">
        <v>100</v>
      </c>
      <c r="DW429" s="2" t="n">
        <v>100</v>
      </c>
      <c r="DX429" s="2" t="n">
        <v>0</v>
      </c>
      <c r="DY429" s="2" t="n">
        <v>100</v>
      </c>
      <c r="DZ429" s="2" t="n">
        <v>100</v>
      </c>
      <c r="EA429" s="2" t="n">
        <v>0</v>
      </c>
      <c r="EB429" s="2" t="n">
        <v>100</v>
      </c>
      <c r="EC429" s="2" t="n">
        <v>100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</row>
    <row r="430">
      <c r="A430" s="2" t="n">
        <v>3</v>
      </c>
      <c r="B430" s="2" t="inlineStr">
        <is>
          <t>19.04.04</t>
        </is>
      </c>
      <c r="C430" s="2" t="inlineStr">
        <is>
          <t>Proteção térmica com placas de XPS (Poliestireno extrudado) coladas com 5 pontos de Ø15cm de asfalto nas bordas e no centro proteção com 2 placas de 2cm cada</t>
        </is>
      </c>
      <c r="D430" s="2" t="inlineStr">
        <is>
          <t>11/08/2027</t>
        </is>
      </c>
      <c r="E430" s="2" t="inlineStr">
        <is>
          <t>01/09/2028</t>
        </is>
      </c>
      <c r="F430" s="2" t="n">
        <v>53276.97</v>
      </c>
      <c r="G430" s="2" t="n">
        <v>0</v>
      </c>
      <c r="H430" s="2" t="n">
        <v>53276.97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2.65</v>
      </c>
      <c r="CJ430" s="2" t="n">
        <v>3.97</v>
      </c>
      <c r="CK430" s="2" t="n">
        <v>0</v>
      </c>
      <c r="CL430" s="2" t="n">
        <v>8.199999999999999</v>
      </c>
      <c r="CM430" s="2" t="n">
        <v>9.52</v>
      </c>
      <c r="CN430" s="2" t="n">
        <v>0</v>
      </c>
      <c r="CO430" s="2" t="n">
        <v>13.49</v>
      </c>
      <c r="CP430" s="2" t="n">
        <v>17.2</v>
      </c>
      <c r="CQ430" s="2" t="n">
        <v>0</v>
      </c>
      <c r="CR430" s="2" t="n">
        <v>23.54</v>
      </c>
      <c r="CS430" s="2" t="n">
        <v>24.87</v>
      </c>
      <c r="CT430" s="2" t="n">
        <v>0</v>
      </c>
      <c r="CU430" s="2" t="n">
        <v>27.78</v>
      </c>
      <c r="CV430" s="2" t="n">
        <v>30.53</v>
      </c>
      <c r="CW430" s="2" t="n">
        <v>0</v>
      </c>
      <c r="CX430" s="2" t="n">
        <v>35</v>
      </c>
      <c r="CY430" s="2" t="n">
        <v>37.04</v>
      </c>
      <c r="CZ430" s="2" t="n">
        <v>0</v>
      </c>
      <c r="DA430" s="2" t="n">
        <v>41.27</v>
      </c>
      <c r="DB430" s="2" t="n">
        <v>43.54</v>
      </c>
      <c r="DC430" s="2" t="n">
        <v>0</v>
      </c>
      <c r="DD430" s="2" t="n">
        <v>54.32</v>
      </c>
      <c r="DE430" s="2" t="n">
        <v>56.56</v>
      </c>
      <c r="DF430" s="2" t="n">
        <v>0</v>
      </c>
      <c r="DG430" s="2" t="n">
        <v>63.54</v>
      </c>
      <c r="DH430" s="2" t="n">
        <v>65.38</v>
      </c>
      <c r="DI430" s="2" t="n">
        <v>0</v>
      </c>
      <c r="DJ430" s="2" t="n">
        <v>72.54000000000001</v>
      </c>
      <c r="DK430" s="2" t="n">
        <v>81.36</v>
      </c>
      <c r="DL430" s="2" t="n">
        <v>0</v>
      </c>
      <c r="DM430" s="2" t="n">
        <v>86.23999999999999</v>
      </c>
      <c r="DN430" s="2" t="n">
        <v>94.76000000000001</v>
      </c>
      <c r="DO430" s="2" t="n">
        <v>0</v>
      </c>
      <c r="DP430" s="2" t="n">
        <v>97.45999999999999</v>
      </c>
      <c r="DQ430" s="2" t="n">
        <v>97.62</v>
      </c>
      <c r="DR430" s="2" t="n">
        <v>0</v>
      </c>
      <c r="DS430" s="2" t="n">
        <v>98.41</v>
      </c>
      <c r="DT430" s="2" t="n">
        <v>99.73999999999999</v>
      </c>
      <c r="DU430" s="2" t="n">
        <v>0</v>
      </c>
      <c r="DV430" s="2" t="n">
        <v>100</v>
      </c>
      <c r="DW430" s="2" t="n">
        <v>100</v>
      </c>
      <c r="DX430" s="2" t="n">
        <v>0</v>
      </c>
      <c r="DY430" s="2" t="n">
        <v>100</v>
      </c>
      <c r="DZ430" s="2" t="n">
        <v>100</v>
      </c>
      <c r="EA430" s="2" t="n">
        <v>0</v>
      </c>
      <c r="EB430" s="2" t="n">
        <v>100</v>
      </c>
      <c r="EC430" s="2" t="n">
        <v>100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</row>
    <row r="431">
      <c r="A431" s="2" t="n">
        <v>3</v>
      </c>
      <c r="B431" s="2" t="inlineStr">
        <is>
          <t>19.04.05</t>
        </is>
      </c>
      <c r="C431" s="2" t="inlineStr">
        <is>
          <t>Junta perimetral preenchida com mastique de poliuretano</t>
        </is>
      </c>
      <c r="D431" s="2" t="inlineStr">
        <is>
          <t>11/08/2027</t>
        </is>
      </c>
      <c r="E431" s="2" t="inlineStr">
        <is>
          <t>01/09/2028</t>
        </is>
      </c>
      <c r="F431" s="2" t="n">
        <v>10298.80526954799</v>
      </c>
      <c r="G431" s="2" t="n">
        <v>0</v>
      </c>
      <c r="H431" s="2" t="n">
        <v>10298.80526954799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2.65</v>
      </c>
      <c r="CJ431" s="2" t="n">
        <v>3.97</v>
      </c>
      <c r="CK431" s="2" t="n">
        <v>0</v>
      </c>
      <c r="CL431" s="2" t="n">
        <v>8.199999999999999</v>
      </c>
      <c r="CM431" s="2" t="n">
        <v>9.52</v>
      </c>
      <c r="CN431" s="2" t="n">
        <v>0</v>
      </c>
      <c r="CO431" s="2" t="n">
        <v>13.49</v>
      </c>
      <c r="CP431" s="2" t="n">
        <v>17.2</v>
      </c>
      <c r="CQ431" s="2" t="n">
        <v>0</v>
      </c>
      <c r="CR431" s="2" t="n">
        <v>23.54</v>
      </c>
      <c r="CS431" s="2" t="n">
        <v>24.87</v>
      </c>
      <c r="CT431" s="2" t="n">
        <v>0</v>
      </c>
      <c r="CU431" s="2" t="n">
        <v>27.78</v>
      </c>
      <c r="CV431" s="2" t="n">
        <v>30.53</v>
      </c>
      <c r="CW431" s="2" t="n">
        <v>0</v>
      </c>
      <c r="CX431" s="2" t="n">
        <v>35</v>
      </c>
      <c r="CY431" s="2" t="n">
        <v>37.04</v>
      </c>
      <c r="CZ431" s="2" t="n">
        <v>0</v>
      </c>
      <c r="DA431" s="2" t="n">
        <v>41.27</v>
      </c>
      <c r="DB431" s="2" t="n">
        <v>43.54</v>
      </c>
      <c r="DC431" s="2" t="n">
        <v>0</v>
      </c>
      <c r="DD431" s="2" t="n">
        <v>54.32</v>
      </c>
      <c r="DE431" s="2" t="n">
        <v>56.56</v>
      </c>
      <c r="DF431" s="2" t="n">
        <v>0</v>
      </c>
      <c r="DG431" s="2" t="n">
        <v>63.54</v>
      </c>
      <c r="DH431" s="2" t="n">
        <v>65.38</v>
      </c>
      <c r="DI431" s="2" t="n">
        <v>0</v>
      </c>
      <c r="DJ431" s="2" t="n">
        <v>72.54000000000001</v>
      </c>
      <c r="DK431" s="2" t="n">
        <v>81.36</v>
      </c>
      <c r="DL431" s="2" t="n">
        <v>0</v>
      </c>
      <c r="DM431" s="2" t="n">
        <v>86.23999999999999</v>
      </c>
      <c r="DN431" s="2" t="n">
        <v>94.76000000000001</v>
      </c>
      <c r="DO431" s="2" t="n">
        <v>0</v>
      </c>
      <c r="DP431" s="2" t="n">
        <v>97.45999999999999</v>
      </c>
      <c r="DQ431" s="2" t="n">
        <v>97.62</v>
      </c>
      <c r="DR431" s="2" t="n">
        <v>0</v>
      </c>
      <c r="DS431" s="2" t="n">
        <v>98.41</v>
      </c>
      <c r="DT431" s="2" t="n">
        <v>99.73999999999999</v>
      </c>
      <c r="DU431" s="2" t="n">
        <v>0</v>
      </c>
      <c r="DV431" s="2" t="n">
        <v>100</v>
      </c>
      <c r="DW431" s="2" t="n">
        <v>100</v>
      </c>
      <c r="DX431" s="2" t="n">
        <v>0</v>
      </c>
      <c r="DY431" s="2" t="n">
        <v>100</v>
      </c>
      <c r="DZ431" s="2" t="n">
        <v>100</v>
      </c>
      <c r="EA431" s="2" t="n">
        <v>0</v>
      </c>
      <c r="EB431" s="2" t="n">
        <v>100</v>
      </c>
      <c r="EC431" s="2" t="n">
        <v>100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</row>
    <row r="432">
      <c r="A432" s="2" t="n">
        <v>3</v>
      </c>
      <c r="B432" s="2" t="inlineStr">
        <is>
          <t>19.04.06</t>
        </is>
      </c>
      <c r="C432" s="2" t="inlineStr">
        <is>
          <t>Junta serrada em quadros de 1,5m, com 1cm de espessura preenchida com mastique de poliuretano</t>
        </is>
      </c>
      <c r="D432" s="2" t="inlineStr">
        <is>
          <t>11/08/2027</t>
        </is>
      </c>
      <c r="E432" s="2" t="inlineStr">
        <is>
          <t>01/09/2028</t>
        </is>
      </c>
      <c r="F432" s="2" t="n">
        <v>12460</v>
      </c>
      <c r="G432" s="2" t="n">
        <v>0</v>
      </c>
      <c r="H432" s="2" t="n">
        <v>12460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2.65</v>
      </c>
      <c r="CJ432" s="2" t="n">
        <v>3.97</v>
      </c>
      <c r="CK432" s="2" t="n">
        <v>0</v>
      </c>
      <c r="CL432" s="2" t="n">
        <v>8.199999999999999</v>
      </c>
      <c r="CM432" s="2" t="n">
        <v>9.52</v>
      </c>
      <c r="CN432" s="2" t="n">
        <v>0</v>
      </c>
      <c r="CO432" s="2" t="n">
        <v>13.49</v>
      </c>
      <c r="CP432" s="2" t="n">
        <v>17.2</v>
      </c>
      <c r="CQ432" s="2" t="n">
        <v>0</v>
      </c>
      <c r="CR432" s="2" t="n">
        <v>23.54</v>
      </c>
      <c r="CS432" s="2" t="n">
        <v>24.87</v>
      </c>
      <c r="CT432" s="2" t="n">
        <v>0</v>
      </c>
      <c r="CU432" s="2" t="n">
        <v>27.78</v>
      </c>
      <c r="CV432" s="2" t="n">
        <v>30.53</v>
      </c>
      <c r="CW432" s="2" t="n">
        <v>0</v>
      </c>
      <c r="CX432" s="2" t="n">
        <v>35</v>
      </c>
      <c r="CY432" s="2" t="n">
        <v>37.04</v>
      </c>
      <c r="CZ432" s="2" t="n">
        <v>0</v>
      </c>
      <c r="DA432" s="2" t="n">
        <v>41.27</v>
      </c>
      <c r="DB432" s="2" t="n">
        <v>43.54</v>
      </c>
      <c r="DC432" s="2" t="n">
        <v>0</v>
      </c>
      <c r="DD432" s="2" t="n">
        <v>54.32</v>
      </c>
      <c r="DE432" s="2" t="n">
        <v>56.56</v>
      </c>
      <c r="DF432" s="2" t="n">
        <v>0</v>
      </c>
      <c r="DG432" s="2" t="n">
        <v>63.54</v>
      </c>
      <c r="DH432" s="2" t="n">
        <v>65.38</v>
      </c>
      <c r="DI432" s="2" t="n">
        <v>0</v>
      </c>
      <c r="DJ432" s="2" t="n">
        <v>72.54000000000001</v>
      </c>
      <c r="DK432" s="2" t="n">
        <v>81.36</v>
      </c>
      <c r="DL432" s="2" t="n">
        <v>0</v>
      </c>
      <c r="DM432" s="2" t="n">
        <v>86.23999999999999</v>
      </c>
      <c r="DN432" s="2" t="n">
        <v>94.76000000000001</v>
      </c>
      <c r="DO432" s="2" t="n">
        <v>0</v>
      </c>
      <c r="DP432" s="2" t="n">
        <v>97.45999999999999</v>
      </c>
      <c r="DQ432" s="2" t="n">
        <v>97.62</v>
      </c>
      <c r="DR432" s="2" t="n">
        <v>0</v>
      </c>
      <c r="DS432" s="2" t="n">
        <v>98.41</v>
      </c>
      <c r="DT432" s="2" t="n">
        <v>99.73999999999999</v>
      </c>
      <c r="DU432" s="2" t="n">
        <v>0</v>
      </c>
      <c r="DV432" s="2" t="n">
        <v>100</v>
      </c>
      <c r="DW432" s="2" t="n">
        <v>100</v>
      </c>
      <c r="DX432" s="2" t="n">
        <v>0</v>
      </c>
      <c r="DY432" s="2" t="n">
        <v>100</v>
      </c>
      <c r="DZ432" s="2" t="n">
        <v>100</v>
      </c>
      <c r="EA432" s="2" t="n">
        <v>0</v>
      </c>
      <c r="EB432" s="2" t="n">
        <v>100</v>
      </c>
      <c r="EC432" s="2" t="n">
        <v>100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</row>
    <row r="433">
      <c r="A433" s="2" t="n">
        <v>3</v>
      </c>
      <c r="B433" s="2" t="inlineStr">
        <is>
          <t>19.04.07</t>
        </is>
      </c>
      <c r="C433" s="2" t="inlineStr">
        <is>
          <t>LPI</t>
        </is>
      </c>
      <c r="D433" s="2" t="inlineStr">
        <is>
          <t>11/08/2027</t>
        </is>
      </c>
      <c r="E433" s="2" t="inlineStr">
        <is>
          <t>01/09/2028</t>
        </is>
      </c>
      <c r="F433" s="2" t="n">
        <v>97685.24062499999</v>
      </c>
      <c r="G433" s="2" t="n">
        <v>0</v>
      </c>
      <c r="H433" s="2" t="n">
        <v>97685.24062499999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2.65</v>
      </c>
      <c r="CJ433" s="2" t="n">
        <v>3.97</v>
      </c>
      <c r="CK433" s="2" t="n">
        <v>0</v>
      </c>
      <c r="CL433" s="2" t="n">
        <v>8.199999999999999</v>
      </c>
      <c r="CM433" s="2" t="n">
        <v>9.52</v>
      </c>
      <c r="CN433" s="2" t="n">
        <v>0</v>
      </c>
      <c r="CO433" s="2" t="n">
        <v>13.49</v>
      </c>
      <c r="CP433" s="2" t="n">
        <v>17.2</v>
      </c>
      <c r="CQ433" s="2" t="n">
        <v>0</v>
      </c>
      <c r="CR433" s="2" t="n">
        <v>23.54</v>
      </c>
      <c r="CS433" s="2" t="n">
        <v>24.87</v>
      </c>
      <c r="CT433" s="2" t="n">
        <v>0</v>
      </c>
      <c r="CU433" s="2" t="n">
        <v>27.78</v>
      </c>
      <c r="CV433" s="2" t="n">
        <v>30.53</v>
      </c>
      <c r="CW433" s="2" t="n">
        <v>0</v>
      </c>
      <c r="CX433" s="2" t="n">
        <v>35</v>
      </c>
      <c r="CY433" s="2" t="n">
        <v>37.04</v>
      </c>
      <c r="CZ433" s="2" t="n">
        <v>0</v>
      </c>
      <c r="DA433" s="2" t="n">
        <v>41.27</v>
      </c>
      <c r="DB433" s="2" t="n">
        <v>43.54</v>
      </c>
      <c r="DC433" s="2" t="n">
        <v>0</v>
      </c>
      <c r="DD433" s="2" t="n">
        <v>54.32</v>
      </c>
      <c r="DE433" s="2" t="n">
        <v>56.56</v>
      </c>
      <c r="DF433" s="2" t="n">
        <v>0</v>
      </c>
      <c r="DG433" s="2" t="n">
        <v>63.54</v>
      </c>
      <c r="DH433" s="2" t="n">
        <v>65.38</v>
      </c>
      <c r="DI433" s="2" t="n">
        <v>0</v>
      </c>
      <c r="DJ433" s="2" t="n">
        <v>72.54000000000001</v>
      </c>
      <c r="DK433" s="2" t="n">
        <v>81.36</v>
      </c>
      <c r="DL433" s="2" t="n">
        <v>0</v>
      </c>
      <c r="DM433" s="2" t="n">
        <v>86.23999999999999</v>
      </c>
      <c r="DN433" s="2" t="n">
        <v>94.76000000000001</v>
      </c>
      <c r="DO433" s="2" t="n">
        <v>0</v>
      </c>
      <c r="DP433" s="2" t="n">
        <v>97.45999999999999</v>
      </c>
      <c r="DQ433" s="2" t="n">
        <v>97.62</v>
      </c>
      <c r="DR433" s="2" t="n">
        <v>0</v>
      </c>
      <c r="DS433" s="2" t="n">
        <v>98.41</v>
      </c>
      <c r="DT433" s="2" t="n">
        <v>99.73999999999999</v>
      </c>
      <c r="DU433" s="2" t="n">
        <v>0</v>
      </c>
      <c r="DV433" s="2" t="n">
        <v>100</v>
      </c>
      <c r="DW433" s="2" t="n">
        <v>100</v>
      </c>
      <c r="DX433" s="2" t="n">
        <v>0</v>
      </c>
      <c r="DY433" s="2" t="n">
        <v>100</v>
      </c>
      <c r="DZ433" s="2" t="n">
        <v>100</v>
      </c>
      <c r="EA433" s="2" t="n">
        <v>0</v>
      </c>
      <c r="EB433" s="2" t="n">
        <v>100</v>
      </c>
      <c r="EC433" s="2" t="n">
        <v>100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</row>
    <row r="434">
      <c r="A434" s="2" t="n">
        <v>3</v>
      </c>
      <c r="B434" s="2" t="inlineStr">
        <is>
          <t>19.04.08</t>
        </is>
      </c>
      <c r="C434" s="2" t="inlineStr">
        <is>
          <t>Varanda de acesso residencial, Passeio de acesso de serviço externo, Varanda comercial</t>
        </is>
      </c>
      <c r="D434" s="2" t="inlineStr">
        <is>
          <t>11/08/2027</t>
        </is>
      </c>
      <c r="E434" s="2" t="inlineStr">
        <is>
          <t>01/09/2028</t>
        </is>
      </c>
      <c r="F434" s="2" t="n">
        <v>191080.33035</v>
      </c>
      <c r="G434" s="2" t="n">
        <v>0</v>
      </c>
      <c r="H434" s="2" t="n">
        <v>191080.33035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2.65</v>
      </c>
      <c r="CJ434" s="2" t="n">
        <v>3.97</v>
      </c>
      <c r="CK434" s="2" t="n">
        <v>0</v>
      </c>
      <c r="CL434" s="2" t="n">
        <v>8.199999999999999</v>
      </c>
      <c r="CM434" s="2" t="n">
        <v>9.52</v>
      </c>
      <c r="CN434" s="2" t="n">
        <v>0</v>
      </c>
      <c r="CO434" s="2" t="n">
        <v>13.49</v>
      </c>
      <c r="CP434" s="2" t="n">
        <v>17.2</v>
      </c>
      <c r="CQ434" s="2" t="n">
        <v>0</v>
      </c>
      <c r="CR434" s="2" t="n">
        <v>23.54</v>
      </c>
      <c r="CS434" s="2" t="n">
        <v>24.87</v>
      </c>
      <c r="CT434" s="2" t="n">
        <v>0</v>
      </c>
      <c r="CU434" s="2" t="n">
        <v>27.78</v>
      </c>
      <c r="CV434" s="2" t="n">
        <v>30.53</v>
      </c>
      <c r="CW434" s="2" t="n">
        <v>0</v>
      </c>
      <c r="CX434" s="2" t="n">
        <v>35</v>
      </c>
      <c r="CY434" s="2" t="n">
        <v>37.04</v>
      </c>
      <c r="CZ434" s="2" t="n">
        <v>0</v>
      </c>
      <c r="DA434" s="2" t="n">
        <v>41.27</v>
      </c>
      <c r="DB434" s="2" t="n">
        <v>43.54</v>
      </c>
      <c r="DC434" s="2" t="n">
        <v>0</v>
      </c>
      <c r="DD434" s="2" t="n">
        <v>54.32</v>
      </c>
      <c r="DE434" s="2" t="n">
        <v>56.56</v>
      </c>
      <c r="DF434" s="2" t="n">
        <v>0</v>
      </c>
      <c r="DG434" s="2" t="n">
        <v>63.54</v>
      </c>
      <c r="DH434" s="2" t="n">
        <v>65.38</v>
      </c>
      <c r="DI434" s="2" t="n">
        <v>0</v>
      </c>
      <c r="DJ434" s="2" t="n">
        <v>72.54000000000001</v>
      </c>
      <c r="DK434" s="2" t="n">
        <v>81.36</v>
      </c>
      <c r="DL434" s="2" t="n">
        <v>0</v>
      </c>
      <c r="DM434" s="2" t="n">
        <v>86.23999999999999</v>
      </c>
      <c r="DN434" s="2" t="n">
        <v>94.76000000000001</v>
      </c>
      <c r="DO434" s="2" t="n">
        <v>0</v>
      </c>
      <c r="DP434" s="2" t="n">
        <v>97.45999999999999</v>
      </c>
      <c r="DQ434" s="2" t="n">
        <v>97.62</v>
      </c>
      <c r="DR434" s="2" t="n">
        <v>0</v>
      </c>
      <c r="DS434" s="2" t="n">
        <v>98.41</v>
      </c>
      <c r="DT434" s="2" t="n">
        <v>99.73999999999999</v>
      </c>
      <c r="DU434" s="2" t="n">
        <v>0</v>
      </c>
      <c r="DV434" s="2" t="n">
        <v>100</v>
      </c>
      <c r="DW434" s="2" t="n">
        <v>100</v>
      </c>
      <c r="DX434" s="2" t="n">
        <v>0</v>
      </c>
      <c r="DY434" s="2" t="n">
        <v>100</v>
      </c>
      <c r="DZ434" s="2" t="n">
        <v>100</v>
      </c>
      <c r="EA434" s="2" t="n">
        <v>0</v>
      </c>
      <c r="EB434" s="2" t="n">
        <v>100</v>
      </c>
      <c r="EC434" s="2" t="n">
        <v>100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</row>
    <row r="435">
      <c r="A435" s="2" t="n">
        <v>3</v>
      </c>
      <c r="B435" s="2" t="inlineStr">
        <is>
          <t>19.04.09</t>
        </is>
      </c>
      <c r="C435" s="2" t="inlineStr">
        <is>
          <t>Impermabilização de ralos</t>
        </is>
      </c>
      <c r="D435" s="2" t="inlineStr">
        <is>
          <t>11/08/2027</t>
        </is>
      </c>
      <c r="E435" s="2" t="inlineStr">
        <is>
          <t>01/09/2028</t>
        </is>
      </c>
      <c r="F435" s="2" t="n">
        <v>259.1854182026433</v>
      </c>
      <c r="G435" s="2" t="n">
        <v>0</v>
      </c>
      <c r="H435" s="2" t="n">
        <v>259.1854182026433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2.65</v>
      </c>
      <c r="CJ435" s="2" t="n">
        <v>3.97</v>
      </c>
      <c r="CK435" s="2" t="n">
        <v>0</v>
      </c>
      <c r="CL435" s="2" t="n">
        <v>8.199999999999999</v>
      </c>
      <c r="CM435" s="2" t="n">
        <v>9.52</v>
      </c>
      <c r="CN435" s="2" t="n">
        <v>0</v>
      </c>
      <c r="CO435" s="2" t="n">
        <v>13.49</v>
      </c>
      <c r="CP435" s="2" t="n">
        <v>17.2</v>
      </c>
      <c r="CQ435" s="2" t="n">
        <v>0</v>
      </c>
      <c r="CR435" s="2" t="n">
        <v>23.54</v>
      </c>
      <c r="CS435" s="2" t="n">
        <v>24.87</v>
      </c>
      <c r="CT435" s="2" t="n">
        <v>0</v>
      </c>
      <c r="CU435" s="2" t="n">
        <v>27.78</v>
      </c>
      <c r="CV435" s="2" t="n">
        <v>30.53</v>
      </c>
      <c r="CW435" s="2" t="n">
        <v>0</v>
      </c>
      <c r="CX435" s="2" t="n">
        <v>35</v>
      </c>
      <c r="CY435" s="2" t="n">
        <v>37.04</v>
      </c>
      <c r="CZ435" s="2" t="n">
        <v>0</v>
      </c>
      <c r="DA435" s="2" t="n">
        <v>41.27</v>
      </c>
      <c r="DB435" s="2" t="n">
        <v>43.54</v>
      </c>
      <c r="DC435" s="2" t="n">
        <v>0</v>
      </c>
      <c r="DD435" s="2" t="n">
        <v>54.32</v>
      </c>
      <c r="DE435" s="2" t="n">
        <v>56.56</v>
      </c>
      <c r="DF435" s="2" t="n">
        <v>0</v>
      </c>
      <c r="DG435" s="2" t="n">
        <v>63.54</v>
      </c>
      <c r="DH435" s="2" t="n">
        <v>65.38</v>
      </c>
      <c r="DI435" s="2" t="n">
        <v>0</v>
      </c>
      <c r="DJ435" s="2" t="n">
        <v>72.54000000000001</v>
      </c>
      <c r="DK435" s="2" t="n">
        <v>81.36</v>
      </c>
      <c r="DL435" s="2" t="n">
        <v>0</v>
      </c>
      <c r="DM435" s="2" t="n">
        <v>86.23999999999999</v>
      </c>
      <c r="DN435" s="2" t="n">
        <v>94.76000000000001</v>
      </c>
      <c r="DO435" s="2" t="n">
        <v>0</v>
      </c>
      <c r="DP435" s="2" t="n">
        <v>97.45999999999999</v>
      </c>
      <c r="DQ435" s="2" t="n">
        <v>97.62</v>
      </c>
      <c r="DR435" s="2" t="n">
        <v>0</v>
      </c>
      <c r="DS435" s="2" t="n">
        <v>98.41</v>
      </c>
      <c r="DT435" s="2" t="n">
        <v>99.73999999999999</v>
      </c>
      <c r="DU435" s="2" t="n">
        <v>0</v>
      </c>
      <c r="DV435" s="2" t="n">
        <v>100</v>
      </c>
      <c r="DW435" s="2" t="n">
        <v>100</v>
      </c>
      <c r="DX435" s="2" t="n">
        <v>0</v>
      </c>
      <c r="DY435" s="2" t="n">
        <v>100</v>
      </c>
      <c r="DZ435" s="2" t="n">
        <v>100</v>
      </c>
      <c r="EA435" s="2" t="n">
        <v>0</v>
      </c>
      <c r="EB435" s="2" t="n">
        <v>100</v>
      </c>
      <c r="EC435" s="2" t="n">
        <v>100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</row>
    <row r="436">
      <c r="A436" s="2" t="n">
        <v>2</v>
      </c>
      <c r="B436" s="2" t="inlineStr">
        <is>
          <t>19.05</t>
        </is>
      </c>
      <c r="C436" s="2" t="inlineStr">
        <is>
          <t>Dupla manta asfáltica antiraiz, tipo III, 3mm+4mm de espessura, classe B acabamento AA ambas coladas com asfalto oxidado a quente com consumo de 3,0kg/m2. Sobre manta, camada de transição geotêxtil 200g/m2 e proteção mecânica armada estruturada com tela galvanizada fio 22 malha de 1". Posteriormente, tratamento drenante com sistema de manta do tipo MACDRAIN 2L</t>
        </is>
      </c>
      <c r="D436" s="2" t="inlineStr">
        <is>
          <t>11/08/2027</t>
        </is>
      </c>
      <c r="E436" s="2" t="inlineStr">
        <is>
          <t>01/09/2028</t>
        </is>
      </c>
      <c r="F436" s="2" t="n">
        <v>1073603.362127485</v>
      </c>
      <c r="G436" s="2" t="n">
        <v>0</v>
      </c>
      <c r="H436" s="2" t="n">
        <v>1073603.362127485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2.65</v>
      </c>
      <c r="CJ436" s="2" t="n">
        <v>3.97</v>
      </c>
      <c r="CK436" s="2" t="n">
        <v>0</v>
      </c>
      <c r="CL436" s="2" t="n">
        <v>8.199999999999999</v>
      </c>
      <c r="CM436" s="2" t="n">
        <v>9.52</v>
      </c>
      <c r="CN436" s="2" t="n">
        <v>0</v>
      </c>
      <c r="CO436" s="2" t="n">
        <v>13.49</v>
      </c>
      <c r="CP436" s="2" t="n">
        <v>17.2</v>
      </c>
      <c r="CQ436" s="2" t="n">
        <v>0</v>
      </c>
      <c r="CR436" s="2" t="n">
        <v>23.54</v>
      </c>
      <c r="CS436" s="2" t="n">
        <v>24.87</v>
      </c>
      <c r="CT436" s="2" t="n">
        <v>0</v>
      </c>
      <c r="CU436" s="2" t="n">
        <v>27.78</v>
      </c>
      <c r="CV436" s="2" t="n">
        <v>30.53</v>
      </c>
      <c r="CW436" s="2" t="n">
        <v>0</v>
      </c>
      <c r="CX436" s="2" t="n">
        <v>35</v>
      </c>
      <c r="CY436" s="2" t="n">
        <v>37.04</v>
      </c>
      <c r="CZ436" s="2" t="n">
        <v>0</v>
      </c>
      <c r="DA436" s="2" t="n">
        <v>41.27</v>
      </c>
      <c r="DB436" s="2" t="n">
        <v>43.54</v>
      </c>
      <c r="DC436" s="2" t="n">
        <v>0</v>
      </c>
      <c r="DD436" s="2" t="n">
        <v>54.32</v>
      </c>
      <c r="DE436" s="2" t="n">
        <v>56.56</v>
      </c>
      <c r="DF436" s="2" t="n">
        <v>0</v>
      </c>
      <c r="DG436" s="2" t="n">
        <v>63.54</v>
      </c>
      <c r="DH436" s="2" t="n">
        <v>65.38</v>
      </c>
      <c r="DI436" s="2" t="n">
        <v>0</v>
      </c>
      <c r="DJ436" s="2" t="n">
        <v>72.54000000000001</v>
      </c>
      <c r="DK436" s="2" t="n">
        <v>81.36</v>
      </c>
      <c r="DL436" s="2" t="n">
        <v>0</v>
      </c>
      <c r="DM436" s="2" t="n">
        <v>86.23999999999999</v>
      </c>
      <c r="DN436" s="2" t="n">
        <v>94.76000000000001</v>
      </c>
      <c r="DO436" s="2" t="n">
        <v>0</v>
      </c>
      <c r="DP436" s="2" t="n">
        <v>97.45999999999999</v>
      </c>
      <c r="DQ436" s="2" t="n">
        <v>97.62</v>
      </c>
      <c r="DR436" s="2" t="n">
        <v>0</v>
      </c>
      <c r="DS436" s="2" t="n">
        <v>98.41</v>
      </c>
      <c r="DT436" s="2" t="n">
        <v>99.73999999999999</v>
      </c>
      <c r="DU436" s="2" t="n">
        <v>0</v>
      </c>
      <c r="DV436" s="2" t="n">
        <v>100</v>
      </c>
      <c r="DW436" s="2" t="n">
        <v>100</v>
      </c>
      <c r="DX436" s="2" t="n">
        <v>0</v>
      </c>
      <c r="DY436" s="2" t="n">
        <v>100</v>
      </c>
      <c r="DZ436" s="2" t="n">
        <v>100</v>
      </c>
      <c r="EA436" s="2" t="n">
        <v>0</v>
      </c>
      <c r="EB436" s="2" t="n">
        <v>100</v>
      </c>
      <c r="EC436" s="2" t="n">
        <v>100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</row>
    <row r="437">
      <c r="A437" s="2" t="n">
        <v>3</v>
      </c>
      <c r="B437" s="2" t="inlineStr">
        <is>
          <t>19.05.01</t>
        </is>
      </c>
      <c r="C437" s="2" t="inlineStr">
        <is>
          <t>Camada de regularização com argamassa de cimento e areia</t>
        </is>
      </c>
      <c r="D437" s="2" t="inlineStr">
        <is>
          <t>11/08/2027</t>
        </is>
      </c>
      <c r="E437" s="2" t="inlineStr">
        <is>
          <t>01/09/2028</t>
        </is>
      </c>
      <c r="F437" s="2" t="n">
        <v>113512.161164977</v>
      </c>
      <c r="G437" s="2" t="n">
        <v>0</v>
      </c>
      <c r="H437" s="2" t="n">
        <v>113512.161164977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2.65</v>
      </c>
      <c r="CJ437" s="2" t="n">
        <v>3.97</v>
      </c>
      <c r="CK437" s="2" t="n">
        <v>0</v>
      </c>
      <c r="CL437" s="2" t="n">
        <v>8.199999999999999</v>
      </c>
      <c r="CM437" s="2" t="n">
        <v>9.52</v>
      </c>
      <c r="CN437" s="2" t="n">
        <v>0</v>
      </c>
      <c r="CO437" s="2" t="n">
        <v>13.49</v>
      </c>
      <c r="CP437" s="2" t="n">
        <v>17.2</v>
      </c>
      <c r="CQ437" s="2" t="n">
        <v>0</v>
      </c>
      <c r="CR437" s="2" t="n">
        <v>23.54</v>
      </c>
      <c r="CS437" s="2" t="n">
        <v>24.87</v>
      </c>
      <c r="CT437" s="2" t="n">
        <v>0</v>
      </c>
      <c r="CU437" s="2" t="n">
        <v>27.78</v>
      </c>
      <c r="CV437" s="2" t="n">
        <v>30.53</v>
      </c>
      <c r="CW437" s="2" t="n">
        <v>0</v>
      </c>
      <c r="CX437" s="2" t="n">
        <v>35</v>
      </c>
      <c r="CY437" s="2" t="n">
        <v>37.04</v>
      </c>
      <c r="CZ437" s="2" t="n">
        <v>0</v>
      </c>
      <c r="DA437" s="2" t="n">
        <v>41.27</v>
      </c>
      <c r="DB437" s="2" t="n">
        <v>43.54</v>
      </c>
      <c r="DC437" s="2" t="n">
        <v>0</v>
      </c>
      <c r="DD437" s="2" t="n">
        <v>54.32</v>
      </c>
      <c r="DE437" s="2" t="n">
        <v>56.56</v>
      </c>
      <c r="DF437" s="2" t="n">
        <v>0</v>
      </c>
      <c r="DG437" s="2" t="n">
        <v>63.54</v>
      </c>
      <c r="DH437" s="2" t="n">
        <v>65.38</v>
      </c>
      <c r="DI437" s="2" t="n">
        <v>0</v>
      </c>
      <c r="DJ437" s="2" t="n">
        <v>72.54000000000001</v>
      </c>
      <c r="DK437" s="2" t="n">
        <v>81.36</v>
      </c>
      <c r="DL437" s="2" t="n">
        <v>0</v>
      </c>
      <c r="DM437" s="2" t="n">
        <v>86.23999999999999</v>
      </c>
      <c r="DN437" s="2" t="n">
        <v>94.76000000000001</v>
      </c>
      <c r="DO437" s="2" t="n">
        <v>0</v>
      </c>
      <c r="DP437" s="2" t="n">
        <v>97.45999999999999</v>
      </c>
      <c r="DQ437" s="2" t="n">
        <v>97.62</v>
      </c>
      <c r="DR437" s="2" t="n">
        <v>0</v>
      </c>
      <c r="DS437" s="2" t="n">
        <v>98.41</v>
      </c>
      <c r="DT437" s="2" t="n">
        <v>99.73999999999999</v>
      </c>
      <c r="DU437" s="2" t="n">
        <v>0</v>
      </c>
      <c r="DV437" s="2" t="n">
        <v>100</v>
      </c>
      <c r="DW437" s="2" t="n">
        <v>100</v>
      </c>
      <c r="DX437" s="2" t="n">
        <v>0</v>
      </c>
      <c r="DY437" s="2" t="n">
        <v>100</v>
      </c>
      <c r="DZ437" s="2" t="n">
        <v>100</v>
      </c>
      <c r="EA437" s="2" t="n">
        <v>0</v>
      </c>
      <c r="EB437" s="2" t="n">
        <v>100</v>
      </c>
      <c r="EC437" s="2" t="n">
        <v>100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</row>
    <row r="438">
      <c r="A438" s="2" t="n">
        <v>3</v>
      </c>
      <c r="B438" s="2" t="inlineStr">
        <is>
          <t>19.05.02</t>
        </is>
      </c>
      <c r="C438" s="2" t="inlineStr">
        <is>
          <t>Proteção mecânica armada com tela galvanizada, fio 22, malha 1</t>
        </is>
      </c>
      <c r="D438" s="2" t="inlineStr">
        <is>
          <t>11/08/2027</t>
        </is>
      </c>
      <c r="E438" s="2" t="inlineStr">
        <is>
          <t>01/09/2028</t>
        </is>
      </c>
      <c r="F438" s="2" t="n">
        <v>191542.4288574748</v>
      </c>
      <c r="G438" s="2" t="n">
        <v>0</v>
      </c>
      <c r="H438" s="2" t="n">
        <v>191542.4288574748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2.65</v>
      </c>
      <c r="CJ438" s="2" t="n">
        <v>3.97</v>
      </c>
      <c r="CK438" s="2" t="n">
        <v>0</v>
      </c>
      <c r="CL438" s="2" t="n">
        <v>8.199999999999999</v>
      </c>
      <c r="CM438" s="2" t="n">
        <v>9.52</v>
      </c>
      <c r="CN438" s="2" t="n">
        <v>0</v>
      </c>
      <c r="CO438" s="2" t="n">
        <v>13.49</v>
      </c>
      <c r="CP438" s="2" t="n">
        <v>17.2</v>
      </c>
      <c r="CQ438" s="2" t="n">
        <v>0</v>
      </c>
      <c r="CR438" s="2" t="n">
        <v>23.54</v>
      </c>
      <c r="CS438" s="2" t="n">
        <v>24.87</v>
      </c>
      <c r="CT438" s="2" t="n">
        <v>0</v>
      </c>
      <c r="CU438" s="2" t="n">
        <v>27.78</v>
      </c>
      <c r="CV438" s="2" t="n">
        <v>30.53</v>
      </c>
      <c r="CW438" s="2" t="n">
        <v>0</v>
      </c>
      <c r="CX438" s="2" t="n">
        <v>35</v>
      </c>
      <c r="CY438" s="2" t="n">
        <v>37.04</v>
      </c>
      <c r="CZ438" s="2" t="n">
        <v>0</v>
      </c>
      <c r="DA438" s="2" t="n">
        <v>41.27</v>
      </c>
      <c r="DB438" s="2" t="n">
        <v>43.54</v>
      </c>
      <c r="DC438" s="2" t="n">
        <v>0</v>
      </c>
      <c r="DD438" s="2" t="n">
        <v>54.32</v>
      </c>
      <c r="DE438" s="2" t="n">
        <v>56.56</v>
      </c>
      <c r="DF438" s="2" t="n">
        <v>0</v>
      </c>
      <c r="DG438" s="2" t="n">
        <v>63.54</v>
      </c>
      <c r="DH438" s="2" t="n">
        <v>65.38</v>
      </c>
      <c r="DI438" s="2" t="n">
        <v>0</v>
      </c>
      <c r="DJ438" s="2" t="n">
        <v>72.54000000000001</v>
      </c>
      <c r="DK438" s="2" t="n">
        <v>81.36</v>
      </c>
      <c r="DL438" s="2" t="n">
        <v>0</v>
      </c>
      <c r="DM438" s="2" t="n">
        <v>86.23999999999999</v>
      </c>
      <c r="DN438" s="2" t="n">
        <v>94.76000000000001</v>
      </c>
      <c r="DO438" s="2" t="n">
        <v>0</v>
      </c>
      <c r="DP438" s="2" t="n">
        <v>97.45999999999999</v>
      </c>
      <c r="DQ438" s="2" t="n">
        <v>97.62</v>
      </c>
      <c r="DR438" s="2" t="n">
        <v>0</v>
      </c>
      <c r="DS438" s="2" t="n">
        <v>98.41</v>
      </c>
      <c r="DT438" s="2" t="n">
        <v>99.73999999999999</v>
      </c>
      <c r="DU438" s="2" t="n">
        <v>0</v>
      </c>
      <c r="DV438" s="2" t="n">
        <v>100</v>
      </c>
      <c r="DW438" s="2" t="n">
        <v>100</v>
      </c>
      <c r="DX438" s="2" t="n">
        <v>0</v>
      </c>
      <c r="DY438" s="2" t="n">
        <v>100</v>
      </c>
      <c r="DZ438" s="2" t="n">
        <v>100</v>
      </c>
      <c r="EA438" s="2" t="n">
        <v>0</v>
      </c>
      <c r="EB438" s="2" t="n">
        <v>100</v>
      </c>
      <c r="EC438" s="2" t="n">
        <v>100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</row>
    <row r="439">
      <c r="A439" s="2" t="n">
        <v>3</v>
      </c>
      <c r="B439" s="2" t="inlineStr">
        <is>
          <t>19.05.03</t>
        </is>
      </c>
      <c r="C439" s="2" t="inlineStr">
        <is>
          <t>Camada de transição geotêxtil 200g/m2</t>
        </is>
      </c>
      <c r="D439" s="2" t="inlineStr">
        <is>
          <t>11/08/2027</t>
        </is>
      </c>
      <c r="E439" s="2" t="inlineStr">
        <is>
          <t>01/09/2028</t>
        </is>
      </c>
      <c r="F439" s="2" t="n">
        <v>6933.820499999997</v>
      </c>
      <c r="G439" s="2" t="n">
        <v>0</v>
      </c>
      <c r="H439" s="2" t="n">
        <v>6933.820499999997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2.65</v>
      </c>
      <c r="CJ439" s="2" t="n">
        <v>3.97</v>
      </c>
      <c r="CK439" s="2" t="n">
        <v>0</v>
      </c>
      <c r="CL439" s="2" t="n">
        <v>8.199999999999999</v>
      </c>
      <c r="CM439" s="2" t="n">
        <v>9.52</v>
      </c>
      <c r="CN439" s="2" t="n">
        <v>0</v>
      </c>
      <c r="CO439" s="2" t="n">
        <v>13.49</v>
      </c>
      <c r="CP439" s="2" t="n">
        <v>17.2</v>
      </c>
      <c r="CQ439" s="2" t="n">
        <v>0</v>
      </c>
      <c r="CR439" s="2" t="n">
        <v>23.54</v>
      </c>
      <c r="CS439" s="2" t="n">
        <v>24.87</v>
      </c>
      <c r="CT439" s="2" t="n">
        <v>0</v>
      </c>
      <c r="CU439" s="2" t="n">
        <v>27.78</v>
      </c>
      <c r="CV439" s="2" t="n">
        <v>30.53</v>
      </c>
      <c r="CW439" s="2" t="n">
        <v>0</v>
      </c>
      <c r="CX439" s="2" t="n">
        <v>35</v>
      </c>
      <c r="CY439" s="2" t="n">
        <v>37.04</v>
      </c>
      <c r="CZ439" s="2" t="n">
        <v>0</v>
      </c>
      <c r="DA439" s="2" t="n">
        <v>41.27</v>
      </c>
      <c r="DB439" s="2" t="n">
        <v>43.54</v>
      </c>
      <c r="DC439" s="2" t="n">
        <v>0</v>
      </c>
      <c r="DD439" s="2" t="n">
        <v>54.32</v>
      </c>
      <c r="DE439" s="2" t="n">
        <v>56.56</v>
      </c>
      <c r="DF439" s="2" t="n">
        <v>0</v>
      </c>
      <c r="DG439" s="2" t="n">
        <v>63.54</v>
      </c>
      <c r="DH439" s="2" t="n">
        <v>65.38</v>
      </c>
      <c r="DI439" s="2" t="n">
        <v>0</v>
      </c>
      <c r="DJ439" s="2" t="n">
        <v>72.54000000000001</v>
      </c>
      <c r="DK439" s="2" t="n">
        <v>81.36</v>
      </c>
      <c r="DL439" s="2" t="n">
        <v>0</v>
      </c>
      <c r="DM439" s="2" t="n">
        <v>86.23999999999999</v>
      </c>
      <c r="DN439" s="2" t="n">
        <v>94.76000000000001</v>
      </c>
      <c r="DO439" s="2" t="n">
        <v>0</v>
      </c>
      <c r="DP439" s="2" t="n">
        <v>97.45999999999999</v>
      </c>
      <c r="DQ439" s="2" t="n">
        <v>97.62</v>
      </c>
      <c r="DR439" s="2" t="n">
        <v>0</v>
      </c>
      <c r="DS439" s="2" t="n">
        <v>98.41</v>
      </c>
      <c r="DT439" s="2" t="n">
        <v>99.73999999999999</v>
      </c>
      <c r="DU439" s="2" t="n">
        <v>0</v>
      </c>
      <c r="DV439" s="2" t="n">
        <v>100</v>
      </c>
      <c r="DW439" s="2" t="n">
        <v>100</v>
      </c>
      <c r="DX439" s="2" t="n">
        <v>0</v>
      </c>
      <c r="DY439" s="2" t="n">
        <v>100</v>
      </c>
      <c r="DZ439" s="2" t="n">
        <v>100</v>
      </c>
      <c r="EA439" s="2" t="n">
        <v>0</v>
      </c>
      <c r="EB439" s="2" t="n">
        <v>100</v>
      </c>
      <c r="EC439" s="2" t="n">
        <v>100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</row>
    <row r="440">
      <c r="A440" s="2" t="n">
        <v>3</v>
      </c>
      <c r="B440" s="2" t="inlineStr">
        <is>
          <t>19.05.04</t>
        </is>
      </c>
      <c r="C440" s="2" t="inlineStr">
        <is>
          <t>Junta perimetral preenchida com mastique de poliuretano</t>
        </is>
      </c>
      <c r="D440" s="2" t="inlineStr">
        <is>
          <t>11/08/2027</t>
        </is>
      </c>
      <c r="E440" s="2" t="inlineStr">
        <is>
          <t>01/09/2028</t>
        </is>
      </c>
      <c r="F440" s="2" t="n">
        <v>69502.85654553307</v>
      </c>
      <c r="G440" s="2" t="n">
        <v>0</v>
      </c>
      <c r="H440" s="2" t="n">
        <v>69502.85654553307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2.65</v>
      </c>
      <c r="CJ440" s="2" t="n">
        <v>3.97</v>
      </c>
      <c r="CK440" s="2" t="n">
        <v>0</v>
      </c>
      <c r="CL440" s="2" t="n">
        <v>8.199999999999999</v>
      </c>
      <c r="CM440" s="2" t="n">
        <v>9.52</v>
      </c>
      <c r="CN440" s="2" t="n">
        <v>0</v>
      </c>
      <c r="CO440" s="2" t="n">
        <v>13.49</v>
      </c>
      <c r="CP440" s="2" t="n">
        <v>17.2</v>
      </c>
      <c r="CQ440" s="2" t="n">
        <v>0</v>
      </c>
      <c r="CR440" s="2" t="n">
        <v>23.54</v>
      </c>
      <c r="CS440" s="2" t="n">
        <v>24.87</v>
      </c>
      <c r="CT440" s="2" t="n">
        <v>0</v>
      </c>
      <c r="CU440" s="2" t="n">
        <v>27.78</v>
      </c>
      <c r="CV440" s="2" t="n">
        <v>30.53</v>
      </c>
      <c r="CW440" s="2" t="n">
        <v>0</v>
      </c>
      <c r="CX440" s="2" t="n">
        <v>35</v>
      </c>
      <c r="CY440" s="2" t="n">
        <v>37.04</v>
      </c>
      <c r="CZ440" s="2" t="n">
        <v>0</v>
      </c>
      <c r="DA440" s="2" t="n">
        <v>41.27</v>
      </c>
      <c r="DB440" s="2" t="n">
        <v>43.54</v>
      </c>
      <c r="DC440" s="2" t="n">
        <v>0</v>
      </c>
      <c r="DD440" s="2" t="n">
        <v>54.32</v>
      </c>
      <c r="DE440" s="2" t="n">
        <v>56.56</v>
      </c>
      <c r="DF440" s="2" t="n">
        <v>0</v>
      </c>
      <c r="DG440" s="2" t="n">
        <v>63.54</v>
      </c>
      <c r="DH440" s="2" t="n">
        <v>65.38</v>
      </c>
      <c r="DI440" s="2" t="n">
        <v>0</v>
      </c>
      <c r="DJ440" s="2" t="n">
        <v>72.54000000000001</v>
      </c>
      <c r="DK440" s="2" t="n">
        <v>81.36</v>
      </c>
      <c r="DL440" s="2" t="n">
        <v>0</v>
      </c>
      <c r="DM440" s="2" t="n">
        <v>86.23999999999999</v>
      </c>
      <c r="DN440" s="2" t="n">
        <v>94.76000000000001</v>
      </c>
      <c r="DO440" s="2" t="n">
        <v>0</v>
      </c>
      <c r="DP440" s="2" t="n">
        <v>97.45999999999999</v>
      </c>
      <c r="DQ440" s="2" t="n">
        <v>97.62</v>
      </c>
      <c r="DR440" s="2" t="n">
        <v>0</v>
      </c>
      <c r="DS440" s="2" t="n">
        <v>98.41</v>
      </c>
      <c r="DT440" s="2" t="n">
        <v>99.73999999999999</v>
      </c>
      <c r="DU440" s="2" t="n">
        <v>0</v>
      </c>
      <c r="DV440" s="2" t="n">
        <v>100</v>
      </c>
      <c r="DW440" s="2" t="n">
        <v>100</v>
      </c>
      <c r="DX440" s="2" t="n">
        <v>0</v>
      </c>
      <c r="DY440" s="2" t="n">
        <v>100</v>
      </c>
      <c r="DZ440" s="2" t="n">
        <v>100</v>
      </c>
      <c r="EA440" s="2" t="n">
        <v>0</v>
      </c>
      <c r="EB440" s="2" t="n">
        <v>100</v>
      </c>
      <c r="EC440" s="2" t="n">
        <v>100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</row>
    <row r="441">
      <c r="A441" s="2" t="n">
        <v>3</v>
      </c>
      <c r="B441" s="2" t="inlineStr">
        <is>
          <t>19.05.05</t>
        </is>
      </c>
      <c r="C441" s="2" t="inlineStr">
        <is>
          <t>Cantoneira de alumínio/ galvanizada 2x2 fixada com parafuso e bucha S6 a cada 30cm</t>
        </is>
      </c>
      <c r="D441" s="2" t="inlineStr">
        <is>
          <t>11/08/2027</t>
        </is>
      </c>
      <c r="E441" s="2" t="inlineStr">
        <is>
          <t>01/09/2028</t>
        </is>
      </c>
      <c r="F441" s="2" t="n">
        <v>63171.95625</v>
      </c>
      <c r="G441" s="2" t="n">
        <v>0</v>
      </c>
      <c r="H441" s="2" t="n">
        <v>63171.95625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2.65</v>
      </c>
      <c r="CJ441" s="2" t="n">
        <v>3.97</v>
      </c>
      <c r="CK441" s="2" t="n">
        <v>0</v>
      </c>
      <c r="CL441" s="2" t="n">
        <v>8.199999999999999</v>
      </c>
      <c r="CM441" s="2" t="n">
        <v>9.52</v>
      </c>
      <c r="CN441" s="2" t="n">
        <v>0</v>
      </c>
      <c r="CO441" s="2" t="n">
        <v>13.49</v>
      </c>
      <c r="CP441" s="2" t="n">
        <v>17.2</v>
      </c>
      <c r="CQ441" s="2" t="n">
        <v>0</v>
      </c>
      <c r="CR441" s="2" t="n">
        <v>23.54</v>
      </c>
      <c r="CS441" s="2" t="n">
        <v>24.87</v>
      </c>
      <c r="CT441" s="2" t="n">
        <v>0</v>
      </c>
      <c r="CU441" s="2" t="n">
        <v>27.78</v>
      </c>
      <c r="CV441" s="2" t="n">
        <v>30.53</v>
      </c>
      <c r="CW441" s="2" t="n">
        <v>0</v>
      </c>
      <c r="CX441" s="2" t="n">
        <v>35</v>
      </c>
      <c r="CY441" s="2" t="n">
        <v>37.04</v>
      </c>
      <c r="CZ441" s="2" t="n">
        <v>0</v>
      </c>
      <c r="DA441" s="2" t="n">
        <v>41.27</v>
      </c>
      <c r="DB441" s="2" t="n">
        <v>43.54</v>
      </c>
      <c r="DC441" s="2" t="n">
        <v>0</v>
      </c>
      <c r="DD441" s="2" t="n">
        <v>54.32</v>
      </c>
      <c r="DE441" s="2" t="n">
        <v>56.56</v>
      </c>
      <c r="DF441" s="2" t="n">
        <v>0</v>
      </c>
      <c r="DG441" s="2" t="n">
        <v>63.54</v>
      </c>
      <c r="DH441" s="2" t="n">
        <v>65.38</v>
      </c>
      <c r="DI441" s="2" t="n">
        <v>0</v>
      </c>
      <c r="DJ441" s="2" t="n">
        <v>72.54000000000001</v>
      </c>
      <c r="DK441" s="2" t="n">
        <v>81.36</v>
      </c>
      <c r="DL441" s="2" t="n">
        <v>0</v>
      </c>
      <c r="DM441" s="2" t="n">
        <v>86.23999999999999</v>
      </c>
      <c r="DN441" s="2" t="n">
        <v>94.76000000000001</v>
      </c>
      <c r="DO441" s="2" t="n">
        <v>0</v>
      </c>
      <c r="DP441" s="2" t="n">
        <v>97.45999999999999</v>
      </c>
      <c r="DQ441" s="2" t="n">
        <v>97.62</v>
      </c>
      <c r="DR441" s="2" t="n">
        <v>0</v>
      </c>
      <c r="DS441" s="2" t="n">
        <v>98.41</v>
      </c>
      <c r="DT441" s="2" t="n">
        <v>99.73999999999999</v>
      </c>
      <c r="DU441" s="2" t="n">
        <v>0</v>
      </c>
      <c r="DV441" s="2" t="n">
        <v>100</v>
      </c>
      <c r="DW441" s="2" t="n">
        <v>100</v>
      </c>
      <c r="DX441" s="2" t="n">
        <v>0</v>
      </c>
      <c r="DY441" s="2" t="n">
        <v>100</v>
      </c>
      <c r="DZ441" s="2" t="n">
        <v>100</v>
      </c>
      <c r="EA441" s="2" t="n">
        <v>0</v>
      </c>
      <c r="EB441" s="2" t="n">
        <v>100</v>
      </c>
      <c r="EC441" s="2" t="n">
        <v>100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</row>
    <row r="442">
      <c r="A442" s="2" t="n">
        <v>3</v>
      </c>
      <c r="B442" s="2" t="inlineStr">
        <is>
          <t>19.05.06</t>
        </is>
      </c>
      <c r="C442" s="2" t="inlineStr">
        <is>
          <t>Jardim sobre laje</t>
        </is>
      </c>
      <c r="D442" s="2" t="inlineStr">
        <is>
          <t>11/08/2027</t>
        </is>
      </c>
      <c r="E442" s="2" t="inlineStr">
        <is>
          <t>01/09/2028</t>
        </is>
      </c>
      <c r="F442" s="2" t="n">
        <v>628940.1388094998</v>
      </c>
      <c r="G442" s="2" t="n">
        <v>0</v>
      </c>
      <c r="H442" s="2" t="n">
        <v>628940.1388094998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2.65</v>
      </c>
      <c r="CJ442" s="2" t="n">
        <v>3.97</v>
      </c>
      <c r="CK442" s="2" t="n">
        <v>0</v>
      </c>
      <c r="CL442" s="2" t="n">
        <v>8.199999999999999</v>
      </c>
      <c r="CM442" s="2" t="n">
        <v>9.52</v>
      </c>
      <c r="CN442" s="2" t="n">
        <v>0</v>
      </c>
      <c r="CO442" s="2" t="n">
        <v>13.49</v>
      </c>
      <c r="CP442" s="2" t="n">
        <v>17.2</v>
      </c>
      <c r="CQ442" s="2" t="n">
        <v>0</v>
      </c>
      <c r="CR442" s="2" t="n">
        <v>23.54</v>
      </c>
      <c r="CS442" s="2" t="n">
        <v>24.87</v>
      </c>
      <c r="CT442" s="2" t="n">
        <v>0</v>
      </c>
      <c r="CU442" s="2" t="n">
        <v>27.78</v>
      </c>
      <c r="CV442" s="2" t="n">
        <v>30.53</v>
      </c>
      <c r="CW442" s="2" t="n">
        <v>0</v>
      </c>
      <c r="CX442" s="2" t="n">
        <v>35</v>
      </c>
      <c r="CY442" s="2" t="n">
        <v>37.04</v>
      </c>
      <c r="CZ442" s="2" t="n">
        <v>0</v>
      </c>
      <c r="DA442" s="2" t="n">
        <v>41.27</v>
      </c>
      <c r="DB442" s="2" t="n">
        <v>43.54</v>
      </c>
      <c r="DC442" s="2" t="n">
        <v>0</v>
      </c>
      <c r="DD442" s="2" t="n">
        <v>54.32</v>
      </c>
      <c r="DE442" s="2" t="n">
        <v>56.56</v>
      </c>
      <c r="DF442" s="2" t="n">
        <v>0</v>
      </c>
      <c r="DG442" s="2" t="n">
        <v>63.54</v>
      </c>
      <c r="DH442" s="2" t="n">
        <v>65.38</v>
      </c>
      <c r="DI442" s="2" t="n">
        <v>0</v>
      </c>
      <c r="DJ442" s="2" t="n">
        <v>72.54000000000001</v>
      </c>
      <c r="DK442" s="2" t="n">
        <v>81.36</v>
      </c>
      <c r="DL442" s="2" t="n">
        <v>0</v>
      </c>
      <c r="DM442" s="2" t="n">
        <v>86.23999999999999</v>
      </c>
      <c r="DN442" s="2" t="n">
        <v>94.76000000000001</v>
      </c>
      <c r="DO442" s="2" t="n">
        <v>0</v>
      </c>
      <c r="DP442" s="2" t="n">
        <v>97.45999999999999</v>
      </c>
      <c r="DQ442" s="2" t="n">
        <v>97.62</v>
      </c>
      <c r="DR442" s="2" t="n">
        <v>0</v>
      </c>
      <c r="DS442" s="2" t="n">
        <v>98.41</v>
      </c>
      <c r="DT442" s="2" t="n">
        <v>99.73999999999999</v>
      </c>
      <c r="DU442" s="2" t="n">
        <v>0</v>
      </c>
      <c r="DV442" s="2" t="n">
        <v>100</v>
      </c>
      <c r="DW442" s="2" t="n">
        <v>100</v>
      </c>
      <c r="DX442" s="2" t="n">
        <v>0</v>
      </c>
      <c r="DY442" s="2" t="n">
        <v>100</v>
      </c>
      <c r="DZ442" s="2" t="n">
        <v>100</v>
      </c>
      <c r="EA442" s="2" t="n">
        <v>0</v>
      </c>
      <c r="EB442" s="2" t="n">
        <v>100</v>
      </c>
      <c r="EC442" s="2" t="n">
        <v>100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</row>
    <row r="443">
      <c r="A443" s="2" t="n">
        <v>2</v>
      </c>
      <c r="B443" s="2" t="inlineStr">
        <is>
          <t>19.06</t>
        </is>
      </c>
      <c r="C443" s="2" t="inlineStr">
        <is>
          <t>Dupla manta asfáltica tipo III, 3mm + 4mm de espessura, classe B acabamento AA, ambas coladas com asfalto oxidado a quente com consumo de 3,0kg/m². Sobre a manta, camada de transição com geotêxtil 200g/m² impregnado com argamassa polimérica consumo de 3,0kg/m² e acabamento em concreto</t>
        </is>
      </c>
      <c r="D443" s="2" t="inlineStr">
        <is>
          <t>11/08/2027</t>
        </is>
      </c>
      <c r="E443" s="2" t="inlineStr">
        <is>
          <t>01/09/2028</t>
        </is>
      </c>
      <c r="F443" s="2" t="n">
        <v>137089.4792464807</v>
      </c>
      <c r="G443" s="2" t="n">
        <v>0</v>
      </c>
      <c r="H443" s="2" t="n">
        <v>137089.4792464807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2.65</v>
      </c>
      <c r="CJ443" s="2" t="n">
        <v>3.97</v>
      </c>
      <c r="CK443" s="2" t="n">
        <v>0</v>
      </c>
      <c r="CL443" s="2" t="n">
        <v>8.199999999999999</v>
      </c>
      <c r="CM443" s="2" t="n">
        <v>9.52</v>
      </c>
      <c r="CN443" s="2" t="n">
        <v>0</v>
      </c>
      <c r="CO443" s="2" t="n">
        <v>13.49</v>
      </c>
      <c r="CP443" s="2" t="n">
        <v>17.2</v>
      </c>
      <c r="CQ443" s="2" t="n">
        <v>0</v>
      </c>
      <c r="CR443" s="2" t="n">
        <v>23.54</v>
      </c>
      <c r="CS443" s="2" t="n">
        <v>24.87</v>
      </c>
      <c r="CT443" s="2" t="n">
        <v>0</v>
      </c>
      <c r="CU443" s="2" t="n">
        <v>27.78</v>
      </c>
      <c r="CV443" s="2" t="n">
        <v>30.53</v>
      </c>
      <c r="CW443" s="2" t="n">
        <v>0</v>
      </c>
      <c r="CX443" s="2" t="n">
        <v>35</v>
      </c>
      <c r="CY443" s="2" t="n">
        <v>37.04</v>
      </c>
      <c r="CZ443" s="2" t="n">
        <v>0</v>
      </c>
      <c r="DA443" s="2" t="n">
        <v>41.27</v>
      </c>
      <c r="DB443" s="2" t="n">
        <v>43.54</v>
      </c>
      <c r="DC443" s="2" t="n">
        <v>0</v>
      </c>
      <c r="DD443" s="2" t="n">
        <v>54.32</v>
      </c>
      <c r="DE443" s="2" t="n">
        <v>56.56</v>
      </c>
      <c r="DF443" s="2" t="n">
        <v>0</v>
      </c>
      <c r="DG443" s="2" t="n">
        <v>63.54</v>
      </c>
      <c r="DH443" s="2" t="n">
        <v>65.38</v>
      </c>
      <c r="DI443" s="2" t="n">
        <v>0</v>
      </c>
      <c r="DJ443" s="2" t="n">
        <v>72.54000000000001</v>
      </c>
      <c r="DK443" s="2" t="n">
        <v>81.36</v>
      </c>
      <c r="DL443" s="2" t="n">
        <v>0</v>
      </c>
      <c r="DM443" s="2" t="n">
        <v>86.23999999999999</v>
      </c>
      <c r="DN443" s="2" t="n">
        <v>94.76000000000001</v>
      </c>
      <c r="DO443" s="2" t="n">
        <v>0</v>
      </c>
      <c r="DP443" s="2" t="n">
        <v>97.45999999999999</v>
      </c>
      <c r="DQ443" s="2" t="n">
        <v>97.62</v>
      </c>
      <c r="DR443" s="2" t="n">
        <v>0</v>
      </c>
      <c r="DS443" s="2" t="n">
        <v>98.41</v>
      </c>
      <c r="DT443" s="2" t="n">
        <v>99.73999999999999</v>
      </c>
      <c r="DU443" s="2" t="n">
        <v>0</v>
      </c>
      <c r="DV443" s="2" t="n">
        <v>100</v>
      </c>
      <c r="DW443" s="2" t="n">
        <v>100</v>
      </c>
      <c r="DX443" s="2" t="n">
        <v>0</v>
      </c>
      <c r="DY443" s="2" t="n">
        <v>100</v>
      </c>
      <c r="DZ443" s="2" t="n">
        <v>100</v>
      </c>
      <c r="EA443" s="2" t="n">
        <v>0</v>
      </c>
      <c r="EB443" s="2" t="n">
        <v>100</v>
      </c>
      <c r="EC443" s="2" t="n">
        <v>100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</row>
    <row r="444">
      <c r="A444" s="2" t="n">
        <v>3</v>
      </c>
      <c r="B444" s="2" t="inlineStr">
        <is>
          <t>19.06.01</t>
        </is>
      </c>
      <c r="C444" s="2" t="inlineStr">
        <is>
          <t>Camada de regularização com argamassa de cimento e areia</t>
        </is>
      </c>
      <c r="D444" s="2" t="inlineStr">
        <is>
          <t>11/08/2027</t>
        </is>
      </c>
      <c r="E444" s="2" t="inlineStr">
        <is>
          <t>01/09/2028</t>
        </is>
      </c>
      <c r="F444" s="2" t="n">
        <v>11316.8788431472</v>
      </c>
      <c r="G444" s="2" t="n">
        <v>0</v>
      </c>
      <c r="H444" s="2" t="n">
        <v>11316.8788431472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2.65</v>
      </c>
      <c r="CJ444" s="2" t="n">
        <v>3.97</v>
      </c>
      <c r="CK444" s="2" t="n">
        <v>0</v>
      </c>
      <c r="CL444" s="2" t="n">
        <v>8.199999999999999</v>
      </c>
      <c r="CM444" s="2" t="n">
        <v>9.52</v>
      </c>
      <c r="CN444" s="2" t="n">
        <v>0</v>
      </c>
      <c r="CO444" s="2" t="n">
        <v>13.49</v>
      </c>
      <c r="CP444" s="2" t="n">
        <v>17.2</v>
      </c>
      <c r="CQ444" s="2" t="n">
        <v>0</v>
      </c>
      <c r="CR444" s="2" t="n">
        <v>23.54</v>
      </c>
      <c r="CS444" s="2" t="n">
        <v>24.87</v>
      </c>
      <c r="CT444" s="2" t="n">
        <v>0</v>
      </c>
      <c r="CU444" s="2" t="n">
        <v>27.78</v>
      </c>
      <c r="CV444" s="2" t="n">
        <v>30.53</v>
      </c>
      <c r="CW444" s="2" t="n">
        <v>0</v>
      </c>
      <c r="CX444" s="2" t="n">
        <v>35</v>
      </c>
      <c r="CY444" s="2" t="n">
        <v>37.04</v>
      </c>
      <c r="CZ444" s="2" t="n">
        <v>0</v>
      </c>
      <c r="DA444" s="2" t="n">
        <v>41.27</v>
      </c>
      <c r="DB444" s="2" t="n">
        <v>43.54</v>
      </c>
      <c r="DC444" s="2" t="n">
        <v>0</v>
      </c>
      <c r="DD444" s="2" t="n">
        <v>54.32</v>
      </c>
      <c r="DE444" s="2" t="n">
        <v>56.56</v>
      </c>
      <c r="DF444" s="2" t="n">
        <v>0</v>
      </c>
      <c r="DG444" s="2" t="n">
        <v>63.54</v>
      </c>
      <c r="DH444" s="2" t="n">
        <v>65.38</v>
      </c>
      <c r="DI444" s="2" t="n">
        <v>0</v>
      </c>
      <c r="DJ444" s="2" t="n">
        <v>72.54000000000001</v>
      </c>
      <c r="DK444" s="2" t="n">
        <v>81.36</v>
      </c>
      <c r="DL444" s="2" t="n">
        <v>0</v>
      </c>
      <c r="DM444" s="2" t="n">
        <v>86.23999999999999</v>
      </c>
      <c r="DN444" s="2" t="n">
        <v>94.76000000000001</v>
      </c>
      <c r="DO444" s="2" t="n">
        <v>0</v>
      </c>
      <c r="DP444" s="2" t="n">
        <v>97.45999999999999</v>
      </c>
      <c r="DQ444" s="2" t="n">
        <v>97.62</v>
      </c>
      <c r="DR444" s="2" t="n">
        <v>0</v>
      </c>
      <c r="DS444" s="2" t="n">
        <v>98.41</v>
      </c>
      <c r="DT444" s="2" t="n">
        <v>99.73999999999999</v>
      </c>
      <c r="DU444" s="2" t="n">
        <v>0</v>
      </c>
      <c r="DV444" s="2" t="n">
        <v>100</v>
      </c>
      <c r="DW444" s="2" t="n">
        <v>100</v>
      </c>
      <c r="DX444" s="2" t="n">
        <v>0</v>
      </c>
      <c r="DY444" s="2" t="n">
        <v>100</v>
      </c>
      <c r="DZ444" s="2" t="n">
        <v>100</v>
      </c>
      <c r="EA444" s="2" t="n">
        <v>0</v>
      </c>
      <c r="EB444" s="2" t="n">
        <v>100</v>
      </c>
      <c r="EC444" s="2" t="n">
        <v>100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</row>
    <row r="445">
      <c r="A445" s="2" t="n">
        <v>3</v>
      </c>
      <c r="B445" s="2" t="inlineStr">
        <is>
          <t>19.06.02</t>
        </is>
      </c>
      <c r="C445" s="2" t="inlineStr">
        <is>
          <t>Camada de transição com dreno sintético - geotêxtil 200g/m2</t>
        </is>
      </c>
      <c r="D445" s="2" t="inlineStr">
        <is>
          <t>11/08/2027</t>
        </is>
      </c>
      <c r="E445" s="2" t="inlineStr">
        <is>
          <t>01/09/2028</t>
        </is>
      </c>
      <c r="F445" s="2" t="n">
        <v>1860.92175</v>
      </c>
      <c r="G445" s="2" t="n">
        <v>0</v>
      </c>
      <c r="H445" s="2" t="n">
        <v>1860.92175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2.65</v>
      </c>
      <c r="CJ445" s="2" t="n">
        <v>3.97</v>
      </c>
      <c r="CK445" s="2" t="n">
        <v>0</v>
      </c>
      <c r="CL445" s="2" t="n">
        <v>8.199999999999999</v>
      </c>
      <c r="CM445" s="2" t="n">
        <v>9.52</v>
      </c>
      <c r="CN445" s="2" t="n">
        <v>0</v>
      </c>
      <c r="CO445" s="2" t="n">
        <v>13.49</v>
      </c>
      <c r="CP445" s="2" t="n">
        <v>17.2</v>
      </c>
      <c r="CQ445" s="2" t="n">
        <v>0</v>
      </c>
      <c r="CR445" s="2" t="n">
        <v>23.54</v>
      </c>
      <c r="CS445" s="2" t="n">
        <v>24.87</v>
      </c>
      <c r="CT445" s="2" t="n">
        <v>0</v>
      </c>
      <c r="CU445" s="2" t="n">
        <v>27.78</v>
      </c>
      <c r="CV445" s="2" t="n">
        <v>30.53</v>
      </c>
      <c r="CW445" s="2" t="n">
        <v>0</v>
      </c>
      <c r="CX445" s="2" t="n">
        <v>35</v>
      </c>
      <c r="CY445" s="2" t="n">
        <v>37.04</v>
      </c>
      <c r="CZ445" s="2" t="n">
        <v>0</v>
      </c>
      <c r="DA445" s="2" t="n">
        <v>41.27</v>
      </c>
      <c r="DB445" s="2" t="n">
        <v>43.54</v>
      </c>
      <c r="DC445" s="2" t="n">
        <v>0</v>
      </c>
      <c r="DD445" s="2" t="n">
        <v>54.32</v>
      </c>
      <c r="DE445" s="2" t="n">
        <v>56.56</v>
      </c>
      <c r="DF445" s="2" t="n">
        <v>0</v>
      </c>
      <c r="DG445" s="2" t="n">
        <v>63.54</v>
      </c>
      <c r="DH445" s="2" t="n">
        <v>65.38</v>
      </c>
      <c r="DI445" s="2" t="n">
        <v>0</v>
      </c>
      <c r="DJ445" s="2" t="n">
        <v>72.54000000000001</v>
      </c>
      <c r="DK445" s="2" t="n">
        <v>81.36</v>
      </c>
      <c r="DL445" s="2" t="n">
        <v>0</v>
      </c>
      <c r="DM445" s="2" t="n">
        <v>86.23999999999999</v>
      </c>
      <c r="DN445" s="2" t="n">
        <v>94.76000000000001</v>
      </c>
      <c r="DO445" s="2" t="n">
        <v>0</v>
      </c>
      <c r="DP445" s="2" t="n">
        <v>97.45999999999999</v>
      </c>
      <c r="DQ445" s="2" t="n">
        <v>97.62</v>
      </c>
      <c r="DR445" s="2" t="n">
        <v>0</v>
      </c>
      <c r="DS445" s="2" t="n">
        <v>98.41</v>
      </c>
      <c r="DT445" s="2" t="n">
        <v>99.73999999999999</v>
      </c>
      <c r="DU445" s="2" t="n">
        <v>0</v>
      </c>
      <c r="DV445" s="2" t="n">
        <v>100</v>
      </c>
      <c r="DW445" s="2" t="n">
        <v>100</v>
      </c>
      <c r="DX445" s="2" t="n">
        <v>0</v>
      </c>
      <c r="DY445" s="2" t="n">
        <v>100</v>
      </c>
      <c r="DZ445" s="2" t="n">
        <v>100</v>
      </c>
      <c r="EA445" s="2" t="n">
        <v>0</v>
      </c>
      <c r="EB445" s="2" t="n">
        <v>100</v>
      </c>
      <c r="EC445" s="2" t="n">
        <v>100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</row>
    <row r="446">
      <c r="A446" s="2" t="n">
        <v>3</v>
      </c>
      <c r="B446" s="2" t="inlineStr">
        <is>
          <t>19.06.03</t>
        </is>
      </c>
      <c r="C446" s="2" t="inlineStr">
        <is>
          <t>Concreto armado com tela (6cm de espessura)</t>
        </is>
      </c>
      <c r="D446" s="2" t="inlineStr">
        <is>
          <t>11/08/2027</t>
        </is>
      </c>
      <c r="E446" s="2" t="inlineStr">
        <is>
          <t>01/09/2028</t>
        </is>
      </c>
      <c r="F446" s="2" t="n">
        <v>59921.68035</v>
      </c>
      <c r="G446" s="2" t="n">
        <v>0</v>
      </c>
      <c r="H446" s="2" t="n">
        <v>59921.68035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2.65</v>
      </c>
      <c r="CJ446" s="2" t="n">
        <v>3.97</v>
      </c>
      <c r="CK446" s="2" t="n">
        <v>0</v>
      </c>
      <c r="CL446" s="2" t="n">
        <v>8.199999999999999</v>
      </c>
      <c r="CM446" s="2" t="n">
        <v>9.52</v>
      </c>
      <c r="CN446" s="2" t="n">
        <v>0</v>
      </c>
      <c r="CO446" s="2" t="n">
        <v>13.49</v>
      </c>
      <c r="CP446" s="2" t="n">
        <v>17.2</v>
      </c>
      <c r="CQ446" s="2" t="n">
        <v>0</v>
      </c>
      <c r="CR446" s="2" t="n">
        <v>23.54</v>
      </c>
      <c r="CS446" s="2" t="n">
        <v>24.87</v>
      </c>
      <c r="CT446" s="2" t="n">
        <v>0</v>
      </c>
      <c r="CU446" s="2" t="n">
        <v>27.78</v>
      </c>
      <c r="CV446" s="2" t="n">
        <v>30.53</v>
      </c>
      <c r="CW446" s="2" t="n">
        <v>0</v>
      </c>
      <c r="CX446" s="2" t="n">
        <v>35</v>
      </c>
      <c r="CY446" s="2" t="n">
        <v>37.04</v>
      </c>
      <c r="CZ446" s="2" t="n">
        <v>0</v>
      </c>
      <c r="DA446" s="2" t="n">
        <v>41.27</v>
      </c>
      <c r="DB446" s="2" t="n">
        <v>43.54</v>
      </c>
      <c r="DC446" s="2" t="n">
        <v>0</v>
      </c>
      <c r="DD446" s="2" t="n">
        <v>54.32</v>
      </c>
      <c r="DE446" s="2" t="n">
        <v>56.56</v>
      </c>
      <c r="DF446" s="2" t="n">
        <v>0</v>
      </c>
      <c r="DG446" s="2" t="n">
        <v>63.54</v>
      </c>
      <c r="DH446" s="2" t="n">
        <v>65.38</v>
      </c>
      <c r="DI446" s="2" t="n">
        <v>0</v>
      </c>
      <c r="DJ446" s="2" t="n">
        <v>72.54000000000001</v>
      </c>
      <c r="DK446" s="2" t="n">
        <v>81.36</v>
      </c>
      <c r="DL446" s="2" t="n">
        <v>0</v>
      </c>
      <c r="DM446" s="2" t="n">
        <v>86.23999999999999</v>
      </c>
      <c r="DN446" s="2" t="n">
        <v>94.76000000000001</v>
      </c>
      <c r="DO446" s="2" t="n">
        <v>0</v>
      </c>
      <c r="DP446" s="2" t="n">
        <v>97.45999999999999</v>
      </c>
      <c r="DQ446" s="2" t="n">
        <v>97.62</v>
      </c>
      <c r="DR446" s="2" t="n">
        <v>0</v>
      </c>
      <c r="DS446" s="2" t="n">
        <v>98.41</v>
      </c>
      <c r="DT446" s="2" t="n">
        <v>99.73999999999999</v>
      </c>
      <c r="DU446" s="2" t="n">
        <v>0</v>
      </c>
      <c r="DV446" s="2" t="n">
        <v>100</v>
      </c>
      <c r="DW446" s="2" t="n">
        <v>100</v>
      </c>
      <c r="DX446" s="2" t="n">
        <v>0</v>
      </c>
      <c r="DY446" s="2" t="n">
        <v>100</v>
      </c>
      <c r="DZ446" s="2" t="n">
        <v>100</v>
      </c>
      <c r="EA446" s="2" t="n">
        <v>0</v>
      </c>
      <c r="EB446" s="2" t="n">
        <v>100</v>
      </c>
      <c r="EC446" s="2" t="n">
        <v>100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</row>
    <row r="447">
      <c r="A447" s="2" t="n">
        <v>3</v>
      </c>
      <c r="B447" s="2" t="inlineStr">
        <is>
          <t>19.06.04</t>
        </is>
      </c>
      <c r="C447" s="2" t="inlineStr">
        <is>
          <t>Quadra recreação descoberta</t>
        </is>
      </c>
      <c r="D447" s="2" t="inlineStr">
        <is>
          <t>11/08/2027</t>
        </is>
      </c>
      <c r="E447" s="2" t="inlineStr">
        <is>
          <t>01/09/2028</t>
        </is>
      </c>
      <c r="F447" s="2" t="n">
        <v>23647.68</v>
      </c>
      <c r="G447" s="2" t="n">
        <v>0</v>
      </c>
      <c r="H447" s="2" t="n">
        <v>23647.68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2.65</v>
      </c>
      <c r="CJ447" s="2" t="n">
        <v>3.97</v>
      </c>
      <c r="CK447" s="2" t="n">
        <v>0</v>
      </c>
      <c r="CL447" s="2" t="n">
        <v>8.199999999999999</v>
      </c>
      <c r="CM447" s="2" t="n">
        <v>9.52</v>
      </c>
      <c r="CN447" s="2" t="n">
        <v>0</v>
      </c>
      <c r="CO447" s="2" t="n">
        <v>13.49</v>
      </c>
      <c r="CP447" s="2" t="n">
        <v>17.2</v>
      </c>
      <c r="CQ447" s="2" t="n">
        <v>0</v>
      </c>
      <c r="CR447" s="2" t="n">
        <v>23.54</v>
      </c>
      <c r="CS447" s="2" t="n">
        <v>24.87</v>
      </c>
      <c r="CT447" s="2" t="n">
        <v>0</v>
      </c>
      <c r="CU447" s="2" t="n">
        <v>27.78</v>
      </c>
      <c r="CV447" s="2" t="n">
        <v>30.53</v>
      </c>
      <c r="CW447" s="2" t="n">
        <v>0</v>
      </c>
      <c r="CX447" s="2" t="n">
        <v>35</v>
      </c>
      <c r="CY447" s="2" t="n">
        <v>37.04</v>
      </c>
      <c r="CZ447" s="2" t="n">
        <v>0</v>
      </c>
      <c r="DA447" s="2" t="n">
        <v>41.27</v>
      </c>
      <c r="DB447" s="2" t="n">
        <v>43.54</v>
      </c>
      <c r="DC447" s="2" t="n">
        <v>0</v>
      </c>
      <c r="DD447" s="2" t="n">
        <v>54.32</v>
      </c>
      <c r="DE447" s="2" t="n">
        <v>56.56</v>
      </c>
      <c r="DF447" s="2" t="n">
        <v>0</v>
      </c>
      <c r="DG447" s="2" t="n">
        <v>63.54</v>
      </c>
      <c r="DH447" s="2" t="n">
        <v>65.38</v>
      </c>
      <c r="DI447" s="2" t="n">
        <v>0</v>
      </c>
      <c r="DJ447" s="2" t="n">
        <v>72.54000000000001</v>
      </c>
      <c r="DK447" s="2" t="n">
        <v>81.36</v>
      </c>
      <c r="DL447" s="2" t="n">
        <v>0</v>
      </c>
      <c r="DM447" s="2" t="n">
        <v>86.23999999999999</v>
      </c>
      <c r="DN447" s="2" t="n">
        <v>94.76000000000001</v>
      </c>
      <c r="DO447" s="2" t="n">
        <v>0</v>
      </c>
      <c r="DP447" s="2" t="n">
        <v>97.45999999999999</v>
      </c>
      <c r="DQ447" s="2" t="n">
        <v>97.62</v>
      </c>
      <c r="DR447" s="2" t="n">
        <v>0</v>
      </c>
      <c r="DS447" s="2" t="n">
        <v>98.41</v>
      </c>
      <c r="DT447" s="2" t="n">
        <v>99.73999999999999</v>
      </c>
      <c r="DU447" s="2" t="n">
        <v>0</v>
      </c>
      <c r="DV447" s="2" t="n">
        <v>100</v>
      </c>
      <c r="DW447" s="2" t="n">
        <v>100</v>
      </c>
      <c r="DX447" s="2" t="n">
        <v>0</v>
      </c>
      <c r="DY447" s="2" t="n">
        <v>100</v>
      </c>
      <c r="DZ447" s="2" t="n">
        <v>100</v>
      </c>
      <c r="EA447" s="2" t="n">
        <v>0</v>
      </c>
      <c r="EB447" s="2" t="n">
        <v>100</v>
      </c>
      <c r="EC447" s="2" t="n">
        <v>100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</row>
    <row r="448">
      <c r="A448" s="2" t="n">
        <v>3</v>
      </c>
      <c r="B448" s="2" t="inlineStr">
        <is>
          <t>19.06.05</t>
        </is>
      </c>
      <c r="C448" s="2" t="inlineStr">
        <is>
          <t>Junta perimetral preenchida com EPS e selada com mastique de poliuretano</t>
        </is>
      </c>
      <c r="D448" s="2" t="inlineStr">
        <is>
          <t>11/08/2027</t>
        </is>
      </c>
      <c r="E448" s="2" t="inlineStr">
        <is>
          <t>01/09/2028</t>
        </is>
      </c>
      <c r="F448" s="2" t="n">
        <v>1113.447674531724</v>
      </c>
      <c r="G448" s="2" t="n">
        <v>0</v>
      </c>
      <c r="H448" s="2" t="n">
        <v>1113.447674531724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2.65</v>
      </c>
      <c r="CJ448" s="2" t="n">
        <v>3.97</v>
      </c>
      <c r="CK448" s="2" t="n">
        <v>0</v>
      </c>
      <c r="CL448" s="2" t="n">
        <v>8.199999999999999</v>
      </c>
      <c r="CM448" s="2" t="n">
        <v>9.52</v>
      </c>
      <c r="CN448" s="2" t="n">
        <v>0</v>
      </c>
      <c r="CO448" s="2" t="n">
        <v>13.49</v>
      </c>
      <c r="CP448" s="2" t="n">
        <v>17.2</v>
      </c>
      <c r="CQ448" s="2" t="n">
        <v>0</v>
      </c>
      <c r="CR448" s="2" t="n">
        <v>23.54</v>
      </c>
      <c r="CS448" s="2" t="n">
        <v>24.87</v>
      </c>
      <c r="CT448" s="2" t="n">
        <v>0</v>
      </c>
      <c r="CU448" s="2" t="n">
        <v>27.78</v>
      </c>
      <c r="CV448" s="2" t="n">
        <v>30.53</v>
      </c>
      <c r="CW448" s="2" t="n">
        <v>0</v>
      </c>
      <c r="CX448" s="2" t="n">
        <v>35</v>
      </c>
      <c r="CY448" s="2" t="n">
        <v>37.04</v>
      </c>
      <c r="CZ448" s="2" t="n">
        <v>0</v>
      </c>
      <c r="DA448" s="2" t="n">
        <v>41.27</v>
      </c>
      <c r="DB448" s="2" t="n">
        <v>43.54</v>
      </c>
      <c r="DC448" s="2" t="n">
        <v>0</v>
      </c>
      <c r="DD448" s="2" t="n">
        <v>54.32</v>
      </c>
      <c r="DE448" s="2" t="n">
        <v>56.56</v>
      </c>
      <c r="DF448" s="2" t="n">
        <v>0</v>
      </c>
      <c r="DG448" s="2" t="n">
        <v>63.54</v>
      </c>
      <c r="DH448" s="2" t="n">
        <v>65.38</v>
      </c>
      <c r="DI448" s="2" t="n">
        <v>0</v>
      </c>
      <c r="DJ448" s="2" t="n">
        <v>72.54000000000001</v>
      </c>
      <c r="DK448" s="2" t="n">
        <v>81.36</v>
      </c>
      <c r="DL448" s="2" t="n">
        <v>0</v>
      </c>
      <c r="DM448" s="2" t="n">
        <v>86.23999999999999</v>
      </c>
      <c r="DN448" s="2" t="n">
        <v>94.76000000000001</v>
      </c>
      <c r="DO448" s="2" t="n">
        <v>0</v>
      </c>
      <c r="DP448" s="2" t="n">
        <v>97.45999999999999</v>
      </c>
      <c r="DQ448" s="2" t="n">
        <v>97.62</v>
      </c>
      <c r="DR448" s="2" t="n">
        <v>0</v>
      </c>
      <c r="DS448" s="2" t="n">
        <v>98.41</v>
      </c>
      <c r="DT448" s="2" t="n">
        <v>99.73999999999999</v>
      </c>
      <c r="DU448" s="2" t="n">
        <v>0</v>
      </c>
      <c r="DV448" s="2" t="n">
        <v>100</v>
      </c>
      <c r="DW448" s="2" t="n">
        <v>100</v>
      </c>
      <c r="DX448" s="2" t="n">
        <v>0</v>
      </c>
      <c r="DY448" s="2" t="n">
        <v>100</v>
      </c>
      <c r="DZ448" s="2" t="n">
        <v>100</v>
      </c>
      <c r="EA448" s="2" t="n">
        <v>0</v>
      </c>
      <c r="EB448" s="2" t="n">
        <v>100</v>
      </c>
      <c r="EC448" s="2" t="n">
        <v>100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</row>
    <row r="449">
      <c r="A449" s="2" t="n">
        <v>3</v>
      </c>
      <c r="B449" s="2" t="inlineStr">
        <is>
          <t>19.06.06</t>
        </is>
      </c>
      <c r="C449" s="2" t="inlineStr">
        <is>
          <t>Vaga carga e descarga, rampa descoberta</t>
        </is>
      </c>
      <c r="D449" s="2" t="inlineStr">
        <is>
          <t>11/08/2027</t>
        </is>
      </c>
      <c r="E449" s="2" t="inlineStr">
        <is>
          <t>01/09/2028</t>
        </is>
      </c>
      <c r="F449" s="2" t="n">
        <v>39056.08035</v>
      </c>
      <c r="G449" s="2" t="n">
        <v>0</v>
      </c>
      <c r="H449" s="2" t="n">
        <v>39056.08035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2.65</v>
      </c>
      <c r="CJ449" s="2" t="n">
        <v>3.97</v>
      </c>
      <c r="CK449" s="2" t="n">
        <v>0</v>
      </c>
      <c r="CL449" s="2" t="n">
        <v>8.199999999999999</v>
      </c>
      <c r="CM449" s="2" t="n">
        <v>9.52</v>
      </c>
      <c r="CN449" s="2" t="n">
        <v>0</v>
      </c>
      <c r="CO449" s="2" t="n">
        <v>13.49</v>
      </c>
      <c r="CP449" s="2" t="n">
        <v>17.2</v>
      </c>
      <c r="CQ449" s="2" t="n">
        <v>0</v>
      </c>
      <c r="CR449" s="2" t="n">
        <v>23.54</v>
      </c>
      <c r="CS449" s="2" t="n">
        <v>24.87</v>
      </c>
      <c r="CT449" s="2" t="n">
        <v>0</v>
      </c>
      <c r="CU449" s="2" t="n">
        <v>27.78</v>
      </c>
      <c r="CV449" s="2" t="n">
        <v>30.53</v>
      </c>
      <c r="CW449" s="2" t="n">
        <v>0</v>
      </c>
      <c r="CX449" s="2" t="n">
        <v>35</v>
      </c>
      <c r="CY449" s="2" t="n">
        <v>37.04</v>
      </c>
      <c r="CZ449" s="2" t="n">
        <v>0</v>
      </c>
      <c r="DA449" s="2" t="n">
        <v>41.27</v>
      </c>
      <c r="DB449" s="2" t="n">
        <v>43.54</v>
      </c>
      <c r="DC449" s="2" t="n">
        <v>0</v>
      </c>
      <c r="DD449" s="2" t="n">
        <v>54.32</v>
      </c>
      <c r="DE449" s="2" t="n">
        <v>56.56</v>
      </c>
      <c r="DF449" s="2" t="n">
        <v>0</v>
      </c>
      <c r="DG449" s="2" t="n">
        <v>63.54</v>
      </c>
      <c r="DH449" s="2" t="n">
        <v>65.38</v>
      </c>
      <c r="DI449" s="2" t="n">
        <v>0</v>
      </c>
      <c r="DJ449" s="2" t="n">
        <v>72.54000000000001</v>
      </c>
      <c r="DK449" s="2" t="n">
        <v>81.36</v>
      </c>
      <c r="DL449" s="2" t="n">
        <v>0</v>
      </c>
      <c r="DM449" s="2" t="n">
        <v>86.23999999999999</v>
      </c>
      <c r="DN449" s="2" t="n">
        <v>94.76000000000001</v>
      </c>
      <c r="DO449" s="2" t="n">
        <v>0</v>
      </c>
      <c r="DP449" s="2" t="n">
        <v>97.45999999999999</v>
      </c>
      <c r="DQ449" s="2" t="n">
        <v>97.62</v>
      </c>
      <c r="DR449" s="2" t="n">
        <v>0</v>
      </c>
      <c r="DS449" s="2" t="n">
        <v>98.41</v>
      </c>
      <c r="DT449" s="2" t="n">
        <v>99.73999999999999</v>
      </c>
      <c r="DU449" s="2" t="n">
        <v>0</v>
      </c>
      <c r="DV449" s="2" t="n">
        <v>100</v>
      </c>
      <c r="DW449" s="2" t="n">
        <v>100</v>
      </c>
      <c r="DX449" s="2" t="n">
        <v>0</v>
      </c>
      <c r="DY449" s="2" t="n">
        <v>100</v>
      </c>
      <c r="DZ449" s="2" t="n">
        <v>100</v>
      </c>
      <c r="EA449" s="2" t="n">
        <v>0</v>
      </c>
      <c r="EB449" s="2" t="n">
        <v>100</v>
      </c>
      <c r="EC449" s="2" t="n">
        <v>100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</row>
    <row r="450">
      <c r="A450" s="2" t="n">
        <v>3</v>
      </c>
      <c r="B450" s="2" t="inlineStr">
        <is>
          <t>19.06.07</t>
        </is>
      </c>
      <c r="C450" s="2" t="inlineStr">
        <is>
          <t>Impermabilização de ralos</t>
        </is>
      </c>
      <c r="D450" s="2" t="inlineStr">
        <is>
          <t>11/08/2027</t>
        </is>
      </c>
      <c r="E450" s="2" t="inlineStr">
        <is>
          <t>01/09/2028</t>
        </is>
      </c>
      <c r="F450" s="2" t="n">
        <v>172.7902788017622</v>
      </c>
      <c r="G450" s="2" t="n">
        <v>0</v>
      </c>
      <c r="H450" s="2" t="n">
        <v>172.7902788017622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2.65</v>
      </c>
      <c r="CJ450" s="2" t="n">
        <v>3.97</v>
      </c>
      <c r="CK450" s="2" t="n">
        <v>0</v>
      </c>
      <c r="CL450" s="2" t="n">
        <v>8.199999999999999</v>
      </c>
      <c r="CM450" s="2" t="n">
        <v>9.52</v>
      </c>
      <c r="CN450" s="2" t="n">
        <v>0</v>
      </c>
      <c r="CO450" s="2" t="n">
        <v>13.49</v>
      </c>
      <c r="CP450" s="2" t="n">
        <v>17.2</v>
      </c>
      <c r="CQ450" s="2" t="n">
        <v>0</v>
      </c>
      <c r="CR450" s="2" t="n">
        <v>23.54</v>
      </c>
      <c r="CS450" s="2" t="n">
        <v>24.87</v>
      </c>
      <c r="CT450" s="2" t="n">
        <v>0</v>
      </c>
      <c r="CU450" s="2" t="n">
        <v>27.78</v>
      </c>
      <c r="CV450" s="2" t="n">
        <v>30.53</v>
      </c>
      <c r="CW450" s="2" t="n">
        <v>0</v>
      </c>
      <c r="CX450" s="2" t="n">
        <v>35</v>
      </c>
      <c r="CY450" s="2" t="n">
        <v>37.04</v>
      </c>
      <c r="CZ450" s="2" t="n">
        <v>0</v>
      </c>
      <c r="DA450" s="2" t="n">
        <v>41.27</v>
      </c>
      <c r="DB450" s="2" t="n">
        <v>43.54</v>
      </c>
      <c r="DC450" s="2" t="n">
        <v>0</v>
      </c>
      <c r="DD450" s="2" t="n">
        <v>54.32</v>
      </c>
      <c r="DE450" s="2" t="n">
        <v>56.56</v>
      </c>
      <c r="DF450" s="2" t="n">
        <v>0</v>
      </c>
      <c r="DG450" s="2" t="n">
        <v>63.54</v>
      </c>
      <c r="DH450" s="2" t="n">
        <v>65.38</v>
      </c>
      <c r="DI450" s="2" t="n">
        <v>0</v>
      </c>
      <c r="DJ450" s="2" t="n">
        <v>72.54000000000001</v>
      </c>
      <c r="DK450" s="2" t="n">
        <v>81.36</v>
      </c>
      <c r="DL450" s="2" t="n">
        <v>0</v>
      </c>
      <c r="DM450" s="2" t="n">
        <v>86.23999999999999</v>
      </c>
      <c r="DN450" s="2" t="n">
        <v>94.76000000000001</v>
      </c>
      <c r="DO450" s="2" t="n">
        <v>0</v>
      </c>
      <c r="DP450" s="2" t="n">
        <v>97.45999999999999</v>
      </c>
      <c r="DQ450" s="2" t="n">
        <v>97.62</v>
      </c>
      <c r="DR450" s="2" t="n">
        <v>0</v>
      </c>
      <c r="DS450" s="2" t="n">
        <v>98.41</v>
      </c>
      <c r="DT450" s="2" t="n">
        <v>99.73999999999999</v>
      </c>
      <c r="DU450" s="2" t="n">
        <v>0</v>
      </c>
      <c r="DV450" s="2" t="n">
        <v>100</v>
      </c>
      <c r="DW450" s="2" t="n">
        <v>100</v>
      </c>
      <c r="DX450" s="2" t="n">
        <v>0</v>
      </c>
      <c r="DY450" s="2" t="n">
        <v>100</v>
      </c>
      <c r="DZ450" s="2" t="n">
        <v>100</v>
      </c>
      <c r="EA450" s="2" t="n">
        <v>0</v>
      </c>
      <c r="EB450" s="2" t="n">
        <v>100</v>
      </c>
      <c r="EC450" s="2" t="n">
        <v>100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</row>
    <row r="451">
      <c r="A451" s="2" t="n">
        <v>2</v>
      </c>
      <c r="B451" s="2" t="inlineStr">
        <is>
          <t>19.07</t>
        </is>
      </c>
      <c r="C451" s="2" t="inlineStr">
        <is>
          <t>Sobre concreto curado e recuperado (Eliminação de falhas e tratamento de fissuras), impermeabilização com argamassa polimérica (alto módulo) com consumo de 1,0kg/m2 combinado com argamassa flexível ecom fibras com consumo de 4,5kg/m2, estruturada com tela poliéster resinada malha de 3x3mm nas viradas de planos (nos rodapés e meia cana), nos encontros com ralos e tubos passantes e em juntas de concretagem. Nos pisos proteção mecânica armada estruturada com tela galvanizada fio 22 malha de 1". Os reservatórios deverão ser envelopados, impermeabilização do piso, paredes e teto</t>
        </is>
      </c>
      <c r="D451" s="2" t="inlineStr">
        <is>
          <t>11/08/2027</t>
        </is>
      </c>
      <c r="E451" s="2" t="inlineStr">
        <is>
          <t>01/09/2028</t>
        </is>
      </c>
      <c r="F451" s="2" t="n">
        <v>80720.36572019637</v>
      </c>
      <c r="G451" s="2" t="n">
        <v>0</v>
      </c>
      <c r="H451" s="2" t="n">
        <v>80720.36572019637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2.65</v>
      </c>
      <c r="CJ451" s="2" t="n">
        <v>3.97</v>
      </c>
      <c r="CK451" s="2" t="n">
        <v>0</v>
      </c>
      <c r="CL451" s="2" t="n">
        <v>8.199999999999999</v>
      </c>
      <c r="CM451" s="2" t="n">
        <v>9.52</v>
      </c>
      <c r="CN451" s="2" t="n">
        <v>0</v>
      </c>
      <c r="CO451" s="2" t="n">
        <v>13.49</v>
      </c>
      <c r="CP451" s="2" t="n">
        <v>17.2</v>
      </c>
      <c r="CQ451" s="2" t="n">
        <v>0</v>
      </c>
      <c r="CR451" s="2" t="n">
        <v>23.54</v>
      </c>
      <c r="CS451" s="2" t="n">
        <v>24.87</v>
      </c>
      <c r="CT451" s="2" t="n">
        <v>0</v>
      </c>
      <c r="CU451" s="2" t="n">
        <v>27.78</v>
      </c>
      <c r="CV451" s="2" t="n">
        <v>30.53</v>
      </c>
      <c r="CW451" s="2" t="n">
        <v>0</v>
      </c>
      <c r="CX451" s="2" t="n">
        <v>35</v>
      </c>
      <c r="CY451" s="2" t="n">
        <v>37.04</v>
      </c>
      <c r="CZ451" s="2" t="n">
        <v>0</v>
      </c>
      <c r="DA451" s="2" t="n">
        <v>41.27</v>
      </c>
      <c r="DB451" s="2" t="n">
        <v>43.54</v>
      </c>
      <c r="DC451" s="2" t="n">
        <v>0</v>
      </c>
      <c r="DD451" s="2" t="n">
        <v>54.32</v>
      </c>
      <c r="DE451" s="2" t="n">
        <v>56.56</v>
      </c>
      <c r="DF451" s="2" t="n">
        <v>0</v>
      </c>
      <c r="DG451" s="2" t="n">
        <v>63.54</v>
      </c>
      <c r="DH451" s="2" t="n">
        <v>65.38</v>
      </c>
      <c r="DI451" s="2" t="n">
        <v>0</v>
      </c>
      <c r="DJ451" s="2" t="n">
        <v>72.54000000000001</v>
      </c>
      <c r="DK451" s="2" t="n">
        <v>81.36</v>
      </c>
      <c r="DL451" s="2" t="n">
        <v>0</v>
      </c>
      <c r="DM451" s="2" t="n">
        <v>86.23999999999999</v>
      </c>
      <c r="DN451" s="2" t="n">
        <v>94.76000000000001</v>
      </c>
      <c r="DO451" s="2" t="n">
        <v>0</v>
      </c>
      <c r="DP451" s="2" t="n">
        <v>97.45999999999999</v>
      </c>
      <c r="DQ451" s="2" t="n">
        <v>97.62</v>
      </c>
      <c r="DR451" s="2" t="n">
        <v>0</v>
      </c>
      <c r="DS451" s="2" t="n">
        <v>98.41</v>
      </c>
      <c r="DT451" s="2" t="n">
        <v>99.73999999999999</v>
      </c>
      <c r="DU451" s="2" t="n">
        <v>0</v>
      </c>
      <c r="DV451" s="2" t="n">
        <v>100</v>
      </c>
      <c r="DW451" s="2" t="n">
        <v>100</v>
      </c>
      <c r="DX451" s="2" t="n">
        <v>0</v>
      </c>
      <c r="DY451" s="2" t="n">
        <v>100</v>
      </c>
      <c r="DZ451" s="2" t="n">
        <v>100</v>
      </c>
      <c r="EA451" s="2" t="n">
        <v>0</v>
      </c>
      <c r="EB451" s="2" t="n">
        <v>100</v>
      </c>
      <c r="EC451" s="2" t="n">
        <v>100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</row>
    <row r="452">
      <c r="A452" s="2" t="n">
        <v>3</v>
      </c>
      <c r="B452" s="2" t="inlineStr">
        <is>
          <t>19.07.01</t>
        </is>
      </c>
      <c r="C452" s="2" t="inlineStr">
        <is>
          <t>Recuperação estrutural: Eliminar falhas e brocas. Em caso de fissuras, deverá ser feito um estudo específico para determinar sua origem e causa</t>
        </is>
      </c>
      <c r="D452" s="2" t="inlineStr">
        <is>
          <t>11/08/2027</t>
        </is>
      </c>
      <c r="E452" s="2" t="inlineStr">
        <is>
          <t>01/09/2028</t>
        </is>
      </c>
      <c r="F452" s="2" t="n">
        <v>17524.00161841713</v>
      </c>
      <c r="G452" s="2" t="n">
        <v>0</v>
      </c>
      <c r="H452" s="2" t="n">
        <v>17524.00161841713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2.65</v>
      </c>
      <c r="CJ452" s="2" t="n">
        <v>3.97</v>
      </c>
      <c r="CK452" s="2" t="n">
        <v>0</v>
      </c>
      <c r="CL452" s="2" t="n">
        <v>8.199999999999999</v>
      </c>
      <c r="CM452" s="2" t="n">
        <v>9.52</v>
      </c>
      <c r="CN452" s="2" t="n">
        <v>0</v>
      </c>
      <c r="CO452" s="2" t="n">
        <v>13.49</v>
      </c>
      <c r="CP452" s="2" t="n">
        <v>17.2</v>
      </c>
      <c r="CQ452" s="2" t="n">
        <v>0</v>
      </c>
      <c r="CR452" s="2" t="n">
        <v>23.54</v>
      </c>
      <c r="CS452" s="2" t="n">
        <v>24.87</v>
      </c>
      <c r="CT452" s="2" t="n">
        <v>0</v>
      </c>
      <c r="CU452" s="2" t="n">
        <v>27.78</v>
      </c>
      <c r="CV452" s="2" t="n">
        <v>30.53</v>
      </c>
      <c r="CW452" s="2" t="n">
        <v>0</v>
      </c>
      <c r="CX452" s="2" t="n">
        <v>35</v>
      </c>
      <c r="CY452" s="2" t="n">
        <v>37.04</v>
      </c>
      <c r="CZ452" s="2" t="n">
        <v>0</v>
      </c>
      <c r="DA452" s="2" t="n">
        <v>41.27</v>
      </c>
      <c r="DB452" s="2" t="n">
        <v>43.54</v>
      </c>
      <c r="DC452" s="2" t="n">
        <v>0</v>
      </c>
      <c r="DD452" s="2" t="n">
        <v>54.32</v>
      </c>
      <c r="DE452" s="2" t="n">
        <v>56.56</v>
      </c>
      <c r="DF452" s="2" t="n">
        <v>0</v>
      </c>
      <c r="DG452" s="2" t="n">
        <v>63.54</v>
      </c>
      <c r="DH452" s="2" t="n">
        <v>65.38</v>
      </c>
      <c r="DI452" s="2" t="n">
        <v>0</v>
      </c>
      <c r="DJ452" s="2" t="n">
        <v>72.54000000000001</v>
      </c>
      <c r="DK452" s="2" t="n">
        <v>81.36</v>
      </c>
      <c r="DL452" s="2" t="n">
        <v>0</v>
      </c>
      <c r="DM452" s="2" t="n">
        <v>86.23999999999999</v>
      </c>
      <c r="DN452" s="2" t="n">
        <v>94.76000000000001</v>
      </c>
      <c r="DO452" s="2" t="n">
        <v>0</v>
      </c>
      <c r="DP452" s="2" t="n">
        <v>97.45999999999999</v>
      </c>
      <c r="DQ452" s="2" t="n">
        <v>97.62</v>
      </c>
      <c r="DR452" s="2" t="n">
        <v>0</v>
      </c>
      <c r="DS452" s="2" t="n">
        <v>98.41</v>
      </c>
      <c r="DT452" s="2" t="n">
        <v>99.73999999999999</v>
      </c>
      <c r="DU452" s="2" t="n">
        <v>0</v>
      </c>
      <c r="DV452" s="2" t="n">
        <v>100</v>
      </c>
      <c r="DW452" s="2" t="n">
        <v>100</v>
      </c>
      <c r="DX452" s="2" t="n">
        <v>0</v>
      </c>
      <c r="DY452" s="2" t="n">
        <v>100</v>
      </c>
      <c r="DZ452" s="2" t="n">
        <v>100</v>
      </c>
      <c r="EA452" s="2" t="n">
        <v>0</v>
      </c>
      <c r="EB452" s="2" t="n">
        <v>100</v>
      </c>
      <c r="EC452" s="2" t="n">
        <v>100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</row>
    <row r="453">
      <c r="A453" s="2" t="n">
        <v>3</v>
      </c>
      <c r="B453" s="2" t="inlineStr">
        <is>
          <t>19.07.02</t>
        </is>
      </c>
      <c r="C453" s="2" t="inlineStr">
        <is>
          <t>Proteção mecânica  armada com tela galvanizada, fio 22, malha 1". (Apenas no piso e rodapé. Para  evitar danos ao sistema de impermeabilização caso seja usada alguma escada para acesso ao fundo)</t>
        </is>
      </c>
      <c r="D453" s="2" t="inlineStr">
        <is>
          <t>11/08/2027</t>
        </is>
      </c>
      <c r="E453" s="2" t="inlineStr">
        <is>
          <t>01/09/2028</t>
        </is>
      </c>
      <c r="F453" s="2" t="n">
        <v>8371.723922149582</v>
      </c>
      <c r="G453" s="2" t="n">
        <v>0</v>
      </c>
      <c r="H453" s="2" t="n">
        <v>8371.723922149582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2.65</v>
      </c>
      <c r="CJ453" s="2" t="n">
        <v>3.97</v>
      </c>
      <c r="CK453" s="2" t="n">
        <v>0</v>
      </c>
      <c r="CL453" s="2" t="n">
        <v>8.199999999999999</v>
      </c>
      <c r="CM453" s="2" t="n">
        <v>9.52</v>
      </c>
      <c r="CN453" s="2" t="n">
        <v>0</v>
      </c>
      <c r="CO453" s="2" t="n">
        <v>13.49</v>
      </c>
      <c r="CP453" s="2" t="n">
        <v>17.2</v>
      </c>
      <c r="CQ453" s="2" t="n">
        <v>0</v>
      </c>
      <c r="CR453" s="2" t="n">
        <v>23.54</v>
      </c>
      <c r="CS453" s="2" t="n">
        <v>24.87</v>
      </c>
      <c r="CT453" s="2" t="n">
        <v>0</v>
      </c>
      <c r="CU453" s="2" t="n">
        <v>27.78</v>
      </c>
      <c r="CV453" s="2" t="n">
        <v>30.53</v>
      </c>
      <c r="CW453" s="2" t="n">
        <v>0</v>
      </c>
      <c r="CX453" s="2" t="n">
        <v>35</v>
      </c>
      <c r="CY453" s="2" t="n">
        <v>37.04</v>
      </c>
      <c r="CZ453" s="2" t="n">
        <v>0</v>
      </c>
      <c r="DA453" s="2" t="n">
        <v>41.27</v>
      </c>
      <c r="DB453" s="2" t="n">
        <v>43.54</v>
      </c>
      <c r="DC453" s="2" t="n">
        <v>0</v>
      </c>
      <c r="DD453" s="2" t="n">
        <v>54.32</v>
      </c>
      <c r="DE453" s="2" t="n">
        <v>56.56</v>
      </c>
      <c r="DF453" s="2" t="n">
        <v>0</v>
      </c>
      <c r="DG453" s="2" t="n">
        <v>63.54</v>
      </c>
      <c r="DH453" s="2" t="n">
        <v>65.38</v>
      </c>
      <c r="DI453" s="2" t="n">
        <v>0</v>
      </c>
      <c r="DJ453" s="2" t="n">
        <v>72.54000000000001</v>
      </c>
      <c r="DK453" s="2" t="n">
        <v>81.36</v>
      </c>
      <c r="DL453" s="2" t="n">
        <v>0</v>
      </c>
      <c r="DM453" s="2" t="n">
        <v>86.23999999999999</v>
      </c>
      <c r="DN453" s="2" t="n">
        <v>94.76000000000001</v>
      </c>
      <c r="DO453" s="2" t="n">
        <v>0</v>
      </c>
      <c r="DP453" s="2" t="n">
        <v>97.45999999999999</v>
      </c>
      <c r="DQ453" s="2" t="n">
        <v>97.62</v>
      </c>
      <c r="DR453" s="2" t="n">
        <v>0</v>
      </c>
      <c r="DS453" s="2" t="n">
        <v>98.41</v>
      </c>
      <c r="DT453" s="2" t="n">
        <v>99.73999999999999</v>
      </c>
      <c r="DU453" s="2" t="n">
        <v>0</v>
      </c>
      <c r="DV453" s="2" t="n">
        <v>100</v>
      </c>
      <c r="DW453" s="2" t="n">
        <v>100</v>
      </c>
      <c r="DX453" s="2" t="n">
        <v>0</v>
      </c>
      <c r="DY453" s="2" t="n">
        <v>100</v>
      </c>
      <c r="DZ453" s="2" t="n">
        <v>100</v>
      </c>
      <c r="EA453" s="2" t="n">
        <v>0</v>
      </c>
      <c r="EB453" s="2" t="n">
        <v>100</v>
      </c>
      <c r="EC453" s="2" t="n">
        <v>100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</row>
    <row r="454">
      <c r="A454" s="2" t="n">
        <v>3</v>
      </c>
      <c r="B454" s="2" t="inlineStr">
        <is>
          <t>19.07.03</t>
        </is>
      </c>
      <c r="C454" s="2" t="inlineStr">
        <is>
          <t>Reservatório</t>
        </is>
      </c>
      <c r="D454" s="2" t="inlineStr">
        <is>
          <t>11/08/2027</t>
        </is>
      </c>
      <c r="E454" s="2" t="inlineStr">
        <is>
          <t>01/09/2028</t>
        </is>
      </c>
      <c r="F454" s="2" t="n">
        <v>43688.95432157464</v>
      </c>
      <c r="G454" s="2" t="n">
        <v>0</v>
      </c>
      <c r="H454" s="2" t="n">
        <v>43688.95432157464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2.65</v>
      </c>
      <c r="CJ454" s="2" t="n">
        <v>3.97</v>
      </c>
      <c r="CK454" s="2" t="n">
        <v>0</v>
      </c>
      <c r="CL454" s="2" t="n">
        <v>8.199999999999999</v>
      </c>
      <c r="CM454" s="2" t="n">
        <v>9.52</v>
      </c>
      <c r="CN454" s="2" t="n">
        <v>0</v>
      </c>
      <c r="CO454" s="2" t="n">
        <v>13.49</v>
      </c>
      <c r="CP454" s="2" t="n">
        <v>17.2</v>
      </c>
      <c r="CQ454" s="2" t="n">
        <v>0</v>
      </c>
      <c r="CR454" s="2" t="n">
        <v>23.54</v>
      </c>
      <c r="CS454" s="2" t="n">
        <v>24.87</v>
      </c>
      <c r="CT454" s="2" t="n">
        <v>0</v>
      </c>
      <c r="CU454" s="2" t="n">
        <v>27.78</v>
      </c>
      <c r="CV454" s="2" t="n">
        <v>30.53</v>
      </c>
      <c r="CW454" s="2" t="n">
        <v>0</v>
      </c>
      <c r="CX454" s="2" t="n">
        <v>35</v>
      </c>
      <c r="CY454" s="2" t="n">
        <v>37.04</v>
      </c>
      <c r="CZ454" s="2" t="n">
        <v>0</v>
      </c>
      <c r="DA454" s="2" t="n">
        <v>41.27</v>
      </c>
      <c r="DB454" s="2" t="n">
        <v>43.54</v>
      </c>
      <c r="DC454" s="2" t="n">
        <v>0</v>
      </c>
      <c r="DD454" s="2" t="n">
        <v>54.32</v>
      </c>
      <c r="DE454" s="2" t="n">
        <v>56.56</v>
      </c>
      <c r="DF454" s="2" t="n">
        <v>0</v>
      </c>
      <c r="DG454" s="2" t="n">
        <v>63.54</v>
      </c>
      <c r="DH454" s="2" t="n">
        <v>65.38</v>
      </c>
      <c r="DI454" s="2" t="n">
        <v>0</v>
      </c>
      <c r="DJ454" s="2" t="n">
        <v>72.54000000000001</v>
      </c>
      <c r="DK454" s="2" t="n">
        <v>81.36</v>
      </c>
      <c r="DL454" s="2" t="n">
        <v>0</v>
      </c>
      <c r="DM454" s="2" t="n">
        <v>86.23999999999999</v>
      </c>
      <c r="DN454" s="2" t="n">
        <v>94.76000000000001</v>
      </c>
      <c r="DO454" s="2" t="n">
        <v>0</v>
      </c>
      <c r="DP454" s="2" t="n">
        <v>97.45999999999999</v>
      </c>
      <c r="DQ454" s="2" t="n">
        <v>97.62</v>
      </c>
      <c r="DR454" s="2" t="n">
        <v>0</v>
      </c>
      <c r="DS454" s="2" t="n">
        <v>98.41</v>
      </c>
      <c r="DT454" s="2" t="n">
        <v>99.73999999999999</v>
      </c>
      <c r="DU454" s="2" t="n">
        <v>0</v>
      </c>
      <c r="DV454" s="2" t="n">
        <v>100</v>
      </c>
      <c r="DW454" s="2" t="n">
        <v>100</v>
      </c>
      <c r="DX454" s="2" t="n">
        <v>0</v>
      </c>
      <c r="DY454" s="2" t="n">
        <v>100</v>
      </c>
      <c r="DZ454" s="2" t="n">
        <v>100</v>
      </c>
      <c r="EA454" s="2" t="n">
        <v>0</v>
      </c>
      <c r="EB454" s="2" t="n">
        <v>100</v>
      </c>
      <c r="EC454" s="2" t="n">
        <v>100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</row>
    <row r="455">
      <c r="A455" s="2" t="n">
        <v>3</v>
      </c>
      <c r="B455" s="2" t="inlineStr">
        <is>
          <t>19.07.04</t>
        </is>
      </c>
      <c r="C455" s="2" t="inlineStr">
        <is>
          <t>Meia cana 5x5cm/ Reforço de canto com argamassa epóxica (Mistura de 1 traço de epóxi com 2 de areia seca)</t>
        </is>
      </c>
      <c r="D455" s="2" t="inlineStr">
        <is>
          <t>11/08/2027</t>
        </is>
      </c>
      <c r="E455" s="2" t="inlineStr">
        <is>
          <t>01/09/2028</t>
        </is>
      </c>
      <c r="F455" s="2" t="n">
        <v>10055.74661554401</v>
      </c>
      <c r="G455" s="2" t="n">
        <v>0</v>
      </c>
      <c r="H455" s="2" t="n">
        <v>10055.74661554401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2.65</v>
      </c>
      <c r="CJ455" s="2" t="n">
        <v>3.97</v>
      </c>
      <c r="CK455" s="2" t="n">
        <v>0</v>
      </c>
      <c r="CL455" s="2" t="n">
        <v>8.199999999999999</v>
      </c>
      <c r="CM455" s="2" t="n">
        <v>9.52</v>
      </c>
      <c r="CN455" s="2" t="n">
        <v>0</v>
      </c>
      <c r="CO455" s="2" t="n">
        <v>13.49</v>
      </c>
      <c r="CP455" s="2" t="n">
        <v>17.2</v>
      </c>
      <c r="CQ455" s="2" t="n">
        <v>0</v>
      </c>
      <c r="CR455" s="2" t="n">
        <v>23.54</v>
      </c>
      <c r="CS455" s="2" t="n">
        <v>24.87</v>
      </c>
      <c r="CT455" s="2" t="n">
        <v>0</v>
      </c>
      <c r="CU455" s="2" t="n">
        <v>27.78</v>
      </c>
      <c r="CV455" s="2" t="n">
        <v>30.53</v>
      </c>
      <c r="CW455" s="2" t="n">
        <v>0</v>
      </c>
      <c r="CX455" s="2" t="n">
        <v>35</v>
      </c>
      <c r="CY455" s="2" t="n">
        <v>37.04</v>
      </c>
      <c r="CZ455" s="2" t="n">
        <v>0</v>
      </c>
      <c r="DA455" s="2" t="n">
        <v>41.27</v>
      </c>
      <c r="DB455" s="2" t="n">
        <v>43.54</v>
      </c>
      <c r="DC455" s="2" t="n">
        <v>0</v>
      </c>
      <c r="DD455" s="2" t="n">
        <v>54.32</v>
      </c>
      <c r="DE455" s="2" t="n">
        <v>56.56</v>
      </c>
      <c r="DF455" s="2" t="n">
        <v>0</v>
      </c>
      <c r="DG455" s="2" t="n">
        <v>63.54</v>
      </c>
      <c r="DH455" s="2" t="n">
        <v>65.38</v>
      </c>
      <c r="DI455" s="2" t="n">
        <v>0</v>
      </c>
      <c r="DJ455" s="2" t="n">
        <v>72.54000000000001</v>
      </c>
      <c r="DK455" s="2" t="n">
        <v>81.36</v>
      </c>
      <c r="DL455" s="2" t="n">
        <v>0</v>
      </c>
      <c r="DM455" s="2" t="n">
        <v>86.23999999999999</v>
      </c>
      <c r="DN455" s="2" t="n">
        <v>94.76000000000001</v>
      </c>
      <c r="DO455" s="2" t="n">
        <v>0</v>
      </c>
      <c r="DP455" s="2" t="n">
        <v>97.45999999999999</v>
      </c>
      <c r="DQ455" s="2" t="n">
        <v>97.62</v>
      </c>
      <c r="DR455" s="2" t="n">
        <v>0</v>
      </c>
      <c r="DS455" s="2" t="n">
        <v>98.41</v>
      </c>
      <c r="DT455" s="2" t="n">
        <v>99.73999999999999</v>
      </c>
      <c r="DU455" s="2" t="n">
        <v>0</v>
      </c>
      <c r="DV455" s="2" t="n">
        <v>100</v>
      </c>
      <c r="DW455" s="2" t="n">
        <v>100</v>
      </c>
      <c r="DX455" s="2" t="n">
        <v>0</v>
      </c>
      <c r="DY455" s="2" t="n">
        <v>100</v>
      </c>
      <c r="DZ455" s="2" t="n">
        <v>100</v>
      </c>
      <c r="EA455" s="2" t="n">
        <v>0</v>
      </c>
      <c r="EB455" s="2" t="n">
        <v>100</v>
      </c>
      <c r="EC455" s="2" t="n">
        <v>100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</row>
    <row r="456">
      <c r="A456" s="2" t="n">
        <v>3</v>
      </c>
      <c r="B456" s="2" t="inlineStr">
        <is>
          <t>19.07.05</t>
        </is>
      </c>
      <c r="C456" s="2" t="inlineStr">
        <is>
          <t>Impermabilização de ralos</t>
        </is>
      </c>
      <c r="D456" s="2" t="inlineStr">
        <is>
          <t>11/08/2027</t>
        </is>
      </c>
      <c r="E456" s="2" t="inlineStr">
        <is>
          <t>01/09/2028</t>
        </is>
      </c>
      <c r="F456" s="2" t="n">
        <v>1079.939242511014</v>
      </c>
      <c r="G456" s="2" t="n">
        <v>0</v>
      </c>
      <c r="H456" s="2" t="n">
        <v>1079.939242511014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2.65</v>
      </c>
      <c r="CJ456" s="2" t="n">
        <v>3.97</v>
      </c>
      <c r="CK456" s="2" t="n">
        <v>0</v>
      </c>
      <c r="CL456" s="2" t="n">
        <v>8.199999999999999</v>
      </c>
      <c r="CM456" s="2" t="n">
        <v>9.52</v>
      </c>
      <c r="CN456" s="2" t="n">
        <v>0</v>
      </c>
      <c r="CO456" s="2" t="n">
        <v>13.49</v>
      </c>
      <c r="CP456" s="2" t="n">
        <v>17.2</v>
      </c>
      <c r="CQ456" s="2" t="n">
        <v>0</v>
      </c>
      <c r="CR456" s="2" t="n">
        <v>23.54</v>
      </c>
      <c r="CS456" s="2" t="n">
        <v>24.87</v>
      </c>
      <c r="CT456" s="2" t="n">
        <v>0</v>
      </c>
      <c r="CU456" s="2" t="n">
        <v>27.78</v>
      </c>
      <c r="CV456" s="2" t="n">
        <v>30.53</v>
      </c>
      <c r="CW456" s="2" t="n">
        <v>0</v>
      </c>
      <c r="CX456" s="2" t="n">
        <v>35</v>
      </c>
      <c r="CY456" s="2" t="n">
        <v>37.04</v>
      </c>
      <c r="CZ456" s="2" t="n">
        <v>0</v>
      </c>
      <c r="DA456" s="2" t="n">
        <v>41.27</v>
      </c>
      <c r="DB456" s="2" t="n">
        <v>43.54</v>
      </c>
      <c r="DC456" s="2" t="n">
        <v>0</v>
      </c>
      <c r="DD456" s="2" t="n">
        <v>54.32</v>
      </c>
      <c r="DE456" s="2" t="n">
        <v>56.56</v>
      </c>
      <c r="DF456" s="2" t="n">
        <v>0</v>
      </c>
      <c r="DG456" s="2" t="n">
        <v>63.54</v>
      </c>
      <c r="DH456" s="2" t="n">
        <v>65.38</v>
      </c>
      <c r="DI456" s="2" t="n">
        <v>0</v>
      </c>
      <c r="DJ456" s="2" t="n">
        <v>72.54000000000001</v>
      </c>
      <c r="DK456" s="2" t="n">
        <v>81.36</v>
      </c>
      <c r="DL456" s="2" t="n">
        <v>0</v>
      </c>
      <c r="DM456" s="2" t="n">
        <v>86.23999999999999</v>
      </c>
      <c r="DN456" s="2" t="n">
        <v>94.76000000000001</v>
      </c>
      <c r="DO456" s="2" t="n">
        <v>0</v>
      </c>
      <c r="DP456" s="2" t="n">
        <v>97.45999999999999</v>
      </c>
      <c r="DQ456" s="2" t="n">
        <v>97.62</v>
      </c>
      <c r="DR456" s="2" t="n">
        <v>0</v>
      </c>
      <c r="DS456" s="2" t="n">
        <v>98.41</v>
      </c>
      <c r="DT456" s="2" t="n">
        <v>99.73999999999999</v>
      </c>
      <c r="DU456" s="2" t="n">
        <v>0</v>
      </c>
      <c r="DV456" s="2" t="n">
        <v>100</v>
      </c>
      <c r="DW456" s="2" t="n">
        <v>100</v>
      </c>
      <c r="DX456" s="2" t="n">
        <v>0</v>
      </c>
      <c r="DY456" s="2" t="n">
        <v>100</v>
      </c>
      <c r="DZ456" s="2" t="n">
        <v>100</v>
      </c>
      <c r="EA456" s="2" t="n">
        <v>0</v>
      </c>
      <c r="EB456" s="2" t="n">
        <v>100</v>
      </c>
      <c r="EC456" s="2" t="n">
        <v>100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</row>
    <row r="457">
      <c r="A457" s="2" t="n">
        <v>2</v>
      </c>
      <c r="B457" s="2" t="inlineStr">
        <is>
          <t>19.08</t>
        </is>
      </c>
      <c r="C457" s="2" t="inlineStr">
        <is>
          <t>Sobre concreto curado e regularizado (1,0% de caimento para a rede hidráulica), impermeabilização com manta asfáltica tipo III, 4mm de espessura, classe B acabamento PP, colada com maçarico de gás GLP. Sobre esta, camada de proteção mecânica com manta auto protegida ardosiada tipo III, tipo B, 4mm de espessura (3mm de manta + 1mm de grânulos minerais) colada com maçarico de gás GLP</t>
        </is>
      </c>
      <c r="D457" s="2" t="inlineStr">
        <is>
          <t>11/08/2027</t>
        </is>
      </c>
      <c r="E457" s="2" t="inlineStr">
        <is>
          <t>01/09/2028</t>
        </is>
      </c>
      <c r="F457" s="2" t="n">
        <v>51892.28941670555</v>
      </c>
      <c r="G457" s="2" t="n">
        <v>0</v>
      </c>
      <c r="H457" s="2" t="n">
        <v>51892.28941670555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2.65</v>
      </c>
      <c r="CJ457" s="2" t="n">
        <v>3.97</v>
      </c>
      <c r="CK457" s="2" t="n">
        <v>0</v>
      </c>
      <c r="CL457" s="2" t="n">
        <v>8.199999999999999</v>
      </c>
      <c r="CM457" s="2" t="n">
        <v>9.52</v>
      </c>
      <c r="CN457" s="2" t="n">
        <v>0</v>
      </c>
      <c r="CO457" s="2" t="n">
        <v>13.49</v>
      </c>
      <c r="CP457" s="2" t="n">
        <v>17.2</v>
      </c>
      <c r="CQ457" s="2" t="n">
        <v>0</v>
      </c>
      <c r="CR457" s="2" t="n">
        <v>23.54</v>
      </c>
      <c r="CS457" s="2" t="n">
        <v>24.87</v>
      </c>
      <c r="CT457" s="2" t="n">
        <v>0</v>
      </c>
      <c r="CU457" s="2" t="n">
        <v>27.78</v>
      </c>
      <c r="CV457" s="2" t="n">
        <v>30.53</v>
      </c>
      <c r="CW457" s="2" t="n">
        <v>0</v>
      </c>
      <c r="CX457" s="2" t="n">
        <v>35</v>
      </c>
      <c r="CY457" s="2" t="n">
        <v>37.04</v>
      </c>
      <c r="CZ457" s="2" t="n">
        <v>0</v>
      </c>
      <c r="DA457" s="2" t="n">
        <v>41.27</v>
      </c>
      <c r="DB457" s="2" t="n">
        <v>43.54</v>
      </c>
      <c r="DC457" s="2" t="n">
        <v>0</v>
      </c>
      <c r="DD457" s="2" t="n">
        <v>54.32</v>
      </c>
      <c r="DE457" s="2" t="n">
        <v>56.56</v>
      </c>
      <c r="DF457" s="2" t="n">
        <v>0</v>
      </c>
      <c r="DG457" s="2" t="n">
        <v>63.54</v>
      </c>
      <c r="DH457" s="2" t="n">
        <v>65.38</v>
      </c>
      <c r="DI457" s="2" t="n">
        <v>0</v>
      </c>
      <c r="DJ457" s="2" t="n">
        <v>72.54000000000001</v>
      </c>
      <c r="DK457" s="2" t="n">
        <v>81.36</v>
      </c>
      <c r="DL457" s="2" t="n">
        <v>0</v>
      </c>
      <c r="DM457" s="2" t="n">
        <v>86.23999999999999</v>
      </c>
      <c r="DN457" s="2" t="n">
        <v>94.76000000000001</v>
      </c>
      <c r="DO457" s="2" t="n">
        <v>0</v>
      </c>
      <c r="DP457" s="2" t="n">
        <v>97.45999999999999</v>
      </c>
      <c r="DQ457" s="2" t="n">
        <v>97.62</v>
      </c>
      <c r="DR457" s="2" t="n">
        <v>0</v>
      </c>
      <c r="DS457" s="2" t="n">
        <v>98.41</v>
      </c>
      <c r="DT457" s="2" t="n">
        <v>99.73999999999999</v>
      </c>
      <c r="DU457" s="2" t="n">
        <v>0</v>
      </c>
      <c r="DV457" s="2" t="n">
        <v>100</v>
      </c>
      <c r="DW457" s="2" t="n">
        <v>100</v>
      </c>
      <c r="DX457" s="2" t="n">
        <v>0</v>
      </c>
      <c r="DY457" s="2" t="n">
        <v>100</v>
      </c>
      <c r="DZ457" s="2" t="n">
        <v>100</v>
      </c>
      <c r="EA457" s="2" t="n">
        <v>0</v>
      </c>
      <c r="EB457" s="2" t="n">
        <v>100</v>
      </c>
      <c r="EC457" s="2" t="n">
        <v>100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</row>
    <row r="458">
      <c r="A458" s="2" t="n">
        <v>3</v>
      </c>
      <c r="B458" s="2" t="inlineStr">
        <is>
          <t>19.08.01</t>
        </is>
      </c>
      <c r="C458" s="2" t="inlineStr">
        <is>
          <t>Camada de regularização com argamassa de cimento e areia</t>
        </is>
      </c>
      <c r="D458" s="2" t="inlineStr">
        <is>
          <t>11/08/2027</t>
        </is>
      </c>
      <c r="E458" s="2" t="inlineStr">
        <is>
          <t>01/09/2028</t>
        </is>
      </c>
      <c r="F458" s="2" t="n">
        <v>5613.395137903797</v>
      </c>
      <c r="G458" s="2" t="n">
        <v>0</v>
      </c>
      <c r="H458" s="2" t="n">
        <v>5613.395137903797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2.65</v>
      </c>
      <c r="CJ458" s="2" t="n">
        <v>3.97</v>
      </c>
      <c r="CK458" s="2" t="n">
        <v>0</v>
      </c>
      <c r="CL458" s="2" t="n">
        <v>8.199999999999999</v>
      </c>
      <c r="CM458" s="2" t="n">
        <v>9.52</v>
      </c>
      <c r="CN458" s="2" t="n">
        <v>0</v>
      </c>
      <c r="CO458" s="2" t="n">
        <v>13.49</v>
      </c>
      <c r="CP458" s="2" t="n">
        <v>17.2</v>
      </c>
      <c r="CQ458" s="2" t="n">
        <v>0</v>
      </c>
      <c r="CR458" s="2" t="n">
        <v>23.54</v>
      </c>
      <c r="CS458" s="2" t="n">
        <v>24.87</v>
      </c>
      <c r="CT458" s="2" t="n">
        <v>0</v>
      </c>
      <c r="CU458" s="2" t="n">
        <v>27.78</v>
      </c>
      <c r="CV458" s="2" t="n">
        <v>30.53</v>
      </c>
      <c r="CW458" s="2" t="n">
        <v>0</v>
      </c>
      <c r="CX458" s="2" t="n">
        <v>35</v>
      </c>
      <c r="CY458" s="2" t="n">
        <v>37.04</v>
      </c>
      <c r="CZ458" s="2" t="n">
        <v>0</v>
      </c>
      <c r="DA458" s="2" t="n">
        <v>41.27</v>
      </c>
      <c r="DB458" s="2" t="n">
        <v>43.54</v>
      </c>
      <c r="DC458" s="2" t="n">
        <v>0</v>
      </c>
      <c r="DD458" s="2" t="n">
        <v>54.32</v>
      </c>
      <c r="DE458" s="2" t="n">
        <v>56.56</v>
      </c>
      <c r="DF458" s="2" t="n">
        <v>0</v>
      </c>
      <c r="DG458" s="2" t="n">
        <v>63.54</v>
      </c>
      <c r="DH458" s="2" t="n">
        <v>65.38</v>
      </c>
      <c r="DI458" s="2" t="n">
        <v>0</v>
      </c>
      <c r="DJ458" s="2" t="n">
        <v>72.54000000000001</v>
      </c>
      <c r="DK458" s="2" t="n">
        <v>81.36</v>
      </c>
      <c r="DL458" s="2" t="n">
        <v>0</v>
      </c>
      <c r="DM458" s="2" t="n">
        <v>86.23999999999999</v>
      </c>
      <c r="DN458" s="2" t="n">
        <v>94.76000000000001</v>
      </c>
      <c r="DO458" s="2" t="n">
        <v>0</v>
      </c>
      <c r="DP458" s="2" t="n">
        <v>97.45999999999999</v>
      </c>
      <c r="DQ458" s="2" t="n">
        <v>97.62</v>
      </c>
      <c r="DR458" s="2" t="n">
        <v>0</v>
      </c>
      <c r="DS458" s="2" t="n">
        <v>98.41</v>
      </c>
      <c r="DT458" s="2" t="n">
        <v>99.73999999999999</v>
      </c>
      <c r="DU458" s="2" t="n">
        <v>0</v>
      </c>
      <c r="DV458" s="2" t="n">
        <v>100</v>
      </c>
      <c r="DW458" s="2" t="n">
        <v>100</v>
      </c>
      <c r="DX458" s="2" t="n">
        <v>0</v>
      </c>
      <c r="DY458" s="2" t="n">
        <v>100</v>
      </c>
      <c r="DZ458" s="2" t="n">
        <v>100</v>
      </c>
      <c r="EA458" s="2" t="n">
        <v>0</v>
      </c>
      <c r="EB458" s="2" t="n">
        <v>100</v>
      </c>
      <c r="EC458" s="2" t="n">
        <v>100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</row>
    <row r="459">
      <c r="A459" s="2" t="n">
        <v>3</v>
      </c>
      <c r="B459" s="2" t="inlineStr">
        <is>
          <t>19.08.02</t>
        </is>
      </c>
      <c r="C459" s="2" t="inlineStr">
        <is>
          <t>LPI Cx d'agua - manta auto protegida ardosiada tipo III, tipo B, 4mm de espessura (3mm de manta + 1mm de grânulos minerais) colada com maçarico de gás GLP</t>
        </is>
      </c>
      <c r="D459" s="2" t="inlineStr">
        <is>
          <t>11/08/2027</t>
        </is>
      </c>
      <c r="E459" s="2" t="inlineStr">
        <is>
          <t>01/09/2028</t>
        </is>
      </c>
      <c r="F459" s="2" t="n">
        <v>23053.052</v>
      </c>
      <c r="G459" s="2" t="n">
        <v>0</v>
      </c>
      <c r="H459" s="2" t="n">
        <v>23053.052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2.65</v>
      </c>
      <c r="CJ459" s="2" t="n">
        <v>3.97</v>
      </c>
      <c r="CK459" s="2" t="n">
        <v>0</v>
      </c>
      <c r="CL459" s="2" t="n">
        <v>8.199999999999999</v>
      </c>
      <c r="CM459" s="2" t="n">
        <v>9.52</v>
      </c>
      <c r="CN459" s="2" t="n">
        <v>0</v>
      </c>
      <c r="CO459" s="2" t="n">
        <v>13.49</v>
      </c>
      <c r="CP459" s="2" t="n">
        <v>17.2</v>
      </c>
      <c r="CQ459" s="2" t="n">
        <v>0</v>
      </c>
      <c r="CR459" s="2" t="n">
        <v>23.54</v>
      </c>
      <c r="CS459" s="2" t="n">
        <v>24.87</v>
      </c>
      <c r="CT459" s="2" t="n">
        <v>0</v>
      </c>
      <c r="CU459" s="2" t="n">
        <v>27.78</v>
      </c>
      <c r="CV459" s="2" t="n">
        <v>30.53</v>
      </c>
      <c r="CW459" s="2" t="n">
        <v>0</v>
      </c>
      <c r="CX459" s="2" t="n">
        <v>35</v>
      </c>
      <c r="CY459" s="2" t="n">
        <v>37.04</v>
      </c>
      <c r="CZ459" s="2" t="n">
        <v>0</v>
      </c>
      <c r="DA459" s="2" t="n">
        <v>41.27</v>
      </c>
      <c r="DB459" s="2" t="n">
        <v>43.54</v>
      </c>
      <c r="DC459" s="2" t="n">
        <v>0</v>
      </c>
      <c r="DD459" s="2" t="n">
        <v>54.32</v>
      </c>
      <c r="DE459" s="2" t="n">
        <v>56.56</v>
      </c>
      <c r="DF459" s="2" t="n">
        <v>0</v>
      </c>
      <c r="DG459" s="2" t="n">
        <v>63.54</v>
      </c>
      <c r="DH459" s="2" t="n">
        <v>65.38</v>
      </c>
      <c r="DI459" s="2" t="n">
        <v>0</v>
      </c>
      <c r="DJ459" s="2" t="n">
        <v>72.54000000000001</v>
      </c>
      <c r="DK459" s="2" t="n">
        <v>81.36</v>
      </c>
      <c r="DL459" s="2" t="n">
        <v>0</v>
      </c>
      <c r="DM459" s="2" t="n">
        <v>86.23999999999999</v>
      </c>
      <c r="DN459" s="2" t="n">
        <v>94.76000000000001</v>
      </c>
      <c r="DO459" s="2" t="n">
        <v>0</v>
      </c>
      <c r="DP459" s="2" t="n">
        <v>97.45999999999999</v>
      </c>
      <c r="DQ459" s="2" t="n">
        <v>97.62</v>
      </c>
      <c r="DR459" s="2" t="n">
        <v>0</v>
      </c>
      <c r="DS459" s="2" t="n">
        <v>98.41</v>
      </c>
      <c r="DT459" s="2" t="n">
        <v>99.73999999999999</v>
      </c>
      <c r="DU459" s="2" t="n">
        <v>0</v>
      </c>
      <c r="DV459" s="2" t="n">
        <v>100</v>
      </c>
      <c r="DW459" s="2" t="n">
        <v>100</v>
      </c>
      <c r="DX459" s="2" t="n">
        <v>0</v>
      </c>
      <c r="DY459" s="2" t="n">
        <v>100</v>
      </c>
      <c r="DZ459" s="2" t="n">
        <v>100</v>
      </c>
      <c r="EA459" s="2" t="n">
        <v>0</v>
      </c>
      <c r="EB459" s="2" t="n">
        <v>100</v>
      </c>
      <c r="EC459" s="2" t="n">
        <v>100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</row>
    <row r="460">
      <c r="A460" s="2" t="n">
        <v>3</v>
      </c>
      <c r="B460" s="2" t="inlineStr">
        <is>
          <t>19.08.03</t>
        </is>
      </c>
      <c r="C460" s="2" t="inlineStr">
        <is>
          <t>LPI Cx d'agua -  manta asfáltica tipo III, 4mm de espessura, classe B acabamento PP, colada com maçarico de gás GLP</t>
        </is>
      </c>
      <c r="D460" s="2" t="inlineStr">
        <is>
          <t>11/08/2027</t>
        </is>
      </c>
      <c r="E460" s="2" t="inlineStr">
        <is>
          <t>01/09/2028</t>
        </is>
      </c>
      <c r="F460" s="2" t="n">
        <v>23053.052</v>
      </c>
      <c r="G460" s="2" t="n">
        <v>0</v>
      </c>
      <c r="H460" s="2" t="n">
        <v>23053.052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2.65</v>
      </c>
      <c r="CJ460" s="2" t="n">
        <v>3.97</v>
      </c>
      <c r="CK460" s="2" t="n">
        <v>0</v>
      </c>
      <c r="CL460" s="2" t="n">
        <v>8.199999999999999</v>
      </c>
      <c r="CM460" s="2" t="n">
        <v>9.52</v>
      </c>
      <c r="CN460" s="2" t="n">
        <v>0</v>
      </c>
      <c r="CO460" s="2" t="n">
        <v>13.49</v>
      </c>
      <c r="CP460" s="2" t="n">
        <v>17.2</v>
      </c>
      <c r="CQ460" s="2" t="n">
        <v>0</v>
      </c>
      <c r="CR460" s="2" t="n">
        <v>23.54</v>
      </c>
      <c r="CS460" s="2" t="n">
        <v>24.87</v>
      </c>
      <c r="CT460" s="2" t="n">
        <v>0</v>
      </c>
      <c r="CU460" s="2" t="n">
        <v>27.78</v>
      </c>
      <c r="CV460" s="2" t="n">
        <v>30.53</v>
      </c>
      <c r="CW460" s="2" t="n">
        <v>0</v>
      </c>
      <c r="CX460" s="2" t="n">
        <v>35</v>
      </c>
      <c r="CY460" s="2" t="n">
        <v>37.04</v>
      </c>
      <c r="CZ460" s="2" t="n">
        <v>0</v>
      </c>
      <c r="DA460" s="2" t="n">
        <v>41.27</v>
      </c>
      <c r="DB460" s="2" t="n">
        <v>43.54</v>
      </c>
      <c r="DC460" s="2" t="n">
        <v>0</v>
      </c>
      <c r="DD460" s="2" t="n">
        <v>54.32</v>
      </c>
      <c r="DE460" s="2" t="n">
        <v>56.56</v>
      </c>
      <c r="DF460" s="2" t="n">
        <v>0</v>
      </c>
      <c r="DG460" s="2" t="n">
        <v>63.54</v>
      </c>
      <c r="DH460" s="2" t="n">
        <v>65.38</v>
      </c>
      <c r="DI460" s="2" t="n">
        <v>0</v>
      </c>
      <c r="DJ460" s="2" t="n">
        <v>72.54000000000001</v>
      </c>
      <c r="DK460" s="2" t="n">
        <v>81.36</v>
      </c>
      <c r="DL460" s="2" t="n">
        <v>0</v>
      </c>
      <c r="DM460" s="2" t="n">
        <v>86.23999999999999</v>
      </c>
      <c r="DN460" s="2" t="n">
        <v>94.76000000000001</v>
      </c>
      <c r="DO460" s="2" t="n">
        <v>0</v>
      </c>
      <c r="DP460" s="2" t="n">
        <v>97.45999999999999</v>
      </c>
      <c r="DQ460" s="2" t="n">
        <v>97.62</v>
      </c>
      <c r="DR460" s="2" t="n">
        <v>0</v>
      </c>
      <c r="DS460" s="2" t="n">
        <v>98.41</v>
      </c>
      <c r="DT460" s="2" t="n">
        <v>99.73999999999999</v>
      </c>
      <c r="DU460" s="2" t="n">
        <v>0</v>
      </c>
      <c r="DV460" s="2" t="n">
        <v>100</v>
      </c>
      <c r="DW460" s="2" t="n">
        <v>100</v>
      </c>
      <c r="DX460" s="2" t="n">
        <v>0</v>
      </c>
      <c r="DY460" s="2" t="n">
        <v>100</v>
      </c>
      <c r="DZ460" s="2" t="n">
        <v>100</v>
      </c>
      <c r="EA460" s="2" t="n">
        <v>0</v>
      </c>
      <c r="EB460" s="2" t="n">
        <v>100</v>
      </c>
      <c r="EC460" s="2" t="n">
        <v>100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</row>
    <row r="461">
      <c r="A461" s="2" t="n">
        <v>3</v>
      </c>
      <c r="B461" s="2" t="inlineStr">
        <is>
          <t>19.08.04</t>
        </is>
      </c>
      <c r="C461" s="2" t="inlineStr">
        <is>
          <t>Impermabilização de ralos</t>
        </is>
      </c>
      <c r="D461" s="2" t="inlineStr">
        <is>
          <t>11/08/2027</t>
        </is>
      </c>
      <c r="E461" s="2" t="inlineStr">
        <is>
          <t>01/09/2028</t>
        </is>
      </c>
      <c r="F461" s="2" t="n">
        <v>172.7902788017622</v>
      </c>
      <c r="G461" s="2" t="n">
        <v>0</v>
      </c>
      <c r="H461" s="2" t="n">
        <v>172.7902788017622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2.65</v>
      </c>
      <c r="CJ461" s="2" t="n">
        <v>3.97</v>
      </c>
      <c r="CK461" s="2" t="n">
        <v>0</v>
      </c>
      <c r="CL461" s="2" t="n">
        <v>8.199999999999999</v>
      </c>
      <c r="CM461" s="2" t="n">
        <v>9.52</v>
      </c>
      <c r="CN461" s="2" t="n">
        <v>0</v>
      </c>
      <c r="CO461" s="2" t="n">
        <v>13.49</v>
      </c>
      <c r="CP461" s="2" t="n">
        <v>17.2</v>
      </c>
      <c r="CQ461" s="2" t="n">
        <v>0</v>
      </c>
      <c r="CR461" s="2" t="n">
        <v>23.54</v>
      </c>
      <c r="CS461" s="2" t="n">
        <v>24.87</v>
      </c>
      <c r="CT461" s="2" t="n">
        <v>0</v>
      </c>
      <c r="CU461" s="2" t="n">
        <v>27.78</v>
      </c>
      <c r="CV461" s="2" t="n">
        <v>30.53</v>
      </c>
      <c r="CW461" s="2" t="n">
        <v>0</v>
      </c>
      <c r="CX461" s="2" t="n">
        <v>35</v>
      </c>
      <c r="CY461" s="2" t="n">
        <v>37.04</v>
      </c>
      <c r="CZ461" s="2" t="n">
        <v>0</v>
      </c>
      <c r="DA461" s="2" t="n">
        <v>41.27</v>
      </c>
      <c r="DB461" s="2" t="n">
        <v>43.54</v>
      </c>
      <c r="DC461" s="2" t="n">
        <v>0</v>
      </c>
      <c r="DD461" s="2" t="n">
        <v>54.32</v>
      </c>
      <c r="DE461" s="2" t="n">
        <v>56.56</v>
      </c>
      <c r="DF461" s="2" t="n">
        <v>0</v>
      </c>
      <c r="DG461" s="2" t="n">
        <v>63.54</v>
      </c>
      <c r="DH461" s="2" t="n">
        <v>65.38</v>
      </c>
      <c r="DI461" s="2" t="n">
        <v>0</v>
      </c>
      <c r="DJ461" s="2" t="n">
        <v>72.54000000000001</v>
      </c>
      <c r="DK461" s="2" t="n">
        <v>81.36</v>
      </c>
      <c r="DL461" s="2" t="n">
        <v>0</v>
      </c>
      <c r="DM461" s="2" t="n">
        <v>86.23999999999999</v>
      </c>
      <c r="DN461" s="2" t="n">
        <v>94.76000000000001</v>
      </c>
      <c r="DO461" s="2" t="n">
        <v>0</v>
      </c>
      <c r="DP461" s="2" t="n">
        <v>97.45999999999999</v>
      </c>
      <c r="DQ461" s="2" t="n">
        <v>97.62</v>
      </c>
      <c r="DR461" s="2" t="n">
        <v>0</v>
      </c>
      <c r="DS461" s="2" t="n">
        <v>98.41</v>
      </c>
      <c r="DT461" s="2" t="n">
        <v>99.73999999999999</v>
      </c>
      <c r="DU461" s="2" t="n">
        <v>0</v>
      </c>
      <c r="DV461" s="2" t="n">
        <v>100</v>
      </c>
      <c r="DW461" s="2" t="n">
        <v>100</v>
      </c>
      <c r="DX461" s="2" t="n">
        <v>0</v>
      </c>
      <c r="DY461" s="2" t="n">
        <v>100</v>
      </c>
      <c r="DZ461" s="2" t="n">
        <v>100</v>
      </c>
      <c r="EA461" s="2" t="n">
        <v>0</v>
      </c>
      <c r="EB461" s="2" t="n">
        <v>100</v>
      </c>
      <c r="EC461" s="2" t="n">
        <v>100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</row>
    <row r="462">
      <c r="A462" s="2" t="n">
        <v>2</v>
      </c>
      <c r="B462" s="2" t="inlineStr">
        <is>
          <t>19.09</t>
        </is>
      </c>
      <c r="C462" s="2" t="inlineStr">
        <is>
          <t>Resina epóxi com consumo de 1,5kg/m2 executada sobre surperfícies recuperadas. Impermeabilização com resina epóxi  com consumo de 1,5kg/m sobre concreto aditivado e recuperado (Eliminação de falhas e tratamento de fissuras). *Nos poços do elevador, subir com a impermeabilização no mínimo 20cm acima da soleira da porta. * As cortinas serão observadas durante a obra e se houver algum tipo de patologia remanescente será avaliado e recomendado uma solução definitiva de impermeabilização.</t>
        </is>
      </c>
      <c r="D462" s="2" t="inlineStr">
        <is>
          <t>11/08/2027</t>
        </is>
      </c>
      <c r="E462" s="2" t="inlineStr">
        <is>
          <t>01/09/2028</t>
        </is>
      </c>
      <c r="F462" s="2" t="n">
        <v>20598.00572370925</v>
      </c>
      <c r="G462" s="2" t="n">
        <v>0</v>
      </c>
      <c r="H462" s="2" t="n">
        <v>20598.00572370925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2.65</v>
      </c>
      <c r="CJ462" s="2" t="n">
        <v>3.97</v>
      </c>
      <c r="CK462" s="2" t="n">
        <v>0</v>
      </c>
      <c r="CL462" s="2" t="n">
        <v>8.199999999999999</v>
      </c>
      <c r="CM462" s="2" t="n">
        <v>9.52</v>
      </c>
      <c r="CN462" s="2" t="n">
        <v>0</v>
      </c>
      <c r="CO462" s="2" t="n">
        <v>13.49</v>
      </c>
      <c r="CP462" s="2" t="n">
        <v>17.2</v>
      </c>
      <c r="CQ462" s="2" t="n">
        <v>0</v>
      </c>
      <c r="CR462" s="2" t="n">
        <v>23.54</v>
      </c>
      <c r="CS462" s="2" t="n">
        <v>24.87</v>
      </c>
      <c r="CT462" s="2" t="n">
        <v>0</v>
      </c>
      <c r="CU462" s="2" t="n">
        <v>27.78</v>
      </c>
      <c r="CV462" s="2" t="n">
        <v>30.53</v>
      </c>
      <c r="CW462" s="2" t="n">
        <v>0</v>
      </c>
      <c r="CX462" s="2" t="n">
        <v>35</v>
      </c>
      <c r="CY462" s="2" t="n">
        <v>37.04</v>
      </c>
      <c r="CZ462" s="2" t="n">
        <v>0</v>
      </c>
      <c r="DA462" s="2" t="n">
        <v>41.27</v>
      </c>
      <c r="DB462" s="2" t="n">
        <v>43.54</v>
      </c>
      <c r="DC462" s="2" t="n">
        <v>0</v>
      </c>
      <c r="DD462" s="2" t="n">
        <v>54.32</v>
      </c>
      <c r="DE462" s="2" t="n">
        <v>56.56</v>
      </c>
      <c r="DF462" s="2" t="n">
        <v>0</v>
      </c>
      <c r="DG462" s="2" t="n">
        <v>63.54</v>
      </c>
      <c r="DH462" s="2" t="n">
        <v>65.38</v>
      </c>
      <c r="DI462" s="2" t="n">
        <v>0</v>
      </c>
      <c r="DJ462" s="2" t="n">
        <v>72.54000000000001</v>
      </c>
      <c r="DK462" s="2" t="n">
        <v>81.36</v>
      </c>
      <c r="DL462" s="2" t="n">
        <v>0</v>
      </c>
      <c r="DM462" s="2" t="n">
        <v>86.23999999999999</v>
      </c>
      <c r="DN462" s="2" t="n">
        <v>94.76000000000001</v>
      </c>
      <c r="DO462" s="2" t="n">
        <v>0</v>
      </c>
      <c r="DP462" s="2" t="n">
        <v>97.45999999999999</v>
      </c>
      <c r="DQ462" s="2" t="n">
        <v>97.62</v>
      </c>
      <c r="DR462" s="2" t="n">
        <v>0</v>
      </c>
      <c r="DS462" s="2" t="n">
        <v>98.41</v>
      </c>
      <c r="DT462" s="2" t="n">
        <v>99.73999999999999</v>
      </c>
      <c r="DU462" s="2" t="n">
        <v>0</v>
      </c>
      <c r="DV462" s="2" t="n">
        <v>100</v>
      </c>
      <c r="DW462" s="2" t="n">
        <v>100</v>
      </c>
      <c r="DX462" s="2" t="n">
        <v>0</v>
      </c>
      <c r="DY462" s="2" t="n">
        <v>100</v>
      </c>
      <c r="DZ462" s="2" t="n">
        <v>100</v>
      </c>
      <c r="EA462" s="2" t="n">
        <v>0</v>
      </c>
      <c r="EB462" s="2" t="n">
        <v>100</v>
      </c>
      <c r="EC462" s="2" t="n">
        <v>100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</row>
    <row r="463">
      <c r="A463" s="2" t="n">
        <v>3</v>
      </c>
      <c r="B463" s="2" t="inlineStr">
        <is>
          <t>19.09.01</t>
        </is>
      </c>
      <c r="C463" s="2" t="inlineStr">
        <is>
          <t>Reforço de canto com adesivo epóxi e argamassa epoxídica (Apicoar para aderência). Se aplica apenas quando há brocas</t>
        </is>
      </c>
      <c r="D463" s="2" t="inlineStr">
        <is>
          <t>11/08/2027</t>
        </is>
      </c>
      <c r="E463" s="2" t="inlineStr">
        <is>
          <t>01/09/2028</t>
        </is>
      </c>
      <c r="F463" s="2" t="n">
        <v>4300.659</v>
      </c>
      <c r="G463" s="2" t="n">
        <v>0</v>
      </c>
      <c r="H463" s="2" t="n">
        <v>4300.659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2.65</v>
      </c>
      <c r="CJ463" s="2" t="n">
        <v>3.97</v>
      </c>
      <c r="CK463" s="2" t="n">
        <v>0</v>
      </c>
      <c r="CL463" s="2" t="n">
        <v>8.199999999999999</v>
      </c>
      <c r="CM463" s="2" t="n">
        <v>9.52</v>
      </c>
      <c r="CN463" s="2" t="n">
        <v>0</v>
      </c>
      <c r="CO463" s="2" t="n">
        <v>13.49</v>
      </c>
      <c r="CP463" s="2" t="n">
        <v>17.2</v>
      </c>
      <c r="CQ463" s="2" t="n">
        <v>0</v>
      </c>
      <c r="CR463" s="2" t="n">
        <v>23.54</v>
      </c>
      <c r="CS463" s="2" t="n">
        <v>24.87</v>
      </c>
      <c r="CT463" s="2" t="n">
        <v>0</v>
      </c>
      <c r="CU463" s="2" t="n">
        <v>27.78</v>
      </c>
      <c r="CV463" s="2" t="n">
        <v>30.53</v>
      </c>
      <c r="CW463" s="2" t="n">
        <v>0</v>
      </c>
      <c r="CX463" s="2" t="n">
        <v>35</v>
      </c>
      <c r="CY463" s="2" t="n">
        <v>37.04</v>
      </c>
      <c r="CZ463" s="2" t="n">
        <v>0</v>
      </c>
      <c r="DA463" s="2" t="n">
        <v>41.27</v>
      </c>
      <c r="DB463" s="2" t="n">
        <v>43.54</v>
      </c>
      <c r="DC463" s="2" t="n">
        <v>0</v>
      </c>
      <c r="DD463" s="2" t="n">
        <v>54.32</v>
      </c>
      <c r="DE463" s="2" t="n">
        <v>56.56</v>
      </c>
      <c r="DF463" s="2" t="n">
        <v>0</v>
      </c>
      <c r="DG463" s="2" t="n">
        <v>63.54</v>
      </c>
      <c r="DH463" s="2" t="n">
        <v>65.38</v>
      </c>
      <c r="DI463" s="2" t="n">
        <v>0</v>
      </c>
      <c r="DJ463" s="2" t="n">
        <v>72.54000000000001</v>
      </c>
      <c r="DK463" s="2" t="n">
        <v>81.36</v>
      </c>
      <c r="DL463" s="2" t="n">
        <v>0</v>
      </c>
      <c r="DM463" s="2" t="n">
        <v>86.23999999999999</v>
      </c>
      <c r="DN463" s="2" t="n">
        <v>94.76000000000001</v>
      </c>
      <c r="DO463" s="2" t="n">
        <v>0</v>
      </c>
      <c r="DP463" s="2" t="n">
        <v>97.45999999999999</v>
      </c>
      <c r="DQ463" s="2" t="n">
        <v>97.62</v>
      </c>
      <c r="DR463" s="2" t="n">
        <v>0</v>
      </c>
      <c r="DS463" s="2" t="n">
        <v>98.41</v>
      </c>
      <c r="DT463" s="2" t="n">
        <v>99.73999999999999</v>
      </c>
      <c r="DU463" s="2" t="n">
        <v>0</v>
      </c>
      <c r="DV463" s="2" t="n">
        <v>100</v>
      </c>
      <c r="DW463" s="2" t="n">
        <v>100</v>
      </c>
      <c r="DX463" s="2" t="n">
        <v>0</v>
      </c>
      <c r="DY463" s="2" t="n">
        <v>100</v>
      </c>
      <c r="DZ463" s="2" t="n">
        <v>100</v>
      </c>
      <c r="EA463" s="2" t="n">
        <v>0</v>
      </c>
      <c r="EB463" s="2" t="n">
        <v>100</v>
      </c>
      <c r="EC463" s="2" t="n">
        <v>100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</row>
    <row r="464">
      <c r="A464" s="2" t="n">
        <v>3</v>
      </c>
      <c r="B464" s="2" t="inlineStr">
        <is>
          <t>19.09.02</t>
        </is>
      </c>
      <c r="C464" s="2" t="inlineStr">
        <is>
          <t>Poço do elevador</t>
        </is>
      </c>
      <c r="D464" s="2" t="inlineStr">
        <is>
          <t>11/08/2027</t>
        </is>
      </c>
      <c r="E464" s="2" t="inlineStr">
        <is>
          <t>01/09/2028</t>
        </is>
      </c>
      <c r="F464" s="2" t="n">
        <v>12572.56224</v>
      </c>
      <c r="G464" s="2" t="n">
        <v>0</v>
      </c>
      <c r="H464" s="2" t="n">
        <v>12572.56224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2.65</v>
      </c>
      <c r="CJ464" s="2" t="n">
        <v>3.97</v>
      </c>
      <c r="CK464" s="2" t="n">
        <v>0</v>
      </c>
      <c r="CL464" s="2" t="n">
        <v>8.199999999999999</v>
      </c>
      <c r="CM464" s="2" t="n">
        <v>9.52</v>
      </c>
      <c r="CN464" s="2" t="n">
        <v>0</v>
      </c>
      <c r="CO464" s="2" t="n">
        <v>13.49</v>
      </c>
      <c r="CP464" s="2" t="n">
        <v>17.2</v>
      </c>
      <c r="CQ464" s="2" t="n">
        <v>0</v>
      </c>
      <c r="CR464" s="2" t="n">
        <v>23.54</v>
      </c>
      <c r="CS464" s="2" t="n">
        <v>24.87</v>
      </c>
      <c r="CT464" s="2" t="n">
        <v>0</v>
      </c>
      <c r="CU464" s="2" t="n">
        <v>27.78</v>
      </c>
      <c r="CV464" s="2" t="n">
        <v>30.53</v>
      </c>
      <c r="CW464" s="2" t="n">
        <v>0</v>
      </c>
      <c r="CX464" s="2" t="n">
        <v>35</v>
      </c>
      <c r="CY464" s="2" t="n">
        <v>37.04</v>
      </c>
      <c r="CZ464" s="2" t="n">
        <v>0</v>
      </c>
      <c r="DA464" s="2" t="n">
        <v>41.27</v>
      </c>
      <c r="DB464" s="2" t="n">
        <v>43.54</v>
      </c>
      <c r="DC464" s="2" t="n">
        <v>0</v>
      </c>
      <c r="DD464" s="2" t="n">
        <v>54.32</v>
      </c>
      <c r="DE464" s="2" t="n">
        <v>56.56</v>
      </c>
      <c r="DF464" s="2" t="n">
        <v>0</v>
      </c>
      <c r="DG464" s="2" t="n">
        <v>63.54</v>
      </c>
      <c r="DH464" s="2" t="n">
        <v>65.38</v>
      </c>
      <c r="DI464" s="2" t="n">
        <v>0</v>
      </c>
      <c r="DJ464" s="2" t="n">
        <v>72.54000000000001</v>
      </c>
      <c r="DK464" s="2" t="n">
        <v>81.36</v>
      </c>
      <c r="DL464" s="2" t="n">
        <v>0</v>
      </c>
      <c r="DM464" s="2" t="n">
        <v>86.23999999999999</v>
      </c>
      <c r="DN464" s="2" t="n">
        <v>94.76000000000001</v>
      </c>
      <c r="DO464" s="2" t="n">
        <v>0</v>
      </c>
      <c r="DP464" s="2" t="n">
        <v>97.45999999999999</v>
      </c>
      <c r="DQ464" s="2" t="n">
        <v>97.62</v>
      </c>
      <c r="DR464" s="2" t="n">
        <v>0</v>
      </c>
      <c r="DS464" s="2" t="n">
        <v>98.41</v>
      </c>
      <c r="DT464" s="2" t="n">
        <v>99.73999999999999</v>
      </c>
      <c r="DU464" s="2" t="n">
        <v>0</v>
      </c>
      <c r="DV464" s="2" t="n">
        <v>100</v>
      </c>
      <c r="DW464" s="2" t="n">
        <v>100</v>
      </c>
      <c r="DX464" s="2" t="n">
        <v>0</v>
      </c>
      <c r="DY464" s="2" t="n">
        <v>100</v>
      </c>
      <c r="DZ464" s="2" t="n">
        <v>100</v>
      </c>
      <c r="EA464" s="2" t="n">
        <v>0</v>
      </c>
      <c r="EB464" s="2" t="n">
        <v>100</v>
      </c>
      <c r="EC464" s="2" t="n">
        <v>100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</row>
    <row r="465">
      <c r="A465" s="2" t="n">
        <v>3</v>
      </c>
      <c r="B465" s="2" t="inlineStr">
        <is>
          <t>19.09.03</t>
        </is>
      </c>
      <c r="C465" s="2" t="inlineStr">
        <is>
          <t>Sala gerador</t>
        </is>
      </c>
      <c r="D465" s="2" t="inlineStr">
        <is>
          <t>11/08/2027</t>
        </is>
      </c>
      <c r="E465" s="2" t="inlineStr">
        <is>
          <t>01/09/2028</t>
        </is>
      </c>
      <c r="F465" s="2" t="n">
        <v>2817.63552</v>
      </c>
      <c r="G465" s="2" t="n">
        <v>0</v>
      </c>
      <c r="H465" s="2" t="n">
        <v>2817.63552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2.65</v>
      </c>
      <c r="CJ465" s="2" t="n">
        <v>3.97</v>
      </c>
      <c r="CK465" s="2" t="n">
        <v>0</v>
      </c>
      <c r="CL465" s="2" t="n">
        <v>8.199999999999999</v>
      </c>
      <c r="CM465" s="2" t="n">
        <v>9.52</v>
      </c>
      <c r="CN465" s="2" t="n">
        <v>0</v>
      </c>
      <c r="CO465" s="2" t="n">
        <v>13.49</v>
      </c>
      <c r="CP465" s="2" t="n">
        <v>17.2</v>
      </c>
      <c r="CQ465" s="2" t="n">
        <v>0</v>
      </c>
      <c r="CR465" s="2" t="n">
        <v>23.54</v>
      </c>
      <c r="CS465" s="2" t="n">
        <v>24.87</v>
      </c>
      <c r="CT465" s="2" t="n">
        <v>0</v>
      </c>
      <c r="CU465" s="2" t="n">
        <v>27.78</v>
      </c>
      <c r="CV465" s="2" t="n">
        <v>30.53</v>
      </c>
      <c r="CW465" s="2" t="n">
        <v>0</v>
      </c>
      <c r="CX465" s="2" t="n">
        <v>35</v>
      </c>
      <c r="CY465" s="2" t="n">
        <v>37.04</v>
      </c>
      <c r="CZ465" s="2" t="n">
        <v>0</v>
      </c>
      <c r="DA465" s="2" t="n">
        <v>41.27</v>
      </c>
      <c r="DB465" s="2" t="n">
        <v>43.54</v>
      </c>
      <c r="DC465" s="2" t="n">
        <v>0</v>
      </c>
      <c r="DD465" s="2" t="n">
        <v>54.32</v>
      </c>
      <c r="DE465" s="2" t="n">
        <v>56.56</v>
      </c>
      <c r="DF465" s="2" t="n">
        <v>0</v>
      </c>
      <c r="DG465" s="2" t="n">
        <v>63.54</v>
      </c>
      <c r="DH465" s="2" t="n">
        <v>65.38</v>
      </c>
      <c r="DI465" s="2" t="n">
        <v>0</v>
      </c>
      <c r="DJ465" s="2" t="n">
        <v>72.54000000000001</v>
      </c>
      <c r="DK465" s="2" t="n">
        <v>81.36</v>
      </c>
      <c r="DL465" s="2" t="n">
        <v>0</v>
      </c>
      <c r="DM465" s="2" t="n">
        <v>86.23999999999999</v>
      </c>
      <c r="DN465" s="2" t="n">
        <v>94.76000000000001</v>
      </c>
      <c r="DO465" s="2" t="n">
        <v>0</v>
      </c>
      <c r="DP465" s="2" t="n">
        <v>97.45999999999999</v>
      </c>
      <c r="DQ465" s="2" t="n">
        <v>97.62</v>
      </c>
      <c r="DR465" s="2" t="n">
        <v>0</v>
      </c>
      <c r="DS465" s="2" t="n">
        <v>98.41</v>
      </c>
      <c r="DT465" s="2" t="n">
        <v>99.73999999999999</v>
      </c>
      <c r="DU465" s="2" t="n">
        <v>0</v>
      </c>
      <c r="DV465" s="2" t="n">
        <v>100</v>
      </c>
      <c r="DW465" s="2" t="n">
        <v>100</v>
      </c>
      <c r="DX465" s="2" t="n">
        <v>0</v>
      </c>
      <c r="DY465" s="2" t="n">
        <v>100</v>
      </c>
      <c r="DZ465" s="2" t="n">
        <v>100</v>
      </c>
      <c r="EA465" s="2" t="n">
        <v>0</v>
      </c>
      <c r="EB465" s="2" t="n">
        <v>100</v>
      </c>
      <c r="EC465" s="2" t="n">
        <v>100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</row>
    <row r="466">
      <c r="A466" s="2" t="n">
        <v>3</v>
      </c>
      <c r="B466" s="2" t="inlineStr">
        <is>
          <t>19.09.04</t>
        </is>
      </c>
      <c r="C466" s="2" t="inlineStr">
        <is>
          <t>Impermabilização de ralos</t>
        </is>
      </c>
      <c r="D466" s="2" t="inlineStr">
        <is>
          <t>11/08/2027</t>
        </is>
      </c>
      <c r="E466" s="2" t="inlineStr">
        <is>
          <t>01/09/2028</t>
        </is>
      </c>
      <c r="F466" s="2" t="n">
        <v>907.1489637092515</v>
      </c>
      <c r="G466" s="2" t="n">
        <v>0</v>
      </c>
      <c r="H466" s="2" t="n">
        <v>907.1489637092515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2.65</v>
      </c>
      <c r="CJ466" s="2" t="n">
        <v>3.97</v>
      </c>
      <c r="CK466" s="2" t="n">
        <v>0</v>
      </c>
      <c r="CL466" s="2" t="n">
        <v>8.199999999999999</v>
      </c>
      <c r="CM466" s="2" t="n">
        <v>9.52</v>
      </c>
      <c r="CN466" s="2" t="n">
        <v>0</v>
      </c>
      <c r="CO466" s="2" t="n">
        <v>13.49</v>
      </c>
      <c r="CP466" s="2" t="n">
        <v>17.2</v>
      </c>
      <c r="CQ466" s="2" t="n">
        <v>0</v>
      </c>
      <c r="CR466" s="2" t="n">
        <v>23.54</v>
      </c>
      <c r="CS466" s="2" t="n">
        <v>24.87</v>
      </c>
      <c r="CT466" s="2" t="n">
        <v>0</v>
      </c>
      <c r="CU466" s="2" t="n">
        <v>27.78</v>
      </c>
      <c r="CV466" s="2" t="n">
        <v>30.53</v>
      </c>
      <c r="CW466" s="2" t="n">
        <v>0</v>
      </c>
      <c r="CX466" s="2" t="n">
        <v>35</v>
      </c>
      <c r="CY466" s="2" t="n">
        <v>37.04</v>
      </c>
      <c r="CZ466" s="2" t="n">
        <v>0</v>
      </c>
      <c r="DA466" s="2" t="n">
        <v>41.27</v>
      </c>
      <c r="DB466" s="2" t="n">
        <v>43.54</v>
      </c>
      <c r="DC466" s="2" t="n">
        <v>0</v>
      </c>
      <c r="DD466" s="2" t="n">
        <v>54.32</v>
      </c>
      <c r="DE466" s="2" t="n">
        <v>56.56</v>
      </c>
      <c r="DF466" s="2" t="n">
        <v>0</v>
      </c>
      <c r="DG466" s="2" t="n">
        <v>63.54</v>
      </c>
      <c r="DH466" s="2" t="n">
        <v>65.38</v>
      </c>
      <c r="DI466" s="2" t="n">
        <v>0</v>
      </c>
      <c r="DJ466" s="2" t="n">
        <v>72.54000000000001</v>
      </c>
      <c r="DK466" s="2" t="n">
        <v>81.36</v>
      </c>
      <c r="DL466" s="2" t="n">
        <v>0</v>
      </c>
      <c r="DM466" s="2" t="n">
        <v>86.23999999999999</v>
      </c>
      <c r="DN466" s="2" t="n">
        <v>94.76000000000001</v>
      </c>
      <c r="DO466" s="2" t="n">
        <v>0</v>
      </c>
      <c r="DP466" s="2" t="n">
        <v>97.45999999999999</v>
      </c>
      <c r="DQ466" s="2" t="n">
        <v>97.62</v>
      </c>
      <c r="DR466" s="2" t="n">
        <v>0</v>
      </c>
      <c r="DS466" s="2" t="n">
        <v>98.41</v>
      </c>
      <c r="DT466" s="2" t="n">
        <v>99.73999999999999</v>
      </c>
      <c r="DU466" s="2" t="n">
        <v>0</v>
      </c>
      <c r="DV466" s="2" t="n">
        <v>100</v>
      </c>
      <c r="DW466" s="2" t="n">
        <v>100</v>
      </c>
      <c r="DX466" s="2" t="n">
        <v>0</v>
      </c>
      <c r="DY466" s="2" t="n">
        <v>100</v>
      </c>
      <c r="DZ466" s="2" t="n">
        <v>100</v>
      </c>
      <c r="EA466" s="2" t="n">
        <v>0</v>
      </c>
      <c r="EB466" s="2" t="n">
        <v>100</v>
      </c>
      <c r="EC466" s="2" t="n">
        <v>100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</row>
    <row r="467">
      <c r="A467" s="2" t="n">
        <v>2</v>
      </c>
      <c r="B467" s="2" t="inlineStr">
        <is>
          <t>19.10</t>
        </is>
      </c>
      <c r="C467" s="2" t="inlineStr">
        <is>
          <t>Tratamento do concreto com aditivo cristalizante integral adicionado ao traço do concreto com consumo de 0,8% a 1% sobre a massa do cimento. Recomendável o uso de rastreador de aditivo para controle e fiscalização com relação ao uso, com uso, consumo/ porcetagem e dispersão do produto. * O aditivo é adotado como proteção auxiliar para colmatação dos poros do concreto e melhoria na redução da absorção de água; Não resiste à fissuração estrutural. * Nas juntas de concretagem, adotar fita hidroexpansiva para vedação (Lajes x cortinas, cortinas x cortinas, lajes x pilares, lajes x lajes, dentre outros)</t>
        </is>
      </c>
      <c r="D467" s="2" t="inlineStr">
        <is>
          <t>11/08/2027</t>
        </is>
      </c>
      <c r="E467" s="2" t="inlineStr">
        <is>
          <t>01/09/2028</t>
        </is>
      </c>
      <c r="F467" s="2" t="n">
        <v>228751.371</v>
      </c>
      <c r="G467" s="2" t="n">
        <v>0</v>
      </c>
      <c r="H467" s="2" t="n">
        <v>228751.371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2.65</v>
      </c>
      <c r="CJ467" s="2" t="n">
        <v>3.97</v>
      </c>
      <c r="CK467" s="2" t="n">
        <v>0</v>
      </c>
      <c r="CL467" s="2" t="n">
        <v>8.199999999999999</v>
      </c>
      <c r="CM467" s="2" t="n">
        <v>9.52</v>
      </c>
      <c r="CN467" s="2" t="n">
        <v>0</v>
      </c>
      <c r="CO467" s="2" t="n">
        <v>13.49</v>
      </c>
      <c r="CP467" s="2" t="n">
        <v>17.2</v>
      </c>
      <c r="CQ467" s="2" t="n">
        <v>0</v>
      </c>
      <c r="CR467" s="2" t="n">
        <v>23.54</v>
      </c>
      <c r="CS467" s="2" t="n">
        <v>24.87</v>
      </c>
      <c r="CT467" s="2" t="n">
        <v>0</v>
      </c>
      <c r="CU467" s="2" t="n">
        <v>27.78</v>
      </c>
      <c r="CV467" s="2" t="n">
        <v>30.53</v>
      </c>
      <c r="CW467" s="2" t="n">
        <v>0</v>
      </c>
      <c r="CX467" s="2" t="n">
        <v>35</v>
      </c>
      <c r="CY467" s="2" t="n">
        <v>37.04</v>
      </c>
      <c r="CZ467" s="2" t="n">
        <v>0</v>
      </c>
      <c r="DA467" s="2" t="n">
        <v>41.27</v>
      </c>
      <c r="DB467" s="2" t="n">
        <v>43.54</v>
      </c>
      <c r="DC467" s="2" t="n">
        <v>0</v>
      </c>
      <c r="DD467" s="2" t="n">
        <v>54.32</v>
      </c>
      <c r="DE467" s="2" t="n">
        <v>56.56</v>
      </c>
      <c r="DF467" s="2" t="n">
        <v>0</v>
      </c>
      <c r="DG467" s="2" t="n">
        <v>63.54</v>
      </c>
      <c r="DH467" s="2" t="n">
        <v>65.38</v>
      </c>
      <c r="DI467" s="2" t="n">
        <v>0</v>
      </c>
      <c r="DJ467" s="2" t="n">
        <v>72.54000000000001</v>
      </c>
      <c r="DK467" s="2" t="n">
        <v>81.36</v>
      </c>
      <c r="DL467" s="2" t="n">
        <v>0</v>
      </c>
      <c r="DM467" s="2" t="n">
        <v>86.23999999999999</v>
      </c>
      <c r="DN467" s="2" t="n">
        <v>94.76000000000001</v>
      </c>
      <c r="DO467" s="2" t="n">
        <v>0</v>
      </c>
      <c r="DP467" s="2" t="n">
        <v>97.45999999999999</v>
      </c>
      <c r="DQ467" s="2" t="n">
        <v>97.62</v>
      </c>
      <c r="DR467" s="2" t="n">
        <v>0</v>
      </c>
      <c r="DS467" s="2" t="n">
        <v>98.41</v>
      </c>
      <c r="DT467" s="2" t="n">
        <v>99.73999999999999</v>
      </c>
      <c r="DU467" s="2" t="n">
        <v>0</v>
      </c>
      <c r="DV467" s="2" t="n">
        <v>100</v>
      </c>
      <c r="DW467" s="2" t="n">
        <v>100</v>
      </c>
      <c r="DX467" s="2" t="n">
        <v>0</v>
      </c>
      <c r="DY467" s="2" t="n">
        <v>100</v>
      </c>
      <c r="DZ467" s="2" t="n">
        <v>100</v>
      </c>
      <c r="EA467" s="2" t="n">
        <v>0</v>
      </c>
      <c r="EB467" s="2" t="n">
        <v>100</v>
      </c>
      <c r="EC467" s="2" t="n">
        <v>100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</row>
    <row r="468">
      <c r="A468" s="2" t="n">
        <v>3</v>
      </c>
      <c r="B468" s="2" t="inlineStr">
        <is>
          <t>19.10.01</t>
        </is>
      </c>
      <c r="C468" s="2" t="inlineStr">
        <is>
          <t>Tratamento do concreto com aditivo cristalizante integral adicionado ao traço do concreto com consumo de 0,8% a 1% sobre a massa do cimento. Recomendável o uso de rastreador de aditivo para controle e fiscalização com relação ao uso, com uso, consumo/ porcetagem e dispersão do produto. * O aditivo é adotado como proteção auxiliar para colmatação dos poros do concreto e melhoria na redução da absorção de água; Não resiste à fissuração estrutural. * Nas juntas de concretagem, adotar fita hidroexpansiva para vedação (Lajes x cortinas, cortinas x cortinas, lajes x pilares, lajes x lajes, dentre outros)</t>
        </is>
      </c>
      <c r="D468" s="2" t="inlineStr">
        <is>
          <t>11/08/2027</t>
        </is>
      </c>
      <c r="E468" s="2" t="inlineStr">
        <is>
          <t>01/09/2028</t>
        </is>
      </c>
      <c r="F468" s="2" t="n">
        <v>228751.371</v>
      </c>
      <c r="G468" s="2" t="n">
        <v>0</v>
      </c>
      <c r="H468" s="2" t="n">
        <v>228751.371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2.65</v>
      </c>
      <c r="CJ468" s="2" t="n">
        <v>3.97</v>
      </c>
      <c r="CK468" s="2" t="n">
        <v>0</v>
      </c>
      <c r="CL468" s="2" t="n">
        <v>8.199999999999999</v>
      </c>
      <c r="CM468" s="2" t="n">
        <v>9.52</v>
      </c>
      <c r="CN468" s="2" t="n">
        <v>0</v>
      </c>
      <c r="CO468" s="2" t="n">
        <v>13.49</v>
      </c>
      <c r="CP468" s="2" t="n">
        <v>17.2</v>
      </c>
      <c r="CQ468" s="2" t="n">
        <v>0</v>
      </c>
      <c r="CR468" s="2" t="n">
        <v>23.54</v>
      </c>
      <c r="CS468" s="2" t="n">
        <v>24.87</v>
      </c>
      <c r="CT468" s="2" t="n">
        <v>0</v>
      </c>
      <c r="CU468" s="2" t="n">
        <v>27.78</v>
      </c>
      <c r="CV468" s="2" t="n">
        <v>30.53</v>
      </c>
      <c r="CW468" s="2" t="n">
        <v>0</v>
      </c>
      <c r="CX468" s="2" t="n">
        <v>35</v>
      </c>
      <c r="CY468" s="2" t="n">
        <v>37.04</v>
      </c>
      <c r="CZ468" s="2" t="n">
        <v>0</v>
      </c>
      <c r="DA468" s="2" t="n">
        <v>41.27</v>
      </c>
      <c r="DB468" s="2" t="n">
        <v>43.54</v>
      </c>
      <c r="DC468" s="2" t="n">
        <v>0</v>
      </c>
      <c r="DD468" s="2" t="n">
        <v>54.32</v>
      </c>
      <c r="DE468" s="2" t="n">
        <v>56.56</v>
      </c>
      <c r="DF468" s="2" t="n">
        <v>0</v>
      </c>
      <c r="DG468" s="2" t="n">
        <v>63.54</v>
      </c>
      <c r="DH468" s="2" t="n">
        <v>65.38</v>
      </c>
      <c r="DI468" s="2" t="n">
        <v>0</v>
      </c>
      <c r="DJ468" s="2" t="n">
        <v>72.54000000000001</v>
      </c>
      <c r="DK468" s="2" t="n">
        <v>81.36</v>
      </c>
      <c r="DL468" s="2" t="n">
        <v>0</v>
      </c>
      <c r="DM468" s="2" t="n">
        <v>86.23999999999999</v>
      </c>
      <c r="DN468" s="2" t="n">
        <v>94.76000000000001</v>
      </c>
      <c r="DO468" s="2" t="n">
        <v>0</v>
      </c>
      <c r="DP468" s="2" t="n">
        <v>97.45999999999999</v>
      </c>
      <c r="DQ468" s="2" t="n">
        <v>97.62</v>
      </c>
      <c r="DR468" s="2" t="n">
        <v>0</v>
      </c>
      <c r="DS468" s="2" t="n">
        <v>98.41</v>
      </c>
      <c r="DT468" s="2" t="n">
        <v>99.73999999999999</v>
      </c>
      <c r="DU468" s="2" t="n">
        <v>0</v>
      </c>
      <c r="DV468" s="2" t="n">
        <v>100</v>
      </c>
      <c r="DW468" s="2" t="n">
        <v>100</v>
      </c>
      <c r="DX468" s="2" t="n">
        <v>0</v>
      </c>
      <c r="DY468" s="2" t="n">
        <v>100</v>
      </c>
      <c r="DZ468" s="2" t="n">
        <v>100</v>
      </c>
      <c r="EA468" s="2" t="n">
        <v>0</v>
      </c>
      <c r="EB468" s="2" t="n">
        <v>100</v>
      </c>
      <c r="EC468" s="2" t="n">
        <v>100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</row>
    <row r="469">
      <c r="A469" s="2" t="n">
        <v>2</v>
      </c>
      <c r="B469" s="2" t="inlineStr">
        <is>
          <t>19.11</t>
        </is>
      </c>
      <c r="C469" s="2" t="inlineStr">
        <is>
          <t>Opção 01 (VUP 22 anos) Regularização do concreto com argamassa aditivada de fibras de polipropileno (Consumo 100g por saco de cimento) com acabamento desempenado e feltrada. Posteriormente, impermeabilização com dupla manta asfáltica tipo III, 3mm + 4mm de espessura, classe B acabamento AA, ambas coldas com asfalto oxidado a quente com consumo de 3,0kg/m2. Sobre manta, camada de transição com geotêxtil 200g/m2 e Proteção mecânica armada estruturada com tela galvanizada fio 22 malha 1" (Ancoradas em barras de aço e pinos de aço chumbados no concreto. Sobre proteção mecânica, Tratamento intiflorescência com argamassa flexível 3,0kg/m2)</t>
        </is>
      </c>
      <c r="D469" s="2" t="inlineStr">
        <is>
          <t>11/08/2027</t>
        </is>
      </c>
      <c r="E469" s="2" t="inlineStr">
        <is>
          <t>01/09/2028</t>
        </is>
      </c>
      <c r="F469" s="2" t="n">
        <v>85469.05563757382</v>
      </c>
      <c r="G469" s="2" t="n">
        <v>0</v>
      </c>
      <c r="H469" s="2" t="n">
        <v>85469.05563757382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2.65</v>
      </c>
      <c r="CJ469" s="2" t="n">
        <v>3.97</v>
      </c>
      <c r="CK469" s="2" t="n">
        <v>0</v>
      </c>
      <c r="CL469" s="2" t="n">
        <v>8.199999999999999</v>
      </c>
      <c r="CM469" s="2" t="n">
        <v>9.52</v>
      </c>
      <c r="CN469" s="2" t="n">
        <v>0</v>
      </c>
      <c r="CO469" s="2" t="n">
        <v>13.49</v>
      </c>
      <c r="CP469" s="2" t="n">
        <v>17.2</v>
      </c>
      <c r="CQ469" s="2" t="n">
        <v>0</v>
      </c>
      <c r="CR469" s="2" t="n">
        <v>23.54</v>
      </c>
      <c r="CS469" s="2" t="n">
        <v>24.87</v>
      </c>
      <c r="CT469" s="2" t="n">
        <v>0</v>
      </c>
      <c r="CU469" s="2" t="n">
        <v>27.78</v>
      </c>
      <c r="CV469" s="2" t="n">
        <v>30.53</v>
      </c>
      <c r="CW469" s="2" t="n">
        <v>0</v>
      </c>
      <c r="CX469" s="2" t="n">
        <v>35</v>
      </c>
      <c r="CY469" s="2" t="n">
        <v>37.04</v>
      </c>
      <c r="CZ469" s="2" t="n">
        <v>0</v>
      </c>
      <c r="DA469" s="2" t="n">
        <v>41.27</v>
      </c>
      <c r="DB469" s="2" t="n">
        <v>43.54</v>
      </c>
      <c r="DC469" s="2" t="n">
        <v>0</v>
      </c>
      <c r="DD469" s="2" t="n">
        <v>54.32</v>
      </c>
      <c r="DE469" s="2" t="n">
        <v>56.56</v>
      </c>
      <c r="DF469" s="2" t="n">
        <v>0</v>
      </c>
      <c r="DG469" s="2" t="n">
        <v>63.54</v>
      </c>
      <c r="DH469" s="2" t="n">
        <v>65.38</v>
      </c>
      <c r="DI469" s="2" t="n">
        <v>0</v>
      </c>
      <c r="DJ469" s="2" t="n">
        <v>72.54000000000001</v>
      </c>
      <c r="DK469" s="2" t="n">
        <v>81.36</v>
      </c>
      <c r="DL469" s="2" t="n">
        <v>0</v>
      </c>
      <c r="DM469" s="2" t="n">
        <v>86.23999999999999</v>
      </c>
      <c r="DN469" s="2" t="n">
        <v>94.76000000000001</v>
      </c>
      <c r="DO469" s="2" t="n">
        <v>0</v>
      </c>
      <c r="DP469" s="2" t="n">
        <v>97.45999999999999</v>
      </c>
      <c r="DQ469" s="2" t="n">
        <v>97.62</v>
      </c>
      <c r="DR469" s="2" t="n">
        <v>0</v>
      </c>
      <c r="DS469" s="2" t="n">
        <v>98.41</v>
      </c>
      <c r="DT469" s="2" t="n">
        <v>99.73999999999999</v>
      </c>
      <c r="DU469" s="2" t="n">
        <v>0</v>
      </c>
      <c r="DV469" s="2" t="n">
        <v>100</v>
      </c>
      <c r="DW469" s="2" t="n">
        <v>100</v>
      </c>
      <c r="DX469" s="2" t="n">
        <v>0</v>
      </c>
      <c r="DY469" s="2" t="n">
        <v>100</v>
      </c>
      <c r="DZ469" s="2" t="n">
        <v>100</v>
      </c>
      <c r="EA469" s="2" t="n">
        <v>0</v>
      </c>
      <c r="EB469" s="2" t="n">
        <v>100</v>
      </c>
      <c r="EC469" s="2" t="n">
        <v>100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</row>
    <row r="470">
      <c r="A470" s="2" t="n">
        <v>3</v>
      </c>
      <c r="B470" s="2" t="inlineStr">
        <is>
          <t>19.11.01</t>
        </is>
      </c>
      <c r="C470" s="2" t="inlineStr">
        <is>
          <t>Camada de regularização com argamassa de cimento e areia</t>
        </is>
      </c>
      <c r="D470" s="2" t="inlineStr">
        <is>
          <t>11/08/2027</t>
        </is>
      </c>
      <c r="E470" s="2" t="inlineStr">
        <is>
          <t>01/09/2028</t>
        </is>
      </c>
      <c r="F470" s="2" t="n">
        <v>8408.555538386447</v>
      </c>
      <c r="G470" s="2" t="n">
        <v>0</v>
      </c>
      <c r="H470" s="2" t="n">
        <v>8408.555538386447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2.65</v>
      </c>
      <c r="CJ470" s="2" t="n">
        <v>3.97</v>
      </c>
      <c r="CK470" s="2" t="n">
        <v>0</v>
      </c>
      <c r="CL470" s="2" t="n">
        <v>8.199999999999999</v>
      </c>
      <c r="CM470" s="2" t="n">
        <v>9.52</v>
      </c>
      <c r="CN470" s="2" t="n">
        <v>0</v>
      </c>
      <c r="CO470" s="2" t="n">
        <v>13.49</v>
      </c>
      <c r="CP470" s="2" t="n">
        <v>17.2</v>
      </c>
      <c r="CQ470" s="2" t="n">
        <v>0</v>
      </c>
      <c r="CR470" s="2" t="n">
        <v>23.54</v>
      </c>
      <c r="CS470" s="2" t="n">
        <v>24.87</v>
      </c>
      <c r="CT470" s="2" t="n">
        <v>0</v>
      </c>
      <c r="CU470" s="2" t="n">
        <v>27.78</v>
      </c>
      <c r="CV470" s="2" t="n">
        <v>30.53</v>
      </c>
      <c r="CW470" s="2" t="n">
        <v>0</v>
      </c>
      <c r="CX470" s="2" t="n">
        <v>35</v>
      </c>
      <c r="CY470" s="2" t="n">
        <v>37.04</v>
      </c>
      <c r="CZ470" s="2" t="n">
        <v>0</v>
      </c>
      <c r="DA470" s="2" t="n">
        <v>41.27</v>
      </c>
      <c r="DB470" s="2" t="n">
        <v>43.54</v>
      </c>
      <c r="DC470" s="2" t="n">
        <v>0</v>
      </c>
      <c r="DD470" s="2" t="n">
        <v>54.32</v>
      </c>
      <c r="DE470" s="2" t="n">
        <v>56.56</v>
      </c>
      <c r="DF470" s="2" t="n">
        <v>0</v>
      </c>
      <c r="DG470" s="2" t="n">
        <v>63.54</v>
      </c>
      <c r="DH470" s="2" t="n">
        <v>65.38</v>
      </c>
      <c r="DI470" s="2" t="n">
        <v>0</v>
      </c>
      <c r="DJ470" s="2" t="n">
        <v>72.54000000000001</v>
      </c>
      <c r="DK470" s="2" t="n">
        <v>81.36</v>
      </c>
      <c r="DL470" s="2" t="n">
        <v>0</v>
      </c>
      <c r="DM470" s="2" t="n">
        <v>86.23999999999999</v>
      </c>
      <c r="DN470" s="2" t="n">
        <v>94.76000000000001</v>
      </c>
      <c r="DO470" s="2" t="n">
        <v>0</v>
      </c>
      <c r="DP470" s="2" t="n">
        <v>97.45999999999999</v>
      </c>
      <c r="DQ470" s="2" t="n">
        <v>97.62</v>
      </c>
      <c r="DR470" s="2" t="n">
        <v>0</v>
      </c>
      <c r="DS470" s="2" t="n">
        <v>98.41</v>
      </c>
      <c r="DT470" s="2" t="n">
        <v>99.73999999999999</v>
      </c>
      <c r="DU470" s="2" t="n">
        <v>0</v>
      </c>
      <c r="DV470" s="2" t="n">
        <v>100</v>
      </c>
      <c r="DW470" s="2" t="n">
        <v>100</v>
      </c>
      <c r="DX470" s="2" t="n">
        <v>0</v>
      </c>
      <c r="DY470" s="2" t="n">
        <v>100</v>
      </c>
      <c r="DZ470" s="2" t="n">
        <v>100</v>
      </c>
      <c r="EA470" s="2" t="n">
        <v>0</v>
      </c>
      <c r="EB470" s="2" t="n">
        <v>100</v>
      </c>
      <c r="EC470" s="2" t="n">
        <v>100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</row>
    <row r="471">
      <c r="A471" s="2" t="n">
        <v>3</v>
      </c>
      <c r="B471" s="2" t="inlineStr">
        <is>
          <t>19.11.02</t>
        </is>
      </c>
      <c r="C471" s="2" t="inlineStr">
        <is>
          <t>Proteção mecânica armada estruturada com tela galvanizada fio 22 malha de 1" (Ancoradas em barra de aço e pinos de aço chumbados no concreto)</t>
        </is>
      </c>
      <c r="D471" s="2" t="inlineStr">
        <is>
          <t>11/08/2027</t>
        </is>
      </c>
      <c r="E471" s="2" t="inlineStr">
        <is>
          <t>01/09/2028</t>
        </is>
      </c>
      <c r="F471" s="2" t="n">
        <v>14188.74536856624</v>
      </c>
      <c r="G471" s="2" t="n">
        <v>0</v>
      </c>
      <c r="H471" s="2" t="n">
        <v>14188.74536856624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2.65</v>
      </c>
      <c r="CJ471" s="2" t="n">
        <v>3.97</v>
      </c>
      <c r="CK471" s="2" t="n">
        <v>0</v>
      </c>
      <c r="CL471" s="2" t="n">
        <v>8.199999999999999</v>
      </c>
      <c r="CM471" s="2" t="n">
        <v>9.52</v>
      </c>
      <c r="CN471" s="2" t="n">
        <v>0</v>
      </c>
      <c r="CO471" s="2" t="n">
        <v>13.49</v>
      </c>
      <c r="CP471" s="2" t="n">
        <v>17.2</v>
      </c>
      <c r="CQ471" s="2" t="n">
        <v>0</v>
      </c>
      <c r="CR471" s="2" t="n">
        <v>23.54</v>
      </c>
      <c r="CS471" s="2" t="n">
        <v>24.87</v>
      </c>
      <c r="CT471" s="2" t="n">
        <v>0</v>
      </c>
      <c r="CU471" s="2" t="n">
        <v>27.78</v>
      </c>
      <c r="CV471" s="2" t="n">
        <v>30.53</v>
      </c>
      <c r="CW471" s="2" t="n">
        <v>0</v>
      </c>
      <c r="CX471" s="2" t="n">
        <v>35</v>
      </c>
      <c r="CY471" s="2" t="n">
        <v>37.04</v>
      </c>
      <c r="CZ471" s="2" t="n">
        <v>0</v>
      </c>
      <c r="DA471" s="2" t="n">
        <v>41.27</v>
      </c>
      <c r="DB471" s="2" t="n">
        <v>43.54</v>
      </c>
      <c r="DC471" s="2" t="n">
        <v>0</v>
      </c>
      <c r="DD471" s="2" t="n">
        <v>54.32</v>
      </c>
      <c r="DE471" s="2" t="n">
        <v>56.56</v>
      </c>
      <c r="DF471" s="2" t="n">
        <v>0</v>
      </c>
      <c r="DG471" s="2" t="n">
        <v>63.54</v>
      </c>
      <c r="DH471" s="2" t="n">
        <v>65.38</v>
      </c>
      <c r="DI471" s="2" t="n">
        <v>0</v>
      </c>
      <c r="DJ471" s="2" t="n">
        <v>72.54000000000001</v>
      </c>
      <c r="DK471" s="2" t="n">
        <v>81.36</v>
      </c>
      <c r="DL471" s="2" t="n">
        <v>0</v>
      </c>
      <c r="DM471" s="2" t="n">
        <v>86.23999999999999</v>
      </c>
      <c r="DN471" s="2" t="n">
        <v>94.76000000000001</v>
      </c>
      <c r="DO471" s="2" t="n">
        <v>0</v>
      </c>
      <c r="DP471" s="2" t="n">
        <v>97.45999999999999</v>
      </c>
      <c r="DQ471" s="2" t="n">
        <v>97.62</v>
      </c>
      <c r="DR471" s="2" t="n">
        <v>0</v>
      </c>
      <c r="DS471" s="2" t="n">
        <v>98.41</v>
      </c>
      <c r="DT471" s="2" t="n">
        <v>99.73999999999999</v>
      </c>
      <c r="DU471" s="2" t="n">
        <v>0</v>
      </c>
      <c r="DV471" s="2" t="n">
        <v>100</v>
      </c>
      <c r="DW471" s="2" t="n">
        <v>100</v>
      </c>
      <c r="DX471" s="2" t="n">
        <v>0</v>
      </c>
      <c r="DY471" s="2" t="n">
        <v>100</v>
      </c>
      <c r="DZ471" s="2" t="n">
        <v>100</v>
      </c>
      <c r="EA471" s="2" t="n">
        <v>0</v>
      </c>
      <c r="EB471" s="2" t="n">
        <v>100</v>
      </c>
      <c r="EC471" s="2" t="n">
        <v>100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</row>
    <row r="472">
      <c r="A472" s="2" t="n">
        <v>3</v>
      </c>
      <c r="B472" s="2" t="inlineStr">
        <is>
          <t>19.11.03</t>
        </is>
      </c>
      <c r="C472" s="2" t="inlineStr">
        <is>
          <t>Camada de transição geotêxtil 200g/m2</t>
        </is>
      </c>
      <c r="D472" s="2" t="inlineStr">
        <is>
          <t>11/08/2027</t>
        </is>
      </c>
      <c r="E472" s="2" t="inlineStr">
        <is>
          <t>01/09/2028</t>
        </is>
      </c>
      <c r="F472" s="2" t="n">
        <v>769.37175</v>
      </c>
      <c r="G472" s="2" t="n">
        <v>0</v>
      </c>
      <c r="H472" s="2" t="n">
        <v>769.37175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2.65</v>
      </c>
      <c r="CJ472" s="2" t="n">
        <v>3.97</v>
      </c>
      <c r="CK472" s="2" t="n">
        <v>0</v>
      </c>
      <c r="CL472" s="2" t="n">
        <v>8.199999999999999</v>
      </c>
      <c r="CM472" s="2" t="n">
        <v>9.52</v>
      </c>
      <c r="CN472" s="2" t="n">
        <v>0</v>
      </c>
      <c r="CO472" s="2" t="n">
        <v>13.49</v>
      </c>
      <c r="CP472" s="2" t="n">
        <v>17.2</v>
      </c>
      <c r="CQ472" s="2" t="n">
        <v>0</v>
      </c>
      <c r="CR472" s="2" t="n">
        <v>23.54</v>
      </c>
      <c r="CS472" s="2" t="n">
        <v>24.87</v>
      </c>
      <c r="CT472" s="2" t="n">
        <v>0</v>
      </c>
      <c r="CU472" s="2" t="n">
        <v>27.78</v>
      </c>
      <c r="CV472" s="2" t="n">
        <v>30.53</v>
      </c>
      <c r="CW472" s="2" t="n">
        <v>0</v>
      </c>
      <c r="CX472" s="2" t="n">
        <v>35</v>
      </c>
      <c r="CY472" s="2" t="n">
        <v>37.04</v>
      </c>
      <c r="CZ472" s="2" t="n">
        <v>0</v>
      </c>
      <c r="DA472" s="2" t="n">
        <v>41.27</v>
      </c>
      <c r="DB472" s="2" t="n">
        <v>43.54</v>
      </c>
      <c r="DC472" s="2" t="n">
        <v>0</v>
      </c>
      <c r="DD472" s="2" t="n">
        <v>54.32</v>
      </c>
      <c r="DE472" s="2" t="n">
        <v>56.56</v>
      </c>
      <c r="DF472" s="2" t="n">
        <v>0</v>
      </c>
      <c r="DG472" s="2" t="n">
        <v>63.54</v>
      </c>
      <c r="DH472" s="2" t="n">
        <v>65.38</v>
      </c>
      <c r="DI472" s="2" t="n">
        <v>0</v>
      </c>
      <c r="DJ472" s="2" t="n">
        <v>72.54000000000001</v>
      </c>
      <c r="DK472" s="2" t="n">
        <v>81.36</v>
      </c>
      <c r="DL472" s="2" t="n">
        <v>0</v>
      </c>
      <c r="DM472" s="2" t="n">
        <v>86.23999999999999</v>
      </c>
      <c r="DN472" s="2" t="n">
        <v>94.76000000000001</v>
      </c>
      <c r="DO472" s="2" t="n">
        <v>0</v>
      </c>
      <c r="DP472" s="2" t="n">
        <v>97.45999999999999</v>
      </c>
      <c r="DQ472" s="2" t="n">
        <v>97.62</v>
      </c>
      <c r="DR472" s="2" t="n">
        <v>0</v>
      </c>
      <c r="DS472" s="2" t="n">
        <v>98.41</v>
      </c>
      <c r="DT472" s="2" t="n">
        <v>99.73999999999999</v>
      </c>
      <c r="DU472" s="2" t="n">
        <v>0</v>
      </c>
      <c r="DV472" s="2" t="n">
        <v>100</v>
      </c>
      <c r="DW472" s="2" t="n">
        <v>100</v>
      </c>
      <c r="DX472" s="2" t="n">
        <v>0</v>
      </c>
      <c r="DY472" s="2" t="n">
        <v>100</v>
      </c>
      <c r="DZ472" s="2" t="n">
        <v>100</v>
      </c>
      <c r="EA472" s="2" t="n">
        <v>0</v>
      </c>
      <c r="EB472" s="2" t="n">
        <v>100</v>
      </c>
      <c r="EC472" s="2" t="n">
        <v>100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</row>
    <row r="473">
      <c r="A473" s="2" t="n">
        <v>3</v>
      </c>
      <c r="B473" s="2" t="inlineStr">
        <is>
          <t>19.11.04</t>
        </is>
      </c>
      <c r="C473" s="2" t="inlineStr">
        <is>
          <t>Cantoneira de alumínio/ Galvanizada 2x2 fixada com parafuso e bucha S6 a cada 30cm</t>
        </is>
      </c>
      <c r="D473" s="2" t="inlineStr">
        <is>
          <t>11/08/2027</t>
        </is>
      </c>
      <c r="E473" s="2" t="inlineStr">
        <is>
          <t>01/09/2028</t>
        </is>
      </c>
      <c r="F473" s="2" t="n">
        <v>8413.584375</v>
      </c>
      <c r="G473" s="2" t="n">
        <v>0</v>
      </c>
      <c r="H473" s="2" t="n">
        <v>8413.584375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2.65</v>
      </c>
      <c r="CJ473" s="2" t="n">
        <v>3.97</v>
      </c>
      <c r="CK473" s="2" t="n">
        <v>0</v>
      </c>
      <c r="CL473" s="2" t="n">
        <v>8.199999999999999</v>
      </c>
      <c r="CM473" s="2" t="n">
        <v>9.52</v>
      </c>
      <c r="CN473" s="2" t="n">
        <v>0</v>
      </c>
      <c r="CO473" s="2" t="n">
        <v>13.49</v>
      </c>
      <c r="CP473" s="2" t="n">
        <v>17.2</v>
      </c>
      <c r="CQ473" s="2" t="n">
        <v>0</v>
      </c>
      <c r="CR473" s="2" t="n">
        <v>23.54</v>
      </c>
      <c r="CS473" s="2" t="n">
        <v>24.87</v>
      </c>
      <c r="CT473" s="2" t="n">
        <v>0</v>
      </c>
      <c r="CU473" s="2" t="n">
        <v>27.78</v>
      </c>
      <c r="CV473" s="2" t="n">
        <v>30.53</v>
      </c>
      <c r="CW473" s="2" t="n">
        <v>0</v>
      </c>
      <c r="CX473" s="2" t="n">
        <v>35</v>
      </c>
      <c r="CY473" s="2" t="n">
        <v>37.04</v>
      </c>
      <c r="CZ473" s="2" t="n">
        <v>0</v>
      </c>
      <c r="DA473" s="2" t="n">
        <v>41.27</v>
      </c>
      <c r="DB473" s="2" t="n">
        <v>43.54</v>
      </c>
      <c r="DC473" s="2" t="n">
        <v>0</v>
      </c>
      <c r="DD473" s="2" t="n">
        <v>54.32</v>
      </c>
      <c r="DE473" s="2" t="n">
        <v>56.56</v>
      </c>
      <c r="DF473" s="2" t="n">
        <v>0</v>
      </c>
      <c r="DG473" s="2" t="n">
        <v>63.54</v>
      </c>
      <c r="DH473" s="2" t="n">
        <v>65.38</v>
      </c>
      <c r="DI473" s="2" t="n">
        <v>0</v>
      </c>
      <c r="DJ473" s="2" t="n">
        <v>72.54000000000001</v>
      </c>
      <c r="DK473" s="2" t="n">
        <v>81.36</v>
      </c>
      <c r="DL473" s="2" t="n">
        <v>0</v>
      </c>
      <c r="DM473" s="2" t="n">
        <v>86.23999999999999</v>
      </c>
      <c r="DN473" s="2" t="n">
        <v>94.76000000000001</v>
      </c>
      <c r="DO473" s="2" t="n">
        <v>0</v>
      </c>
      <c r="DP473" s="2" t="n">
        <v>97.45999999999999</v>
      </c>
      <c r="DQ473" s="2" t="n">
        <v>97.62</v>
      </c>
      <c r="DR473" s="2" t="n">
        <v>0</v>
      </c>
      <c r="DS473" s="2" t="n">
        <v>98.41</v>
      </c>
      <c r="DT473" s="2" t="n">
        <v>99.73999999999999</v>
      </c>
      <c r="DU473" s="2" t="n">
        <v>0</v>
      </c>
      <c r="DV473" s="2" t="n">
        <v>100</v>
      </c>
      <c r="DW473" s="2" t="n">
        <v>100</v>
      </c>
      <c r="DX473" s="2" t="n">
        <v>0</v>
      </c>
      <c r="DY473" s="2" t="n">
        <v>100</v>
      </c>
      <c r="DZ473" s="2" t="n">
        <v>100</v>
      </c>
      <c r="EA473" s="2" t="n">
        <v>0</v>
      </c>
      <c r="EB473" s="2" t="n">
        <v>100</v>
      </c>
      <c r="EC473" s="2" t="n">
        <v>100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</row>
    <row r="474">
      <c r="A474" s="2" t="n">
        <v>3</v>
      </c>
      <c r="B474" s="2" t="inlineStr">
        <is>
          <t>19.11.05</t>
        </is>
      </c>
      <c r="C474" s="2" t="inlineStr">
        <is>
          <t>Junta perimetral e rejuntamento preenchidos com mastique de poliuretano</t>
        </is>
      </c>
      <c r="D474" s="2" t="inlineStr">
        <is>
          <t>11/08/2027</t>
        </is>
      </c>
      <c r="E474" s="2" t="inlineStr">
        <is>
          <t>01/09/2028</t>
        </is>
      </c>
      <c r="F474" s="2" t="n">
        <v>2602.246099116722</v>
      </c>
      <c r="G474" s="2" t="n">
        <v>0</v>
      </c>
      <c r="H474" s="2" t="n">
        <v>2602.246099116722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2.65</v>
      </c>
      <c r="CJ474" s="2" t="n">
        <v>3.97</v>
      </c>
      <c r="CK474" s="2" t="n">
        <v>0</v>
      </c>
      <c r="CL474" s="2" t="n">
        <v>8.199999999999999</v>
      </c>
      <c r="CM474" s="2" t="n">
        <v>9.52</v>
      </c>
      <c r="CN474" s="2" t="n">
        <v>0</v>
      </c>
      <c r="CO474" s="2" t="n">
        <v>13.49</v>
      </c>
      <c r="CP474" s="2" t="n">
        <v>17.2</v>
      </c>
      <c r="CQ474" s="2" t="n">
        <v>0</v>
      </c>
      <c r="CR474" s="2" t="n">
        <v>23.54</v>
      </c>
      <c r="CS474" s="2" t="n">
        <v>24.87</v>
      </c>
      <c r="CT474" s="2" t="n">
        <v>0</v>
      </c>
      <c r="CU474" s="2" t="n">
        <v>27.78</v>
      </c>
      <c r="CV474" s="2" t="n">
        <v>30.53</v>
      </c>
      <c r="CW474" s="2" t="n">
        <v>0</v>
      </c>
      <c r="CX474" s="2" t="n">
        <v>35</v>
      </c>
      <c r="CY474" s="2" t="n">
        <v>37.04</v>
      </c>
      <c r="CZ474" s="2" t="n">
        <v>0</v>
      </c>
      <c r="DA474" s="2" t="n">
        <v>41.27</v>
      </c>
      <c r="DB474" s="2" t="n">
        <v>43.54</v>
      </c>
      <c r="DC474" s="2" t="n">
        <v>0</v>
      </c>
      <c r="DD474" s="2" t="n">
        <v>54.32</v>
      </c>
      <c r="DE474" s="2" t="n">
        <v>56.56</v>
      </c>
      <c r="DF474" s="2" t="n">
        <v>0</v>
      </c>
      <c r="DG474" s="2" t="n">
        <v>63.54</v>
      </c>
      <c r="DH474" s="2" t="n">
        <v>65.38</v>
      </c>
      <c r="DI474" s="2" t="n">
        <v>0</v>
      </c>
      <c r="DJ474" s="2" t="n">
        <v>72.54000000000001</v>
      </c>
      <c r="DK474" s="2" t="n">
        <v>81.36</v>
      </c>
      <c r="DL474" s="2" t="n">
        <v>0</v>
      </c>
      <c r="DM474" s="2" t="n">
        <v>86.23999999999999</v>
      </c>
      <c r="DN474" s="2" t="n">
        <v>94.76000000000001</v>
      </c>
      <c r="DO474" s="2" t="n">
        <v>0</v>
      </c>
      <c r="DP474" s="2" t="n">
        <v>97.45999999999999</v>
      </c>
      <c r="DQ474" s="2" t="n">
        <v>97.62</v>
      </c>
      <c r="DR474" s="2" t="n">
        <v>0</v>
      </c>
      <c r="DS474" s="2" t="n">
        <v>98.41</v>
      </c>
      <c r="DT474" s="2" t="n">
        <v>99.73999999999999</v>
      </c>
      <c r="DU474" s="2" t="n">
        <v>0</v>
      </c>
      <c r="DV474" s="2" t="n">
        <v>100</v>
      </c>
      <c r="DW474" s="2" t="n">
        <v>100</v>
      </c>
      <c r="DX474" s="2" t="n">
        <v>0</v>
      </c>
      <c r="DY474" s="2" t="n">
        <v>100</v>
      </c>
      <c r="DZ474" s="2" t="n">
        <v>100</v>
      </c>
      <c r="EA474" s="2" t="n">
        <v>0</v>
      </c>
      <c r="EB474" s="2" t="n">
        <v>100</v>
      </c>
      <c r="EC474" s="2" t="n">
        <v>100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</row>
    <row r="475">
      <c r="A475" s="2" t="n">
        <v>3</v>
      </c>
      <c r="B475" s="2" t="inlineStr">
        <is>
          <t>19.11.06</t>
        </is>
      </c>
      <c r="C475" s="2" t="inlineStr">
        <is>
          <t>Barras de aço Ø8mm, para Ancoragem no topo da borda da piscina</t>
        </is>
      </c>
      <c r="D475" s="2" t="inlineStr">
        <is>
          <t>11/08/2027</t>
        </is>
      </c>
      <c r="E475" s="2" t="inlineStr">
        <is>
          <t>01/09/2028</t>
        </is>
      </c>
      <c r="F475" s="2" t="n">
        <v>4065.048135</v>
      </c>
      <c r="G475" s="2" t="n">
        <v>0</v>
      </c>
      <c r="H475" s="2" t="n">
        <v>4065.048135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2.65</v>
      </c>
      <c r="CJ475" s="2" t="n">
        <v>3.97</v>
      </c>
      <c r="CK475" s="2" t="n">
        <v>0</v>
      </c>
      <c r="CL475" s="2" t="n">
        <v>8.199999999999999</v>
      </c>
      <c r="CM475" s="2" t="n">
        <v>9.52</v>
      </c>
      <c r="CN475" s="2" t="n">
        <v>0</v>
      </c>
      <c r="CO475" s="2" t="n">
        <v>13.49</v>
      </c>
      <c r="CP475" s="2" t="n">
        <v>17.2</v>
      </c>
      <c r="CQ475" s="2" t="n">
        <v>0</v>
      </c>
      <c r="CR475" s="2" t="n">
        <v>23.54</v>
      </c>
      <c r="CS475" s="2" t="n">
        <v>24.87</v>
      </c>
      <c r="CT475" s="2" t="n">
        <v>0</v>
      </c>
      <c r="CU475" s="2" t="n">
        <v>27.78</v>
      </c>
      <c r="CV475" s="2" t="n">
        <v>30.53</v>
      </c>
      <c r="CW475" s="2" t="n">
        <v>0</v>
      </c>
      <c r="CX475" s="2" t="n">
        <v>35</v>
      </c>
      <c r="CY475" s="2" t="n">
        <v>37.04</v>
      </c>
      <c r="CZ475" s="2" t="n">
        <v>0</v>
      </c>
      <c r="DA475" s="2" t="n">
        <v>41.27</v>
      </c>
      <c r="DB475" s="2" t="n">
        <v>43.54</v>
      </c>
      <c r="DC475" s="2" t="n">
        <v>0</v>
      </c>
      <c r="DD475" s="2" t="n">
        <v>54.32</v>
      </c>
      <c r="DE475" s="2" t="n">
        <v>56.56</v>
      </c>
      <c r="DF475" s="2" t="n">
        <v>0</v>
      </c>
      <c r="DG475" s="2" t="n">
        <v>63.54</v>
      </c>
      <c r="DH475" s="2" t="n">
        <v>65.38</v>
      </c>
      <c r="DI475" s="2" t="n">
        <v>0</v>
      </c>
      <c r="DJ475" s="2" t="n">
        <v>72.54000000000001</v>
      </c>
      <c r="DK475" s="2" t="n">
        <v>81.36</v>
      </c>
      <c r="DL475" s="2" t="n">
        <v>0</v>
      </c>
      <c r="DM475" s="2" t="n">
        <v>86.23999999999999</v>
      </c>
      <c r="DN475" s="2" t="n">
        <v>94.76000000000001</v>
      </c>
      <c r="DO475" s="2" t="n">
        <v>0</v>
      </c>
      <c r="DP475" s="2" t="n">
        <v>97.45999999999999</v>
      </c>
      <c r="DQ475" s="2" t="n">
        <v>97.62</v>
      </c>
      <c r="DR475" s="2" t="n">
        <v>0</v>
      </c>
      <c r="DS475" s="2" t="n">
        <v>98.41</v>
      </c>
      <c r="DT475" s="2" t="n">
        <v>99.73999999999999</v>
      </c>
      <c r="DU475" s="2" t="n">
        <v>0</v>
      </c>
      <c r="DV475" s="2" t="n">
        <v>100</v>
      </c>
      <c r="DW475" s="2" t="n">
        <v>100</v>
      </c>
      <c r="DX475" s="2" t="n">
        <v>0</v>
      </c>
      <c r="DY475" s="2" t="n">
        <v>100</v>
      </c>
      <c r="DZ475" s="2" t="n">
        <v>100</v>
      </c>
      <c r="EA475" s="2" t="n">
        <v>0</v>
      </c>
      <c r="EB475" s="2" t="n">
        <v>100</v>
      </c>
      <c r="EC475" s="2" t="n">
        <v>100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</row>
    <row r="476">
      <c r="A476" s="2" t="n">
        <v>3</v>
      </c>
      <c r="B476" s="2" t="inlineStr">
        <is>
          <t>19.11.07</t>
        </is>
      </c>
      <c r="C476" s="2" t="inlineStr">
        <is>
          <t>Piscina adulto| infantil e prainha</t>
        </is>
      </c>
      <c r="D476" s="2" t="inlineStr">
        <is>
          <t>11/08/2027</t>
        </is>
      </c>
      <c r="E476" s="2" t="inlineStr">
        <is>
          <t>01/09/2028</t>
        </is>
      </c>
      <c r="F476" s="2" t="n">
        <v>46589.5286745</v>
      </c>
      <c r="G476" s="2" t="n">
        <v>0</v>
      </c>
      <c r="H476" s="2" t="n">
        <v>46589.5286745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2.65</v>
      </c>
      <c r="CJ476" s="2" t="n">
        <v>3.97</v>
      </c>
      <c r="CK476" s="2" t="n">
        <v>0</v>
      </c>
      <c r="CL476" s="2" t="n">
        <v>8.199999999999999</v>
      </c>
      <c r="CM476" s="2" t="n">
        <v>9.52</v>
      </c>
      <c r="CN476" s="2" t="n">
        <v>0</v>
      </c>
      <c r="CO476" s="2" t="n">
        <v>13.49</v>
      </c>
      <c r="CP476" s="2" t="n">
        <v>17.2</v>
      </c>
      <c r="CQ476" s="2" t="n">
        <v>0</v>
      </c>
      <c r="CR476" s="2" t="n">
        <v>23.54</v>
      </c>
      <c r="CS476" s="2" t="n">
        <v>24.87</v>
      </c>
      <c r="CT476" s="2" t="n">
        <v>0</v>
      </c>
      <c r="CU476" s="2" t="n">
        <v>27.78</v>
      </c>
      <c r="CV476" s="2" t="n">
        <v>30.53</v>
      </c>
      <c r="CW476" s="2" t="n">
        <v>0</v>
      </c>
      <c r="CX476" s="2" t="n">
        <v>35</v>
      </c>
      <c r="CY476" s="2" t="n">
        <v>37.04</v>
      </c>
      <c r="CZ476" s="2" t="n">
        <v>0</v>
      </c>
      <c r="DA476" s="2" t="n">
        <v>41.27</v>
      </c>
      <c r="DB476" s="2" t="n">
        <v>43.54</v>
      </c>
      <c r="DC476" s="2" t="n">
        <v>0</v>
      </c>
      <c r="DD476" s="2" t="n">
        <v>54.32</v>
      </c>
      <c r="DE476" s="2" t="n">
        <v>56.56</v>
      </c>
      <c r="DF476" s="2" t="n">
        <v>0</v>
      </c>
      <c r="DG476" s="2" t="n">
        <v>63.54</v>
      </c>
      <c r="DH476" s="2" t="n">
        <v>65.38</v>
      </c>
      <c r="DI476" s="2" t="n">
        <v>0</v>
      </c>
      <c r="DJ476" s="2" t="n">
        <v>72.54000000000001</v>
      </c>
      <c r="DK476" s="2" t="n">
        <v>81.36</v>
      </c>
      <c r="DL476" s="2" t="n">
        <v>0</v>
      </c>
      <c r="DM476" s="2" t="n">
        <v>86.23999999999999</v>
      </c>
      <c r="DN476" s="2" t="n">
        <v>94.76000000000001</v>
      </c>
      <c r="DO476" s="2" t="n">
        <v>0</v>
      </c>
      <c r="DP476" s="2" t="n">
        <v>97.45999999999999</v>
      </c>
      <c r="DQ476" s="2" t="n">
        <v>97.62</v>
      </c>
      <c r="DR476" s="2" t="n">
        <v>0</v>
      </c>
      <c r="DS476" s="2" t="n">
        <v>98.41</v>
      </c>
      <c r="DT476" s="2" t="n">
        <v>99.73999999999999</v>
      </c>
      <c r="DU476" s="2" t="n">
        <v>0</v>
      </c>
      <c r="DV476" s="2" t="n">
        <v>100</v>
      </c>
      <c r="DW476" s="2" t="n">
        <v>100</v>
      </c>
      <c r="DX476" s="2" t="n">
        <v>0</v>
      </c>
      <c r="DY476" s="2" t="n">
        <v>100</v>
      </c>
      <c r="DZ476" s="2" t="n">
        <v>100</v>
      </c>
      <c r="EA476" s="2" t="n">
        <v>0</v>
      </c>
      <c r="EB476" s="2" t="n">
        <v>100</v>
      </c>
      <c r="EC476" s="2" t="n">
        <v>100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</row>
    <row r="477">
      <c r="A477" s="2" t="n">
        <v>3</v>
      </c>
      <c r="B477" s="2" t="inlineStr">
        <is>
          <t>19.11.08</t>
        </is>
      </c>
      <c r="C477" s="2" t="inlineStr">
        <is>
          <t>Impermabilização de ralos</t>
        </is>
      </c>
      <c r="D477" s="2" t="inlineStr">
        <is>
          <t>11/08/2027</t>
        </is>
      </c>
      <c r="E477" s="2" t="inlineStr">
        <is>
          <t>01/09/2028</t>
        </is>
      </c>
      <c r="F477" s="2" t="n">
        <v>431.9756970044054</v>
      </c>
      <c r="G477" s="2" t="n">
        <v>0</v>
      </c>
      <c r="H477" s="2" t="n">
        <v>431.9756970044054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2.65</v>
      </c>
      <c r="CJ477" s="2" t="n">
        <v>3.97</v>
      </c>
      <c r="CK477" s="2" t="n">
        <v>0</v>
      </c>
      <c r="CL477" s="2" t="n">
        <v>8.199999999999999</v>
      </c>
      <c r="CM477" s="2" t="n">
        <v>9.52</v>
      </c>
      <c r="CN477" s="2" t="n">
        <v>0</v>
      </c>
      <c r="CO477" s="2" t="n">
        <v>13.49</v>
      </c>
      <c r="CP477" s="2" t="n">
        <v>17.2</v>
      </c>
      <c r="CQ477" s="2" t="n">
        <v>0</v>
      </c>
      <c r="CR477" s="2" t="n">
        <v>23.54</v>
      </c>
      <c r="CS477" s="2" t="n">
        <v>24.87</v>
      </c>
      <c r="CT477" s="2" t="n">
        <v>0</v>
      </c>
      <c r="CU477" s="2" t="n">
        <v>27.78</v>
      </c>
      <c r="CV477" s="2" t="n">
        <v>30.53</v>
      </c>
      <c r="CW477" s="2" t="n">
        <v>0</v>
      </c>
      <c r="CX477" s="2" t="n">
        <v>35</v>
      </c>
      <c r="CY477" s="2" t="n">
        <v>37.04</v>
      </c>
      <c r="CZ477" s="2" t="n">
        <v>0</v>
      </c>
      <c r="DA477" s="2" t="n">
        <v>41.27</v>
      </c>
      <c r="DB477" s="2" t="n">
        <v>43.54</v>
      </c>
      <c r="DC477" s="2" t="n">
        <v>0</v>
      </c>
      <c r="DD477" s="2" t="n">
        <v>54.32</v>
      </c>
      <c r="DE477" s="2" t="n">
        <v>56.56</v>
      </c>
      <c r="DF477" s="2" t="n">
        <v>0</v>
      </c>
      <c r="DG477" s="2" t="n">
        <v>63.54</v>
      </c>
      <c r="DH477" s="2" t="n">
        <v>65.38</v>
      </c>
      <c r="DI477" s="2" t="n">
        <v>0</v>
      </c>
      <c r="DJ477" s="2" t="n">
        <v>72.54000000000001</v>
      </c>
      <c r="DK477" s="2" t="n">
        <v>81.36</v>
      </c>
      <c r="DL477" s="2" t="n">
        <v>0</v>
      </c>
      <c r="DM477" s="2" t="n">
        <v>86.23999999999999</v>
      </c>
      <c r="DN477" s="2" t="n">
        <v>94.76000000000001</v>
      </c>
      <c r="DO477" s="2" t="n">
        <v>0</v>
      </c>
      <c r="DP477" s="2" t="n">
        <v>97.45999999999999</v>
      </c>
      <c r="DQ477" s="2" t="n">
        <v>97.62</v>
      </c>
      <c r="DR477" s="2" t="n">
        <v>0</v>
      </c>
      <c r="DS477" s="2" t="n">
        <v>98.41</v>
      </c>
      <c r="DT477" s="2" t="n">
        <v>99.73999999999999</v>
      </c>
      <c r="DU477" s="2" t="n">
        <v>0</v>
      </c>
      <c r="DV477" s="2" t="n">
        <v>100</v>
      </c>
      <c r="DW477" s="2" t="n">
        <v>100</v>
      </c>
      <c r="DX477" s="2" t="n">
        <v>0</v>
      </c>
      <c r="DY477" s="2" t="n">
        <v>100</v>
      </c>
      <c r="DZ477" s="2" t="n">
        <v>100</v>
      </c>
      <c r="EA477" s="2" t="n">
        <v>0</v>
      </c>
      <c r="EB477" s="2" t="n">
        <v>100</v>
      </c>
      <c r="EC477" s="2" t="n">
        <v>100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</row>
    <row r="478">
      <c r="A478" s="2" t="n">
        <v>1</v>
      </c>
      <c r="B478" s="2" t="inlineStr">
        <is>
          <t>20</t>
        </is>
      </c>
      <c r="C478" s="2" t="inlineStr">
        <is>
          <t>INSTALAÇÕES ELÉTRICAS</t>
        </is>
      </c>
      <c r="D478" s="2" t="inlineStr">
        <is>
          <t>18/01/2027</t>
        </is>
      </c>
      <c r="E478" s="2" t="inlineStr">
        <is>
          <t>12/03/2029</t>
        </is>
      </c>
      <c r="F478" s="2" t="n">
        <v>11262626.67</v>
      </c>
      <c r="G478" s="2" t="n">
        <v>0</v>
      </c>
      <c r="H478" s="2" t="n">
        <v>11262626.67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2.78</v>
      </c>
      <c r="BP478" s="2" t="n">
        <v>0</v>
      </c>
      <c r="BQ478" s="2" t="n">
        <v>4.17</v>
      </c>
      <c r="BR478" s="2" t="n">
        <v>4.17</v>
      </c>
      <c r="BS478" s="2" t="n">
        <v>0</v>
      </c>
      <c r="BT478" s="2" t="n">
        <v>4.17</v>
      </c>
      <c r="BU478" s="2" t="n">
        <v>4.17</v>
      </c>
      <c r="BV478" s="2" t="n">
        <v>0</v>
      </c>
      <c r="BW478" s="2" t="n">
        <v>4.17</v>
      </c>
      <c r="BX478" s="2" t="n">
        <v>4.22</v>
      </c>
      <c r="BY478" s="2" t="n">
        <v>0</v>
      </c>
      <c r="BZ478" s="2" t="n">
        <v>5.08</v>
      </c>
      <c r="CA478" s="2" t="n">
        <v>5.36</v>
      </c>
      <c r="CB478" s="2" t="n">
        <v>0</v>
      </c>
      <c r="CC478" s="2" t="n">
        <v>6.42</v>
      </c>
      <c r="CD478" s="2" t="n">
        <v>6.88</v>
      </c>
      <c r="CE478" s="2" t="n">
        <v>0</v>
      </c>
      <c r="CF478" s="2" t="n">
        <v>9.06</v>
      </c>
      <c r="CG478" s="2" t="n">
        <v>10.34</v>
      </c>
      <c r="CH478" s="2" t="n">
        <v>0</v>
      </c>
      <c r="CI478" s="2" t="n">
        <v>12.66</v>
      </c>
      <c r="CJ478" s="2" t="n">
        <v>13.32</v>
      </c>
      <c r="CK478" s="2" t="n">
        <v>0</v>
      </c>
      <c r="CL478" s="2" t="n">
        <v>14.61</v>
      </c>
      <c r="CM478" s="2" t="n">
        <v>15.84</v>
      </c>
      <c r="CN478" s="2" t="n">
        <v>0</v>
      </c>
      <c r="CO478" s="2" t="n">
        <v>18.74</v>
      </c>
      <c r="CP478" s="2" t="n">
        <v>20.04</v>
      </c>
      <c r="CQ478" s="2" t="n">
        <v>0</v>
      </c>
      <c r="CR478" s="2" t="n">
        <v>22.83</v>
      </c>
      <c r="CS478" s="2" t="n">
        <v>26.14</v>
      </c>
      <c r="CT478" s="2" t="n">
        <v>0</v>
      </c>
      <c r="CU478" s="2" t="n">
        <v>27.98</v>
      </c>
      <c r="CV478" s="2" t="n">
        <v>30.26</v>
      </c>
      <c r="CW478" s="2" t="n">
        <v>0</v>
      </c>
      <c r="CX478" s="2" t="n">
        <v>35.96</v>
      </c>
      <c r="CY478" s="2" t="n">
        <v>39.29</v>
      </c>
      <c r="CZ478" s="2" t="n">
        <v>0</v>
      </c>
      <c r="DA478" s="2" t="n">
        <v>47.32</v>
      </c>
      <c r="DB478" s="2" t="n">
        <v>49.99</v>
      </c>
      <c r="DC478" s="2" t="n">
        <v>0</v>
      </c>
      <c r="DD478" s="2" t="n">
        <v>53.94</v>
      </c>
      <c r="DE478" s="2" t="n">
        <v>56.15</v>
      </c>
      <c r="DF478" s="2" t="n">
        <v>0</v>
      </c>
      <c r="DG478" s="2" t="n">
        <v>57.83</v>
      </c>
      <c r="DH478" s="2" t="n">
        <v>59.98</v>
      </c>
      <c r="DI478" s="2" t="n">
        <v>0</v>
      </c>
      <c r="DJ478" s="2" t="n">
        <v>66.84</v>
      </c>
      <c r="DK478" s="2" t="n">
        <v>69.23</v>
      </c>
      <c r="DL478" s="2" t="n">
        <v>0</v>
      </c>
      <c r="DM478" s="2" t="n">
        <v>72.31</v>
      </c>
      <c r="DN478" s="2" t="n">
        <v>74.53</v>
      </c>
      <c r="DO478" s="2" t="n">
        <v>0</v>
      </c>
      <c r="DP478" s="2" t="n">
        <v>77.31</v>
      </c>
      <c r="DQ478" s="2" t="n">
        <v>78.92</v>
      </c>
      <c r="DR478" s="2" t="n">
        <v>0</v>
      </c>
      <c r="DS478" s="2" t="n">
        <v>83.54000000000001</v>
      </c>
      <c r="DT478" s="2" t="n">
        <v>84.83</v>
      </c>
      <c r="DU478" s="2" t="n">
        <v>0</v>
      </c>
      <c r="DV478" s="2" t="n">
        <v>85.77</v>
      </c>
      <c r="DW478" s="2" t="n">
        <v>87.3</v>
      </c>
      <c r="DX478" s="2" t="n">
        <v>0</v>
      </c>
      <c r="DY478" s="2" t="n">
        <v>89.19</v>
      </c>
      <c r="DZ478" s="2" t="n">
        <v>91.31</v>
      </c>
      <c r="EA478" s="2" t="n">
        <v>0</v>
      </c>
      <c r="EB478" s="2" t="n">
        <v>92.06</v>
      </c>
      <c r="EC478" s="2" t="n">
        <v>93.09999999999999</v>
      </c>
      <c r="ED478" s="2" t="n">
        <v>0</v>
      </c>
      <c r="EE478" s="2" t="n">
        <v>93.01000000000001</v>
      </c>
      <c r="EF478" s="2" t="n">
        <v>94.68000000000001</v>
      </c>
      <c r="EG478" s="2" t="n">
        <v>0</v>
      </c>
      <c r="EH478" s="2" t="n">
        <v>95.88</v>
      </c>
      <c r="EI478" s="2" t="n">
        <v>97.59999999999999</v>
      </c>
      <c r="EJ478" s="2" t="n">
        <v>0</v>
      </c>
      <c r="EK478" s="2" t="n">
        <v>98.34999999999999</v>
      </c>
      <c r="EL478" s="2" t="n">
        <v>99.91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</row>
    <row r="479">
      <c r="A479" s="2" t="n">
        <v>2</v>
      </c>
      <c r="B479" s="2" t="inlineStr">
        <is>
          <t>20.01</t>
        </is>
      </c>
      <c r="C479" s="2" t="inlineStr">
        <is>
          <t>Entrada e geração de energia</t>
        </is>
      </c>
      <c r="D479" s="2" t="inlineStr">
        <is>
          <t>18/01/2027</t>
        </is>
      </c>
      <c r="E479" s="2" t="inlineStr">
        <is>
          <t>01/03/2028</t>
        </is>
      </c>
      <c r="F479" s="2" t="n">
        <v>741626.67</v>
      </c>
      <c r="G479" s="2" t="n">
        <v>0</v>
      </c>
      <c r="H479" s="2" t="n">
        <v>741626.67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6.67</v>
      </c>
      <c r="BP479" s="2" t="n">
        <v>0</v>
      </c>
      <c r="BQ479" s="2" t="n">
        <v>10</v>
      </c>
      <c r="BR479" s="2" t="n">
        <v>10</v>
      </c>
      <c r="BS479" s="2" t="n">
        <v>0</v>
      </c>
      <c r="BT479" s="2" t="n">
        <v>10</v>
      </c>
      <c r="BU479" s="2" t="n">
        <v>10</v>
      </c>
      <c r="BV479" s="2" t="n">
        <v>0</v>
      </c>
      <c r="BW479" s="2" t="n">
        <v>10</v>
      </c>
      <c r="BX479" s="2" t="n">
        <v>10</v>
      </c>
      <c r="BY479" s="2" t="n">
        <v>0</v>
      </c>
      <c r="BZ479" s="2" t="n">
        <v>10</v>
      </c>
      <c r="CA479" s="2" t="n">
        <v>10</v>
      </c>
      <c r="CB479" s="2" t="n">
        <v>0</v>
      </c>
      <c r="CC479" s="2" t="n">
        <v>10</v>
      </c>
      <c r="CD479" s="2" t="n">
        <v>10</v>
      </c>
      <c r="CE479" s="2" t="n">
        <v>0</v>
      </c>
      <c r="CF479" s="2" t="n">
        <v>10</v>
      </c>
      <c r="CG479" s="2" t="n">
        <v>10</v>
      </c>
      <c r="CH479" s="2" t="n">
        <v>0</v>
      </c>
      <c r="CI479" s="2" t="n">
        <v>10</v>
      </c>
      <c r="CJ479" s="2" t="n">
        <v>10</v>
      </c>
      <c r="CK479" s="2" t="n">
        <v>0</v>
      </c>
      <c r="CL479" s="2" t="n">
        <v>10</v>
      </c>
      <c r="CM479" s="2" t="n">
        <v>10</v>
      </c>
      <c r="CN479" s="2" t="n">
        <v>0</v>
      </c>
      <c r="CO479" s="2" t="n">
        <v>10</v>
      </c>
      <c r="CP479" s="2" t="n">
        <v>10</v>
      </c>
      <c r="CQ479" s="2" t="n">
        <v>0</v>
      </c>
      <c r="CR479" s="2" t="n">
        <v>10</v>
      </c>
      <c r="CS479" s="2" t="n">
        <v>10</v>
      </c>
      <c r="CT479" s="2" t="n">
        <v>0</v>
      </c>
      <c r="CU479" s="2" t="n">
        <v>10</v>
      </c>
      <c r="CV479" s="2" t="n">
        <v>10</v>
      </c>
      <c r="CW479" s="2" t="n">
        <v>0</v>
      </c>
      <c r="CX479" s="2" t="n">
        <v>37.27</v>
      </c>
      <c r="CY479" s="2" t="n">
        <v>40</v>
      </c>
      <c r="CZ479" s="2" t="n">
        <v>0</v>
      </c>
      <c r="DA479" s="2" t="n">
        <v>94.55</v>
      </c>
      <c r="DB479" s="2" t="n">
        <v>97.27</v>
      </c>
      <c r="DC479" s="2" t="n">
        <v>0</v>
      </c>
      <c r="DD479" s="2" t="n">
        <v>100</v>
      </c>
      <c r="DE479" s="2" t="n">
        <v>100</v>
      </c>
      <c r="DF479" s="2" t="n">
        <v>0</v>
      </c>
      <c r="DG479" s="2" t="n">
        <v>100</v>
      </c>
      <c r="DH479" s="2" t="n">
        <v>100</v>
      </c>
      <c r="DI479" s="2" t="n">
        <v>0</v>
      </c>
      <c r="DJ479" s="2" t="n">
        <v>100</v>
      </c>
      <c r="DK479" s="2" t="n">
        <v>100</v>
      </c>
      <c r="DL479" s="2" t="n">
        <v>0</v>
      </c>
      <c r="DM479" s="2" t="n">
        <v>100</v>
      </c>
      <c r="DN479" s="2" t="n">
        <v>100</v>
      </c>
      <c r="DO479" s="2" t="n">
        <v>0</v>
      </c>
      <c r="DP479" s="2" t="n">
        <v>100</v>
      </c>
      <c r="DQ479" s="2" t="n">
        <v>100</v>
      </c>
      <c r="DR479" s="2" t="n">
        <v>0</v>
      </c>
      <c r="DS479" s="2" t="n">
        <v>100</v>
      </c>
      <c r="DT479" s="2" t="n">
        <v>100</v>
      </c>
      <c r="DU479" s="2" t="n">
        <v>0</v>
      </c>
      <c r="DV479" s="2" t="n">
        <v>100</v>
      </c>
      <c r="DW479" s="2" t="n">
        <v>100</v>
      </c>
      <c r="DX479" s="2" t="n">
        <v>0</v>
      </c>
      <c r="DY479" s="2" t="n">
        <v>100</v>
      </c>
      <c r="DZ479" s="2" t="n">
        <v>100</v>
      </c>
      <c r="EA479" s="2" t="n">
        <v>0</v>
      </c>
      <c r="EB479" s="2" t="n">
        <v>100</v>
      </c>
      <c r="EC479" s="2" t="n">
        <v>100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</row>
    <row r="480">
      <c r="A480" s="2" t="n">
        <v>3</v>
      </c>
      <c r="B480" s="2" t="inlineStr">
        <is>
          <t>20.01.01</t>
        </is>
      </c>
      <c r="C480" s="2" t="inlineStr">
        <is>
          <t>Transformadores</t>
        </is>
      </c>
      <c r="D480" s="2" t="inlineStr">
        <is>
          <t>18/01/2027</t>
        </is>
      </c>
      <c r="E480" s="2" t="inlineStr">
        <is>
          <t>01/03/2028</t>
        </is>
      </c>
      <c r="F480" s="2" t="n">
        <v>741626.67</v>
      </c>
      <c r="G480" s="2" t="n">
        <v>0</v>
      </c>
      <c r="H480" s="2" t="n">
        <v>741626.67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6.67</v>
      </c>
      <c r="BP480" s="2" t="n">
        <v>0</v>
      </c>
      <c r="BQ480" s="2" t="n">
        <v>10</v>
      </c>
      <c r="BR480" s="2" t="n">
        <v>10</v>
      </c>
      <c r="BS480" s="2" t="n">
        <v>0</v>
      </c>
      <c r="BT480" s="2" t="n">
        <v>10</v>
      </c>
      <c r="BU480" s="2" t="n">
        <v>10</v>
      </c>
      <c r="BV480" s="2" t="n">
        <v>0</v>
      </c>
      <c r="BW480" s="2" t="n">
        <v>10</v>
      </c>
      <c r="BX480" s="2" t="n">
        <v>10</v>
      </c>
      <c r="BY480" s="2" t="n">
        <v>0</v>
      </c>
      <c r="BZ480" s="2" t="n">
        <v>10</v>
      </c>
      <c r="CA480" s="2" t="n">
        <v>10</v>
      </c>
      <c r="CB480" s="2" t="n">
        <v>0</v>
      </c>
      <c r="CC480" s="2" t="n">
        <v>10</v>
      </c>
      <c r="CD480" s="2" t="n">
        <v>10</v>
      </c>
      <c r="CE480" s="2" t="n">
        <v>0</v>
      </c>
      <c r="CF480" s="2" t="n">
        <v>10</v>
      </c>
      <c r="CG480" s="2" t="n">
        <v>10</v>
      </c>
      <c r="CH480" s="2" t="n">
        <v>0</v>
      </c>
      <c r="CI480" s="2" t="n">
        <v>10</v>
      </c>
      <c r="CJ480" s="2" t="n">
        <v>10</v>
      </c>
      <c r="CK480" s="2" t="n">
        <v>0</v>
      </c>
      <c r="CL480" s="2" t="n">
        <v>10</v>
      </c>
      <c r="CM480" s="2" t="n">
        <v>10</v>
      </c>
      <c r="CN480" s="2" t="n">
        <v>0</v>
      </c>
      <c r="CO480" s="2" t="n">
        <v>10</v>
      </c>
      <c r="CP480" s="2" t="n">
        <v>10</v>
      </c>
      <c r="CQ480" s="2" t="n">
        <v>0</v>
      </c>
      <c r="CR480" s="2" t="n">
        <v>10</v>
      </c>
      <c r="CS480" s="2" t="n">
        <v>10</v>
      </c>
      <c r="CT480" s="2" t="n">
        <v>0</v>
      </c>
      <c r="CU480" s="2" t="n">
        <v>10</v>
      </c>
      <c r="CV480" s="2" t="n">
        <v>10</v>
      </c>
      <c r="CW480" s="2" t="n">
        <v>0</v>
      </c>
      <c r="CX480" s="2" t="n">
        <v>37.27</v>
      </c>
      <c r="CY480" s="2" t="n">
        <v>40</v>
      </c>
      <c r="CZ480" s="2" t="n">
        <v>0</v>
      </c>
      <c r="DA480" s="2" t="n">
        <v>94.55</v>
      </c>
      <c r="DB480" s="2" t="n">
        <v>97.27</v>
      </c>
      <c r="DC480" s="2" t="n">
        <v>0</v>
      </c>
      <c r="DD480" s="2" t="n">
        <v>100</v>
      </c>
      <c r="DE480" s="2" t="n">
        <v>100</v>
      </c>
      <c r="DF480" s="2" t="n">
        <v>0</v>
      </c>
      <c r="DG480" s="2" t="n">
        <v>100</v>
      </c>
      <c r="DH480" s="2" t="n">
        <v>100</v>
      </c>
      <c r="DI480" s="2" t="n">
        <v>0</v>
      </c>
      <c r="DJ480" s="2" t="n">
        <v>100</v>
      </c>
      <c r="DK480" s="2" t="n">
        <v>100</v>
      </c>
      <c r="DL480" s="2" t="n">
        <v>0</v>
      </c>
      <c r="DM480" s="2" t="n">
        <v>100</v>
      </c>
      <c r="DN480" s="2" t="n">
        <v>100</v>
      </c>
      <c r="DO480" s="2" t="n">
        <v>0</v>
      </c>
      <c r="DP480" s="2" t="n">
        <v>100</v>
      </c>
      <c r="DQ480" s="2" t="n">
        <v>100</v>
      </c>
      <c r="DR480" s="2" t="n">
        <v>0</v>
      </c>
      <c r="DS480" s="2" t="n">
        <v>100</v>
      </c>
      <c r="DT480" s="2" t="n">
        <v>100</v>
      </c>
      <c r="DU480" s="2" t="n">
        <v>0</v>
      </c>
      <c r="DV480" s="2" t="n">
        <v>100</v>
      </c>
      <c r="DW480" s="2" t="n">
        <v>100</v>
      </c>
      <c r="DX480" s="2" t="n">
        <v>0</v>
      </c>
      <c r="DY480" s="2" t="n">
        <v>100</v>
      </c>
      <c r="DZ480" s="2" t="n">
        <v>100</v>
      </c>
      <c r="EA480" s="2" t="n">
        <v>0</v>
      </c>
      <c r="EB480" s="2" t="n">
        <v>100</v>
      </c>
      <c r="EC480" s="2" t="n">
        <v>100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</row>
    <row r="481">
      <c r="A481" s="2" t="n">
        <v>2</v>
      </c>
      <c r="B481" s="2" t="inlineStr">
        <is>
          <t>20.02</t>
        </is>
      </c>
      <c r="C481" s="2" t="inlineStr">
        <is>
          <t>Instalações Elétricas Prediais de Baixa Tensão</t>
        </is>
      </c>
      <c r="D481" s="2" t="inlineStr">
        <is>
          <t>18/01/2027</t>
        </is>
      </c>
      <c r="E481" s="2" t="inlineStr">
        <is>
          <t>12/03/2029</t>
        </is>
      </c>
      <c r="F481" s="2" t="n">
        <v>8416800</v>
      </c>
      <c r="G481" s="2" t="n">
        <v>0</v>
      </c>
      <c r="H481" s="2" t="n">
        <v>8416800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3.13</v>
      </c>
      <c r="BP481" s="2" t="n">
        <v>0</v>
      </c>
      <c r="BQ481" s="2" t="n">
        <v>4.69</v>
      </c>
      <c r="BR481" s="2" t="n">
        <v>4.69</v>
      </c>
      <c r="BS481" s="2" t="n">
        <v>0</v>
      </c>
      <c r="BT481" s="2" t="n">
        <v>4.69</v>
      </c>
      <c r="BU481" s="2" t="n">
        <v>4.69</v>
      </c>
      <c r="BV481" s="2" t="n">
        <v>0</v>
      </c>
      <c r="BW481" s="2" t="n">
        <v>4.69</v>
      </c>
      <c r="BX481" s="2" t="n">
        <v>4.77</v>
      </c>
      <c r="BY481" s="2" t="n">
        <v>0</v>
      </c>
      <c r="BZ481" s="2" t="n">
        <v>5.91</v>
      </c>
      <c r="CA481" s="2" t="n">
        <v>6.29</v>
      </c>
      <c r="CB481" s="2" t="n">
        <v>0</v>
      </c>
      <c r="CC481" s="2" t="n">
        <v>7.71</v>
      </c>
      <c r="CD481" s="2" t="n">
        <v>8.33</v>
      </c>
      <c r="CE481" s="2" t="n">
        <v>0</v>
      </c>
      <c r="CF481" s="2" t="n">
        <v>11.25</v>
      </c>
      <c r="CG481" s="2" t="n">
        <v>12.95</v>
      </c>
      <c r="CH481" s="2" t="n">
        <v>0</v>
      </c>
      <c r="CI481" s="2" t="n">
        <v>16.06</v>
      </c>
      <c r="CJ481" s="2" t="n">
        <v>16.94</v>
      </c>
      <c r="CK481" s="2" t="n">
        <v>0</v>
      </c>
      <c r="CL481" s="2" t="n">
        <v>18.66</v>
      </c>
      <c r="CM481" s="2" t="n">
        <v>20.31</v>
      </c>
      <c r="CN481" s="2" t="n">
        <v>0</v>
      </c>
      <c r="CO481" s="2" t="n">
        <v>23.42</v>
      </c>
      <c r="CP481" s="2" t="n">
        <v>24.86</v>
      </c>
      <c r="CQ481" s="2" t="n">
        <v>0</v>
      </c>
      <c r="CR481" s="2" t="n">
        <v>27.82</v>
      </c>
      <c r="CS481" s="2" t="n">
        <v>30.68</v>
      </c>
      <c r="CT481" s="2" t="n">
        <v>0</v>
      </c>
      <c r="CU481" s="2" t="n">
        <v>32.55</v>
      </c>
      <c r="CV481" s="2" t="n">
        <v>35.31</v>
      </c>
      <c r="CW481" s="2" t="n">
        <v>0</v>
      </c>
      <c r="CX481" s="2" t="n">
        <v>38.75</v>
      </c>
      <c r="CY481" s="2" t="n">
        <v>41.58</v>
      </c>
      <c r="CZ481" s="2" t="n">
        <v>0</v>
      </c>
      <c r="DA481" s="2" t="n">
        <v>45.74</v>
      </c>
      <c r="DB481" s="2" t="n">
        <v>48.57</v>
      </c>
      <c r="DC481" s="2" t="n">
        <v>0</v>
      </c>
      <c r="DD481" s="2" t="n">
        <v>52.65</v>
      </c>
      <c r="DE481" s="2" t="n">
        <v>54.41</v>
      </c>
      <c r="DF481" s="2" t="n">
        <v>0</v>
      </c>
      <c r="DG481" s="2" t="n">
        <v>56.24</v>
      </c>
      <c r="DH481" s="2" t="n">
        <v>58.19</v>
      </c>
      <c r="DI481" s="2" t="n">
        <v>0</v>
      </c>
      <c r="DJ481" s="2" t="n">
        <v>66.27</v>
      </c>
      <c r="DK481" s="2" t="n">
        <v>68.84</v>
      </c>
      <c r="DL481" s="2" t="n">
        <v>0</v>
      </c>
      <c r="DM481" s="2" t="n">
        <v>71.95999999999999</v>
      </c>
      <c r="DN481" s="2" t="n">
        <v>73.81</v>
      </c>
      <c r="DO481" s="2" t="n">
        <v>0</v>
      </c>
      <c r="DP481" s="2" t="n">
        <v>76.65000000000001</v>
      </c>
      <c r="DQ481" s="2" t="n">
        <v>78.51000000000001</v>
      </c>
      <c r="DR481" s="2" t="n">
        <v>0</v>
      </c>
      <c r="DS481" s="2" t="n">
        <v>80.95999999999999</v>
      </c>
      <c r="DT481" s="2" t="n">
        <v>81.54000000000001</v>
      </c>
      <c r="DU481" s="2" t="n">
        <v>0</v>
      </c>
      <c r="DV481" s="2" t="n">
        <v>82.8</v>
      </c>
      <c r="DW481" s="2" t="n">
        <v>84.25</v>
      </c>
      <c r="DX481" s="2" t="n">
        <v>0</v>
      </c>
      <c r="DY481" s="2" t="n">
        <v>86.26000000000001</v>
      </c>
      <c r="DZ481" s="2" t="n">
        <v>88.37</v>
      </c>
      <c r="EA481" s="2" t="n">
        <v>0</v>
      </c>
      <c r="EB481" s="2" t="n">
        <v>89.38</v>
      </c>
      <c r="EC481" s="2" t="n">
        <v>90.77</v>
      </c>
      <c r="ED481" s="2" t="n">
        <v>0</v>
      </c>
      <c r="EE481" s="2" t="n">
        <v>90.64</v>
      </c>
      <c r="EF481" s="2" t="n">
        <v>92.88</v>
      </c>
      <c r="EG481" s="2" t="n">
        <v>0</v>
      </c>
      <c r="EH481" s="2" t="n">
        <v>94.48</v>
      </c>
      <c r="EI481" s="2" t="n">
        <v>96.79000000000001</v>
      </c>
      <c r="EJ481" s="2" t="n">
        <v>0</v>
      </c>
      <c r="EK481" s="2" t="n">
        <v>97.79000000000001</v>
      </c>
      <c r="EL481" s="2" t="n">
        <v>99.88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</row>
    <row r="482">
      <c r="A482" s="2" t="n">
        <v>3</v>
      </c>
      <c r="B482" s="2" t="inlineStr">
        <is>
          <t>20.02.01</t>
        </is>
      </c>
      <c r="C482" s="2" t="inlineStr">
        <is>
          <t>Ramal De Entrada</t>
        </is>
      </c>
      <c r="D482" s="2" t="inlineStr">
        <is>
          <t>18/01/2027</t>
        </is>
      </c>
      <c r="E482" s="2" t="inlineStr">
        <is>
          <t>05/02/2027</t>
        </is>
      </c>
      <c r="F482" s="2" t="n">
        <v>395122.0000000001</v>
      </c>
      <c r="G482" s="2" t="n">
        <v>0</v>
      </c>
      <c r="H482" s="2" t="n">
        <v>395122.0000000001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66.67</v>
      </c>
      <c r="BP482" s="2" t="n">
        <v>0</v>
      </c>
      <c r="BQ482" s="2" t="n">
        <v>100</v>
      </c>
      <c r="BR482" s="2" t="n">
        <v>100</v>
      </c>
      <c r="BS482" s="2" t="n">
        <v>0</v>
      </c>
      <c r="BT482" s="2" t="n">
        <v>100</v>
      </c>
      <c r="BU482" s="2" t="n">
        <v>100</v>
      </c>
      <c r="BV482" s="2" t="n">
        <v>0</v>
      </c>
      <c r="BW482" s="2" t="n">
        <v>100</v>
      </c>
      <c r="BX482" s="2" t="n">
        <v>100</v>
      </c>
      <c r="BY482" s="2" t="n">
        <v>0</v>
      </c>
      <c r="BZ482" s="2" t="n">
        <v>100</v>
      </c>
      <c r="CA482" s="2" t="n">
        <v>100</v>
      </c>
      <c r="CB482" s="2" t="n">
        <v>0</v>
      </c>
      <c r="CC482" s="2" t="n">
        <v>100</v>
      </c>
      <c r="CD482" s="2" t="n">
        <v>100</v>
      </c>
      <c r="CE482" s="2" t="n">
        <v>0</v>
      </c>
      <c r="CF482" s="2" t="n">
        <v>100</v>
      </c>
      <c r="CG482" s="2" t="n">
        <v>100</v>
      </c>
      <c r="CH482" s="2" t="n">
        <v>0</v>
      </c>
      <c r="CI482" s="2" t="n">
        <v>100</v>
      </c>
      <c r="CJ482" s="2" t="n">
        <v>100</v>
      </c>
      <c r="CK482" s="2" t="n">
        <v>0</v>
      </c>
      <c r="CL482" s="2" t="n">
        <v>100</v>
      </c>
      <c r="CM482" s="2" t="n">
        <v>100</v>
      </c>
      <c r="CN482" s="2" t="n">
        <v>0</v>
      </c>
      <c r="CO482" s="2" t="n">
        <v>100</v>
      </c>
      <c r="CP482" s="2" t="n">
        <v>100</v>
      </c>
      <c r="CQ482" s="2" t="n">
        <v>0</v>
      </c>
      <c r="CR482" s="2" t="n">
        <v>100</v>
      </c>
      <c r="CS482" s="2" t="n">
        <v>100</v>
      </c>
      <c r="CT482" s="2" t="n">
        <v>0</v>
      </c>
      <c r="CU482" s="2" t="n">
        <v>100</v>
      </c>
      <c r="CV482" s="2" t="n">
        <v>100</v>
      </c>
      <c r="CW482" s="2" t="n">
        <v>0</v>
      </c>
      <c r="CX482" s="2" t="n">
        <v>100</v>
      </c>
      <c r="CY482" s="2" t="n">
        <v>100</v>
      </c>
      <c r="CZ482" s="2" t="n">
        <v>0</v>
      </c>
      <c r="DA482" s="2" t="n">
        <v>100</v>
      </c>
      <c r="DB482" s="2" t="n">
        <v>100</v>
      </c>
      <c r="DC482" s="2" t="n">
        <v>0</v>
      </c>
      <c r="DD482" s="2" t="n">
        <v>100</v>
      </c>
      <c r="DE482" s="2" t="n">
        <v>100</v>
      </c>
      <c r="DF482" s="2" t="n">
        <v>0</v>
      </c>
      <c r="DG482" s="2" t="n">
        <v>100</v>
      </c>
      <c r="DH482" s="2" t="n">
        <v>100</v>
      </c>
      <c r="DI482" s="2" t="n">
        <v>0</v>
      </c>
      <c r="DJ482" s="2" t="n">
        <v>100</v>
      </c>
      <c r="DK482" s="2" t="n">
        <v>100</v>
      </c>
      <c r="DL482" s="2" t="n">
        <v>0</v>
      </c>
      <c r="DM482" s="2" t="n">
        <v>100</v>
      </c>
      <c r="DN482" s="2" t="n">
        <v>100</v>
      </c>
      <c r="DO482" s="2" t="n">
        <v>0</v>
      </c>
      <c r="DP482" s="2" t="n">
        <v>100</v>
      </c>
      <c r="DQ482" s="2" t="n">
        <v>100</v>
      </c>
      <c r="DR482" s="2" t="n">
        <v>0</v>
      </c>
      <c r="DS482" s="2" t="n">
        <v>100</v>
      </c>
      <c r="DT482" s="2" t="n">
        <v>100</v>
      </c>
      <c r="DU482" s="2" t="n">
        <v>0</v>
      </c>
      <c r="DV482" s="2" t="n">
        <v>100</v>
      </c>
      <c r="DW482" s="2" t="n">
        <v>100</v>
      </c>
      <c r="DX482" s="2" t="n">
        <v>0</v>
      </c>
      <c r="DY482" s="2" t="n">
        <v>100</v>
      </c>
      <c r="DZ482" s="2" t="n">
        <v>100</v>
      </c>
      <c r="EA482" s="2" t="n">
        <v>0</v>
      </c>
      <c r="EB482" s="2" t="n">
        <v>100</v>
      </c>
      <c r="EC482" s="2" t="n">
        <v>100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</row>
    <row r="483">
      <c r="A483" s="2" t="n">
        <v>3</v>
      </c>
      <c r="B483" s="2" t="inlineStr">
        <is>
          <t>20.02.02</t>
        </is>
      </c>
      <c r="C483" s="2" t="inlineStr">
        <is>
          <t>Prumadas E Caixas De Distribuição</t>
        </is>
      </c>
      <c r="D483" s="2" t="inlineStr">
        <is>
          <t>09/06/2027</t>
        </is>
      </c>
      <c r="E483" s="2" t="inlineStr">
        <is>
          <t>25/10/2028</t>
        </is>
      </c>
      <c r="F483" s="2" t="n">
        <v>824378.7999999999</v>
      </c>
      <c r="G483" s="2" t="n">
        <v>0</v>
      </c>
      <c r="H483" s="2" t="n">
        <v>824378.7999999999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1.26</v>
      </c>
      <c r="CD483" s="2" t="n">
        <v>1.83</v>
      </c>
      <c r="CE483" s="2" t="n">
        <v>0</v>
      </c>
      <c r="CF483" s="2" t="n">
        <v>3.77</v>
      </c>
      <c r="CG483" s="2" t="n">
        <v>4.34</v>
      </c>
      <c r="CH483" s="2" t="n">
        <v>0</v>
      </c>
      <c r="CI483" s="2" t="n">
        <v>6.29</v>
      </c>
      <c r="CJ483" s="2" t="n">
        <v>6.86</v>
      </c>
      <c r="CK483" s="2" t="n">
        <v>0</v>
      </c>
      <c r="CL483" s="2" t="n">
        <v>8.69</v>
      </c>
      <c r="CM483" s="2" t="n">
        <v>9.26</v>
      </c>
      <c r="CN483" s="2" t="n">
        <v>0</v>
      </c>
      <c r="CO483" s="2" t="n">
        <v>16.03</v>
      </c>
      <c r="CP483" s="2" t="n">
        <v>19.25</v>
      </c>
      <c r="CQ483" s="2" t="n">
        <v>0</v>
      </c>
      <c r="CR483" s="2" t="n">
        <v>25.69</v>
      </c>
      <c r="CS483" s="2" t="n">
        <v>29.12</v>
      </c>
      <c r="CT483" s="2" t="n">
        <v>0</v>
      </c>
      <c r="CU483" s="2" t="n">
        <v>34.45</v>
      </c>
      <c r="CV483" s="2" t="n">
        <v>37.63</v>
      </c>
      <c r="CW483" s="2" t="n">
        <v>0</v>
      </c>
      <c r="CX483" s="2" t="n">
        <v>41.48</v>
      </c>
      <c r="CY483" s="2" t="n">
        <v>45.61</v>
      </c>
      <c r="CZ483" s="2" t="n">
        <v>0</v>
      </c>
      <c r="DA483" s="2" t="n">
        <v>49.68</v>
      </c>
      <c r="DB483" s="2" t="n">
        <v>52.59</v>
      </c>
      <c r="DC483" s="2" t="n">
        <v>0</v>
      </c>
      <c r="DD483" s="2" t="n">
        <v>61.2</v>
      </c>
      <c r="DE483" s="2" t="n">
        <v>65.51000000000001</v>
      </c>
      <c r="DF483" s="2" t="n">
        <v>0</v>
      </c>
      <c r="DG483" s="2" t="n">
        <v>68.16</v>
      </c>
      <c r="DH483" s="2" t="n">
        <v>70.28</v>
      </c>
      <c r="DI483" s="2" t="n">
        <v>0</v>
      </c>
      <c r="DJ483" s="2" t="n">
        <v>79.22</v>
      </c>
      <c r="DK483" s="2" t="n">
        <v>86.02</v>
      </c>
      <c r="DL483" s="2" t="n">
        <v>0</v>
      </c>
      <c r="DM483" s="2" t="n">
        <v>88.5</v>
      </c>
      <c r="DN483" s="2" t="n">
        <v>90.95</v>
      </c>
      <c r="DO483" s="2" t="n">
        <v>0</v>
      </c>
      <c r="DP483" s="2" t="n">
        <v>92.84999999999999</v>
      </c>
      <c r="DQ483" s="2" t="n">
        <v>94.78</v>
      </c>
      <c r="DR483" s="2" t="n">
        <v>0</v>
      </c>
      <c r="DS483" s="2" t="n">
        <v>96.15000000000001</v>
      </c>
      <c r="DT483" s="2" t="n">
        <v>96.27</v>
      </c>
      <c r="DU483" s="2" t="n">
        <v>0</v>
      </c>
      <c r="DV483" s="2" t="n">
        <v>96.27</v>
      </c>
      <c r="DW483" s="2" t="n">
        <v>98.97</v>
      </c>
      <c r="DX483" s="2" t="n">
        <v>0</v>
      </c>
      <c r="DY483" s="2" t="n">
        <v>99.89</v>
      </c>
      <c r="DZ483" s="2" t="n">
        <v>100</v>
      </c>
      <c r="EA483" s="2" t="n">
        <v>0</v>
      </c>
      <c r="EB483" s="2" t="n">
        <v>100</v>
      </c>
      <c r="EC483" s="2" t="n">
        <v>100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</row>
    <row r="484">
      <c r="A484" s="2" t="n">
        <v>3</v>
      </c>
      <c r="B484" s="2" t="inlineStr">
        <is>
          <t>20.02.03</t>
        </is>
      </c>
      <c r="C484" s="2" t="inlineStr">
        <is>
          <t>Cabeamento de alimentação</t>
        </is>
      </c>
      <c r="D484" s="2" t="inlineStr">
        <is>
          <t>01/10/2027</t>
        </is>
      </c>
      <c r="E484" s="2" t="inlineStr">
        <is>
          <t>25/10/2028</t>
        </is>
      </c>
      <c r="F484" s="2" t="n">
        <v>1039007.2</v>
      </c>
      <c r="G484" s="2" t="n">
        <v>0</v>
      </c>
      <c r="H484" s="2" t="n">
        <v>1039007.2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0</v>
      </c>
      <c r="CM484" s="2" t="n">
        <v>0</v>
      </c>
      <c r="CN484" s="2" t="n">
        <v>0</v>
      </c>
      <c r="CO484" s="2" t="n">
        <v>3.43</v>
      </c>
      <c r="CP484" s="2" t="n">
        <v>4.57</v>
      </c>
      <c r="CQ484" s="2" t="n">
        <v>0</v>
      </c>
      <c r="CR484" s="2" t="n">
        <v>8</v>
      </c>
      <c r="CS484" s="2" t="n">
        <v>10.86</v>
      </c>
      <c r="CT484" s="2" t="n">
        <v>0</v>
      </c>
      <c r="CU484" s="2" t="n">
        <v>12.89</v>
      </c>
      <c r="CV484" s="2" t="n">
        <v>16.48</v>
      </c>
      <c r="CW484" s="2" t="n">
        <v>0</v>
      </c>
      <c r="CX484" s="2" t="n">
        <v>20.26</v>
      </c>
      <c r="CY484" s="2" t="n">
        <v>23.86</v>
      </c>
      <c r="CZ484" s="2" t="n">
        <v>0</v>
      </c>
      <c r="DA484" s="2" t="n">
        <v>27.64</v>
      </c>
      <c r="DB484" s="2" t="n">
        <v>31.23</v>
      </c>
      <c r="DC484" s="2" t="n">
        <v>0</v>
      </c>
      <c r="DD484" s="2" t="n">
        <v>43.53</v>
      </c>
      <c r="DE484" s="2" t="n">
        <v>47.49</v>
      </c>
      <c r="DF484" s="2" t="n">
        <v>0</v>
      </c>
      <c r="DG484" s="2" t="n">
        <v>50.22</v>
      </c>
      <c r="DH484" s="2" t="n">
        <v>53.82</v>
      </c>
      <c r="DI484" s="2" t="n">
        <v>0</v>
      </c>
      <c r="DJ484" s="2" t="n">
        <v>70.92</v>
      </c>
      <c r="DK484" s="2" t="n">
        <v>74.51000000000001</v>
      </c>
      <c r="DL484" s="2" t="n">
        <v>0</v>
      </c>
      <c r="DM484" s="2" t="n">
        <v>78.3</v>
      </c>
      <c r="DN484" s="2" t="n">
        <v>81.89</v>
      </c>
      <c r="DO484" s="2" t="n">
        <v>0</v>
      </c>
      <c r="DP484" s="2" t="n">
        <v>85.69</v>
      </c>
      <c r="DQ484" s="2" t="n">
        <v>89.56</v>
      </c>
      <c r="DR484" s="2" t="n">
        <v>0</v>
      </c>
      <c r="DS484" s="2" t="n">
        <v>92.3</v>
      </c>
      <c r="DT484" s="2" t="n">
        <v>92.55</v>
      </c>
      <c r="DU484" s="2" t="n">
        <v>0</v>
      </c>
      <c r="DV484" s="2" t="n">
        <v>92.55</v>
      </c>
      <c r="DW484" s="2" t="n">
        <v>97.94</v>
      </c>
      <c r="DX484" s="2" t="n">
        <v>0</v>
      </c>
      <c r="DY484" s="2" t="n">
        <v>99.77</v>
      </c>
      <c r="DZ484" s="2" t="n">
        <v>100</v>
      </c>
      <c r="EA484" s="2" t="n">
        <v>0</v>
      </c>
      <c r="EB484" s="2" t="n">
        <v>100</v>
      </c>
      <c r="EC484" s="2" t="n">
        <v>100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</row>
    <row r="485">
      <c r="A485" s="2" t="n">
        <v>3</v>
      </c>
      <c r="B485" s="2" t="inlineStr">
        <is>
          <t>20.02.04</t>
        </is>
      </c>
      <c r="C485" s="2" t="inlineStr">
        <is>
          <t>Quadros De Circuitos</t>
        </is>
      </c>
      <c r="D485" s="2" t="inlineStr">
        <is>
          <t>30/04/2027</t>
        </is>
      </c>
      <c r="E485" s="2" t="inlineStr">
        <is>
          <t>22/05/2028</t>
        </is>
      </c>
      <c r="F485" s="2" t="n">
        <v>1110550</v>
      </c>
      <c r="G485" s="2" t="n">
        <v>0</v>
      </c>
      <c r="H485" s="2" t="n">
        <v>1110550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0.27</v>
      </c>
      <c r="BY485" s="2" t="n">
        <v>0</v>
      </c>
      <c r="BZ485" s="2" t="n">
        <v>4.27</v>
      </c>
      <c r="CA485" s="2" t="n">
        <v>5.6</v>
      </c>
      <c r="CB485" s="2" t="n">
        <v>0</v>
      </c>
      <c r="CC485" s="2" t="n">
        <v>10.14</v>
      </c>
      <c r="CD485" s="2" t="n">
        <v>12.11</v>
      </c>
      <c r="CE485" s="2" t="n">
        <v>0</v>
      </c>
      <c r="CF485" s="2" t="n">
        <v>21.66</v>
      </c>
      <c r="CG485" s="2" t="n">
        <v>27.46</v>
      </c>
      <c r="CH485" s="2" t="n">
        <v>0</v>
      </c>
      <c r="CI485" s="2" t="n">
        <v>37.69</v>
      </c>
      <c r="CJ485" s="2" t="n">
        <v>40.57</v>
      </c>
      <c r="CK485" s="2" t="n">
        <v>0</v>
      </c>
      <c r="CL485" s="2" t="n">
        <v>45.97</v>
      </c>
      <c r="CM485" s="2" t="n">
        <v>51.56</v>
      </c>
      <c r="CN485" s="2" t="n">
        <v>0</v>
      </c>
      <c r="CO485" s="2" t="n">
        <v>56.13</v>
      </c>
      <c r="CP485" s="2" t="n">
        <v>58.76</v>
      </c>
      <c r="CQ485" s="2" t="n">
        <v>0</v>
      </c>
      <c r="CR485" s="2" t="n">
        <v>62.92</v>
      </c>
      <c r="CS485" s="2" t="n">
        <v>68.47</v>
      </c>
      <c r="CT485" s="2" t="n">
        <v>0</v>
      </c>
      <c r="CU485" s="2" t="n">
        <v>70.84999999999999</v>
      </c>
      <c r="CV485" s="2" t="n">
        <v>75.25</v>
      </c>
      <c r="CW485" s="2" t="n">
        <v>0</v>
      </c>
      <c r="CX485" s="2" t="n">
        <v>80.23</v>
      </c>
      <c r="CY485" s="2" t="n">
        <v>84.29000000000001</v>
      </c>
      <c r="CZ485" s="2" t="n">
        <v>0</v>
      </c>
      <c r="DA485" s="2" t="n">
        <v>88.77</v>
      </c>
      <c r="DB485" s="2" t="n">
        <v>93.52</v>
      </c>
      <c r="DC485" s="2" t="n">
        <v>0</v>
      </c>
      <c r="DD485" s="2" t="n">
        <v>96.23</v>
      </c>
      <c r="DE485" s="2" t="n">
        <v>96.58</v>
      </c>
      <c r="DF485" s="2" t="n">
        <v>0</v>
      </c>
      <c r="DG485" s="2" t="n">
        <v>96.54000000000001</v>
      </c>
      <c r="DH485" s="2" t="n">
        <v>97.19</v>
      </c>
      <c r="DI485" s="2" t="n">
        <v>0</v>
      </c>
      <c r="DJ485" s="2" t="n">
        <v>99.70999999999999</v>
      </c>
      <c r="DK485" s="2" t="n">
        <v>100</v>
      </c>
      <c r="DL485" s="2" t="n">
        <v>0</v>
      </c>
      <c r="DM485" s="2" t="n">
        <v>100</v>
      </c>
      <c r="DN485" s="2" t="n">
        <v>100</v>
      </c>
      <c r="DO485" s="2" t="n">
        <v>0</v>
      </c>
      <c r="DP485" s="2" t="n">
        <v>100</v>
      </c>
      <c r="DQ485" s="2" t="n">
        <v>100</v>
      </c>
      <c r="DR485" s="2" t="n">
        <v>0</v>
      </c>
      <c r="DS485" s="2" t="n">
        <v>100</v>
      </c>
      <c r="DT485" s="2" t="n">
        <v>100</v>
      </c>
      <c r="DU485" s="2" t="n">
        <v>0</v>
      </c>
      <c r="DV485" s="2" t="n">
        <v>100</v>
      </c>
      <c r="DW485" s="2" t="n">
        <v>100</v>
      </c>
      <c r="DX485" s="2" t="n">
        <v>0</v>
      </c>
      <c r="DY485" s="2" t="n">
        <v>100</v>
      </c>
      <c r="DZ485" s="2" t="n">
        <v>100</v>
      </c>
      <c r="EA485" s="2" t="n">
        <v>0</v>
      </c>
      <c r="EB485" s="2" t="n">
        <v>100</v>
      </c>
      <c r="EC485" s="2" t="n">
        <v>100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</row>
    <row r="486">
      <c r="A486" s="2" t="n">
        <v>3</v>
      </c>
      <c r="B486" s="2" t="inlineStr">
        <is>
          <t>20.02.05</t>
        </is>
      </c>
      <c r="C486" s="2" t="inlineStr">
        <is>
          <t>Fiação de distribuição</t>
        </is>
      </c>
      <c r="D486" s="2" t="inlineStr">
        <is>
          <t>01/10/2027</t>
        </is>
      </c>
      <c r="E486" s="2" t="inlineStr">
        <is>
          <t>24/10/2028</t>
        </is>
      </c>
      <c r="F486" s="2" t="n">
        <v>1468264</v>
      </c>
      <c r="G486" s="2" t="n">
        <v>0</v>
      </c>
      <c r="H486" s="2" t="n">
        <v>1468264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0</v>
      </c>
      <c r="CM486" s="2" t="n">
        <v>0</v>
      </c>
      <c r="CN486" s="2" t="n">
        <v>0</v>
      </c>
      <c r="CO486" s="2" t="n">
        <v>4.08</v>
      </c>
      <c r="CP486" s="2" t="n">
        <v>5.44</v>
      </c>
      <c r="CQ486" s="2" t="n">
        <v>0</v>
      </c>
      <c r="CR486" s="2" t="n">
        <v>9.529999999999999</v>
      </c>
      <c r="CS486" s="2" t="n">
        <v>12.93</v>
      </c>
      <c r="CT486" s="2" t="n">
        <v>0</v>
      </c>
      <c r="CU486" s="2" t="n">
        <v>15.34</v>
      </c>
      <c r="CV486" s="2" t="n">
        <v>19.63</v>
      </c>
      <c r="CW486" s="2" t="n">
        <v>0</v>
      </c>
      <c r="CX486" s="2" t="n">
        <v>26.34</v>
      </c>
      <c r="CY486" s="2" t="n">
        <v>31.07</v>
      </c>
      <c r="CZ486" s="2" t="n">
        <v>0</v>
      </c>
      <c r="DA486" s="2" t="n">
        <v>42.65</v>
      </c>
      <c r="DB486" s="2" t="n">
        <v>46.93</v>
      </c>
      <c r="DC486" s="2" t="n">
        <v>0</v>
      </c>
      <c r="DD486" s="2" t="n">
        <v>52.35</v>
      </c>
      <c r="DE486" s="2" t="n">
        <v>56.65</v>
      </c>
      <c r="DF486" s="2" t="n">
        <v>0</v>
      </c>
      <c r="DG486" s="2" t="n">
        <v>60.03</v>
      </c>
      <c r="DH486" s="2" t="n">
        <v>64.34</v>
      </c>
      <c r="DI486" s="2" t="n">
        <v>0</v>
      </c>
      <c r="DJ486" s="2" t="n">
        <v>70.27</v>
      </c>
      <c r="DK486" s="2" t="n">
        <v>74.55</v>
      </c>
      <c r="DL486" s="2" t="n">
        <v>0</v>
      </c>
      <c r="DM486" s="2" t="n">
        <v>79.09</v>
      </c>
      <c r="DN486" s="2" t="n">
        <v>83.66</v>
      </c>
      <c r="DO486" s="2" t="n">
        <v>0</v>
      </c>
      <c r="DP486" s="2" t="n">
        <v>88.2</v>
      </c>
      <c r="DQ486" s="2" t="n">
        <v>92.88</v>
      </c>
      <c r="DR486" s="2" t="n">
        <v>0</v>
      </c>
      <c r="DS486" s="2" t="n">
        <v>96.2</v>
      </c>
      <c r="DT486" s="2" t="n">
        <v>97.19</v>
      </c>
      <c r="DU486" s="2" t="n">
        <v>0</v>
      </c>
      <c r="DV486" s="2" t="n">
        <v>97.19</v>
      </c>
      <c r="DW486" s="2" t="n">
        <v>97.55</v>
      </c>
      <c r="DX486" s="2" t="n">
        <v>0</v>
      </c>
      <c r="DY486" s="2" t="n">
        <v>100</v>
      </c>
      <c r="DZ486" s="2" t="n">
        <v>100</v>
      </c>
      <c r="EA486" s="2" t="n">
        <v>0</v>
      </c>
      <c r="EB486" s="2" t="n">
        <v>100</v>
      </c>
      <c r="EC486" s="2" t="n">
        <v>100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</row>
    <row r="487">
      <c r="A487" s="2" t="n">
        <v>3</v>
      </c>
      <c r="B487" s="2" t="inlineStr">
        <is>
          <t>20.02.06</t>
        </is>
      </c>
      <c r="C487" s="2" t="inlineStr">
        <is>
          <t>Tubulação E Caixas em Lajes</t>
        </is>
      </c>
      <c r="D487" s="2" t="inlineStr">
        <is>
          <t>30/04/2027</t>
        </is>
      </c>
      <c r="E487" s="2" t="inlineStr">
        <is>
          <t>22/05/2028</t>
        </is>
      </c>
      <c r="F487" s="2" t="n">
        <v>609750.4</v>
      </c>
      <c r="G487" s="2" t="n">
        <v>0</v>
      </c>
      <c r="H487" s="2" t="n">
        <v>609750.4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0.27</v>
      </c>
      <c r="BY487" s="2" t="n">
        <v>0</v>
      </c>
      <c r="BZ487" s="2" t="n">
        <v>4.27</v>
      </c>
      <c r="CA487" s="2" t="n">
        <v>5.6</v>
      </c>
      <c r="CB487" s="2" t="n">
        <v>0</v>
      </c>
      <c r="CC487" s="2" t="n">
        <v>10.14</v>
      </c>
      <c r="CD487" s="2" t="n">
        <v>12.11</v>
      </c>
      <c r="CE487" s="2" t="n">
        <v>0</v>
      </c>
      <c r="CF487" s="2" t="n">
        <v>21.66</v>
      </c>
      <c r="CG487" s="2" t="n">
        <v>27.46</v>
      </c>
      <c r="CH487" s="2" t="n">
        <v>0</v>
      </c>
      <c r="CI487" s="2" t="n">
        <v>37.69</v>
      </c>
      <c r="CJ487" s="2" t="n">
        <v>40.57</v>
      </c>
      <c r="CK487" s="2" t="n">
        <v>0</v>
      </c>
      <c r="CL487" s="2" t="n">
        <v>45.97</v>
      </c>
      <c r="CM487" s="2" t="n">
        <v>51.56</v>
      </c>
      <c r="CN487" s="2" t="n">
        <v>0</v>
      </c>
      <c r="CO487" s="2" t="n">
        <v>56.13</v>
      </c>
      <c r="CP487" s="2" t="n">
        <v>58.76</v>
      </c>
      <c r="CQ487" s="2" t="n">
        <v>0</v>
      </c>
      <c r="CR487" s="2" t="n">
        <v>62.92</v>
      </c>
      <c r="CS487" s="2" t="n">
        <v>68.47</v>
      </c>
      <c r="CT487" s="2" t="n">
        <v>0</v>
      </c>
      <c r="CU487" s="2" t="n">
        <v>70.84999999999999</v>
      </c>
      <c r="CV487" s="2" t="n">
        <v>75.25</v>
      </c>
      <c r="CW487" s="2" t="n">
        <v>0</v>
      </c>
      <c r="CX487" s="2" t="n">
        <v>80.23</v>
      </c>
      <c r="CY487" s="2" t="n">
        <v>84.29000000000001</v>
      </c>
      <c r="CZ487" s="2" t="n">
        <v>0</v>
      </c>
      <c r="DA487" s="2" t="n">
        <v>88.77</v>
      </c>
      <c r="DB487" s="2" t="n">
        <v>93.52</v>
      </c>
      <c r="DC487" s="2" t="n">
        <v>0</v>
      </c>
      <c r="DD487" s="2" t="n">
        <v>96.23</v>
      </c>
      <c r="DE487" s="2" t="n">
        <v>96.58</v>
      </c>
      <c r="DF487" s="2" t="n">
        <v>0</v>
      </c>
      <c r="DG487" s="2" t="n">
        <v>96.54000000000001</v>
      </c>
      <c r="DH487" s="2" t="n">
        <v>97.19</v>
      </c>
      <c r="DI487" s="2" t="n">
        <v>0</v>
      </c>
      <c r="DJ487" s="2" t="n">
        <v>99.70999999999999</v>
      </c>
      <c r="DK487" s="2" t="n">
        <v>100</v>
      </c>
      <c r="DL487" s="2" t="n">
        <v>0</v>
      </c>
      <c r="DM487" s="2" t="n">
        <v>100</v>
      </c>
      <c r="DN487" s="2" t="n">
        <v>100</v>
      </c>
      <c r="DO487" s="2" t="n">
        <v>0</v>
      </c>
      <c r="DP487" s="2" t="n">
        <v>100</v>
      </c>
      <c r="DQ487" s="2" t="n">
        <v>100</v>
      </c>
      <c r="DR487" s="2" t="n">
        <v>0</v>
      </c>
      <c r="DS487" s="2" t="n">
        <v>100</v>
      </c>
      <c r="DT487" s="2" t="n">
        <v>100</v>
      </c>
      <c r="DU487" s="2" t="n">
        <v>0</v>
      </c>
      <c r="DV487" s="2" t="n">
        <v>100</v>
      </c>
      <c r="DW487" s="2" t="n">
        <v>100</v>
      </c>
      <c r="DX487" s="2" t="n">
        <v>0</v>
      </c>
      <c r="DY487" s="2" t="n">
        <v>100</v>
      </c>
      <c r="DZ487" s="2" t="n">
        <v>100</v>
      </c>
      <c r="EA487" s="2" t="n">
        <v>0</v>
      </c>
      <c r="EB487" s="2" t="n">
        <v>100</v>
      </c>
      <c r="EC487" s="2" t="n">
        <v>100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</row>
    <row r="488">
      <c r="A488" s="2" t="n">
        <v>3</v>
      </c>
      <c r="B488" s="2" t="inlineStr">
        <is>
          <t>20.02.07</t>
        </is>
      </c>
      <c r="C488" s="2" t="inlineStr">
        <is>
          <t>Tubulação E Caixas em Paredes</t>
        </is>
      </c>
      <c r="D488" s="2" t="inlineStr">
        <is>
          <t>30/04/2027</t>
        </is>
      </c>
      <c r="E488" s="2" t="inlineStr">
        <is>
          <t>22/05/2028</t>
        </is>
      </c>
      <c r="F488" s="2" t="n">
        <v>681293.2</v>
      </c>
      <c r="G488" s="2" t="n">
        <v>0</v>
      </c>
      <c r="H488" s="2" t="n">
        <v>681293.2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0.27</v>
      </c>
      <c r="BY488" s="2" t="n">
        <v>0</v>
      </c>
      <c r="BZ488" s="2" t="n">
        <v>4.27</v>
      </c>
      <c r="CA488" s="2" t="n">
        <v>5.6</v>
      </c>
      <c r="CB488" s="2" t="n">
        <v>0</v>
      </c>
      <c r="CC488" s="2" t="n">
        <v>10.14</v>
      </c>
      <c r="CD488" s="2" t="n">
        <v>12.11</v>
      </c>
      <c r="CE488" s="2" t="n">
        <v>0</v>
      </c>
      <c r="CF488" s="2" t="n">
        <v>21.66</v>
      </c>
      <c r="CG488" s="2" t="n">
        <v>27.46</v>
      </c>
      <c r="CH488" s="2" t="n">
        <v>0</v>
      </c>
      <c r="CI488" s="2" t="n">
        <v>37.69</v>
      </c>
      <c r="CJ488" s="2" t="n">
        <v>40.57</v>
      </c>
      <c r="CK488" s="2" t="n">
        <v>0</v>
      </c>
      <c r="CL488" s="2" t="n">
        <v>45.97</v>
      </c>
      <c r="CM488" s="2" t="n">
        <v>51.56</v>
      </c>
      <c r="CN488" s="2" t="n">
        <v>0</v>
      </c>
      <c r="CO488" s="2" t="n">
        <v>56.13</v>
      </c>
      <c r="CP488" s="2" t="n">
        <v>58.76</v>
      </c>
      <c r="CQ488" s="2" t="n">
        <v>0</v>
      </c>
      <c r="CR488" s="2" t="n">
        <v>62.92</v>
      </c>
      <c r="CS488" s="2" t="n">
        <v>68.47</v>
      </c>
      <c r="CT488" s="2" t="n">
        <v>0</v>
      </c>
      <c r="CU488" s="2" t="n">
        <v>70.84999999999999</v>
      </c>
      <c r="CV488" s="2" t="n">
        <v>75.25</v>
      </c>
      <c r="CW488" s="2" t="n">
        <v>0</v>
      </c>
      <c r="CX488" s="2" t="n">
        <v>80.23</v>
      </c>
      <c r="CY488" s="2" t="n">
        <v>84.29000000000001</v>
      </c>
      <c r="CZ488" s="2" t="n">
        <v>0</v>
      </c>
      <c r="DA488" s="2" t="n">
        <v>88.77</v>
      </c>
      <c r="DB488" s="2" t="n">
        <v>93.52</v>
      </c>
      <c r="DC488" s="2" t="n">
        <v>0</v>
      </c>
      <c r="DD488" s="2" t="n">
        <v>96.23</v>
      </c>
      <c r="DE488" s="2" t="n">
        <v>96.58</v>
      </c>
      <c r="DF488" s="2" t="n">
        <v>0</v>
      </c>
      <c r="DG488" s="2" t="n">
        <v>96.54000000000001</v>
      </c>
      <c r="DH488" s="2" t="n">
        <v>97.19</v>
      </c>
      <c r="DI488" s="2" t="n">
        <v>0</v>
      </c>
      <c r="DJ488" s="2" t="n">
        <v>99.70999999999999</v>
      </c>
      <c r="DK488" s="2" t="n">
        <v>100</v>
      </c>
      <c r="DL488" s="2" t="n">
        <v>0</v>
      </c>
      <c r="DM488" s="2" t="n">
        <v>100</v>
      </c>
      <c r="DN488" s="2" t="n">
        <v>100</v>
      </c>
      <c r="DO488" s="2" t="n">
        <v>0</v>
      </c>
      <c r="DP488" s="2" t="n">
        <v>100</v>
      </c>
      <c r="DQ488" s="2" t="n">
        <v>100</v>
      </c>
      <c r="DR488" s="2" t="n">
        <v>0</v>
      </c>
      <c r="DS488" s="2" t="n">
        <v>100</v>
      </c>
      <c r="DT488" s="2" t="n">
        <v>100</v>
      </c>
      <c r="DU488" s="2" t="n">
        <v>0</v>
      </c>
      <c r="DV488" s="2" t="n">
        <v>100</v>
      </c>
      <c r="DW488" s="2" t="n">
        <v>100</v>
      </c>
      <c r="DX488" s="2" t="n">
        <v>0</v>
      </c>
      <c r="DY488" s="2" t="n">
        <v>100</v>
      </c>
      <c r="DZ488" s="2" t="n">
        <v>100</v>
      </c>
      <c r="EA488" s="2" t="n">
        <v>0</v>
      </c>
      <c r="EB488" s="2" t="n">
        <v>100</v>
      </c>
      <c r="EC488" s="2" t="n">
        <v>100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</row>
    <row r="489">
      <c r="A489" s="2" t="n">
        <v>3</v>
      </c>
      <c r="B489" s="2" t="inlineStr">
        <is>
          <t>20.02.08</t>
        </is>
      </c>
      <c r="C489" s="2" t="inlineStr">
        <is>
          <t>Tomadas, Interruptores e Sensores</t>
        </is>
      </c>
      <c r="D489" s="2" t="inlineStr">
        <is>
          <t>07/04/2028</t>
        </is>
      </c>
      <c r="E489" s="2" t="inlineStr">
        <is>
          <t>12/03/2029</t>
        </is>
      </c>
      <c r="F489" s="2" t="n">
        <v>752836.0000000001</v>
      </c>
      <c r="G489" s="2" t="n">
        <v>0</v>
      </c>
      <c r="H489" s="2" t="n">
        <v>752836.0000000001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0</v>
      </c>
      <c r="CM489" s="2" t="n">
        <v>0</v>
      </c>
      <c r="CN489" s="2" t="n">
        <v>0</v>
      </c>
      <c r="CO489" s="2" t="n">
        <v>0</v>
      </c>
      <c r="CP489" s="2" t="n">
        <v>0</v>
      </c>
      <c r="CQ489" s="2" t="n">
        <v>0</v>
      </c>
      <c r="CR489" s="2" t="n">
        <v>0</v>
      </c>
      <c r="CS489" s="2" t="n">
        <v>0</v>
      </c>
      <c r="CT489" s="2" t="n">
        <v>0</v>
      </c>
      <c r="CU489" s="2" t="n">
        <v>0</v>
      </c>
      <c r="CV489" s="2" t="n">
        <v>0</v>
      </c>
      <c r="CW489" s="2" t="n">
        <v>0</v>
      </c>
      <c r="CX489" s="2" t="n">
        <v>0</v>
      </c>
      <c r="CY489" s="2" t="n">
        <v>0</v>
      </c>
      <c r="CZ489" s="2" t="n">
        <v>0</v>
      </c>
      <c r="DA489" s="2" t="n">
        <v>0</v>
      </c>
      <c r="DB489" s="2" t="n">
        <v>0</v>
      </c>
      <c r="DC489" s="2" t="n">
        <v>0</v>
      </c>
      <c r="DD489" s="2" t="n">
        <v>0</v>
      </c>
      <c r="DE489" s="2" t="n">
        <v>0</v>
      </c>
      <c r="DF489" s="2" t="n">
        <v>0</v>
      </c>
      <c r="DG489" s="2" t="n">
        <v>2.39</v>
      </c>
      <c r="DH489" s="2" t="n">
        <v>3.71</v>
      </c>
      <c r="DI489" s="2" t="n">
        <v>0</v>
      </c>
      <c r="DJ489" s="2" t="n">
        <v>16.03</v>
      </c>
      <c r="DK489" s="2" t="n">
        <v>18.33</v>
      </c>
      <c r="DL489" s="2" t="n">
        <v>0</v>
      </c>
      <c r="DM489" s="2" t="n">
        <v>24.27</v>
      </c>
      <c r="DN489" s="2" t="n">
        <v>25.65</v>
      </c>
      <c r="DO489" s="2" t="n">
        <v>0</v>
      </c>
      <c r="DP489" s="2" t="n">
        <v>30.78</v>
      </c>
      <c r="DQ489" s="2" t="n">
        <v>32.15</v>
      </c>
      <c r="DR489" s="2" t="n">
        <v>0</v>
      </c>
      <c r="DS489" s="2" t="n">
        <v>37.28</v>
      </c>
      <c r="DT489" s="2" t="n">
        <v>38.62</v>
      </c>
      <c r="DU489" s="2" t="n">
        <v>0</v>
      </c>
      <c r="DV489" s="2" t="n">
        <v>43.25</v>
      </c>
      <c r="DW489" s="2" t="n">
        <v>44.97</v>
      </c>
      <c r="DX489" s="2" t="n">
        <v>0</v>
      </c>
      <c r="DY489" s="2" t="n">
        <v>49.63</v>
      </c>
      <c r="DZ489" s="2" t="n">
        <v>57.21</v>
      </c>
      <c r="EA489" s="2" t="n">
        <v>0</v>
      </c>
      <c r="EB489" s="2" t="n">
        <v>60.93</v>
      </c>
      <c r="EC489" s="2" t="n">
        <v>66.06</v>
      </c>
      <c r="ED489" s="2" t="n">
        <v>0</v>
      </c>
      <c r="EE489" s="2" t="n">
        <v>65.58</v>
      </c>
      <c r="EF489" s="2" t="n">
        <v>73.8</v>
      </c>
      <c r="EG489" s="2" t="n">
        <v>0</v>
      </c>
      <c r="EH489" s="2" t="n">
        <v>79.70999999999999</v>
      </c>
      <c r="EI489" s="2" t="n">
        <v>88.19</v>
      </c>
      <c r="EJ489" s="2" t="n">
        <v>0</v>
      </c>
      <c r="EK489" s="2" t="n">
        <v>91.89</v>
      </c>
      <c r="EL489" s="2" t="n">
        <v>99.55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</row>
    <row r="490">
      <c r="A490" s="2" t="n">
        <v>3</v>
      </c>
      <c r="B490" s="2" t="inlineStr">
        <is>
          <t>20.02.09</t>
        </is>
      </c>
      <c r="C490" s="2" t="inlineStr">
        <is>
          <t>Placas e acabamentos</t>
        </is>
      </c>
      <c r="D490" s="2" t="inlineStr">
        <is>
          <t>07/04/2028</t>
        </is>
      </c>
      <c r="E490" s="2" t="inlineStr">
        <is>
          <t>12/03/2029</t>
        </is>
      </c>
      <c r="F490" s="2" t="n">
        <v>609750.4</v>
      </c>
      <c r="G490" s="2" t="n">
        <v>0</v>
      </c>
      <c r="H490" s="2" t="n">
        <v>609750.4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0</v>
      </c>
      <c r="CM490" s="2" t="n">
        <v>0</v>
      </c>
      <c r="CN490" s="2" t="n">
        <v>0</v>
      </c>
      <c r="CO490" s="2" t="n">
        <v>0</v>
      </c>
      <c r="CP490" s="2" t="n">
        <v>0</v>
      </c>
      <c r="CQ490" s="2" t="n">
        <v>0</v>
      </c>
      <c r="CR490" s="2" t="n">
        <v>0</v>
      </c>
      <c r="CS490" s="2" t="n">
        <v>0</v>
      </c>
      <c r="CT490" s="2" t="n">
        <v>0</v>
      </c>
      <c r="CU490" s="2" t="n">
        <v>0</v>
      </c>
      <c r="CV490" s="2" t="n">
        <v>0</v>
      </c>
      <c r="CW490" s="2" t="n">
        <v>0</v>
      </c>
      <c r="CX490" s="2" t="n">
        <v>0</v>
      </c>
      <c r="CY490" s="2" t="n">
        <v>0</v>
      </c>
      <c r="CZ490" s="2" t="n">
        <v>0</v>
      </c>
      <c r="DA490" s="2" t="n">
        <v>0</v>
      </c>
      <c r="DB490" s="2" t="n">
        <v>0</v>
      </c>
      <c r="DC490" s="2" t="n">
        <v>0</v>
      </c>
      <c r="DD490" s="2" t="n">
        <v>0</v>
      </c>
      <c r="DE490" s="2" t="n">
        <v>0</v>
      </c>
      <c r="DF490" s="2" t="n">
        <v>0</v>
      </c>
      <c r="DG490" s="2" t="n">
        <v>2.39</v>
      </c>
      <c r="DH490" s="2" t="n">
        <v>3.71</v>
      </c>
      <c r="DI490" s="2" t="n">
        <v>0</v>
      </c>
      <c r="DJ490" s="2" t="n">
        <v>16.03</v>
      </c>
      <c r="DK490" s="2" t="n">
        <v>18.33</v>
      </c>
      <c r="DL490" s="2" t="n">
        <v>0</v>
      </c>
      <c r="DM490" s="2" t="n">
        <v>24.27</v>
      </c>
      <c r="DN490" s="2" t="n">
        <v>25.65</v>
      </c>
      <c r="DO490" s="2" t="n">
        <v>0</v>
      </c>
      <c r="DP490" s="2" t="n">
        <v>30.78</v>
      </c>
      <c r="DQ490" s="2" t="n">
        <v>32.15</v>
      </c>
      <c r="DR490" s="2" t="n">
        <v>0</v>
      </c>
      <c r="DS490" s="2" t="n">
        <v>37.28</v>
      </c>
      <c r="DT490" s="2" t="n">
        <v>38.62</v>
      </c>
      <c r="DU490" s="2" t="n">
        <v>0</v>
      </c>
      <c r="DV490" s="2" t="n">
        <v>43.25</v>
      </c>
      <c r="DW490" s="2" t="n">
        <v>44.97</v>
      </c>
      <c r="DX490" s="2" t="n">
        <v>0</v>
      </c>
      <c r="DY490" s="2" t="n">
        <v>49.63</v>
      </c>
      <c r="DZ490" s="2" t="n">
        <v>57.21</v>
      </c>
      <c r="EA490" s="2" t="n">
        <v>0</v>
      </c>
      <c r="EB490" s="2" t="n">
        <v>60.93</v>
      </c>
      <c r="EC490" s="2" t="n">
        <v>66.06</v>
      </c>
      <c r="ED490" s="2" t="n">
        <v>0</v>
      </c>
      <c r="EE490" s="2" t="n">
        <v>65.58</v>
      </c>
      <c r="EF490" s="2" t="n">
        <v>73.8</v>
      </c>
      <c r="EG490" s="2" t="n">
        <v>0</v>
      </c>
      <c r="EH490" s="2" t="n">
        <v>79.70999999999999</v>
      </c>
      <c r="EI490" s="2" t="n">
        <v>88.19</v>
      </c>
      <c r="EJ490" s="2" t="n">
        <v>0</v>
      </c>
      <c r="EK490" s="2" t="n">
        <v>91.89</v>
      </c>
      <c r="EL490" s="2" t="n">
        <v>99.55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</row>
    <row r="491">
      <c r="A491" s="2" t="n">
        <v>3</v>
      </c>
      <c r="B491" s="2" t="inlineStr">
        <is>
          <t>20.02.10</t>
        </is>
      </c>
      <c r="C491" s="2" t="inlineStr">
        <is>
          <t>Luminotécnico</t>
        </is>
      </c>
      <c r="D491" s="2" t="inlineStr">
        <is>
          <t>07/04/2028</t>
        </is>
      </c>
      <c r="E491" s="2" t="inlineStr">
        <is>
          <t>12/03/2029</t>
        </is>
      </c>
      <c r="F491" s="2" t="n">
        <v>925848</v>
      </c>
      <c r="G491" s="2" t="n">
        <v>0</v>
      </c>
      <c r="H491" s="2" t="n">
        <v>925848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0</v>
      </c>
      <c r="CM491" s="2" t="n">
        <v>0</v>
      </c>
      <c r="CN491" s="2" t="n">
        <v>0</v>
      </c>
      <c r="CO491" s="2" t="n">
        <v>0</v>
      </c>
      <c r="CP491" s="2" t="n">
        <v>0</v>
      </c>
      <c r="CQ491" s="2" t="n">
        <v>0</v>
      </c>
      <c r="CR491" s="2" t="n">
        <v>0</v>
      </c>
      <c r="CS491" s="2" t="n">
        <v>0</v>
      </c>
      <c r="CT491" s="2" t="n">
        <v>0</v>
      </c>
      <c r="CU491" s="2" t="n">
        <v>0</v>
      </c>
      <c r="CV491" s="2" t="n">
        <v>0</v>
      </c>
      <c r="CW491" s="2" t="n">
        <v>0</v>
      </c>
      <c r="CX491" s="2" t="n">
        <v>0</v>
      </c>
      <c r="CY491" s="2" t="n">
        <v>0</v>
      </c>
      <c r="CZ491" s="2" t="n">
        <v>0</v>
      </c>
      <c r="DA491" s="2" t="n">
        <v>0</v>
      </c>
      <c r="DB491" s="2" t="n">
        <v>0</v>
      </c>
      <c r="DC491" s="2" t="n">
        <v>0</v>
      </c>
      <c r="DD491" s="2" t="n">
        <v>0</v>
      </c>
      <c r="DE491" s="2" t="n">
        <v>0</v>
      </c>
      <c r="DF491" s="2" t="n">
        <v>0</v>
      </c>
      <c r="DG491" s="2" t="n">
        <v>2.39</v>
      </c>
      <c r="DH491" s="2" t="n">
        <v>3.71</v>
      </c>
      <c r="DI491" s="2" t="n">
        <v>0</v>
      </c>
      <c r="DJ491" s="2" t="n">
        <v>16.03</v>
      </c>
      <c r="DK491" s="2" t="n">
        <v>18.33</v>
      </c>
      <c r="DL491" s="2" t="n">
        <v>0</v>
      </c>
      <c r="DM491" s="2" t="n">
        <v>24.27</v>
      </c>
      <c r="DN491" s="2" t="n">
        <v>25.65</v>
      </c>
      <c r="DO491" s="2" t="n">
        <v>0</v>
      </c>
      <c r="DP491" s="2" t="n">
        <v>30.78</v>
      </c>
      <c r="DQ491" s="2" t="n">
        <v>32.15</v>
      </c>
      <c r="DR491" s="2" t="n">
        <v>0</v>
      </c>
      <c r="DS491" s="2" t="n">
        <v>37.28</v>
      </c>
      <c r="DT491" s="2" t="n">
        <v>38.62</v>
      </c>
      <c r="DU491" s="2" t="n">
        <v>0</v>
      </c>
      <c r="DV491" s="2" t="n">
        <v>43.25</v>
      </c>
      <c r="DW491" s="2" t="n">
        <v>44.97</v>
      </c>
      <c r="DX491" s="2" t="n">
        <v>0</v>
      </c>
      <c r="DY491" s="2" t="n">
        <v>49.63</v>
      </c>
      <c r="DZ491" s="2" t="n">
        <v>57.21</v>
      </c>
      <c r="EA491" s="2" t="n">
        <v>0</v>
      </c>
      <c r="EB491" s="2" t="n">
        <v>60.93</v>
      </c>
      <c r="EC491" s="2" t="n">
        <v>66.06</v>
      </c>
      <c r="ED491" s="2" t="n">
        <v>0</v>
      </c>
      <c r="EE491" s="2" t="n">
        <v>65.58</v>
      </c>
      <c r="EF491" s="2" t="n">
        <v>73.8</v>
      </c>
      <c r="EG491" s="2" t="n">
        <v>0</v>
      </c>
      <c r="EH491" s="2" t="n">
        <v>79.70999999999999</v>
      </c>
      <c r="EI491" s="2" t="n">
        <v>88.19</v>
      </c>
      <c r="EJ491" s="2" t="n">
        <v>0</v>
      </c>
      <c r="EK491" s="2" t="n">
        <v>91.89</v>
      </c>
      <c r="EL491" s="2" t="n">
        <v>99.55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</row>
    <row r="492">
      <c r="A492" s="2" t="n">
        <v>2</v>
      </c>
      <c r="B492" s="2" t="inlineStr">
        <is>
          <t>20.03</t>
        </is>
      </c>
      <c r="C492" s="2" t="inlineStr">
        <is>
          <t>Instalações elétricas complementares</t>
        </is>
      </c>
      <c r="D492" s="2" t="inlineStr">
        <is>
          <t>01/10/2027</t>
        </is>
      </c>
      <c r="E492" s="2" t="inlineStr">
        <is>
          <t>26/10/2028</t>
        </is>
      </c>
      <c r="F492" s="2" t="n">
        <v>2104200</v>
      </c>
      <c r="G492" s="2" t="n">
        <v>0</v>
      </c>
      <c r="H492" s="2" t="n">
        <v>2104200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0</v>
      </c>
      <c r="CM492" s="2" t="n">
        <v>0</v>
      </c>
      <c r="CN492" s="2" t="n">
        <v>0</v>
      </c>
      <c r="CO492" s="2" t="n">
        <v>3.12</v>
      </c>
      <c r="CP492" s="2" t="n">
        <v>4.29</v>
      </c>
      <c r="CQ492" s="2" t="n">
        <v>0</v>
      </c>
      <c r="CR492" s="2" t="n">
        <v>7.41</v>
      </c>
      <c r="CS492" s="2" t="n">
        <v>13.68</v>
      </c>
      <c r="CT492" s="2" t="n">
        <v>0</v>
      </c>
      <c r="CU492" s="2" t="n">
        <v>16.02</v>
      </c>
      <c r="CV492" s="2" t="n">
        <v>17.18</v>
      </c>
      <c r="CW492" s="2" t="n">
        <v>0</v>
      </c>
      <c r="CX492" s="2" t="n">
        <v>24.36</v>
      </c>
      <c r="CY492" s="2" t="n">
        <v>29.88</v>
      </c>
      <c r="CZ492" s="2" t="n">
        <v>0</v>
      </c>
      <c r="DA492" s="2" t="n">
        <v>36.99</v>
      </c>
      <c r="DB492" s="2" t="n">
        <v>38.98</v>
      </c>
      <c r="DC492" s="2" t="n">
        <v>0</v>
      </c>
      <c r="DD492" s="2" t="n">
        <v>42.88</v>
      </c>
      <c r="DE492" s="2" t="n">
        <v>47.62</v>
      </c>
      <c r="DF492" s="2" t="n">
        <v>0</v>
      </c>
      <c r="DG492" s="2" t="n">
        <v>49.33</v>
      </c>
      <c r="DH492" s="2" t="n">
        <v>53.05</v>
      </c>
      <c r="DI492" s="2" t="n">
        <v>0</v>
      </c>
      <c r="DJ492" s="2" t="n">
        <v>57.43</v>
      </c>
      <c r="DK492" s="2" t="n">
        <v>59.93</v>
      </c>
      <c r="DL492" s="2" t="n">
        <v>0</v>
      </c>
      <c r="DM492" s="2" t="n">
        <v>63.97</v>
      </c>
      <c r="DN492" s="2" t="n">
        <v>68.43000000000001</v>
      </c>
      <c r="DO492" s="2" t="n">
        <v>0</v>
      </c>
      <c r="DP492" s="2" t="n">
        <v>71.93000000000001</v>
      </c>
      <c r="DQ492" s="2" t="n">
        <v>73.13</v>
      </c>
      <c r="DR492" s="2" t="n">
        <v>0</v>
      </c>
      <c r="DS492" s="2" t="n">
        <v>88.06999999999999</v>
      </c>
      <c r="DT492" s="2" t="n">
        <v>92.63</v>
      </c>
      <c r="DU492" s="2" t="n">
        <v>0</v>
      </c>
      <c r="DV492" s="2" t="n">
        <v>92.67</v>
      </c>
      <c r="DW492" s="2" t="n">
        <v>94.98999999999999</v>
      </c>
      <c r="DX492" s="2" t="n">
        <v>0</v>
      </c>
      <c r="DY492" s="2" t="n">
        <v>97.06</v>
      </c>
      <c r="DZ492" s="2" t="n">
        <v>100</v>
      </c>
      <c r="EA492" s="2" t="n">
        <v>0</v>
      </c>
      <c r="EB492" s="2" t="n">
        <v>100</v>
      </c>
      <c r="EC492" s="2" t="n">
        <v>100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</row>
    <row r="493">
      <c r="A493" s="2" t="n">
        <v>3</v>
      </c>
      <c r="B493" s="2" t="inlineStr">
        <is>
          <t>20.03.01</t>
        </is>
      </c>
      <c r="C493" s="2" t="inlineStr">
        <is>
          <t>SPDA</t>
        </is>
      </c>
      <c r="D493" s="2" t="inlineStr">
        <is>
          <t>03/08/2028</t>
        </is>
      </c>
      <c r="E493" s="2" t="inlineStr">
        <is>
          <t>21/08/2028</t>
        </is>
      </c>
      <c r="F493" s="2" t="n">
        <v>336672</v>
      </c>
      <c r="G493" s="2" t="n">
        <v>0</v>
      </c>
      <c r="H493" s="2" t="n">
        <v>336672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0</v>
      </c>
      <c r="CM493" s="2" t="n">
        <v>0</v>
      </c>
      <c r="CN493" s="2" t="n">
        <v>0</v>
      </c>
      <c r="CO493" s="2" t="n">
        <v>0</v>
      </c>
      <c r="CP493" s="2" t="n">
        <v>0</v>
      </c>
      <c r="CQ493" s="2" t="n">
        <v>0</v>
      </c>
      <c r="CR493" s="2" t="n">
        <v>0</v>
      </c>
      <c r="CS493" s="2" t="n">
        <v>0</v>
      </c>
      <c r="CT493" s="2" t="n">
        <v>0</v>
      </c>
      <c r="CU493" s="2" t="n">
        <v>0</v>
      </c>
      <c r="CV493" s="2" t="n">
        <v>0</v>
      </c>
      <c r="CW493" s="2" t="n">
        <v>0</v>
      </c>
      <c r="CX493" s="2" t="n">
        <v>0</v>
      </c>
      <c r="CY493" s="2" t="n">
        <v>0</v>
      </c>
      <c r="CZ493" s="2" t="n">
        <v>0</v>
      </c>
      <c r="DA493" s="2" t="n">
        <v>0</v>
      </c>
      <c r="DB493" s="2" t="n">
        <v>0</v>
      </c>
      <c r="DC493" s="2" t="n">
        <v>0</v>
      </c>
      <c r="DD493" s="2" t="n">
        <v>0</v>
      </c>
      <c r="DE493" s="2" t="n">
        <v>0</v>
      </c>
      <c r="DF493" s="2" t="n">
        <v>0</v>
      </c>
      <c r="DG493" s="2" t="n">
        <v>0</v>
      </c>
      <c r="DH493" s="2" t="n">
        <v>0</v>
      </c>
      <c r="DI493" s="2" t="n">
        <v>0</v>
      </c>
      <c r="DJ493" s="2" t="n">
        <v>0</v>
      </c>
      <c r="DK493" s="2" t="n">
        <v>0</v>
      </c>
      <c r="DL493" s="2" t="n">
        <v>0</v>
      </c>
      <c r="DM493" s="2" t="n">
        <v>0</v>
      </c>
      <c r="DN493" s="2" t="n">
        <v>0</v>
      </c>
      <c r="DO493" s="2" t="n">
        <v>0</v>
      </c>
      <c r="DP493" s="2" t="n">
        <v>0</v>
      </c>
      <c r="DQ493" s="2" t="n">
        <v>0</v>
      </c>
      <c r="DR493" s="2" t="n">
        <v>0</v>
      </c>
      <c r="DS493" s="2" t="n">
        <v>76.27</v>
      </c>
      <c r="DT493" s="2" t="n">
        <v>100</v>
      </c>
      <c r="DU493" s="2" t="n">
        <v>0</v>
      </c>
      <c r="DV493" s="2" t="n">
        <v>100</v>
      </c>
      <c r="DW493" s="2" t="n">
        <v>100</v>
      </c>
      <c r="DX493" s="2" t="n">
        <v>0</v>
      </c>
      <c r="DY493" s="2" t="n">
        <v>100</v>
      </c>
      <c r="DZ493" s="2" t="n">
        <v>100</v>
      </c>
      <c r="EA493" s="2" t="n">
        <v>0</v>
      </c>
      <c r="EB493" s="2" t="n">
        <v>100</v>
      </c>
      <c r="EC493" s="2" t="n">
        <v>100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</row>
    <row r="494">
      <c r="A494" s="2" t="n">
        <v>3</v>
      </c>
      <c r="B494" s="2" t="inlineStr">
        <is>
          <t>20.03.02</t>
        </is>
      </c>
      <c r="C494" s="2" t="inlineStr">
        <is>
          <t>Automação</t>
        </is>
      </c>
      <c r="D494" s="2" t="inlineStr">
        <is>
          <t>01/10/2027</t>
        </is>
      </c>
      <c r="E494" s="2" t="inlineStr">
        <is>
          <t>26/10/2028</t>
        </is>
      </c>
      <c r="F494" s="2" t="n">
        <v>378756</v>
      </c>
      <c r="G494" s="2" t="n">
        <v>0</v>
      </c>
      <c r="H494" s="2" t="n">
        <v>378756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</v>
      </c>
      <c r="BI494" s="2" t="n">
        <v>0</v>
      </c>
      <c r="BJ494" s="2" t="n">
        <v>0</v>
      </c>
      <c r="BK494" s="2" t="n">
        <v>0</v>
      </c>
      <c r="BL494" s="2" t="n">
        <v>0</v>
      </c>
      <c r="BM494" s="2" t="n">
        <v>0</v>
      </c>
      <c r="BN494" s="2" t="n">
        <v>0</v>
      </c>
      <c r="BO494" s="2" t="n">
        <v>0</v>
      </c>
      <c r="BP494" s="2" t="n">
        <v>0</v>
      </c>
      <c r="BQ494" s="2" t="n">
        <v>0</v>
      </c>
      <c r="BR494" s="2" t="n">
        <v>0</v>
      </c>
      <c r="BS494" s="2" t="n">
        <v>0</v>
      </c>
      <c r="BT494" s="2" t="n">
        <v>0</v>
      </c>
      <c r="BU494" s="2" t="n">
        <v>0</v>
      </c>
      <c r="BV494" s="2" t="n">
        <v>0</v>
      </c>
      <c r="BW494" s="2" t="n">
        <v>0</v>
      </c>
      <c r="BX494" s="2" t="n">
        <v>0</v>
      </c>
      <c r="BY494" s="2" t="n">
        <v>0</v>
      </c>
      <c r="BZ494" s="2" t="n">
        <v>0</v>
      </c>
      <c r="CA494" s="2" t="n">
        <v>0</v>
      </c>
      <c r="CB494" s="2" t="n">
        <v>0</v>
      </c>
      <c r="CC494" s="2" t="n">
        <v>0</v>
      </c>
      <c r="CD494" s="2" t="n">
        <v>0</v>
      </c>
      <c r="CE494" s="2" t="n">
        <v>0</v>
      </c>
      <c r="CF494" s="2" t="n">
        <v>0</v>
      </c>
      <c r="CG494" s="2" t="n">
        <v>0</v>
      </c>
      <c r="CH494" s="2" t="n">
        <v>0</v>
      </c>
      <c r="CI494" s="2" t="n">
        <v>0</v>
      </c>
      <c r="CJ494" s="2" t="n">
        <v>0</v>
      </c>
      <c r="CK494" s="2" t="n">
        <v>0</v>
      </c>
      <c r="CL494" s="2" t="n">
        <v>0</v>
      </c>
      <c r="CM494" s="2" t="n">
        <v>0</v>
      </c>
      <c r="CN494" s="2" t="n">
        <v>0</v>
      </c>
      <c r="CO494" s="2" t="n">
        <v>3.71</v>
      </c>
      <c r="CP494" s="2" t="n">
        <v>5.1</v>
      </c>
      <c r="CQ494" s="2" t="n">
        <v>0</v>
      </c>
      <c r="CR494" s="2" t="n">
        <v>8.82</v>
      </c>
      <c r="CS494" s="2" t="n">
        <v>16.28</v>
      </c>
      <c r="CT494" s="2" t="n">
        <v>0</v>
      </c>
      <c r="CU494" s="2" t="n">
        <v>19.07</v>
      </c>
      <c r="CV494" s="2" t="n">
        <v>20.46</v>
      </c>
      <c r="CW494" s="2" t="n">
        <v>0</v>
      </c>
      <c r="CX494" s="2" t="n">
        <v>29.01</v>
      </c>
      <c r="CY494" s="2" t="n">
        <v>35.57</v>
      </c>
      <c r="CZ494" s="2" t="n">
        <v>0</v>
      </c>
      <c r="DA494" s="2" t="n">
        <v>44.04</v>
      </c>
      <c r="DB494" s="2" t="n">
        <v>46.41</v>
      </c>
      <c r="DC494" s="2" t="n">
        <v>0</v>
      </c>
      <c r="DD494" s="2" t="n">
        <v>51.05</v>
      </c>
      <c r="DE494" s="2" t="n">
        <v>56.69</v>
      </c>
      <c r="DF494" s="2" t="n">
        <v>0</v>
      </c>
      <c r="DG494" s="2" t="n">
        <v>58.73</v>
      </c>
      <c r="DH494" s="2" t="n">
        <v>63.16</v>
      </c>
      <c r="DI494" s="2" t="n">
        <v>0</v>
      </c>
      <c r="DJ494" s="2" t="n">
        <v>68.36</v>
      </c>
      <c r="DK494" s="2" t="n">
        <v>71.34999999999999</v>
      </c>
      <c r="DL494" s="2" t="n">
        <v>0</v>
      </c>
      <c r="DM494" s="2" t="n">
        <v>76.16</v>
      </c>
      <c r="DN494" s="2" t="n">
        <v>81.45999999999999</v>
      </c>
      <c r="DO494" s="2" t="n">
        <v>0</v>
      </c>
      <c r="DP494" s="2" t="n">
        <v>85.63</v>
      </c>
      <c r="DQ494" s="2" t="n">
        <v>87.06</v>
      </c>
      <c r="DR494" s="2" t="n">
        <v>0</v>
      </c>
      <c r="DS494" s="2" t="n">
        <v>90.31999999999999</v>
      </c>
      <c r="DT494" s="2" t="n">
        <v>91.22</v>
      </c>
      <c r="DU494" s="2" t="n">
        <v>0</v>
      </c>
      <c r="DV494" s="2" t="n">
        <v>91.27</v>
      </c>
      <c r="DW494" s="2" t="n">
        <v>94.04000000000001</v>
      </c>
      <c r="DX494" s="2" t="n">
        <v>0</v>
      </c>
      <c r="DY494" s="2" t="n">
        <v>96.5</v>
      </c>
      <c r="DZ494" s="2" t="n">
        <v>100</v>
      </c>
      <c r="EA494" s="2" t="n">
        <v>0</v>
      </c>
      <c r="EB494" s="2" t="n">
        <v>100</v>
      </c>
      <c r="EC494" s="2" t="n">
        <v>100</v>
      </c>
      <c r="ED494" s="2" t="n">
        <v>0</v>
      </c>
      <c r="EE494" s="2" t="n">
        <v>100</v>
      </c>
      <c r="EF494" s="2" t="n">
        <v>100</v>
      </c>
      <c r="EG494" s="2" t="n">
        <v>0</v>
      </c>
      <c r="EH494" s="2" t="n">
        <v>100</v>
      </c>
      <c r="EI494" s="2" t="n">
        <v>100</v>
      </c>
      <c r="EJ494" s="2" t="n">
        <v>0</v>
      </c>
      <c r="EK494" s="2" t="n">
        <v>100</v>
      </c>
      <c r="EL494" s="2" t="n">
        <v>100</v>
      </c>
      <c r="EM494" s="2" t="n">
        <v>0</v>
      </c>
      <c r="EN494" s="2" t="n">
        <v>100</v>
      </c>
      <c r="EO494" s="2" t="n">
        <v>100</v>
      </c>
      <c r="EP494" s="2" t="n">
        <v>0</v>
      </c>
      <c r="EQ494" s="2" t="n">
        <v>100</v>
      </c>
      <c r="ER494" s="2" t="n">
        <v>100</v>
      </c>
      <c r="ES494" s="2" t="n">
        <v>0</v>
      </c>
    </row>
    <row r="495">
      <c r="A495" s="2" t="n">
        <v>3</v>
      </c>
      <c r="B495" s="2" t="inlineStr">
        <is>
          <t>20.03.03</t>
        </is>
      </c>
      <c r="C495" s="2" t="inlineStr">
        <is>
          <t>Telefonia</t>
        </is>
      </c>
      <c r="D495" s="2" t="inlineStr">
        <is>
          <t>01/10/2027</t>
        </is>
      </c>
      <c r="E495" s="2" t="inlineStr">
        <is>
          <t>26/10/2028</t>
        </is>
      </c>
      <c r="F495" s="2" t="n">
        <v>462924</v>
      </c>
      <c r="G495" s="2" t="n">
        <v>0</v>
      </c>
      <c r="H495" s="2" t="n">
        <v>462924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0</v>
      </c>
      <c r="BL495" s="2" t="n">
        <v>0</v>
      </c>
      <c r="BM495" s="2" t="n">
        <v>0</v>
      </c>
      <c r="BN495" s="2" t="n">
        <v>0</v>
      </c>
      <c r="BO495" s="2" t="n">
        <v>0</v>
      </c>
      <c r="BP495" s="2" t="n">
        <v>0</v>
      </c>
      <c r="BQ495" s="2" t="n">
        <v>0</v>
      </c>
      <c r="BR495" s="2" t="n">
        <v>0</v>
      </c>
      <c r="BS495" s="2" t="n">
        <v>0</v>
      </c>
      <c r="BT495" s="2" t="n">
        <v>0</v>
      </c>
      <c r="BU495" s="2" t="n">
        <v>0</v>
      </c>
      <c r="BV495" s="2" t="n">
        <v>0</v>
      </c>
      <c r="BW495" s="2" t="n">
        <v>0</v>
      </c>
      <c r="BX495" s="2" t="n">
        <v>0</v>
      </c>
      <c r="BY495" s="2" t="n">
        <v>0</v>
      </c>
      <c r="BZ495" s="2" t="n">
        <v>0</v>
      </c>
      <c r="CA495" s="2" t="n">
        <v>0</v>
      </c>
      <c r="CB495" s="2" t="n">
        <v>0</v>
      </c>
      <c r="CC495" s="2" t="n">
        <v>0</v>
      </c>
      <c r="CD495" s="2" t="n">
        <v>0</v>
      </c>
      <c r="CE495" s="2" t="n">
        <v>0</v>
      </c>
      <c r="CF495" s="2" t="n">
        <v>0</v>
      </c>
      <c r="CG495" s="2" t="n">
        <v>0</v>
      </c>
      <c r="CH495" s="2" t="n">
        <v>0</v>
      </c>
      <c r="CI495" s="2" t="n">
        <v>0</v>
      </c>
      <c r="CJ495" s="2" t="n">
        <v>0</v>
      </c>
      <c r="CK495" s="2" t="n">
        <v>0</v>
      </c>
      <c r="CL495" s="2" t="n">
        <v>0</v>
      </c>
      <c r="CM495" s="2" t="n">
        <v>0</v>
      </c>
      <c r="CN495" s="2" t="n">
        <v>0</v>
      </c>
      <c r="CO495" s="2" t="n">
        <v>3.71</v>
      </c>
      <c r="CP495" s="2" t="n">
        <v>5.1</v>
      </c>
      <c r="CQ495" s="2" t="n">
        <v>0</v>
      </c>
      <c r="CR495" s="2" t="n">
        <v>8.82</v>
      </c>
      <c r="CS495" s="2" t="n">
        <v>16.28</v>
      </c>
      <c r="CT495" s="2" t="n">
        <v>0</v>
      </c>
      <c r="CU495" s="2" t="n">
        <v>19.07</v>
      </c>
      <c r="CV495" s="2" t="n">
        <v>20.46</v>
      </c>
      <c r="CW495" s="2" t="n">
        <v>0</v>
      </c>
      <c r="CX495" s="2" t="n">
        <v>29.01</v>
      </c>
      <c r="CY495" s="2" t="n">
        <v>35.57</v>
      </c>
      <c r="CZ495" s="2" t="n">
        <v>0</v>
      </c>
      <c r="DA495" s="2" t="n">
        <v>44.04</v>
      </c>
      <c r="DB495" s="2" t="n">
        <v>46.41</v>
      </c>
      <c r="DC495" s="2" t="n">
        <v>0</v>
      </c>
      <c r="DD495" s="2" t="n">
        <v>51.05</v>
      </c>
      <c r="DE495" s="2" t="n">
        <v>56.69</v>
      </c>
      <c r="DF495" s="2" t="n">
        <v>0</v>
      </c>
      <c r="DG495" s="2" t="n">
        <v>58.73</v>
      </c>
      <c r="DH495" s="2" t="n">
        <v>63.16</v>
      </c>
      <c r="DI495" s="2" t="n">
        <v>0</v>
      </c>
      <c r="DJ495" s="2" t="n">
        <v>68.36</v>
      </c>
      <c r="DK495" s="2" t="n">
        <v>71.34999999999999</v>
      </c>
      <c r="DL495" s="2" t="n">
        <v>0</v>
      </c>
      <c r="DM495" s="2" t="n">
        <v>76.16</v>
      </c>
      <c r="DN495" s="2" t="n">
        <v>81.45999999999999</v>
      </c>
      <c r="DO495" s="2" t="n">
        <v>0</v>
      </c>
      <c r="DP495" s="2" t="n">
        <v>85.63</v>
      </c>
      <c r="DQ495" s="2" t="n">
        <v>87.06</v>
      </c>
      <c r="DR495" s="2" t="n">
        <v>0</v>
      </c>
      <c r="DS495" s="2" t="n">
        <v>90.31999999999999</v>
      </c>
      <c r="DT495" s="2" t="n">
        <v>91.22</v>
      </c>
      <c r="DU495" s="2" t="n">
        <v>0</v>
      </c>
      <c r="DV495" s="2" t="n">
        <v>91.27</v>
      </c>
      <c r="DW495" s="2" t="n">
        <v>94.04000000000001</v>
      </c>
      <c r="DX495" s="2" t="n">
        <v>0</v>
      </c>
      <c r="DY495" s="2" t="n">
        <v>96.5</v>
      </c>
      <c r="DZ495" s="2" t="n">
        <v>100</v>
      </c>
      <c r="EA495" s="2" t="n">
        <v>0</v>
      </c>
      <c r="EB495" s="2" t="n">
        <v>100</v>
      </c>
      <c r="EC495" s="2" t="n">
        <v>100</v>
      </c>
      <c r="ED495" s="2" t="n">
        <v>0</v>
      </c>
      <c r="EE495" s="2" t="n">
        <v>100</v>
      </c>
      <c r="EF495" s="2" t="n">
        <v>100</v>
      </c>
      <c r="EG495" s="2" t="n">
        <v>0</v>
      </c>
      <c r="EH495" s="2" t="n">
        <v>100</v>
      </c>
      <c r="EI495" s="2" t="n">
        <v>100</v>
      </c>
      <c r="EJ495" s="2" t="n">
        <v>0</v>
      </c>
      <c r="EK495" s="2" t="n">
        <v>100</v>
      </c>
      <c r="EL495" s="2" t="n">
        <v>100</v>
      </c>
      <c r="EM495" s="2" t="n">
        <v>0</v>
      </c>
      <c r="EN495" s="2" t="n">
        <v>100</v>
      </c>
      <c r="EO495" s="2" t="n">
        <v>100</v>
      </c>
      <c r="EP495" s="2" t="n">
        <v>0</v>
      </c>
      <c r="EQ495" s="2" t="n">
        <v>100</v>
      </c>
      <c r="ER495" s="2" t="n">
        <v>100</v>
      </c>
      <c r="ES495" s="2" t="n">
        <v>0</v>
      </c>
    </row>
    <row r="496">
      <c r="A496" s="2" t="n">
        <v>3</v>
      </c>
      <c r="B496" s="2" t="inlineStr">
        <is>
          <t>20.03.04</t>
        </is>
      </c>
      <c r="C496" s="2" t="inlineStr">
        <is>
          <t>Interfones</t>
        </is>
      </c>
      <c r="D496" s="2" t="inlineStr">
        <is>
          <t>01/10/2027</t>
        </is>
      </c>
      <c r="E496" s="2" t="inlineStr">
        <is>
          <t>26/10/2028</t>
        </is>
      </c>
      <c r="F496" s="2" t="n">
        <v>210420</v>
      </c>
      <c r="G496" s="2" t="n">
        <v>0</v>
      </c>
      <c r="H496" s="2" t="n">
        <v>210420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0</v>
      </c>
      <c r="BL496" s="2" t="n">
        <v>0</v>
      </c>
      <c r="BM496" s="2" t="n">
        <v>0</v>
      </c>
      <c r="BN496" s="2" t="n">
        <v>0</v>
      </c>
      <c r="BO496" s="2" t="n">
        <v>0</v>
      </c>
      <c r="BP496" s="2" t="n">
        <v>0</v>
      </c>
      <c r="BQ496" s="2" t="n">
        <v>0</v>
      </c>
      <c r="BR496" s="2" t="n">
        <v>0</v>
      </c>
      <c r="BS496" s="2" t="n">
        <v>0</v>
      </c>
      <c r="BT496" s="2" t="n">
        <v>0</v>
      </c>
      <c r="BU496" s="2" t="n">
        <v>0</v>
      </c>
      <c r="BV496" s="2" t="n">
        <v>0</v>
      </c>
      <c r="BW496" s="2" t="n">
        <v>0</v>
      </c>
      <c r="BX496" s="2" t="n">
        <v>0</v>
      </c>
      <c r="BY496" s="2" t="n">
        <v>0</v>
      </c>
      <c r="BZ496" s="2" t="n">
        <v>0</v>
      </c>
      <c r="CA496" s="2" t="n">
        <v>0</v>
      </c>
      <c r="CB496" s="2" t="n">
        <v>0</v>
      </c>
      <c r="CC496" s="2" t="n">
        <v>0</v>
      </c>
      <c r="CD496" s="2" t="n">
        <v>0</v>
      </c>
      <c r="CE496" s="2" t="n">
        <v>0</v>
      </c>
      <c r="CF496" s="2" t="n">
        <v>0</v>
      </c>
      <c r="CG496" s="2" t="n">
        <v>0</v>
      </c>
      <c r="CH496" s="2" t="n">
        <v>0</v>
      </c>
      <c r="CI496" s="2" t="n">
        <v>0</v>
      </c>
      <c r="CJ496" s="2" t="n">
        <v>0</v>
      </c>
      <c r="CK496" s="2" t="n">
        <v>0</v>
      </c>
      <c r="CL496" s="2" t="n">
        <v>0</v>
      </c>
      <c r="CM496" s="2" t="n">
        <v>0</v>
      </c>
      <c r="CN496" s="2" t="n">
        <v>0</v>
      </c>
      <c r="CO496" s="2" t="n">
        <v>3.71</v>
      </c>
      <c r="CP496" s="2" t="n">
        <v>5.1</v>
      </c>
      <c r="CQ496" s="2" t="n">
        <v>0</v>
      </c>
      <c r="CR496" s="2" t="n">
        <v>8.82</v>
      </c>
      <c r="CS496" s="2" t="n">
        <v>16.28</v>
      </c>
      <c r="CT496" s="2" t="n">
        <v>0</v>
      </c>
      <c r="CU496" s="2" t="n">
        <v>19.07</v>
      </c>
      <c r="CV496" s="2" t="n">
        <v>20.46</v>
      </c>
      <c r="CW496" s="2" t="n">
        <v>0</v>
      </c>
      <c r="CX496" s="2" t="n">
        <v>29.01</v>
      </c>
      <c r="CY496" s="2" t="n">
        <v>35.57</v>
      </c>
      <c r="CZ496" s="2" t="n">
        <v>0</v>
      </c>
      <c r="DA496" s="2" t="n">
        <v>44.04</v>
      </c>
      <c r="DB496" s="2" t="n">
        <v>46.41</v>
      </c>
      <c r="DC496" s="2" t="n">
        <v>0</v>
      </c>
      <c r="DD496" s="2" t="n">
        <v>51.05</v>
      </c>
      <c r="DE496" s="2" t="n">
        <v>56.69</v>
      </c>
      <c r="DF496" s="2" t="n">
        <v>0</v>
      </c>
      <c r="DG496" s="2" t="n">
        <v>58.73</v>
      </c>
      <c r="DH496" s="2" t="n">
        <v>63.16</v>
      </c>
      <c r="DI496" s="2" t="n">
        <v>0</v>
      </c>
      <c r="DJ496" s="2" t="n">
        <v>68.36</v>
      </c>
      <c r="DK496" s="2" t="n">
        <v>71.34999999999999</v>
      </c>
      <c r="DL496" s="2" t="n">
        <v>0</v>
      </c>
      <c r="DM496" s="2" t="n">
        <v>76.16</v>
      </c>
      <c r="DN496" s="2" t="n">
        <v>81.45999999999999</v>
      </c>
      <c r="DO496" s="2" t="n">
        <v>0</v>
      </c>
      <c r="DP496" s="2" t="n">
        <v>85.63</v>
      </c>
      <c r="DQ496" s="2" t="n">
        <v>87.06</v>
      </c>
      <c r="DR496" s="2" t="n">
        <v>0</v>
      </c>
      <c r="DS496" s="2" t="n">
        <v>90.31999999999999</v>
      </c>
      <c r="DT496" s="2" t="n">
        <v>91.22</v>
      </c>
      <c r="DU496" s="2" t="n">
        <v>0</v>
      </c>
      <c r="DV496" s="2" t="n">
        <v>91.27</v>
      </c>
      <c r="DW496" s="2" t="n">
        <v>94.04000000000001</v>
      </c>
      <c r="DX496" s="2" t="n">
        <v>0</v>
      </c>
      <c r="DY496" s="2" t="n">
        <v>96.5</v>
      </c>
      <c r="DZ496" s="2" t="n">
        <v>100</v>
      </c>
      <c r="EA496" s="2" t="n">
        <v>0</v>
      </c>
      <c r="EB496" s="2" t="n">
        <v>100</v>
      </c>
      <c r="EC496" s="2" t="n">
        <v>100</v>
      </c>
      <c r="ED496" s="2" t="n">
        <v>0</v>
      </c>
      <c r="EE496" s="2" t="n">
        <v>100</v>
      </c>
      <c r="EF496" s="2" t="n">
        <v>100</v>
      </c>
      <c r="EG496" s="2" t="n">
        <v>0</v>
      </c>
      <c r="EH496" s="2" t="n">
        <v>100</v>
      </c>
      <c r="EI496" s="2" t="n">
        <v>100</v>
      </c>
      <c r="EJ496" s="2" t="n">
        <v>0</v>
      </c>
      <c r="EK496" s="2" t="n">
        <v>100</v>
      </c>
      <c r="EL496" s="2" t="n">
        <v>100</v>
      </c>
      <c r="EM496" s="2" t="n">
        <v>0</v>
      </c>
      <c r="EN496" s="2" t="n">
        <v>100</v>
      </c>
      <c r="EO496" s="2" t="n">
        <v>100</v>
      </c>
      <c r="EP496" s="2" t="n">
        <v>0</v>
      </c>
      <c r="EQ496" s="2" t="n">
        <v>100</v>
      </c>
      <c r="ER496" s="2" t="n">
        <v>100</v>
      </c>
      <c r="ES496" s="2" t="n">
        <v>0</v>
      </c>
    </row>
    <row r="497">
      <c r="A497" s="2" t="n">
        <v>3</v>
      </c>
      <c r="B497" s="2" t="inlineStr">
        <is>
          <t>20.03.05</t>
        </is>
      </c>
      <c r="C497" s="2" t="inlineStr">
        <is>
          <t>Cabeamento lógico</t>
        </is>
      </c>
      <c r="D497" s="2" t="inlineStr">
        <is>
          <t>01/10/2027</t>
        </is>
      </c>
      <c r="E497" s="2" t="inlineStr">
        <is>
          <t>26/10/2028</t>
        </is>
      </c>
      <c r="F497" s="2" t="n">
        <v>231462</v>
      </c>
      <c r="G497" s="2" t="n">
        <v>0</v>
      </c>
      <c r="H497" s="2" t="n">
        <v>231462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</v>
      </c>
      <c r="BI497" s="2" t="n">
        <v>0</v>
      </c>
      <c r="BJ497" s="2" t="n">
        <v>0</v>
      </c>
      <c r="BK497" s="2" t="n">
        <v>0</v>
      </c>
      <c r="BL497" s="2" t="n">
        <v>0</v>
      </c>
      <c r="BM497" s="2" t="n">
        <v>0</v>
      </c>
      <c r="BN497" s="2" t="n">
        <v>0</v>
      </c>
      <c r="BO497" s="2" t="n">
        <v>0</v>
      </c>
      <c r="BP497" s="2" t="n">
        <v>0</v>
      </c>
      <c r="BQ497" s="2" t="n">
        <v>0</v>
      </c>
      <c r="BR497" s="2" t="n">
        <v>0</v>
      </c>
      <c r="BS497" s="2" t="n">
        <v>0</v>
      </c>
      <c r="BT497" s="2" t="n">
        <v>0</v>
      </c>
      <c r="BU497" s="2" t="n">
        <v>0</v>
      </c>
      <c r="BV497" s="2" t="n">
        <v>0</v>
      </c>
      <c r="BW497" s="2" t="n">
        <v>0</v>
      </c>
      <c r="BX497" s="2" t="n">
        <v>0</v>
      </c>
      <c r="BY497" s="2" t="n">
        <v>0</v>
      </c>
      <c r="BZ497" s="2" t="n">
        <v>0</v>
      </c>
      <c r="CA497" s="2" t="n">
        <v>0</v>
      </c>
      <c r="CB497" s="2" t="n">
        <v>0</v>
      </c>
      <c r="CC497" s="2" t="n">
        <v>0</v>
      </c>
      <c r="CD497" s="2" t="n">
        <v>0</v>
      </c>
      <c r="CE497" s="2" t="n">
        <v>0</v>
      </c>
      <c r="CF497" s="2" t="n">
        <v>0</v>
      </c>
      <c r="CG497" s="2" t="n">
        <v>0</v>
      </c>
      <c r="CH497" s="2" t="n">
        <v>0</v>
      </c>
      <c r="CI497" s="2" t="n">
        <v>0</v>
      </c>
      <c r="CJ497" s="2" t="n">
        <v>0</v>
      </c>
      <c r="CK497" s="2" t="n">
        <v>0</v>
      </c>
      <c r="CL497" s="2" t="n">
        <v>0</v>
      </c>
      <c r="CM497" s="2" t="n">
        <v>0</v>
      </c>
      <c r="CN497" s="2" t="n">
        <v>0</v>
      </c>
      <c r="CO497" s="2" t="n">
        <v>3.71</v>
      </c>
      <c r="CP497" s="2" t="n">
        <v>5.1</v>
      </c>
      <c r="CQ497" s="2" t="n">
        <v>0</v>
      </c>
      <c r="CR497" s="2" t="n">
        <v>8.82</v>
      </c>
      <c r="CS497" s="2" t="n">
        <v>16.28</v>
      </c>
      <c r="CT497" s="2" t="n">
        <v>0</v>
      </c>
      <c r="CU497" s="2" t="n">
        <v>19.07</v>
      </c>
      <c r="CV497" s="2" t="n">
        <v>20.46</v>
      </c>
      <c r="CW497" s="2" t="n">
        <v>0</v>
      </c>
      <c r="CX497" s="2" t="n">
        <v>29.01</v>
      </c>
      <c r="CY497" s="2" t="n">
        <v>35.57</v>
      </c>
      <c r="CZ497" s="2" t="n">
        <v>0</v>
      </c>
      <c r="DA497" s="2" t="n">
        <v>44.04</v>
      </c>
      <c r="DB497" s="2" t="n">
        <v>46.41</v>
      </c>
      <c r="DC497" s="2" t="n">
        <v>0</v>
      </c>
      <c r="DD497" s="2" t="n">
        <v>51.05</v>
      </c>
      <c r="DE497" s="2" t="n">
        <v>56.69</v>
      </c>
      <c r="DF497" s="2" t="n">
        <v>0</v>
      </c>
      <c r="DG497" s="2" t="n">
        <v>58.73</v>
      </c>
      <c r="DH497" s="2" t="n">
        <v>63.16</v>
      </c>
      <c r="DI497" s="2" t="n">
        <v>0</v>
      </c>
      <c r="DJ497" s="2" t="n">
        <v>68.36</v>
      </c>
      <c r="DK497" s="2" t="n">
        <v>71.34999999999999</v>
      </c>
      <c r="DL497" s="2" t="n">
        <v>0</v>
      </c>
      <c r="DM497" s="2" t="n">
        <v>76.16</v>
      </c>
      <c r="DN497" s="2" t="n">
        <v>81.45999999999999</v>
      </c>
      <c r="DO497" s="2" t="n">
        <v>0</v>
      </c>
      <c r="DP497" s="2" t="n">
        <v>85.63</v>
      </c>
      <c r="DQ497" s="2" t="n">
        <v>87.06</v>
      </c>
      <c r="DR497" s="2" t="n">
        <v>0</v>
      </c>
      <c r="DS497" s="2" t="n">
        <v>90.31999999999999</v>
      </c>
      <c r="DT497" s="2" t="n">
        <v>91.22</v>
      </c>
      <c r="DU497" s="2" t="n">
        <v>0</v>
      </c>
      <c r="DV497" s="2" t="n">
        <v>91.27</v>
      </c>
      <c r="DW497" s="2" t="n">
        <v>94.04000000000001</v>
      </c>
      <c r="DX497" s="2" t="n">
        <v>0</v>
      </c>
      <c r="DY497" s="2" t="n">
        <v>96.5</v>
      </c>
      <c r="DZ497" s="2" t="n">
        <v>100</v>
      </c>
      <c r="EA497" s="2" t="n">
        <v>0</v>
      </c>
      <c r="EB497" s="2" t="n">
        <v>100</v>
      </c>
      <c r="EC497" s="2" t="n">
        <v>100</v>
      </c>
      <c r="ED497" s="2" t="n">
        <v>0</v>
      </c>
      <c r="EE497" s="2" t="n">
        <v>100</v>
      </c>
      <c r="EF497" s="2" t="n">
        <v>100</v>
      </c>
      <c r="EG497" s="2" t="n">
        <v>0</v>
      </c>
      <c r="EH497" s="2" t="n">
        <v>100</v>
      </c>
      <c r="EI497" s="2" t="n">
        <v>100</v>
      </c>
      <c r="EJ497" s="2" t="n">
        <v>0</v>
      </c>
      <c r="EK497" s="2" t="n">
        <v>100</v>
      </c>
      <c r="EL497" s="2" t="n">
        <v>100</v>
      </c>
      <c r="EM497" s="2" t="n">
        <v>0</v>
      </c>
      <c r="EN497" s="2" t="n">
        <v>100</v>
      </c>
      <c r="EO497" s="2" t="n">
        <v>100</v>
      </c>
      <c r="EP497" s="2" t="n">
        <v>0</v>
      </c>
      <c r="EQ497" s="2" t="n">
        <v>100</v>
      </c>
      <c r="ER497" s="2" t="n">
        <v>100</v>
      </c>
      <c r="ES497" s="2" t="n">
        <v>0</v>
      </c>
    </row>
    <row r="498">
      <c r="A498" s="2" t="n">
        <v>3</v>
      </c>
      <c r="B498" s="2" t="inlineStr">
        <is>
          <t>20.03.06</t>
        </is>
      </c>
      <c r="C498" s="2" t="inlineStr">
        <is>
          <t>Antena coletiva de TV</t>
        </is>
      </c>
      <c r="D498" s="2" t="inlineStr">
        <is>
          <t>01/10/2027</t>
        </is>
      </c>
      <c r="E498" s="2" t="inlineStr">
        <is>
          <t>26/10/2028</t>
        </is>
      </c>
      <c r="F498" s="2" t="n">
        <v>210420</v>
      </c>
      <c r="G498" s="2" t="n">
        <v>0</v>
      </c>
      <c r="H498" s="2" t="n">
        <v>210420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0</v>
      </c>
      <c r="BI498" s="2" t="n">
        <v>0</v>
      </c>
      <c r="BJ498" s="2" t="n">
        <v>0</v>
      </c>
      <c r="BK498" s="2" t="n">
        <v>0</v>
      </c>
      <c r="BL498" s="2" t="n">
        <v>0</v>
      </c>
      <c r="BM498" s="2" t="n">
        <v>0</v>
      </c>
      <c r="BN498" s="2" t="n">
        <v>0</v>
      </c>
      <c r="BO498" s="2" t="n">
        <v>0</v>
      </c>
      <c r="BP498" s="2" t="n">
        <v>0</v>
      </c>
      <c r="BQ498" s="2" t="n">
        <v>0</v>
      </c>
      <c r="BR498" s="2" t="n">
        <v>0</v>
      </c>
      <c r="BS498" s="2" t="n">
        <v>0</v>
      </c>
      <c r="BT498" s="2" t="n">
        <v>0</v>
      </c>
      <c r="BU498" s="2" t="n">
        <v>0</v>
      </c>
      <c r="BV498" s="2" t="n">
        <v>0</v>
      </c>
      <c r="BW498" s="2" t="n">
        <v>0</v>
      </c>
      <c r="BX498" s="2" t="n">
        <v>0</v>
      </c>
      <c r="BY498" s="2" t="n">
        <v>0</v>
      </c>
      <c r="BZ498" s="2" t="n">
        <v>0</v>
      </c>
      <c r="CA498" s="2" t="n">
        <v>0</v>
      </c>
      <c r="CB498" s="2" t="n">
        <v>0</v>
      </c>
      <c r="CC498" s="2" t="n">
        <v>0</v>
      </c>
      <c r="CD498" s="2" t="n">
        <v>0</v>
      </c>
      <c r="CE498" s="2" t="n">
        <v>0</v>
      </c>
      <c r="CF498" s="2" t="n">
        <v>0</v>
      </c>
      <c r="CG498" s="2" t="n">
        <v>0</v>
      </c>
      <c r="CH498" s="2" t="n">
        <v>0</v>
      </c>
      <c r="CI498" s="2" t="n">
        <v>0</v>
      </c>
      <c r="CJ498" s="2" t="n">
        <v>0</v>
      </c>
      <c r="CK498" s="2" t="n">
        <v>0</v>
      </c>
      <c r="CL498" s="2" t="n">
        <v>0</v>
      </c>
      <c r="CM498" s="2" t="n">
        <v>0</v>
      </c>
      <c r="CN498" s="2" t="n">
        <v>0</v>
      </c>
      <c r="CO498" s="2" t="n">
        <v>3.71</v>
      </c>
      <c r="CP498" s="2" t="n">
        <v>5.1</v>
      </c>
      <c r="CQ498" s="2" t="n">
        <v>0</v>
      </c>
      <c r="CR498" s="2" t="n">
        <v>8.82</v>
      </c>
      <c r="CS498" s="2" t="n">
        <v>16.28</v>
      </c>
      <c r="CT498" s="2" t="n">
        <v>0</v>
      </c>
      <c r="CU498" s="2" t="n">
        <v>19.07</v>
      </c>
      <c r="CV498" s="2" t="n">
        <v>20.46</v>
      </c>
      <c r="CW498" s="2" t="n">
        <v>0</v>
      </c>
      <c r="CX498" s="2" t="n">
        <v>29.01</v>
      </c>
      <c r="CY498" s="2" t="n">
        <v>35.57</v>
      </c>
      <c r="CZ498" s="2" t="n">
        <v>0</v>
      </c>
      <c r="DA498" s="2" t="n">
        <v>44.04</v>
      </c>
      <c r="DB498" s="2" t="n">
        <v>46.41</v>
      </c>
      <c r="DC498" s="2" t="n">
        <v>0</v>
      </c>
      <c r="DD498" s="2" t="n">
        <v>51.05</v>
      </c>
      <c r="DE498" s="2" t="n">
        <v>56.69</v>
      </c>
      <c r="DF498" s="2" t="n">
        <v>0</v>
      </c>
      <c r="DG498" s="2" t="n">
        <v>58.73</v>
      </c>
      <c r="DH498" s="2" t="n">
        <v>63.16</v>
      </c>
      <c r="DI498" s="2" t="n">
        <v>0</v>
      </c>
      <c r="DJ498" s="2" t="n">
        <v>68.36</v>
      </c>
      <c r="DK498" s="2" t="n">
        <v>71.34999999999999</v>
      </c>
      <c r="DL498" s="2" t="n">
        <v>0</v>
      </c>
      <c r="DM498" s="2" t="n">
        <v>76.16</v>
      </c>
      <c r="DN498" s="2" t="n">
        <v>81.45999999999999</v>
      </c>
      <c r="DO498" s="2" t="n">
        <v>0</v>
      </c>
      <c r="DP498" s="2" t="n">
        <v>85.63</v>
      </c>
      <c r="DQ498" s="2" t="n">
        <v>87.06</v>
      </c>
      <c r="DR498" s="2" t="n">
        <v>0</v>
      </c>
      <c r="DS498" s="2" t="n">
        <v>90.31999999999999</v>
      </c>
      <c r="DT498" s="2" t="n">
        <v>91.22</v>
      </c>
      <c r="DU498" s="2" t="n">
        <v>0</v>
      </c>
      <c r="DV498" s="2" t="n">
        <v>91.27</v>
      </c>
      <c r="DW498" s="2" t="n">
        <v>94.04000000000001</v>
      </c>
      <c r="DX498" s="2" t="n">
        <v>0</v>
      </c>
      <c r="DY498" s="2" t="n">
        <v>96.5</v>
      </c>
      <c r="DZ498" s="2" t="n">
        <v>100</v>
      </c>
      <c r="EA498" s="2" t="n">
        <v>0</v>
      </c>
      <c r="EB498" s="2" t="n">
        <v>100</v>
      </c>
      <c r="EC498" s="2" t="n">
        <v>100</v>
      </c>
      <c r="ED498" s="2" t="n">
        <v>0</v>
      </c>
      <c r="EE498" s="2" t="n">
        <v>100</v>
      </c>
      <c r="EF498" s="2" t="n">
        <v>100</v>
      </c>
      <c r="EG498" s="2" t="n">
        <v>0</v>
      </c>
      <c r="EH498" s="2" t="n">
        <v>100</v>
      </c>
      <c r="EI498" s="2" t="n">
        <v>100</v>
      </c>
      <c r="EJ498" s="2" t="n">
        <v>0</v>
      </c>
      <c r="EK498" s="2" t="n">
        <v>100</v>
      </c>
      <c r="EL498" s="2" t="n">
        <v>100</v>
      </c>
      <c r="EM498" s="2" t="n">
        <v>0</v>
      </c>
      <c r="EN498" s="2" t="n">
        <v>100</v>
      </c>
      <c r="EO498" s="2" t="n">
        <v>100</v>
      </c>
      <c r="EP498" s="2" t="n">
        <v>0</v>
      </c>
      <c r="EQ498" s="2" t="n">
        <v>100</v>
      </c>
      <c r="ER498" s="2" t="n">
        <v>100</v>
      </c>
      <c r="ES498" s="2" t="n">
        <v>0</v>
      </c>
    </row>
    <row r="499">
      <c r="A499" s="2" t="n">
        <v>3</v>
      </c>
      <c r="B499" s="2" t="inlineStr">
        <is>
          <t>20.03.07</t>
        </is>
      </c>
      <c r="C499" s="2" t="inlineStr">
        <is>
          <t>CFTV</t>
        </is>
      </c>
      <c r="D499" s="2" t="inlineStr">
        <is>
          <t>01/10/2027</t>
        </is>
      </c>
      <c r="E499" s="2" t="inlineStr">
        <is>
          <t>26/10/2028</t>
        </is>
      </c>
      <c r="F499" s="2" t="n">
        <v>273546</v>
      </c>
      <c r="G499" s="2" t="n">
        <v>0</v>
      </c>
      <c r="H499" s="2" t="n">
        <v>273546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0</v>
      </c>
      <c r="CG499" s="2" t="n">
        <v>0</v>
      </c>
      <c r="CH499" s="2" t="n">
        <v>0</v>
      </c>
      <c r="CI499" s="2" t="n">
        <v>0</v>
      </c>
      <c r="CJ499" s="2" t="n">
        <v>0</v>
      </c>
      <c r="CK499" s="2" t="n">
        <v>0</v>
      </c>
      <c r="CL499" s="2" t="n">
        <v>0</v>
      </c>
      <c r="CM499" s="2" t="n">
        <v>0</v>
      </c>
      <c r="CN499" s="2" t="n">
        <v>0</v>
      </c>
      <c r="CO499" s="2" t="n">
        <v>3.71</v>
      </c>
      <c r="CP499" s="2" t="n">
        <v>5.1</v>
      </c>
      <c r="CQ499" s="2" t="n">
        <v>0</v>
      </c>
      <c r="CR499" s="2" t="n">
        <v>8.82</v>
      </c>
      <c r="CS499" s="2" t="n">
        <v>16.28</v>
      </c>
      <c r="CT499" s="2" t="n">
        <v>0</v>
      </c>
      <c r="CU499" s="2" t="n">
        <v>19.07</v>
      </c>
      <c r="CV499" s="2" t="n">
        <v>20.46</v>
      </c>
      <c r="CW499" s="2" t="n">
        <v>0</v>
      </c>
      <c r="CX499" s="2" t="n">
        <v>29.01</v>
      </c>
      <c r="CY499" s="2" t="n">
        <v>35.57</v>
      </c>
      <c r="CZ499" s="2" t="n">
        <v>0</v>
      </c>
      <c r="DA499" s="2" t="n">
        <v>44.04</v>
      </c>
      <c r="DB499" s="2" t="n">
        <v>46.41</v>
      </c>
      <c r="DC499" s="2" t="n">
        <v>0</v>
      </c>
      <c r="DD499" s="2" t="n">
        <v>51.05</v>
      </c>
      <c r="DE499" s="2" t="n">
        <v>56.69</v>
      </c>
      <c r="DF499" s="2" t="n">
        <v>0</v>
      </c>
      <c r="DG499" s="2" t="n">
        <v>58.73</v>
      </c>
      <c r="DH499" s="2" t="n">
        <v>63.16</v>
      </c>
      <c r="DI499" s="2" t="n">
        <v>0</v>
      </c>
      <c r="DJ499" s="2" t="n">
        <v>68.36</v>
      </c>
      <c r="DK499" s="2" t="n">
        <v>71.34999999999999</v>
      </c>
      <c r="DL499" s="2" t="n">
        <v>0</v>
      </c>
      <c r="DM499" s="2" t="n">
        <v>76.16</v>
      </c>
      <c r="DN499" s="2" t="n">
        <v>81.45999999999999</v>
      </c>
      <c r="DO499" s="2" t="n">
        <v>0</v>
      </c>
      <c r="DP499" s="2" t="n">
        <v>85.63</v>
      </c>
      <c r="DQ499" s="2" t="n">
        <v>87.06</v>
      </c>
      <c r="DR499" s="2" t="n">
        <v>0</v>
      </c>
      <c r="DS499" s="2" t="n">
        <v>90.31999999999999</v>
      </c>
      <c r="DT499" s="2" t="n">
        <v>91.22</v>
      </c>
      <c r="DU499" s="2" t="n">
        <v>0</v>
      </c>
      <c r="DV499" s="2" t="n">
        <v>91.27</v>
      </c>
      <c r="DW499" s="2" t="n">
        <v>94.04000000000001</v>
      </c>
      <c r="DX499" s="2" t="n">
        <v>0</v>
      </c>
      <c r="DY499" s="2" t="n">
        <v>96.5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</row>
    <row r="500">
      <c r="A500" s="2" t="n">
        <v>1</v>
      </c>
      <c r="B500" s="2" t="inlineStr">
        <is>
          <t>21</t>
        </is>
      </c>
      <c r="C500" s="2" t="inlineStr">
        <is>
          <t>INSTALAÇÕES HIDROSANITÁRIAS</t>
        </is>
      </c>
      <c r="D500" s="2" t="inlineStr">
        <is>
          <t>11/01/2027</t>
        </is>
      </c>
      <c r="E500" s="2" t="inlineStr">
        <is>
          <t>23/08/2028</t>
        </is>
      </c>
      <c r="F500" s="2" t="n">
        <v>7374040</v>
      </c>
      <c r="G500" s="2" t="n">
        <v>0</v>
      </c>
      <c r="H500" s="2" t="n">
        <v>7374040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2.12</v>
      </c>
      <c r="BO500" s="2" t="n">
        <v>10.58</v>
      </c>
      <c r="BP500" s="2" t="n">
        <v>0</v>
      </c>
      <c r="BQ500" s="2" t="n">
        <v>14.11</v>
      </c>
      <c r="BR500" s="2" t="n">
        <v>14.11</v>
      </c>
      <c r="BS500" s="2" t="n">
        <v>0</v>
      </c>
      <c r="BT500" s="2" t="n">
        <v>14.11</v>
      </c>
      <c r="BU500" s="2" t="n">
        <v>14.11</v>
      </c>
      <c r="BV500" s="2" t="n">
        <v>0</v>
      </c>
      <c r="BW500" s="2" t="n">
        <v>14.59</v>
      </c>
      <c r="BX500" s="2" t="n">
        <v>14.99</v>
      </c>
      <c r="BY500" s="2" t="n">
        <v>0</v>
      </c>
      <c r="BZ500" s="2" t="n">
        <v>18.82</v>
      </c>
      <c r="CA500" s="2" t="n">
        <v>20.09</v>
      </c>
      <c r="CB500" s="2" t="n">
        <v>0</v>
      </c>
      <c r="CC500" s="2" t="n">
        <v>24.43</v>
      </c>
      <c r="CD500" s="2" t="n">
        <v>25.71</v>
      </c>
      <c r="CE500" s="2" t="n">
        <v>0</v>
      </c>
      <c r="CF500" s="2" t="n">
        <v>30.19</v>
      </c>
      <c r="CG500" s="2" t="n">
        <v>31.52</v>
      </c>
      <c r="CH500" s="2" t="n">
        <v>0</v>
      </c>
      <c r="CI500" s="2" t="n">
        <v>36.14</v>
      </c>
      <c r="CJ500" s="2" t="n">
        <v>37.47</v>
      </c>
      <c r="CK500" s="2" t="n">
        <v>0</v>
      </c>
      <c r="CL500" s="2" t="n">
        <v>41.93</v>
      </c>
      <c r="CM500" s="2" t="n">
        <v>43.29</v>
      </c>
      <c r="CN500" s="2" t="n">
        <v>0</v>
      </c>
      <c r="CO500" s="2" t="n">
        <v>49.96</v>
      </c>
      <c r="CP500" s="2" t="n">
        <v>51.98</v>
      </c>
      <c r="CQ500" s="2" t="n">
        <v>0</v>
      </c>
      <c r="CR500" s="2" t="n">
        <v>58.49</v>
      </c>
      <c r="CS500" s="2" t="n">
        <v>60.16</v>
      </c>
      <c r="CT500" s="2" t="n">
        <v>0</v>
      </c>
      <c r="CU500" s="2" t="n">
        <v>63.5</v>
      </c>
      <c r="CV500" s="2" t="n">
        <v>65.06999999999999</v>
      </c>
      <c r="CW500" s="2" t="n">
        <v>0</v>
      </c>
      <c r="CX500" s="2" t="n">
        <v>69.34</v>
      </c>
      <c r="CY500" s="2" t="n">
        <v>71.19</v>
      </c>
      <c r="CZ500" s="2" t="n">
        <v>0</v>
      </c>
      <c r="DA500" s="2" t="n">
        <v>75.28</v>
      </c>
      <c r="DB500" s="2" t="n">
        <v>76.79000000000001</v>
      </c>
      <c r="DC500" s="2" t="n">
        <v>0</v>
      </c>
      <c r="DD500" s="2" t="n">
        <v>79.36</v>
      </c>
      <c r="DE500" s="2" t="n">
        <v>80.38</v>
      </c>
      <c r="DF500" s="2" t="n">
        <v>0</v>
      </c>
      <c r="DG500" s="2" t="n">
        <v>80.98999999999999</v>
      </c>
      <c r="DH500" s="2" t="n">
        <v>84.42</v>
      </c>
      <c r="DI500" s="2" t="n">
        <v>0</v>
      </c>
      <c r="DJ500" s="2" t="n">
        <v>89.03</v>
      </c>
      <c r="DK500" s="2" t="n">
        <v>92.53</v>
      </c>
      <c r="DL500" s="2" t="n">
        <v>0</v>
      </c>
      <c r="DM500" s="2" t="n">
        <v>92.79000000000001</v>
      </c>
      <c r="DN500" s="2" t="n">
        <v>95.68000000000001</v>
      </c>
      <c r="DO500" s="2" t="n">
        <v>0</v>
      </c>
      <c r="DP500" s="2" t="n">
        <v>96.95</v>
      </c>
      <c r="DQ500" s="2" t="n">
        <v>98.41</v>
      </c>
      <c r="DR500" s="2" t="n">
        <v>0</v>
      </c>
      <c r="DS500" s="2" t="n">
        <v>99.42</v>
      </c>
      <c r="DT500" s="2" t="n">
        <v>100</v>
      </c>
      <c r="DU500" s="2" t="n">
        <v>0</v>
      </c>
      <c r="DV500" s="2" t="n">
        <v>100</v>
      </c>
      <c r="DW500" s="2" t="n">
        <v>100</v>
      </c>
      <c r="DX500" s="2" t="n">
        <v>0</v>
      </c>
      <c r="DY500" s="2" t="n">
        <v>100</v>
      </c>
      <c r="DZ500" s="2" t="n">
        <v>100</v>
      </c>
      <c r="EA500" s="2" t="n">
        <v>0</v>
      </c>
      <c r="EB500" s="2" t="n">
        <v>100</v>
      </c>
      <c r="EC500" s="2" t="n">
        <v>100</v>
      </c>
      <c r="ED500" s="2" t="n">
        <v>0</v>
      </c>
      <c r="EE500" s="2" t="n">
        <v>100</v>
      </c>
      <c r="EF500" s="2" t="n">
        <v>100</v>
      </c>
      <c r="EG500" s="2" t="n">
        <v>0</v>
      </c>
      <c r="EH500" s="2" t="n">
        <v>100</v>
      </c>
      <c r="EI500" s="2" t="n">
        <v>100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</row>
    <row r="501">
      <c r="A501" s="2" t="n">
        <v>2</v>
      </c>
      <c r="B501" s="2" t="inlineStr">
        <is>
          <t>21.01</t>
        </is>
      </c>
      <c r="C501" s="2" t="inlineStr">
        <is>
          <t>Instalações Prediais de Água fria</t>
        </is>
      </c>
      <c r="D501" s="2" t="inlineStr">
        <is>
          <t>11/01/2027</t>
        </is>
      </c>
      <c r="E501" s="2" t="inlineStr">
        <is>
          <t>21/07/2028</t>
        </is>
      </c>
      <c r="F501" s="2" t="n">
        <v>2344680</v>
      </c>
      <c r="G501" s="2" t="n">
        <v>0</v>
      </c>
      <c r="H501" s="2" t="n">
        <v>2344680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1.5</v>
      </c>
      <c r="BO501" s="2" t="n">
        <v>7.5</v>
      </c>
      <c r="BP501" s="2" t="n">
        <v>0</v>
      </c>
      <c r="BQ501" s="2" t="n">
        <v>10</v>
      </c>
      <c r="BR501" s="2" t="n">
        <v>10</v>
      </c>
      <c r="BS501" s="2" t="n">
        <v>0</v>
      </c>
      <c r="BT501" s="2" t="n">
        <v>10</v>
      </c>
      <c r="BU501" s="2" t="n">
        <v>10</v>
      </c>
      <c r="BV501" s="2" t="n">
        <v>0</v>
      </c>
      <c r="BW501" s="2" t="n">
        <v>10.49</v>
      </c>
      <c r="BX501" s="2" t="n">
        <v>10.83</v>
      </c>
      <c r="BY501" s="2" t="n">
        <v>0</v>
      </c>
      <c r="BZ501" s="2" t="n">
        <v>13.89</v>
      </c>
      <c r="CA501" s="2" t="n">
        <v>14.91</v>
      </c>
      <c r="CB501" s="2" t="n">
        <v>0</v>
      </c>
      <c r="CC501" s="2" t="n">
        <v>18.37</v>
      </c>
      <c r="CD501" s="2" t="n">
        <v>19.39</v>
      </c>
      <c r="CE501" s="2" t="n">
        <v>0</v>
      </c>
      <c r="CF501" s="2" t="n">
        <v>22.94</v>
      </c>
      <c r="CG501" s="2" t="n">
        <v>23.97</v>
      </c>
      <c r="CH501" s="2" t="n">
        <v>0</v>
      </c>
      <c r="CI501" s="2" t="n">
        <v>27.56</v>
      </c>
      <c r="CJ501" s="2" t="n">
        <v>28.59</v>
      </c>
      <c r="CK501" s="2" t="n">
        <v>0</v>
      </c>
      <c r="CL501" s="2" t="n">
        <v>32.39</v>
      </c>
      <c r="CM501" s="2" t="n">
        <v>33.53</v>
      </c>
      <c r="CN501" s="2" t="n">
        <v>0</v>
      </c>
      <c r="CO501" s="2" t="n">
        <v>40.99</v>
      </c>
      <c r="CP501" s="2" t="n">
        <v>42.82</v>
      </c>
      <c r="CQ501" s="2" t="n">
        <v>0</v>
      </c>
      <c r="CR501" s="2" t="n">
        <v>50.41</v>
      </c>
      <c r="CS501" s="2" t="n">
        <v>51.81</v>
      </c>
      <c r="CT501" s="2" t="n">
        <v>0</v>
      </c>
      <c r="CU501" s="2" t="n">
        <v>54.59</v>
      </c>
      <c r="CV501" s="2" t="n">
        <v>55.86</v>
      </c>
      <c r="CW501" s="2" t="n">
        <v>0</v>
      </c>
      <c r="CX501" s="2" t="n">
        <v>59.16</v>
      </c>
      <c r="CY501" s="2" t="n">
        <v>60.72</v>
      </c>
      <c r="CZ501" s="2" t="n">
        <v>0</v>
      </c>
      <c r="DA501" s="2" t="n">
        <v>63.84</v>
      </c>
      <c r="DB501" s="2" t="n">
        <v>65.04000000000001</v>
      </c>
      <c r="DC501" s="2" t="n">
        <v>0</v>
      </c>
      <c r="DD501" s="2" t="n">
        <v>66.91</v>
      </c>
      <c r="DE501" s="2" t="n">
        <v>68.04000000000001</v>
      </c>
      <c r="DF501" s="2" t="n">
        <v>0</v>
      </c>
      <c r="DG501" s="2" t="n">
        <v>69.17</v>
      </c>
      <c r="DH501" s="2" t="n">
        <v>78.33</v>
      </c>
      <c r="DI501" s="2" t="n">
        <v>0</v>
      </c>
      <c r="DJ501" s="2" t="n">
        <v>87.2</v>
      </c>
      <c r="DK501" s="2" t="n">
        <v>96</v>
      </c>
      <c r="DL501" s="2" t="n">
        <v>0</v>
      </c>
      <c r="DM501" s="2" t="n">
        <v>96</v>
      </c>
      <c r="DN501" s="2" t="n">
        <v>97.27</v>
      </c>
      <c r="DO501" s="2" t="n">
        <v>0</v>
      </c>
      <c r="DP501" s="2" t="n">
        <v>98.91</v>
      </c>
      <c r="DQ501" s="2" t="n">
        <v>100</v>
      </c>
      <c r="DR501" s="2" t="n">
        <v>0</v>
      </c>
      <c r="DS501" s="2" t="n">
        <v>100</v>
      </c>
      <c r="DT501" s="2" t="n">
        <v>100</v>
      </c>
      <c r="DU501" s="2" t="n">
        <v>0</v>
      </c>
      <c r="DV501" s="2" t="n">
        <v>100</v>
      </c>
      <c r="DW501" s="2" t="n">
        <v>100</v>
      </c>
      <c r="DX501" s="2" t="n">
        <v>0</v>
      </c>
      <c r="DY501" s="2" t="n">
        <v>100</v>
      </c>
      <c r="DZ501" s="2" t="n">
        <v>100</v>
      </c>
      <c r="EA501" s="2" t="n">
        <v>0</v>
      </c>
      <c r="EB501" s="2" t="n">
        <v>100</v>
      </c>
      <c r="EC501" s="2" t="n">
        <v>100</v>
      </c>
      <c r="ED501" s="2" t="n">
        <v>0</v>
      </c>
      <c r="EE501" s="2" t="n">
        <v>100</v>
      </c>
      <c r="EF501" s="2" t="n">
        <v>100</v>
      </c>
      <c r="EG501" s="2" t="n">
        <v>0</v>
      </c>
      <c r="EH501" s="2" t="n">
        <v>100</v>
      </c>
      <c r="EI501" s="2" t="n">
        <v>100</v>
      </c>
      <c r="EJ501" s="2" t="n">
        <v>0</v>
      </c>
      <c r="EK501" s="2" t="n">
        <v>100</v>
      </c>
      <c r="EL501" s="2" t="n">
        <v>100</v>
      </c>
      <c r="EM501" s="2" t="n">
        <v>0</v>
      </c>
      <c r="EN501" s="2" t="n">
        <v>100</v>
      </c>
      <c r="EO501" s="2" t="n">
        <v>100</v>
      </c>
      <c r="EP501" s="2" t="n">
        <v>0</v>
      </c>
      <c r="EQ501" s="2" t="n">
        <v>100</v>
      </c>
      <c r="ER501" s="2" t="n">
        <v>100</v>
      </c>
      <c r="ES501" s="2" t="n">
        <v>0</v>
      </c>
    </row>
    <row r="502">
      <c r="A502" s="2" t="n">
        <v>3</v>
      </c>
      <c r="B502" s="2" t="inlineStr">
        <is>
          <t>21.01.01</t>
        </is>
      </c>
      <c r="C502" s="2" t="inlineStr">
        <is>
          <t>Rede Concessionária</t>
        </is>
      </c>
      <c r="D502" s="2" t="inlineStr">
        <is>
          <t>24/09/2027</t>
        </is>
      </c>
      <c r="E502" s="2" t="inlineStr">
        <is>
          <t>29/11/2027</t>
        </is>
      </c>
      <c r="F502" s="2" t="n">
        <v>117234</v>
      </c>
      <c r="G502" s="2" t="n">
        <v>0</v>
      </c>
      <c r="H502" s="2" t="n">
        <v>117234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9.09</v>
      </c>
      <c r="CM502" s="2" t="n">
        <v>11.36</v>
      </c>
      <c r="CN502" s="2" t="n">
        <v>0</v>
      </c>
      <c r="CO502" s="2" t="n">
        <v>54.55</v>
      </c>
      <c r="CP502" s="2" t="n">
        <v>56.82</v>
      </c>
      <c r="CQ502" s="2" t="n">
        <v>0</v>
      </c>
      <c r="CR502" s="2" t="n">
        <v>100</v>
      </c>
      <c r="CS502" s="2" t="n">
        <v>100</v>
      </c>
      <c r="CT502" s="2" t="n">
        <v>0</v>
      </c>
      <c r="CU502" s="2" t="n">
        <v>100</v>
      </c>
      <c r="CV502" s="2" t="n">
        <v>100</v>
      </c>
      <c r="CW502" s="2" t="n">
        <v>0</v>
      </c>
      <c r="CX502" s="2" t="n">
        <v>100</v>
      </c>
      <c r="CY502" s="2" t="n">
        <v>100</v>
      </c>
      <c r="CZ502" s="2" t="n">
        <v>0</v>
      </c>
      <c r="DA502" s="2" t="n">
        <v>100</v>
      </c>
      <c r="DB502" s="2" t="n">
        <v>100</v>
      </c>
      <c r="DC502" s="2" t="n">
        <v>0</v>
      </c>
      <c r="DD502" s="2" t="n">
        <v>100</v>
      </c>
      <c r="DE502" s="2" t="n">
        <v>100</v>
      </c>
      <c r="DF502" s="2" t="n">
        <v>0</v>
      </c>
      <c r="DG502" s="2" t="n">
        <v>100</v>
      </c>
      <c r="DH502" s="2" t="n">
        <v>100</v>
      </c>
      <c r="DI502" s="2" t="n">
        <v>0</v>
      </c>
      <c r="DJ502" s="2" t="n">
        <v>100</v>
      </c>
      <c r="DK502" s="2" t="n">
        <v>100</v>
      </c>
      <c r="DL502" s="2" t="n">
        <v>0</v>
      </c>
      <c r="DM502" s="2" t="n">
        <v>100</v>
      </c>
      <c r="DN502" s="2" t="n">
        <v>100</v>
      </c>
      <c r="DO502" s="2" t="n">
        <v>0</v>
      </c>
      <c r="DP502" s="2" t="n">
        <v>100</v>
      </c>
      <c r="DQ502" s="2" t="n">
        <v>100</v>
      </c>
      <c r="DR502" s="2" t="n">
        <v>0</v>
      </c>
      <c r="DS502" s="2" t="n">
        <v>100</v>
      </c>
      <c r="DT502" s="2" t="n">
        <v>100</v>
      </c>
      <c r="DU502" s="2" t="n">
        <v>0</v>
      </c>
      <c r="DV502" s="2" t="n">
        <v>100</v>
      </c>
      <c r="DW502" s="2" t="n">
        <v>100</v>
      </c>
      <c r="DX502" s="2" t="n">
        <v>0</v>
      </c>
      <c r="DY502" s="2" t="n">
        <v>100</v>
      </c>
      <c r="DZ502" s="2" t="n">
        <v>100</v>
      </c>
      <c r="EA502" s="2" t="n">
        <v>0</v>
      </c>
      <c r="EB502" s="2" t="n">
        <v>100</v>
      </c>
      <c r="EC502" s="2" t="n">
        <v>100</v>
      </c>
      <c r="ED502" s="2" t="n">
        <v>0</v>
      </c>
      <c r="EE502" s="2" t="n">
        <v>100</v>
      </c>
      <c r="EF502" s="2" t="n">
        <v>100</v>
      </c>
      <c r="EG502" s="2" t="n">
        <v>0</v>
      </c>
      <c r="EH502" s="2" t="n">
        <v>100</v>
      </c>
      <c r="EI502" s="2" t="n">
        <v>100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</row>
    <row r="503">
      <c r="A503" s="2" t="n">
        <v>3</v>
      </c>
      <c r="B503" s="2" t="inlineStr">
        <is>
          <t>21.01.02</t>
        </is>
      </c>
      <c r="C503" s="2" t="inlineStr">
        <is>
          <t>Barrilete</t>
        </is>
      </c>
      <c r="D503" s="2" t="inlineStr">
        <is>
          <t>28/03/2028</t>
        </is>
      </c>
      <c r="E503" s="2" t="inlineStr">
        <is>
          <t>30/05/2028</t>
        </is>
      </c>
      <c r="F503" s="2" t="n">
        <v>257914.8</v>
      </c>
      <c r="G503" s="2" t="n">
        <v>0</v>
      </c>
      <c r="H503" s="2" t="n">
        <v>257914.8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0</v>
      </c>
      <c r="CE503" s="2" t="n">
        <v>0</v>
      </c>
      <c r="CF503" s="2" t="n">
        <v>0</v>
      </c>
      <c r="CG503" s="2" t="n">
        <v>0</v>
      </c>
      <c r="CH503" s="2" t="n">
        <v>0</v>
      </c>
      <c r="CI503" s="2" t="n">
        <v>0</v>
      </c>
      <c r="CJ503" s="2" t="n">
        <v>0</v>
      </c>
      <c r="CK503" s="2" t="n">
        <v>0</v>
      </c>
      <c r="CL503" s="2" t="n">
        <v>0</v>
      </c>
      <c r="CM503" s="2" t="n">
        <v>0</v>
      </c>
      <c r="CN503" s="2" t="n">
        <v>0</v>
      </c>
      <c r="CO503" s="2" t="n">
        <v>0</v>
      </c>
      <c r="CP503" s="2" t="n">
        <v>0</v>
      </c>
      <c r="CQ503" s="2" t="n">
        <v>0</v>
      </c>
      <c r="CR503" s="2" t="n">
        <v>0</v>
      </c>
      <c r="CS503" s="2" t="n">
        <v>0</v>
      </c>
      <c r="CT503" s="2" t="n">
        <v>0</v>
      </c>
      <c r="CU503" s="2" t="n">
        <v>0</v>
      </c>
      <c r="CV503" s="2" t="n">
        <v>0</v>
      </c>
      <c r="CW503" s="2" t="n">
        <v>0</v>
      </c>
      <c r="CX503" s="2" t="n">
        <v>0</v>
      </c>
      <c r="CY503" s="2" t="n">
        <v>0</v>
      </c>
      <c r="CZ503" s="2" t="n">
        <v>0</v>
      </c>
      <c r="DA503" s="2" t="n">
        <v>0</v>
      </c>
      <c r="DB503" s="2" t="n">
        <v>0</v>
      </c>
      <c r="DC503" s="2" t="n">
        <v>0</v>
      </c>
      <c r="DD503" s="2" t="n">
        <v>0</v>
      </c>
      <c r="DE503" s="2" t="n">
        <v>1.33</v>
      </c>
      <c r="DF503" s="2" t="n">
        <v>0</v>
      </c>
      <c r="DG503" s="2" t="n">
        <v>5</v>
      </c>
      <c r="DH503" s="2" t="n">
        <v>39.55</v>
      </c>
      <c r="DI503" s="2" t="n">
        <v>0</v>
      </c>
      <c r="DJ503" s="2" t="n">
        <v>68.33</v>
      </c>
      <c r="DK503" s="2" t="n">
        <v>100</v>
      </c>
      <c r="DL503" s="2" t="n">
        <v>0</v>
      </c>
      <c r="DM503" s="2" t="n">
        <v>100</v>
      </c>
      <c r="DN503" s="2" t="n">
        <v>100</v>
      </c>
      <c r="DO503" s="2" t="n">
        <v>0</v>
      </c>
      <c r="DP503" s="2" t="n">
        <v>100</v>
      </c>
      <c r="DQ503" s="2" t="n">
        <v>100</v>
      </c>
      <c r="DR503" s="2" t="n">
        <v>0</v>
      </c>
      <c r="DS503" s="2" t="n">
        <v>100</v>
      </c>
      <c r="DT503" s="2" t="n">
        <v>100</v>
      </c>
      <c r="DU503" s="2" t="n">
        <v>0</v>
      </c>
      <c r="DV503" s="2" t="n">
        <v>100</v>
      </c>
      <c r="DW503" s="2" t="n">
        <v>100</v>
      </c>
      <c r="DX503" s="2" t="n">
        <v>0</v>
      </c>
      <c r="DY503" s="2" t="n">
        <v>100</v>
      </c>
      <c r="DZ503" s="2" t="n">
        <v>100</v>
      </c>
      <c r="EA503" s="2" t="n">
        <v>0</v>
      </c>
      <c r="EB503" s="2" t="n">
        <v>100</v>
      </c>
      <c r="EC503" s="2" t="n">
        <v>100</v>
      </c>
      <c r="ED503" s="2" t="n">
        <v>0</v>
      </c>
      <c r="EE503" s="2" t="n">
        <v>100</v>
      </c>
      <c r="EF503" s="2" t="n">
        <v>100</v>
      </c>
      <c r="EG503" s="2" t="n">
        <v>0</v>
      </c>
      <c r="EH503" s="2" t="n">
        <v>100</v>
      </c>
      <c r="EI503" s="2" t="n">
        <v>100</v>
      </c>
      <c r="EJ503" s="2" t="n">
        <v>0</v>
      </c>
      <c r="EK503" s="2" t="n">
        <v>100</v>
      </c>
      <c r="EL503" s="2" t="n">
        <v>100</v>
      </c>
      <c r="EM503" s="2" t="n">
        <v>0</v>
      </c>
      <c r="EN503" s="2" t="n">
        <v>100</v>
      </c>
      <c r="EO503" s="2" t="n">
        <v>100</v>
      </c>
      <c r="EP503" s="2" t="n">
        <v>0</v>
      </c>
      <c r="EQ503" s="2" t="n">
        <v>100</v>
      </c>
      <c r="ER503" s="2" t="n">
        <v>100</v>
      </c>
      <c r="ES503" s="2" t="n">
        <v>0</v>
      </c>
    </row>
    <row r="504">
      <c r="A504" s="2" t="n">
        <v>3</v>
      </c>
      <c r="B504" s="2" t="inlineStr">
        <is>
          <t>21.01.03</t>
        </is>
      </c>
      <c r="C504" s="2" t="inlineStr">
        <is>
          <t>Casa De Bombas</t>
        </is>
      </c>
      <c r="D504" s="2" t="inlineStr">
        <is>
          <t>28/03/2028</t>
        </is>
      </c>
      <c r="E504" s="2" t="inlineStr">
        <is>
          <t>30/05/2028</t>
        </is>
      </c>
      <c r="F504" s="2" t="n">
        <v>328255.2</v>
      </c>
      <c r="G504" s="2" t="n">
        <v>0</v>
      </c>
      <c r="H504" s="2" t="n">
        <v>328255.2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0</v>
      </c>
      <c r="CE504" s="2" t="n">
        <v>0</v>
      </c>
      <c r="CF504" s="2" t="n">
        <v>0</v>
      </c>
      <c r="CG504" s="2" t="n">
        <v>0</v>
      </c>
      <c r="CH504" s="2" t="n">
        <v>0</v>
      </c>
      <c r="CI504" s="2" t="n">
        <v>0</v>
      </c>
      <c r="CJ504" s="2" t="n">
        <v>0</v>
      </c>
      <c r="CK504" s="2" t="n">
        <v>0</v>
      </c>
      <c r="CL504" s="2" t="n">
        <v>0</v>
      </c>
      <c r="CM504" s="2" t="n">
        <v>0</v>
      </c>
      <c r="CN504" s="2" t="n">
        <v>0</v>
      </c>
      <c r="CO504" s="2" t="n">
        <v>0</v>
      </c>
      <c r="CP504" s="2" t="n">
        <v>0</v>
      </c>
      <c r="CQ504" s="2" t="n">
        <v>0</v>
      </c>
      <c r="CR504" s="2" t="n">
        <v>0</v>
      </c>
      <c r="CS504" s="2" t="n">
        <v>0</v>
      </c>
      <c r="CT504" s="2" t="n">
        <v>0</v>
      </c>
      <c r="CU504" s="2" t="n">
        <v>0</v>
      </c>
      <c r="CV504" s="2" t="n">
        <v>0</v>
      </c>
      <c r="CW504" s="2" t="n">
        <v>0</v>
      </c>
      <c r="CX504" s="2" t="n">
        <v>0</v>
      </c>
      <c r="CY504" s="2" t="n">
        <v>0</v>
      </c>
      <c r="CZ504" s="2" t="n">
        <v>0</v>
      </c>
      <c r="DA504" s="2" t="n">
        <v>0</v>
      </c>
      <c r="DB504" s="2" t="n">
        <v>0</v>
      </c>
      <c r="DC504" s="2" t="n">
        <v>0</v>
      </c>
      <c r="DD504" s="2" t="n">
        <v>0</v>
      </c>
      <c r="DE504" s="2" t="n">
        <v>1.33</v>
      </c>
      <c r="DF504" s="2" t="n">
        <v>0</v>
      </c>
      <c r="DG504" s="2" t="n">
        <v>5</v>
      </c>
      <c r="DH504" s="2" t="n">
        <v>39.55</v>
      </c>
      <c r="DI504" s="2" t="n">
        <v>0</v>
      </c>
      <c r="DJ504" s="2" t="n">
        <v>68.33</v>
      </c>
      <c r="DK504" s="2" t="n">
        <v>100</v>
      </c>
      <c r="DL504" s="2" t="n">
        <v>0</v>
      </c>
      <c r="DM504" s="2" t="n">
        <v>100</v>
      </c>
      <c r="DN504" s="2" t="n">
        <v>100</v>
      </c>
      <c r="DO504" s="2" t="n">
        <v>0</v>
      </c>
      <c r="DP504" s="2" t="n">
        <v>100</v>
      </c>
      <c r="DQ504" s="2" t="n">
        <v>100</v>
      </c>
      <c r="DR504" s="2" t="n">
        <v>0</v>
      </c>
      <c r="DS504" s="2" t="n">
        <v>100</v>
      </c>
      <c r="DT504" s="2" t="n">
        <v>100</v>
      </c>
      <c r="DU504" s="2" t="n">
        <v>0</v>
      </c>
      <c r="DV504" s="2" t="n">
        <v>100</v>
      </c>
      <c r="DW504" s="2" t="n">
        <v>100</v>
      </c>
      <c r="DX504" s="2" t="n">
        <v>0</v>
      </c>
      <c r="DY504" s="2" t="n">
        <v>100</v>
      </c>
      <c r="DZ504" s="2" t="n">
        <v>100</v>
      </c>
      <c r="EA504" s="2" t="n">
        <v>0</v>
      </c>
      <c r="EB504" s="2" t="n">
        <v>100</v>
      </c>
      <c r="EC504" s="2" t="n">
        <v>100</v>
      </c>
      <c r="ED504" s="2" t="n">
        <v>0</v>
      </c>
      <c r="EE504" s="2" t="n">
        <v>100</v>
      </c>
      <c r="EF504" s="2" t="n">
        <v>100</v>
      </c>
      <c r="EG504" s="2" t="n">
        <v>0</v>
      </c>
      <c r="EH504" s="2" t="n">
        <v>100</v>
      </c>
      <c r="EI504" s="2" t="n">
        <v>100</v>
      </c>
      <c r="EJ504" s="2" t="n">
        <v>0</v>
      </c>
      <c r="EK504" s="2" t="n">
        <v>100</v>
      </c>
      <c r="EL504" s="2" t="n">
        <v>100</v>
      </c>
      <c r="EM504" s="2" t="n">
        <v>0</v>
      </c>
      <c r="EN504" s="2" t="n">
        <v>100</v>
      </c>
      <c r="EO504" s="2" t="n">
        <v>100</v>
      </c>
      <c r="EP504" s="2" t="n">
        <v>0</v>
      </c>
      <c r="EQ504" s="2" t="n">
        <v>100</v>
      </c>
      <c r="ER504" s="2" t="n">
        <v>100</v>
      </c>
      <c r="ES504" s="2" t="n">
        <v>0</v>
      </c>
    </row>
    <row r="505">
      <c r="A505" s="2" t="n">
        <v>3</v>
      </c>
      <c r="B505" s="2" t="inlineStr">
        <is>
          <t>21.01.04</t>
        </is>
      </c>
      <c r="C505" s="2" t="inlineStr">
        <is>
          <t>Furação Nas Lajes</t>
        </is>
      </c>
      <c r="D505" s="2" t="inlineStr">
        <is>
          <t>30/04/2027</t>
        </is>
      </c>
      <c r="E505" s="2" t="inlineStr">
        <is>
          <t>22/05/2028</t>
        </is>
      </c>
      <c r="F505" s="2" t="n">
        <v>140680.8</v>
      </c>
      <c r="G505" s="2" t="n">
        <v>0</v>
      </c>
      <c r="H505" s="2" t="n">
        <v>140680.8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0.43</v>
      </c>
      <c r="BY505" s="2" t="n">
        <v>0</v>
      </c>
      <c r="BZ505" s="2" t="n">
        <v>6.94</v>
      </c>
      <c r="CA505" s="2" t="n">
        <v>9.109999999999999</v>
      </c>
      <c r="CB505" s="2" t="n">
        <v>0</v>
      </c>
      <c r="CC505" s="2" t="n">
        <v>16.49</v>
      </c>
      <c r="CD505" s="2" t="n">
        <v>18.66</v>
      </c>
      <c r="CE505" s="2" t="n">
        <v>0</v>
      </c>
      <c r="CF505" s="2" t="n">
        <v>26.03</v>
      </c>
      <c r="CG505" s="2" t="n">
        <v>28.2</v>
      </c>
      <c r="CH505" s="2" t="n">
        <v>0</v>
      </c>
      <c r="CI505" s="2" t="n">
        <v>35.58</v>
      </c>
      <c r="CJ505" s="2" t="n">
        <v>37.75</v>
      </c>
      <c r="CK505" s="2" t="n">
        <v>0</v>
      </c>
      <c r="CL505" s="2" t="n">
        <v>44.69</v>
      </c>
      <c r="CM505" s="2" t="n">
        <v>46.86</v>
      </c>
      <c r="CN505" s="2" t="n">
        <v>0</v>
      </c>
      <c r="CO505" s="2" t="n">
        <v>53.36</v>
      </c>
      <c r="CP505" s="2" t="n">
        <v>55.53</v>
      </c>
      <c r="CQ505" s="2" t="n">
        <v>0</v>
      </c>
      <c r="CR505" s="2" t="n">
        <v>62.04</v>
      </c>
      <c r="CS505" s="2" t="n">
        <v>64.20999999999999</v>
      </c>
      <c r="CT505" s="2" t="n">
        <v>0</v>
      </c>
      <c r="CU505" s="2" t="n">
        <v>68.98</v>
      </c>
      <c r="CV505" s="2" t="n">
        <v>71.15000000000001</v>
      </c>
      <c r="CW505" s="2" t="n">
        <v>0</v>
      </c>
      <c r="CX505" s="2" t="n">
        <v>78.09</v>
      </c>
      <c r="CY505" s="2" t="n">
        <v>80.26000000000001</v>
      </c>
      <c r="CZ505" s="2" t="n">
        <v>0</v>
      </c>
      <c r="DA505" s="2" t="n">
        <v>87.2</v>
      </c>
      <c r="DB505" s="2" t="n">
        <v>89.47</v>
      </c>
      <c r="DC505" s="2" t="n">
        <v>0</v>
      </c>
      <c r="DD505" s="2" t="n">
        <v>93.87</v>
      </c>
      <c r="DE505" s="2" t="n">
        <v>94.45</v>
      </c>
      <c r="DF505" s="2" t="n">
        <v>0</v>
      </c>
      <c r="DG505" s="2" t="n">
        <v>94.38</v>
      </c>
      <c r="DH505" s="2" t="n">
        <v>95.43000000000001</v>
      </c>
      <c r="DI505" s="2" t="n">
        <v>0</v>
      </c>
      <c r="DJ505" s="2" t="n">
        <v>99.53</v>
      </c>
      <c r="DK505" s="2" t="n">
        <v>100</v>
      </c>
      <c r="DL505" s="2" t="n">
        <v>0</v>
      </c>
      <c r="DM505" s="2" t="n">
        <v>100</v>
      </c>
      <c r="DN505" s="2" t="n">
        <v>100</v>
      </c>
      <c r="DO505" s="2" t="n">
        <v>0</v>
      </c>
      <c r="DP505" s="2" t="n">
        <v>100</v>
      </c>
      <c r="DQ505" s="2" t="n">
        <v>100</v>
      </c>
      <c r="DR505" s="2" t="n">
        <v>0</v>
      </c>
      <c r="DS505" s="2" t="n">
        <v>100</v>
      </c>
      <c r="DT505" s="2" t="n">
        <v>100</v>
      </c>
      <c r="DU505" s="2" t="n">
        <v>0</v>
      </c>
      <c r="DV505" s="2" t="n">
        <v>100</v>
      </c>
      <c r="DW505" s="2" t="n">
        <v>100</v>
      </c>
      <c r="DX505" s="2" t="n">
        <v>0</v>
      </c>
      <c r="DY505" s="2" t="n">
        <v>100</v>
      </c>
      <c r="DZ505" s="2" t="n">
        <v>100</v>
      </c>
      <c r="EA505" s="2" t="n">
        <v>0</v>
      </c>
      <c r="EB505" s="2" t="n">
        <v>100</v>
      </c>
      <c r="EC505" s="2" t="n">
        <v>100</v>
      </c>
      <c r="ED505" s="2" t="n">
        <v>0</v>
      </c>
      <c r="EE505" s="2" t="n">
        <v>100</v>
      </c>
      <c r="EF505" s="2" t="n">
        <v>100</v>
      </c>
      <c r="EG505" s="2" t="n">
        <v>0</v>
      </c>
      <c r="EH505" s="2" t="n">
        <v>100</v>
      </c>
      <c r="EI505" s="2" t="n">
        <v>100</v>
      </c>
      <c r="EJ505" s="2" t="n">
        <v>0</v>
      </c>
      <c r="EK505" s="2" t="n">
        <v>100</v>
      </c>
      <c r="EL505" s="2" t="n">
        <v>100</v>
      </c>
      <c r="EM505" s="2" t="n">
        <v>0</v>
      </c>
      <c r="EN505" s="2" t="n">
        <v>100</v>
      </c>
      <c r="EO505" s="2" t="n">
        <v>100</v>
      </c>
      <c r="EP505" s="2" t="n">
        <v>0</v>
      </c>
      <c r="EQ505" s="2" t="n">
        <v>100</v>
      </c>
      <c r="ER505" s="2" t="n">
        <v>100</v>
      </c>
      <c r="ES505" s="2" t="n">
        <v>0</v>
      </c>
    </row>
    <row r="506">
      <c r="A506" s="2" t="n">
        <v>3</v>
      </c>
      <c r="B506" s="2" t="inlineStr">
        <is>
          <t>21.01.05</t>
        </is>
      </c>
      <c r="C506" s="2" t="inlineStr">
        <is>
          <t>Prumadas De Água Fria</t>
        </is>
      </c>
      <c r="D506" s="2" t="inlineStr">
        <is>
          <t>05/04/2027</t>
        </is>
      </c>
      <c r="E506" s="2" t="inlineStr">
        <is>
          <t>26/05/2028</t>
        </is>
      </c>
      <c r="F506" s="2" t="n">
        <v>304808.4</v>
      </c>
      <c r="G506" s="2" t="n">
        <v>0</v>
      </c>
      <c r="H506" s="2" t="n">
        <v>304808.4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3.74</v>
      </c>
      <c r="BX506" s="2" t="n">
        <v>5.07</v>
      </c>
      <c r="BY506" s="2" t="n">
        <v>0</v>
      </c>
      <c r="BZ506" s="2" t="n">
        <v>9.07</v>
      </c>
      <c r="CA506" s="2" t="n">
        <v>10.41</v>
      </c>
      <c r="CB506" s="2" t="n">
        <v>0</v>
      </c>
      <c r="CC506" s="2" t="n">
        <v>14.95</v>
      </c>
      <c r="CD506" s="2" t="n">
        <v>16.28</v>
      </c>
      <c r="CE506" s="2" t="n">
        <v>0</v>
      </c>
      <c r="CF506" s="2" t="n">
        <v>21.46</v>
      </c>
      <c r="CG506" s="2" t="n">
        <v>22.85</v>
      </c>
      <c r="CH506" s="2" t="n">
        <v>0</v>
      </c>
      <c r="CI506" s="2" t="n">
        <v>28.38</v>
      </c>
      <c r="CJ506" s="2" t="n">
        <v>29.75</v>
      </c>
      <c r="CK506" s="2" t="n">
        <v>0</v>
      </c>
      <c r="CL506" s="2" t="n">
        <v>34.68</v>
      </c>
      <c r="CM506" s="2" t="n">
        <v>36.03</v>
      </c>
      <c r="CN506" s="2" t="n">
        <v>0</v>
      </c>
      <c r="CO506" s="2" t="n">
        <v>49.84</v>
      </c>
      <c r="CP506" s="2" t="n">
        <v>55.6</v>
      </c>
      <c r="CQ506" s="2" t="n">
        <v>0</v>
      </c>
      <c r="CR506" s="2" t="n">
        <v>60.17</v>
      </c>
      <c r="CS506" s="2" t="n">
        <v>63.48</v>
      </c>
      <c r="CT506" s="2" t="n">
        <v>0</v>
      </c>
      <c r="CU506" s="2" t="n">
        <v>66.83</v>
      </c>
      <c r="CV506" s="2" t="n">
        <v>70.05</v>
      </c>
      <c r="CW506" s="2" t="n">
        <v>0</v>
      </c>
      <c r="CX506" s="2" t="n">
        <v>74.64</v>
      </c>
      <c r="CY506" s="2" t="n">
        <v>80.12</v>
      </c>
      <c r="CZ506" s="2" t="n">
        <v>0</v>
      </c>
      <c r="DA506" s="2" t="n">
        <v>83.3</v>
      </c>
      <c r="DB506" s="2" t="n">
        <v>85.73999999999999</v>
      </c>
      <c r="DC506" s="2" t="n">
        <v>0</v>
      </c>
      <c r="DD506" s="2" t="n">
        <v>86.91</v>
      </c>
      <c r="DE506" s="2" t="n">
        <v>91.3</v>
      </c>
      <c r="DF506" s="2" t="n">
        <v>0</v>
      </c>
      <c r="DG506" s="2" t="n">
        <v>93.17</v>
      </c>
      <c r="DH506" s="2" t="n">
        <v>94.02</v>
      </c>
      <c r="DI506" s="2" t="n">
        <v>0</v>
      </c>
      <c r="DJ506" s="2" t="n">
        <v>94.65000000000001</v>
      </c>
      <c r="DK506" s="2" t="n">
        <v>100</v>
      </c>
      <c r="DL506" s="2" t="n">
        <v>0</v>
      </c>
      <c r="DM506" s="2" t="n">
        <v>100</v>
      </c>
      <c r="DN506" s="2" t="n">
        <v>100</v>
      </c>
      <c r="DO506" s="2" t="n">
        <v>0</v>
      </c>
      <c r="DP506" s="2" t="n">
        <v>100</v>
      </c>
      <c r="DQ506" s="2" t="n">
        <v>100</v>
      </c>
      <c r="DR506" s="2" t="n">
        <v>0</v>
      </c>
      <c r="DS506" s="2" t="n">
        <v>100</v>
      </c>
      <c r="DT506" s="2" t="n">
        <v>100</v>
      </c>
      <c r="DU506" s="2" t="n">
        <v>0</v>
      </c>
      <c r="DV506" s="2" t="n">
        <v>100</v>
      </c>
      <c r="DW506" s="2" t="n">
        <v>100</v>
      </c>
      <c r="DX506" s="2" t="n">
        <v>0</v>
      </c>
      <c r="DY506" s="2" t="n">
        <v>100</v>
      </c>
      <c r="DZ506" s="2" t="n">
        <v>100</v>
      </c>
      <c r="EA506" s="2" t="n">
        <v>0</v>
      </c>
      <c r="EB506" s="2" t="n">
        <v>100</v>
      </c>
      <c r="EC506" s="2" t="n">
        <v>100</v>
      </c>
      <c r="ED506" s="2" t="n">
        <v>0</v>
      </c>
      <c r="EE506" s="2" t="n">
        <v>100</v>
      </c>
      <c r="EF506" s="2" t="n">
        <v>100</v>
      </c>
      <c r="EG506" s="2" t="n">
        <v>0</v>
      </c>
      <c r="EH506" s="2" t="n">
        <v>100</v>
      </c>
      <c r="EI506" s="2" t="n">
        <v>100</v>
      </c>
      <c r="EJ506" s="2" t="n">
        <v>0</v>
      </c>
      <c r="EK506" s="2" t="n">
        <v>100</v>
      </c>
      <c r="EL506" s="2" t="n">
        <v>100</v>
      </c>
      <c r="EM506" s="2" t="n">
        <v>0</v>
      </c>
      <c r="EN506" s="2" t="n">
        <v>100</v>
      </c>
      <c r="EO506" s="2" t="n">
        <v>100</v>
      </c>
      <c r="EP506" s="2" t="n">
        <v>0</v>
      </c>
      <c r="EQ506" s="2" t="n">
        <v>100</v>
      </c>
      <c r="ER506" s="2" t="n">
        <v>100</v>
      </c>
      <c r="ES506" s="2" t="n">
        <v>0</v>
      </c>
    </row>
    <row r="507">
      <c r="A507" s="2" t="n">
        <v>3</v>
      </c>
      <c r="B507" s="2" t="inlineStr">
        <is>
          <t>21.01.06</t>
        </is>
      </c>
      <c r="C507" s="2" t="inlineStr">
        <is>
          <t>Distribuição</t>
        </is>
      </c>
      <c r="D507" s="2" t="inlineStr">
        <is>
          <t>30/04/2027</t>
        </is>
      </c>
      <c r="E507" s="2" t="inlineStr">
        <is>
          <t>22/05/2028</t>
        </is>
      </c>
      <c r="F507" s="2" t="n">
        <v>422042.4</v>
      </c>
      <c r="G507" s="2" t="n">
        <v>0</v>
      </c>
      <c r="H507" s="2" t="n">
        <v>422042.4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0.43</v>
      </c>
      <c r="BY507" s="2" t="n">
        <v>0</v>
      </c>
      <c r="BZ507" s="2" t="n">
        <v>6.94</v>
      </c>
      <c r="CA507" s="2" t="n">
        <v>9.109999999999999</v>
      </c>
      <c r="CB507" s="2" t="n">
        <v>0</v>
      </c>
      <c r="CC507" s="2" t="n">
        <v>16.49</v>
      </c>
      <c r="CD507" s="2" t="n">
        <v>18.66</v>
      </c>
      <c r="CE507" s="2" t="n">
        <v>0</v>
      </c>
      <c r="CF507" s="2" t="n">
        <v>26.03</v>
      </c>
      <c r="CG507" s="2" t="n">
        <v>28.2</v>
      </c>
      <c r="CH507" s="2" t="n">
        <v>0</v>
      </c>
      <c r="CI507" s="2" t="n">
        <v>35.58</v>
      </c>
      <c r="CJ507" s="2" t="n">
        <v>37.75</v>
      </c>
      <c r="CK507" s="2" t="n">
        <v>0</v>
      </c>
      <c r="CL507" s="2" t="n">
        <v>44.69</v>
      </c>
      <c r="CM507" s="2" t="n">
        <v>46.86</v>
      </c>
      <c r="CN507" s="2" t="n">
        <v>0</v>
      </c>
      <c r="CO507" s="2" t="n">
        <v>53.36</v>
      </c>
      <c r="CP507" s="2" t="n">
        <v>55.53</v>
      </c>
      <c r="CQ507" s="2" t="n">
        <v>0</v>
      </c>
      <c r="CR507" s="2" t="n">
        <v>62.04</v>
      </c>
      <c r="CS507" s="2" t="n">
        <v>64.20999999999999</v>
      </c>
      <c r="CT507" s="2" t="n">
        <v>0</v>
      </c>
      <c r="CU507" s="2" t="n">
        <v>68.98</v>
      </c>
      <c r="CV507" s="2" t="n">
        <v>71.15000000000001</v>
      </c>
      <c r="CW507" s="2" t="n">
        <v>0</v>
      </c>
      <c r="CX507" s="2" t="n">
        <v>78.09</v>
      </c>
      <c r="CY507" s="2" t="n">
        <v>80.26000000000001</v>
      </c>
      <c r="CZ507" s="2" t="n">
        <v>0</v>
      </c>
      <c r="DA507" s="2" t="n">
        <v>87.2</v>
      </c>
      <c r="DB507" s="2" t="n">
        <v>89.47</v>
      </c>
      <c r="DC507" s="2" t="n">
        <v>0</v>
      </c>
      <c r="DD507" s="2" t="n">
        <v>93.87</v>
      </c>
      <c r="DE507" s="2" t="n">
        <v>94.45</v>
      </c>
      <c r="DF507" s="2" t="n">
        <v>0</v>
      </c>
      <c r="DG507" s="2" t="n">
        <v>94.38</v>
      </c>
      <c r="DH507" s="2" t="n">
        <v>95.43000000000001</v>
      </c>
      <c r="DI507" s="2" t="n">
        <v>0</v>
      </c>
      <c r="DJ507" s="2" t="n">
        <v>99.53</v>
      </c>
      <c r="DK507" s="2" t="n">
        <v>100</v>
      </c>
      <c r="DL507" s="2" t="n">
        <v>0</v>
      </c>
      <c r="DM507" s="2" t="n">
        <v>100</v>
      </c>
      <c r="DN507" s="2" t="n">
        <v>100</v>
      </c>
      <c r="DO507" s="2" t="n">
        <v>0</v>
      </c>
      <c r="DP507" s="2" t="n">
        <v>100</v>
      </c>
      <c r="DQ507" s="2" t="n">
        <v>100</v>
      </c>
      <c r="DR507" s="2" t="n">
        <v>0</v>
      </c>
      <c r="DS507" s="2" t="n">
        <v>100</v>
      </c>
      <c r="DT507" s="2" t="n">
        <v>100</v>
      </c>
      <c r="DU507" s="2" t="n">
        <v>0</v>
      </c>
      <c r="DV507" s="2" t="n">
        <v>100</v>
      </c>
      <c r="DW507" s="2" t="n">
        <v>100</v>
      </c>
      <c r="DX507" s="2" t="n">
        <v>0</v>
      </c>
      <c r="DY507" s="2" t="n">
        <v>100</v>
      </c>
      <c r="DZ507" s="2" t="n">
        <v>100</v>
      </c>
      <c r="EA507" s="2" t="n">
        <v>0</v>
      </c>
      <c r="EB507" s="2" t="n">
        <v>100</v>
      </c>
      <c r="EC507" s="2" t="n">
        <v>100</v>
      </c>
      <c r="ED507" s="2" t="n">
        <v>0</v>
      </c>
      <c r="EE507" s="2" t="n">
        <v>100</v>
      </c>
      <c r="EF507" s="2" t="n">
        <v>100</v>
      </c>
      <c r="EG507" s="2" t="n">
        <v>0</v>
      </c>
      <c r="EH507" s="2" t="n">
        <v>100</v>
      </c>
      <c r="EI507" s="2" t="n">
        <v>100</v>
      </c>
      <c r="EJ507" s="2" t="n">
        <v>0</v>
      </c>
      <c r="EK507" s="2" t="n">
        <v>100</v>
      </c>
      <c r="EL507" s="2" t="n">
        <v>100</v>
      </c>
      <c r="EM507" s="2" t="n">
        <v>0</v>
      </c>
      <c r="EN507" s="2" t="n">
        <v>100</v>
      </c>
      <c r="EO507" s="2" t="n">
        <v>100</v>
      </c>
      <c r="EP507" s="2" t="n">
        <v>0</v>
      </c>
      <c r="EQ507" s="2" t="n">
        <v>100</v>
      </c>
      <c r="ER507" s="2" t="n">
        <v>100</v>
      </c>
      <c r="ES507" s="2" t="n">
        <v>0</v>
      </c>
    </row>
    <row r="508">
      <c r="A508" s="2" t="n">
        <v>3</v>
      </c>
      <c r="B508" s="2" t="inlineStr">
        <is>
          <t>21.01.07</t>
        </is>
      </c>
      <c r="C508" s="2" t="inlineStr">
        <is>
          <t>Registros e Válvulas</t>
        </is>
      </c>
      <c r="D508" s="2" t="inlineStr">
        <is>
          <t>30/04/2027</t>
        </is>
      </c>
      <c r="E508" s="2" t="inlineStr">
        <is>
          <t>22/05/2028</t>
        </is>
      </c>
      <c r="F508" s="2" t="n">
        <v>351702</v>
      </c>
      <c r="G508" s="2" t="n">
        <v>0</v>
      </c>
      <c r="H508" s="2" t="n">
        <v>351702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0.43</v>
      </c>
      <c r="BY508" s="2" t="n">
        <v>0</v>
      </c>
      <c r="BZ508" s="2" t="n">
        <v>6.94</v>
      </c>
      <c r="CA508" s="2" t="n">
        <v>9.109999999999999</v>
      </c>
      <c r="CB508" s="2" t="n">
        <v>0</v>
      </c>
      <c r="CC508" s="2" t="n">
        <v>16.49</v>
      </c>
      <c r="CD508" s="2" t="n">
        <v>18.66</v>
      </c>
      <c r="CE508" s="2" t="n">
        <v>0</v>
      </c>
      <c r="CF508" s="2" t="n">
        <v>26.03</v>
      </c>
      <c r="CG508" s="2" t="n">
        <v>28.2</v>
      </c>
      <c r="CH508" s="2" t="n">
        <v>0</v>
      </c>
      <c r="CI508" s="2" t="n">
        <v>35.58</v>
      </c>
      <c r="CJ508" s="2" t="n">
        <v>37.75</v>
      </c>
      <c r="CK508" s="2" t="n">
        <v>0</v>
      </c>
      <c r="CL508" s="2" t="n">
        <v>44.69</v>
      </c>
      <c r="CM508" s="2" t="n">
        <v>46.86</v>
      </c>
      <c r="CN508" s="2" t="n">
        <v>0</v>
      </c>
      <c r="CO508" s="2" t="n">
        <v>53.36</v>
      </c>
      <c r="CP508" s="2" t="n">
        <v>55.53</v>
      </c>
      <c r="CQ508" s="2" t="n">
        <v>0</v>
      </c>
      <c r="CR508" s="2" t="n">
        <v>62.04</v>
      </c>
      <c r="CS508" s="2" t="n">
        <v>64.20999999999999</v>
      </c>
      <c r="CT508" s="2" t="n">
        <v>0</v>
      </c>
      <c r="CU508" s="2" t="n">
        <v>68.98</v>
      </c>
      <c r="CV508" s="2" t="n">
        <v>71.15000000000001</v>
      </c>
      <c r="CW508" s="2" t="n">
        <v>0</v>
      </c>
      <c r="CX508" s="2" t="n">
        <v>78.09</v>
      </c>
      <c r="CY508" s="2" t="n">
        <v>80.26000000000001</v>
      </c>
      <c r="CZ508" s="2" t="n">
        <v>0</v>
      </c>
      <c r="DA508" s="2" t="n">
        <v>87.2</v>
      </c>
      <c r="DB508" s="2" t="n">
        <v>89.47</v>
      </c>
      <c r="DC508" s="2" t="n">
        <v>0</v>
      </c>
      <c r="DD508" s="2" t="n">
        <v>93.87</v>
      </c>
      <c r="DE508" s="2" t="n">
        <v>94.45</v>
      </c>
      <c r="DF508" s="2" t="n">
        <v>0</v>
      </c>
      <c r="DG508" s="2" t="n">
        <v>94.38</v>
      </c>
      <c r="DH508" s="2" t="n">
        <v>95.43000000000001</v>
      </c>
      <c r="DI508" s="2" t="n">
        <v>0</v>
      </c>
      <c r="DJ508" s="2" t="n">
        <v>99.53</v>
      </c>
      <c r="DK508" s="2" t="n">
        <v>100</v>
      </c>
      <c r="DL508" s="2" t="n">
        <v>0</v>
      </c>
      <c r="DM508" s="2" t="n">
        <v>100</v>
      </c>
      <c r="DN508" s="2" t="n">
        <v>100</v>
      </c>
      <c r="DO508" s="2" t="n">
        <v>0</v>
      </c>
      <c r="DP508" s="2" t="n">
        <v>100</v>
      </c>
      <c r="DQ508" s="2" t="n">
        <v>100</v>
      </c>
      <c r="DR508" s="2" t="n">
        <v>0</v>
      </c>
      <c r="DS508" s="2" t="n">
        <v>100</v>
      </c>
      <c r="DT508" s="2" t="n">
        <v>100</v>
      </c>
      <c r="DU508" s="2" t="n">
        <v>0</v>
      </c>
      <c r="DV508" s="2" t="n">
        <v>100</v>
      </c>
      <c r="DW508" s="2" t="n">
        <v>100</v>
      </c>
      <c r="DX508" s="2" t="n">
        <v>0</v>
      </c>
      <c r="DY508" s="2" t="n">
        <v>100</v>
      </c>
      <c r="DZ508" s="2" t="n">
        <v>100</v>
      </c>
      <c r="EA508" s="2" t="n">
        <v>0</v>
      </c>
      <c r="EB508" s="2" t="n">
        <v>100</v>
      </c>
      <c r="EC508" s="2" t="n">
        <v>100</v>
      </c>
      <c r="ED508" s="2" t="n">
        <v>0</v>
      </c>
      <c r="EE508" s="2" t="n">
        <v>100</v>
      </c>
      <c r="EF508" s="2" t="n">
        <v>100</v>
      </c>
      <c r="EG508" s="2" t="n">
        <v>0</v>
      </c>
      <c r="EH508" s="2" t="n">
        <v>100</v>
      </c>
      <c r="EI508" s="2" t="n">
        <v>100</v>
      </c>
      <c r="EJ508" s="2" t="n">
        <v>0</v>
      </c>
      <c r="EK508" s="2" t="n">
        <v>100</v>
      </c>
      <c r="EL508" s="2" t="n">
        <v>100</v>
      </c>
      <c r="EM508" s="2" t="n">
        <v>0</v>
      </c>
      <c r="EN508" s="2" t="n">
        <v>100</v>
      </c>
      <c r="EO508" s="2" t="n">
        <v>100</v>
      </c>
      <c r="EP508" s="2" t="n">
        <v>0</v>
      </c>
      <c r="EQ508" s="2" t="n">
        <v>100</v>
      </c>
      <c r="ER508" s="2" t="n">
        <v>100</v>
      </c>
      <c r="ES508" s="2" t="n">
        <v>0</v>
      </c>
    </row>
    <row r="509">
      <c r="A509" s="2" t="n">
        <v>3</v>
      </c>
      <c r="B509" s="2" t="inlineStr">
        <is>
          <t>21.01.08</t>
        </is>
      </c>
      <c r="C509" s="2" t="inlineStr">
        <is>
          <t>Caixas de passagem</t>
        </is>
      </c>
      <c r="D509" s="2" t="inlineStr">
        <is>
          <t>11/01/2027</t>
        </is>
      </c>
      <c r="E509" s="2" t="inlineStr">
        <is>
          <t>05/02/2027</t>
        </is>
      </c>
      <c r="F509" s="2" t="n">
        <v>234468</v>
      </c>
      <c r="G509" s="2" t="n">
        <v>0</v>
      </c>
      <c r="H509" s="2" t="n">
        <v>234468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15</v>
      </c>
      <c r="BO509" s="2" t="n">
        <v>75</v>
      </c>
      <c r="BP509" s="2" t="n">
        <v>0</v>
      </c>
      <c r="BQ509" s="2" t="n">
        <v>100</v>
      </c>
      <c r="BR509" s="2" t="n">
        <v>100</v>
      </c>
      <c r="BS509" s="2" t="n">
        <v>0</v>
      </c>
      <c r="BT509" s="2" t="n">
        <v>100</v>
      </c>
      <c r="BU509" s="2" t="n">
        <v>100</v>
      </c>
      <c r="BV509" s="2" t="n">
        <v>0</v>
      </c>
      <c r="BW509" s="2" t="n">
        <v>100</v>
      </c>
      <c r="BX509" s="2" t="n">
        <v>100</v>
      </c>
      <c r="BY509" s="2" t="n">
        <v>0</v>
      </c>
      <c r="BZ509" s="2" t="n">
        <v>100</v>
      </c>
      <c r="CA509" s="2" t="n">
        <v>100</v>
      </c>
      <c r="CB509" s="2" t="n">
        <v>0</v>
      </c>
      <c r="CC509" s="2" t="n">
        <v>100</v>
      </c>
      <c r="CD509" s="2" t="n">
        <v>100</v>
      </c>
      <c r="CE509" s="2" t="n">
        <v>0</v>
      </c>
      <c r="CF509" s="2" t="n">
        <v>100</v>
      </c>
      <c r="CG509" s="2" t="n">
        <v>100</v>
      </c>
      <c r="CH509" s="2" t="n">
        <v>0</v>
      </c>
      <c r="CI509" s="2" t="n">
        <v>100</v>
      </c>
      <c r="CJ509" s="2" t="n">
        <v>100</v>
      </c>
      <c r="CK509" s="2" t="n">
        <v>0</v>
      </c>
      <c r="CL509" s="2" t="n">
        <v>100</v>
      </c>
      <c r="CM509" s="2" t="n">
        <v>100</v>
      </c>
      <c r="CN509" s="2" t="n">
        <v>0</v>
      </c>
      <c r="CO509" s="2" t="n">
        <v>100</v>
      </c>
      <c r="CP509" s="2" t="n">
        <v>100</v>
      </c>
      <c r="CQ509" s="2" t="n">
        <v>0</v>
      </c>
      <c r="CR509" s="2" t="n">
        <v>100</v>
      </c>
      <c r="CS509" s="2" t="n">
        <v>100</v>
      </c>
      <c r="CT509" s="2" t="n">
        <v>0</v>
      </c>
      <c r="CU509" s="2" t="n">
        <v>100</v>
      </c>
      <c r="CV509" s="2" t="n">
        <v>100</v>
      </c>
      <c r="CW509" s="2" t="n">
        <v>0</v>
      </c>
      <c r="CX509" s="2" t="n">
        <v>100</v>
      </c>
      <c r="CY509" s="2" t="n">
        <v>100</v>
      </c>
      <c r="CZ509" s="2" t="n">
        <v>0</v>
      </c>
      <c r="DA509" s="2" t="n">
        <v>100</v>
      </c>
      <c r="DB509" s="2" t="n">
        <v>100</v>
      </c>
      <c r="DC509" s="2" t="n">
        <v>0</v>
      </c>
      <c r="DD509" s="2" t="n">
        <v>100</v>
      </c>
      <c r="DE509" s="2" t="n">
        <v>100</v>
      </c>
      <c r="DF509" s="2" t="n">
        <v>0</v>
      </c>
      <c r="DG509" s="2" t="n">
        <v>100</v>
      </c>
      <c r="DH509" s="2" t="n">
        <v>100</v>
      </c>
      <c r="DI509" s="2" t="n">
        <v>0</v>
      </c>
      <c r="DJ509" s="2" t="n">
        <v>100</v>
      </c>
      <c r="DK509" s="2" t="n">
        <v>100</v>
      </c>
      <c r="DL509" s="2" t="n">
        <v>0</v>
      </c>
      <c r="DM509" s="2" t="n">
        <v>100</v>
      </c>
      <c r="DN509" s="2" t="n">
        <v>100</v>
      </c>
      <c r="DO509" s="2" t="n">
        <v>0</v>
      </c>
      <c r="DP509" s="2" t="n">
        <v>100</v>
      </c>
      <c r="DQ509" s="2" t="n">
        <v>100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</row>
    <row r="510">
      <c r="A510" s="2" t="n">
        <v>3</v>
      </c>
      <c r="B510" s="2" t="inlineStr">
        <is>
          <t>21.01.09</t>
        </is>
      </c>
      <c r="C510" s="2" t="inlineStr">
        <is>
          <t>Reservatórios</t>
        </is>
      </c>
      <c r="D510" s="2" t="inlineStr">
        <is>
          <t>19/10/2027</t>
        </is>
      </c>
      <c r="E510" s="2" t="inlineStr">
        <is>
          <t>21/07/2028</t>
        </is>
      </c>
      <c r="F510" s="2" t="n">
        <v>187574.4</v>
      </c>
      <c r="G510" s="2" t="n">
        <v>0</v>
      </c>
      <c r="H510" s="2" t="n">
        <v>187574.4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12.12</v>
      </c>
      <c r="CP510" s="2" t="n">
        <v>13.64</v>
      </c>
      <c r="CQ510" s="2" t="n">
        <v>0</v>
      </c>
      <c r="CR510" s="2" t="n">
        <v>42.42</v>
      </c>
      <c r="CS510" s="2" t="n">
        <v>43.94</v>
      </c>
      <c r="CT510" s="2" t="n">
        <v>0</v>
      </c>
      <c r="CU510" s="2" t="n">
        <v>50</v>
      </c>
      <c r="CV510" s="2" t="n">
        <v>50</v>
      </c>
      <c r="CW510" s="2" t="n">
        <v>0</v>
      </c>
      <c r="CX510" s="2" t="n">
        <v>50</v>
      </c>
      <c r="CY510" s="2" t="n">
        <v>50</v>
      </c>
      <c r="CZ510" s="2" t="n">
        <v>0</v>
      </c>
      <c r="DA510" s="2" t="n">
        <v>50</v>
      </c>
      <c r="DB510" s="2" t="n">
        <v>50</v>
      </c>
      <c r="DC510" s="2" t="n">
        <v>0</v>
      </c>
      <c r="DD510" s="2" t="n">
        <v>50</v>
      </c>
      <c r="DE510" s="2" t="n">
        <v>50</v>
      </c>
      <c r="DF510" s="2" t="n">
        <v>0</v>
      </c>
      <c r="DG510" s="2" t="n">
        <v>50</v>
      </c>
      <c r="DH510" s="2" t="n">
        <v>50</v>
      </c>
      <c r="DI510" s="2" t="n">
        <v>0</v>
      </c>
      <c r="DJ510" s="2" t="n">
        <v>50</v>
      </c>
      <c r="DK510" s="2" t="n">
        <v>50</v>
      </c>
      <c r="DL510" s="2" t="n">
        <v>0</v>
      </c>
      <c r="DM510" s="2" t="n">
        <v>50</v>
      </c>
      <c r="DN510" s="2" t="n">
        <v>65.91</v>
      </c>
      <c r="DO510" s="2" t="n">
        <v>0</v>
      </c>
      <c r="DP510" s="2" t="n">
        <v>86.36</v>
      </c>
      <c r="DQ510" s="2" t="n">
        <v>100</v>
      </c>
      <c r="DR510" s="2" t="n">
        <v>0</v>
      </c>
      <c r="DS510" s="2" t="n">
        <v>100</v>
      </c>
      <c r="DT510" s="2" t="n">
        <v>100</v>
      </c>
      <c r="DU510" s="2" t="n">
        <v>0</v>
      </c>
      <c r="DV510" s="2" t="n">
        <v>100</v>
      </c>
      <c r="DW510" s="2" t="n">
        <v>100</v>
      </c>
      <c r="DX510" s="2" t="n">
        <v>0</v>
      </c>
      <c r="DY510" s="2" t="n">
        <v>100</v>
      </c>
      <c r="DZ510" s="2" t="n">
        <v>100</v>
      </c>
      <c r="EA510" s="2" t="n">
        <v>0</v>
      </c>
      <c r="EB510" s="2" t="n">
        <v>100</v>
      </c>
      <c r="EC510" s="2" t="n">
        <v>100</v>
      </c>
      <c r="ED510" s="2" t="n">
        <v>0</v>
      </c>
      <c r="EE510" s="2" t="n">
        <v>100</v>
      </c>
      <c r="EF510" s="2" t="n">
        <v>100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</row>
    <row r="511">
      <c r="A511" s="2" t="n">
        <v>2</v>
      </c>
      <c r="B511" s="2" t="inlineStr">
        <is>
          <t>21.02</t>
        </is>
      </c>
      <c r="C511" s="2" t="inlineStr">
        <is>
          <t>Instalações Prediais de Água Quente</t>
        </is>
      </c>
      <c r="D511" s="2" t="inlineStr">
        <is>
          <t>05/04/2027</t>
        </is>
      </c>
      <c r="E511" s="2" t="inlineStr">
        <is>
          <t>21/07/2028</t>
        </is>
      </c>
      <c r="F511" s="2" t="n">
        <v>1797588</v>
      </c>
      <c r="G511" s="2" t="n">
        <v>0</v>
      </c>
      <c r="H511" s="2" t="n">
        <v>1797588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0.78</v>
      </c>
      <c r="BX511" s="2" t="n">
        <v>1.34</v>
      </c>
      <c r="BY511" s="2" t="n">
        <v>0</v>
      </c>
      <c r="BZ511" s="2" t="n">
        <v>6.35</v>
      </c>
      <c r="CA511" s="2" t="n">
        <v>8.02</v>
      </c>
      <c r="CB511" s="2" t="n">
        <v>0</v>
      </c>
      <c r="CC511" s="2" t="n">
        <v>13.69</v>
      </c>
      <c r="CD511" s="2" t="n">
        <v>15.36</v>
      </c>
      <c r="CE511" s="2" t="n">
        <v>0</v>
      </c>
      <c r="CF511" s="2" t="n">
        <v>21.17</v>
      </c>
      <c r="CG511" s="2" t="n">
        <v>22.85</v>
      </c>
      <c r="CH511" s="2" t="n">
        <v>0</v>
      </c>
      <c r="CI511" s="2" t="n">
        <v>28.73</v>
      </c>
      <c r="CJ511" s="2" t="n">
        <v>30.41</v>
      </c>
      <c r="CK511" s="2" t="n">
        <v>0</v>
      </c>
      <c r="CL511" s="2" t="n">
        <v>35.88</v>
      </c>
      <c r="CM511" s="2" t="n">
        <v>37.55</v>
      </c>
      <c r="CN511" s="2" t="n">
        <v>0</v>
      </c>
      <c r="CO511" s="2" t="n">
        <v>46.44</v>
      </c>
      <c r="CP511" s="2" t="n">
        <v>49.26</v>
      </c>
      <c r="CQ511" s="2" t="n">
        <v>0</v>
      </c>
      <c r="CR511" s="2" t="n">
        <v>58.71</v>
      </c>
      <c r="CS511" s="2" t="n">
        <v>61.02</v>
      </c>
      <c r="CT511" s="2" t="n">
        <v>0</v>
      </c>
      <c r="CU511" s="2" t="n">
        <v>65.68000000000001</v>
      </c>
      <c r="CV511" s="2" t="n">
        <v>67.75</v>
      </c>
      <c r="CW511" s="2" t="n">
        <v>0</v>
      </c>
      <c r="CX511" s="2" t="n">
        <v>73.15000000000001</v>
      </c>
      <c r="CY511" s="2" t="n">
        <v>75.69</v>
      </c>
      <c r="CZ511" s="2" t="n">
        <v>0</v>
      </c>
      <c r="DA511" s="2" t="n">
        <v>80.8</v>
      </c>
      <c r="DB511" s="2" t="n">
        <v>82.77</v>
      </c>
      <c r="DC511" s="2" t="n">
        <v>0</v>
      </c>
      <c r="DD511" s="2" t="n">
        <v>85.83</v>
      </c>
      <c r="DE511" s="2" t="n">
        <v>87.12</v>
      </c>
      <c r="DF511" s="2" t="n">
        <v>0</v>
      </c>
      <c r="DG511" s="2" t="n">
        <v>87.47</v>
      </c>
      <c r="DH511" s="2" t="n">
        <v>88.31999999999999</v>
      </c>
      <c r="DI511" s="2" t="n">
        <v>0</v>
      </c>
      <c r="DJ511" s="2" t="n">
        <v>91.06999999999999</v>
      </c>
      <c r="DK511" s="2" t="n">
        <v>92.5</v>
      </c>
      <c r="DL511" s="2" t="n">
        <v>0</v>
      </c>
      <c r="DM511" s="2" t="n">
        <v>92.5</v>
      </c>
      <c r="DN511" s="2" t="n">
        <v>94.89</v>
      </c>
      <c r="DO511" s="2" t="n">
        <v>0</v>
      </c>
      <c r="DP511" s="2" t="n">
        <v>97.95</v>
      </c>
      <c r="DQ511" s="2" t="n">
        <v>100</v>
      </c>
      <c r="DR511" s="2" t="n">
        <v>0</v>
      </c>
      <c r="DS511" s="2" t="n">
        <v>100</v>
      </c>
      <c r="DT511" s="2" t="n">
        <v>100</v>
      </c>
      <c r="DU511" s="2" t="n">
        <v>0</v>
      </c>
      <c r="DV511" s="2" t="n">
        <v>100</v>
      </c>
      <c r="DW511" s="2" t="n">
        <v>100</v>
      </c>
      <c r="DX511" s="2" t="n">
        <v>0</v>
      </c>
      <c r="DY511" s="2" t="n">
        <v>100</v>
      </c>
      <c r="DZ511" s="2" t="n">
        <v>100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</row>
    <row r="512">
      <c r="A512" s="2" t="n">
        <v>3</v>
      </c>
      <c r="B512" s="2" t="inlineStr">
        <is>
          <t>21.02.01</t>
        </is>
      </c>
      <c r="C512" s="2" t="inlineStr">
        <is>
          <t>Furação Nas Lajes</t>
        </is>
      </c>
      <c r="D512" s="2" t="inlineStr">
        <is>
          <t>30/04/2027</t>
        </is>
      </c>
      <c r="E512" s="2" t="inlineStr">
        <is>
          <t>22/05/2028</t>
        </is>
      </c>
      <c r="F512" s="2" t="n">
        <v>107855.28</v>
      </c>
      <c r="G512" s="2" t="n">
        <v>0</v>
      </c>
      <c r="H512" s="2" t="n">
        <v>107855.28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0.43</v>
      </c>
      <c r="BY512" s="2" t="n">
        <v>0</v>
      </c>
      <c r="BZ512" s="2" t="n">
        <v>6.94</v>
      </c>
      <c r="CA512" s="2" t="n">
        <v>9.109999999999999</v>
      </c>
      <c r="CB512" s="2" t="n">
        <v>0</v>
      </c>
      <c r="CC512" s="2" t="n">
        <v>16.49</v>
      </c>
      <c r="CD512" s="2" t="n">
        <v>18.66</v>
      </c>
      <c r="CE512" s="2" t="n">
        <v>0</v>
      </c>
      <c r="CF512" s="2" t="n">
        <v>26.03</v>
      </c>
      <c r="CG512" s="2" t="n">
        <v>28.2</v>
      </c>
      <c r="CH512" s="2" t="n">
        <v>0</v>
      </c>
      <c r="CI512" s="2" t="n">
        <v>35.58</v>
      </c>
      <c r="CJ512" s="2" t="n">
        <v>37.75</v>
      </c>
      <c r="CK512" s="2" t="n">
        <v>0</v>
      </c>
      <c r="CL512" s="2" t="n">
        <v>44.69</v>
      </c>
      <c r="CM512" s="2" t="n">
        <v>46.86</v>
      </c>
      <c r="CN512" s="2" t="n">
        <v>0</v>
      </c>
      <c r="CO512" s="2" t="n">
        <v>53.36</v>
      </c>
      <c r="CP512" s="2" t="n">
        <v>55.53</v>
      </c>
      <c r="CQ512" s="2" t="n">
        <v>0</v>
      </c>
      <c r="CR512" s="2" t="n">
        <v>62.04</v>
      </c>
      <c r="CS512" s="2" t="n">
        <v>64.20999999999999</v>
      </c>
      <c r="CT512" s="2" t="n">
        <v>0</v>
      </c>
      <c r="CU512" s="2" t="n">
        <v>68.98</v>
      </c>
      <c r="CV512" s="2" t="n">
        <v>71.15000000000001</v>
      </c>
      <c r="CW512" s="2" t="n">
        <v>0</v>
      </c>
      <c r="CX512" s="2" t="n">
        <v>78.09</v>
      </c>
      <c r="CY512" s="2" t="n">
        <v>80.26000000000001</v>
      </c>
      <c r="CZ512" s="2" t="n">
        <v>0</v>
      </c>
      <c r="DA512" s="2" t="n">
        <v>87.2</v>
      </c>
      <c r="DB512" s="2" t="n">
        <v>89.47</v>
      </c>
      <c r="DC512" s="2" t="n">
        <v>0</v>
      </c>
      <c r="DD512" s="2" t="n">
        <v>93.87</v>
      </c>
      <c r="DE512" s="2" t="n">
        <v>94.45</v>
      </c>
      <c r="DF512" s="2" t="n">
        <v>0</v>
      </c>
      <c r="DG512" s="2" t="n">
        <v>94.38</v>
      </c>
      <c r="DH512" s="2" t="n">
        <v>95.43000000000001</v>
      </c>
      <c r="DI512" s="2" t="n">
        <v>0</v>
      </c>
      <c r="DJ512" s="2" t="n">
        <v>99.53</v>
      </c>
      <c r="DK512" s="2" t="n">
        <v>100</v>
      </c>
      <c r="DL512" s="2" t="n">
        <v>0</v>
      </c>
      <c r="DM512" s="2" t="n">
        <v>100</v>
      </c>
      <c r="DN512" s="2" t="n">
        <v>100</v>
      </c>
      <c r="DO512" s="2" t="n">
        <v>0</v>
      </c>
      <c r="DP512" s="2" t="n">
        <v>100</v>
      </c>
      <c r="DQ512" s="2" t="n">
        <v>100</v>
      </c>
      <c r="DR512" s="2" t="n">
        <v>0</v>
      </c>
      <c r="DS512" s="2" t="n">
        <v>100</v>
      </c>
      <c r="DT512" s="2" t="n">
        <v>100</v>
      </c>
      <c r="DU512" s="2" t="n">
        <v>0</v>
      </c>
      <c r="DV512" s="2" t="n">
        <v>100</v>
      </c>
      <c r="DW512" s="2" t="n">
        <v>100</v>
      </c>
      <c r="DX512" s="2" t="n">
        <v>0</v>
      </c>
      <c r="DY512" s="2" t="n">
        <v>100</v>
      </c>
      <c r="DZ512" s="2" t="n">
        <v>100</v>
      </c>
      <c r="EA512" s="2" t="n">
        <v>0</v>
      </c>
      <c r="EB512" s="2" t="n">
        <v>100</v>
      </c>
      <c r="EC512" s="2" t="n">
        <v>100</v>
      </c>
      <c r="ED512" s="2" t="n">
        <v>0</v>
      </c>
      <c r="EE512" s="2" t="n">
        <v>100</v>
      </c>
      <c r="EF512" s="2" t="n">
        <v>100</v>
      </c>
      <c r="EG512" s="2" t="n">
        <v>0</v>
      </c>
      <c r="EH512" s="2" t="n">
        <v>100</v>
      </c>
      <c r="EI512" s="2" t="n">
        <v>100</v>
      </c>
      <c r="EJ512" s="2" t="n">
        <v>0</v>
      </c>
      <c r="EK512" s="2" t="n">
        <v>100</v>
      </c>
      <c r="EL512" s="2" t="n">
        <v>100</v>
      </c>
      <c r="EM512" s="2" t="n">
        <v>0</v>
      </c>
      <c r="EN512" s="2" t="n">
        <v>100</v>
      </c>
      <c r="EO512" s="2" t="n">
        <v>100</v>
      </c>
      <c r="EP512" s="2" t="n">
        <v>0</v>
      </c>
      <c r="EQ512" s="2" t="n">
        <v>100</v>
      </c>
      <c r="ER512" s="2" t="n">
        <v>100</v>
      </c>
      <c r="ES512" s="2" t="n">
        <v>0</v>
      </c>
    </row>
    <row r="513">
      <c r="A513" s="2" t="n">
        <v>3</v>
      </c>
      <c r="B513" s="2" t="inlineStr">
        <is>
          <t>21.02.02</t>
        </is>
      </c>
      <c r="C513" s="2" t="inlineStr">
        <is>
          <t>Prumadas De Água quente</t>
        </is>
      </c>
      <c r="D513" s="2" t="inlineStr">
        <is>
          <t>05/04/2027</t>
        </is>
      </c>
      <c r="E513" s="2" t="inlineStr">
        <is>
          <t>26/05/2028</t>
        </is>
      </c>
      <c r="F513" s="2" t="n">
        <v>377493.48</v>
      </c>
      <c r="G513" s="2" t="n">
        <v>0</v>
      </c>
      <c r="H513" s="2" t="n">
        <v>377493.48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3.74</v>
      </c>
      <c r="BX513" s="2" t="n">
        <v>5.07</v>
      </c>
      <c r="BY513" s="2" t="n">
        <v>0</v>
      </c>
      <c r="BZ513" s="2" t="n">
        <v>9.07</v>
      </c>
      <c r="CA513" s="2" t="n">
        <v>10.41</v>
      </c>
      <c r="CB513" s="2" t="n">
        <v>0</v>
      </c>
      <c r="CC513" s="2" t="n">
        <v>14.95</v>
      </c>
      <c r="CD513" s="2" t="n">
        <v>16.28</v>
      </c>
      <c r="CE513" s="2" t="n">
        <v>0</v>
      </c>
      <c r="CF513" s="2" t="n">
        <v>21.46</v>
      </c>
      <c r="CG513" s="2" t="n">
        <v>22.85</v>
      </c>
      <c r="CH513" s="2" t="n">
        <v>0</v>
      </c>
      <c r="CI513" s="2" t="n">
        <v>28.38</v>
      </c>
      <c r="CJ513" s="2" t="n">
        <v>29.75</v>
      </c>
      <c r="CK513" s="2" t="n">
        <v>0</v>
      </c>
      <c r="CL513" s="2" t="n">
        <v>34.68</v>
      </c>
      <c r="CM513" s="2" t="n">
        <v>36.03</v>
      </c>
      <c r="CN513" s="2" t="n">
        <v>0</v>
      </c>
      <c r="CO513" s="2" t="n">
        <v>49.84</v>
      </c>
      <c r="CP513" s="2" t="n">
        <v>55.6</v>
      </c>
      <c r="CQ513" s="2" t="n">
        <v>0</v>
      </c>
      <c r="CR513" s="2" t="n">
        <v>60.17</v>
      </c>
      <c r="CS513" s="2" t="n">
        <v>63.48</v>
      </c>
      <c r="CT513" s="2" t="n">
        <v>0</v>
      </c>
      <c r="CU513" s="2" t="n">
        <v>66.83</v>
      </c>
      <c r="CV513" s="2" t="n">
        <v>70.05</v>
      </c>
      <c r="CW513" s="2" t="n">
        <v>0</v>
      </c>
      <c r="CX513" s="2" t="n">
        <v>74.64</v>
      </c>
      <c r="CY513" s="2" t="n">
        <v>80.12</v>
      </c>
      <c r="CZ513" s="2" t="n">
        <v>0</v>
      </c>
      <c r="DA513" s="2" t="n">
        <v>83.3</v>
      </c>
      <c r="DB513" s="2" t="n">
        <v>85.73999999999999</v>
      </c>
      <c r="DC513" s="2" t="n">
        <v>0</v>
      </c>
      <c r="DD513" s="2" t="n">
        <v>86.91</v>
      </c>
      <c r="DE513" s="2" t="n">
        <v>91.3</v>
      </c>
      <c r="DF513" s="2" t="n">
        <v>0</v>
      </c>
      <c r="DG513" s="2" t="n">
        <v>93.17</v>
      </c>
      <c r="DH513" s="2" t="n">
        <v>94.02</v>
      </c>
      <c r="DI513" s="2" t="n">
        <v>0</v>
      </c>
      <c r="DJ513" s="2" t="n">
        <v>94.65000000000001</v>
      </c>
      <c r="DK513" s="2" t="n">
        <v>100</v>
      </c>
      <c r="DL513" s="2" t="n">
        <v>0</v>
      </c>
      <c r="DM513" s="2" t="n">
        <v>100</v>
      </c>
      <c r="DN513" s="2" t="n">
        <v>100</v>
      </c>
      <c r="DO513" s="2" t="n">
        <v>0</v>
      </c>
      <c r="DP513" s="2" t="n">
        <v>100</v>
      </c>
      <c r="DQ513" s="2" t="n">
        <v>100</v>
      </c>
      <c r="DR513" s="2" t="n">
        <v>0</v>
      </c>
      <c r="DS513" s="2" t="n">
        <v>100</v>
      </c>
      <c r="DT513" s="2" t="n">
        <v>100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</row>
    <row r="514">
      <c r="A514" s="2" t="n">
        <v>3</v>
      </c>
      <c r="B514" s="2" t="inlineStr">
        <is>
          <t>21.02.03</t>
        </is>
      </c>
      <c r="C514" s="2" t="inlineStr">
        <is>
          <t>Distribuição</t>
        </is>
      </c>
      <c r="D514" s="2" t="inlineStr">
        <is>
          <t>30/04/2027</t>
        </is>
      </c>
      <c r="E514" s="2" t="inlineStr">
        <is>
          <t>22/05/2028</t>
        </is>
      </c>
      <c r="F514" s="2" t="n">
        <v>485348.7600000001</v>
      </c>
      <c r="G514" s="2" t="n">
        <v>0</v>
      </c>
      <c r="H514" s="2" t="n">
        <v>485348.7600000001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0.43</v>
      </c>
      <c r="BY514" s="2" t="n">
        <v>0</v>
      </c>
      <c r="BZ514" s="2" t="n">
        <v>6.94</v>
      </c>
      <c r="CA514" s="2" t="n">
        <v>9.109999999999999</v>
      </c>
      <c r="CB514" s="2" t="n">
        <v>0</v>
      </c>
      <c r="CC514" s="2" t="n">
        <v>16.49</v>
      </c>
      <c r="CD514" s="2" t="n">
        <v>18.66</v>
      </c>
      <c r="CE514" s="2" t="n">
        <v>0</v>
      </c>
      <c r="CF514" s="2" t="n">
        <v>26.03</v>
      </c>
      <c r="CG514" s="2" t="n">
        <v>28.2</v>
      </c>
      <c r="CH514" s="2" t="n">
        <v>0</v>
      </c>
      <c r="CI514" s="2" t="n">
        <v>35.58</v>
      </c>
      <c r="CJ514" s="2" t="n">
        <v>37.75</v>
      </c>
      <c r="CK514" s="2" t="n">
        <v>0</v>
      </c>
      <c r="CL514" s="2" t="n">
        <v>44.69</v>
      </c>
      <c r="CM514" s="2" t="n">
        <v>46.86</v>
      </c>
      <c r="CN514" s="2" t="n">
        <v>0</v>
      </c>
      <c r="CO514" s="2" t="n">
        <v>53.36</v>
      </c>
      <c r="CP514" s="2" t="n">
        <v>55.53</v>
      </c>
      <c r="CQ514" s="2" t="n">
        <v>0</v>
      </c>
      <c r="CR514" s="2" t="n">
        <v>62.04</v>
      </c>
      <c r="CS514" s="2" t="n">
        <v>64.20999999999999</v>
      </c>
      <c r="CT514" s="2" t="n">
        <v>0</v>
      </c>
      <c r="CU514" s="2" t="n">
        <v>68.98</v>
      </c>
      <c r="CV514" s="2" t="n">
        <v>71.15000000000001</v>
      </c>
      <c r="CW514" s="2" t="n">
        <v>0</v>
      </c>
      <c r="CX514" s="2" t="n">
        <v>78.09</v>
      </c>
      <c r="CY514" s="2" t="n">
        <v>80.26000000000001</v>
      </c>
      <c r="CZ514" s="2" t="n">
        <v>0</v>
      </c>
      <c r="DA514" s="2" t="n">
        <v>87.2</v>
      </c>
      <c r="DB514" s="2" t="n">
        <v>89.47</v>
      </c>
      <c r="DC514" s="2" t="n">
        <v>0</v>
      </c>
      <c r="DD514" s="2" t="n">
        <v>93.87</v>
      </c>
      <c r="DE514" s="2" t="n">
        <v>94.45</v>
      </c>
      <c r="DF514" s="2" t="n">
        <v>0</v>
      </c>
      <c r="DG514" s="2" t="n">
        <v>94.38</v>
      </c>
      <c r="DH514" s="2" t="n">
        <v>95.43000000000001</v>
      </c>
      <c r="DI514" s="2" t="n">
        <v>0</v>
      </c>
      <c r="DJ514" s="2" t="n">
        <v>99.53</v>
      </c>
      <c r="DK514" s="2" t="n">
        <v>100</v>
      </c>
      <c r="DL514" s="2" t="n">
        <v>0</v>
      </c>
      <c r="DM514" s="2" t="n">
        <v>100</v>
      </c>
      <c r="DN514" s="2" t="n">
        <v>100</v>
      </c>
      <c r="DO514" s="2" t="n">
        <v>0</v>
      </c>
      <c r="DP514" s="2" t="n">
        <v>100</v>
      </c>
      <c r="DQ514" s="2" t="n">
        <v>100</v>
      </c>
      <c r="DR514" s="2" t="n">
        <v>0</v>
      </c>
      <c r="DS514" s="2" t="n">
        <v>100</v>
      </c>
      <c r="DT514" s="2" t="n">
        <v>100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</row>
    <row r="515">
      <c r="A515" s="2" t="n">
        <v>3</v>
      </c>
      <c r="B515" s="2" t="inlineStr">
        <is>
          <t>21.02.04</t>
        </is>
      </c>
      <c r="C515" s="2" t="inlineStr">
        <is>
          <t>Registros e Válvulas</t>
        </is>
      </c>
      <c r="D515" s="2" t="inlineStr">
        <is>
          <t>30/04/2027</t>
        </is>
      </c>
      <c r="E515" s="2" t="inlineStr">
        <is>
          <t>22/05/2028</t>
        </is>
      </c>
      <c r="F515" s="2" t="n">
        <v>557252.28</v>
      </c>
      <c r="G515" s="2" t="n">
        <v>0</v>
      </c>
      <c r="H515" s="2" t="n">
        <v>557252.28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0.43</v>
      </c>
      <c r="BY515" s="2" t="n">
        <v>0</v>
      </c>
      <c r="BZ515" s="2" t="n">
        <v>6.94</v>
      </c>
      <c r="CA515" s="2" t="n">
        <v>9.109999999999999</v>
      </c>
      <c r="CB515" s="2" t="n">
        <v>0</v>
      </c>
      <c r="CC515" s="2" t="n">
        <v>16.49</v>
      </c>
      <c r="CD515" s="2" t="n">
        <v>18.66</v>
      </c>
      <c r="CE515" s="2" t="n">
        <v>0</v>
      </c>
      <c r="CF515" s="2" t="n">
        <v>26.03</v>
      </c>
      <c r="CG515" s="2" t="n">
        <v>28.2</v>
      </c>
      <c r="CH515" s="2" t="n">
        <v>0</v>
      </c>
      <c r="CI515" s="2" t="n">
        <v>35.58</v>
      </c>
      <c r="CJ515" s="2" t="n">
        <v>37.75</v>
      </c>
      <c r="CK515" s="2" t="n">
        <v>0</v>
      </c>
      <c r="CL515" s="2" t="n">
        <v>44.69</v>
      </c>
      <c r="CM515" s="2" t="n">
        <v>46.86</v>
      </c>
      <c r="CN515" s="2" t="n">
        <v>0</v>
      </c>
      <c r="CO515" s="2" t="n">
        <v>53.36</v>
      </c>
      <c r="CP515" s="2" t="n">
        <v>55.53</v>
      </c>
      <c r="CQ515" s="2" t="n">
        <v>0</v>
      </c>
      <c r="CR515" s="2" t="n">
        <v>62.04</v>
      </c>
      <c r="CS515" s="2" t="n">
        <v>64.20999999999999</v>
      </c>
      <c r="CT515" s="2" t="n">
        <v>0</v>
      </c>
      <c r="CU515" s="2" t="n">
        <v>68.98</v>
      </c>
      <c r="CV515" s="2" t="n">
        <v>71.15000000000001</v>
      </c>
      <c r="CW515" s="2" t="n">
        <v>0</v>
      </c>
      <c r="CX515" s="2" t="n">
        <v>78.09</v>
      </c>
      <c r="CY515" s="2" t="n">
        <v>80.26000000000001</v>
      </c>
      <c r="CZ515" s="2" t="n">
        <v>0</v>
      </c>
      <c r="DA515" s="2" t="n">
        <v>87.2</v>
      </c>
      <c r="DB515" s="2" t="n">
        <v>89.47</v>
      </c>
      <c r="DC515" s="2" t="n">
        <v>0</v>
      </c>
      <c r="DD515" s="2" t="n">
        <v>93.87</v>
      </c>
      <c r="DE515" s="2" t="n">
        <v>94.45</v>
      </c>
      <c r="DF515" s="2" t="n">
        <v>0</v>
      </c>
      <c r="DG515" s="2" t="n">
        <v>94.38</v>
      </c>
      <c r="DH515" s="2" t="n">
        <v>95.43000000000001</v>
      </c>
      <c r="DI515" s="2" t="n">
        <v>0</v>
      </c>
      <c r="DJ515" s="2" t="n">
        <v>99.53</v>
      </c>
      <c r="DK515" s="2" t="n">
        <v>100</v>
      </c>
      <c r="DL515" s="2" t="n">
        <v>0</v>
      </c>
      <c r="DM515" s="2" t="n">
        <v>100</v>
      </c>
      <c r="DN515" s="2" t="n">
        <v>100</v>
      </c>
      <c r="DO515" s="2" t="n">
        <v>0</v>
      </c>
      <c r="DP515" s="2" t="n">
        <v>100</v>
      </c>
      <c r="DQ515" s="2" t="n">
        <v>100</v>
      </c>
      <c r="DR515" s="2" t="n">
        <v>0</v>
      </c>
      <c r="DS515" s="2" t="n">
        <v>100</v>
      </c>
      <c r="DT515" s="2" t="n">
        <v>100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</row>
    <row r="516">
      <c r="A516" s="2" t="n">
        <v>3</v>
      </c>
      <c r="B516" s="2" t="inlineStr">
        <is>
          <t>21.02.05</t>
        </is>
      </c>
      <c r="C516" s="2" t="inlineStr">
        <is>
          <t>Reservatórios</t>
        </is>
      </c>
      <c r="D516" s="2" t="inlineStr">
        <is>
          <t>19/10/2027</t>
        </is>
      </c>
      <c r="E516" s="2" t="inlineStr">
        <is>
          <t>21/07/2028</t>
        </is>
      </c>
      <c r="F516" s="2" t="n">
        <v>269638.2</v>
      </c>
      <c r="G516" s="2" t="n">
        <v>0</v>
      </c>
      <c r="H516" s="2" t="n">
        <v>269638.2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12.12</v>
      </c>
      <c r="CP516" s="2" t="n">
        <v>13.64</v>
      </c>
      <c r="CQ516" s="2" t="n">
        <v>0</v>
      </c>
      <c r="CR516" s="2" t="n">
        <v>42.42</v>
      </c>
      <c r="CS516" s="2" t="n">
        <v>43.94</v>
      </c>
      <c r="CT516" s="2" t="n">
        <v>0</v>
      </c>
      <c r="CU516" s="2" t="n">
        <v>50</v>
      </c>
      <c r="CV516" s="2" t="n">
        <v>50</v>
      </c>
      <c r="CW516" s="2" t="n">
        <v>0</v>
      </c>
      <c r="CX516" s="2" t="n">
        <v>50</v>
      </c>
      <c r="CY516" s="2" t="n">
        <v>50</v>
      </c>
      <c r="CZ516" s="2" t="n">
        <v>0</v>
      </c>
      <c r="DA516" s="2" t="n">
        <v>50</v>
      </c>
      <c r="DB516" s="2" t="n">
        <v>50</v>
      </c>
      <c r="DC516" s="2" t="n">
        <v>0</v>
      </c>
      <c r="DD516" s="2" t="n">
        <v>50</v>
      </c>
      <c r="DE516" s="2" t="n">
        <v>50</v>
      </c>
      <c r="DF516" s="2" t="n">
        <v>0</v>
      </c>
      <c r="DG516" s="2" t="n">
        <v>50</v>
      </c>
      <c r="DH516" s="2" t="n">
        <v>50</v>
      </c>
      <c r="DI516" s="2" t="n">
        <v>0</v>
      </c>
      <c r="DJ516" s="2" t="n">
        <v>50</v>
      </c>
      <c r="DK516" s="2" t="n">
        <v>50</v>
      </c>
      <c r="DL516" s="2" t="n">
        <v>0</v>
      </c>
      <c r="DM516" s="2" t="n">
        <v>50</v>
      </c>
      <c r="DN516" s="2" t="n">
        <v>65.91</v>
      </c>
      <c r="DO516" s="2" t="n">
        <v>0</v>
      </c>
      <c r="DP516" s="2" t="n">
        <v>86.36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</row>
    <row r="517">
      <c r="A517" s="2" t="n">
        <v>2</v>
      </c>
      <c r="B517" s="2" t="inlineStr">
        <is>
          <t>21.03</t>
        </is>
      </c>
      <c r="C517" s="2" t="inlineStr">
        <is>
          <t>Instalações Sanitárias Prediais</t>
        </is>
      </c>
      <c r="D517" s="2" t="inlineStr">
        <is>
          <t>11/01/2027</t>
        </is>
      </c>
      <c r="E517" s="2" t="inlineStr">
        <is>
          <t>26/05/2028</t>
        </is>
      </c>
      <c r="F517" s="2" t="n">
        <v>1172340</v>
      </c>
      <c r="G517" s="2" t="n">
        <v>0</v>
      </c>
      <c r="H517" s="2" t="n">
        <v>1172340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7.5</v>
      </c>
      <c r="BO517" s="2" t="n">
        <v>37.5</v>
      </c>
      <c r="BP517" s="2" t="n">
        <v>0</v>
      </c>
      <c r="BQ517" s="2" t="n">
        <v>50</v>
      </c>
      <c r="BR517" s="2" t="n">
        <v>50</v>
      </c>
      <c r="BS517" s="2" t="n">
        <v>0</v>
      </c>
      <c r="BT517" s="2" t="n">
        <v>50</v>
      </c>
      <c r="BU517" s="2" t="n">
        <v>50</v>
      </c>
      <c r="BV517" s="2" t="n">
        <v>0</v>
      </c>
      <c r="BW517" s="2" t="n">
        <v>50.86</v>
      </c>
      <c r="BX517" s="2" t="n">
        <v>51.28</v>
      </c>
      <c r="BY517" s="2" t="n">
        <v>0</v>
      </c>
      <c r="BZ517" s="2" t="n">
        <v>53.96</v>
      </c>
      <c r="CA517" s="2" t="n">
        <v>54.85</v>
      </c>
      <c r="CB517" s="2" t="n">
        <v>0</v>
      </c>
      <c r="CC517" s="2" t="n">
        <v>57.89</v>
      </c>
      <c r="CD517" s="2" t="n">
        <v>58.78</v>
      </c>
      <c r="CE517" s="2" t="n">
        <v>0</v>
      </c>
      <c r="CF517" s="2" t="n">
        <v>61.96</v>
      </c>
      <c r="CG517" s="2" t="n">
        <v>62.87</v>
      </c>
      <c r="CH517" s="2" t="n">
        <v>0</v>
      </c>
      <c r="CI517" s="2" t="n">
        <v>66.13</v>
      </c>
      <c r="CJ517" s="2" t="n">
        <v>67.03</v>
      </c>
      <c r="CK517" s="2" t="n">
        <v>0</v>
      </c>
      <c r="CL517" s="2" t="n">
        <v>70.04000000000001</v>
      </c>
      <c r="CM517" s="2" t="n">
        <v>70.94</v>
      </c>
      <c r="CN517" s="2" t="n">
        <v>0</v>
      </c>
      <c r="CO517" s="2" t="n">
        <v>75.87</v>
      </c>
      <c r="CP517" s="2" t="n">
        <v>77.78</v>
      </c>
      <c r="CQ517" s="2" t="n">
        <v>0</v>
      </c>
      <c r="CR517" s="2" t="n">
        <v>80.59</v>
      </c>
      <c r="CS517" s="2" t="n">
        <v>81.94</v>
      </c>
      <c r="CT517" s="2" t="n">
        <v>0</v>
      </c>
      <c r="CU517" s="2" t="n">
        <v>84</v>
      </c>
      <c r="CV517" s="2" t="n">
        <v>85.31999999999999</v>
      </c>
      <c r="CW517" s="2" t="n">
        <v>0</v>
      </c>
      <c r="CX517" s="2" t="n">
        <v>88.25</v>
      </c>
      <c r="CY517" s="2" t="n">
        <v>90.09999999999999</v>
      </c>
      <c r="CZ517" s="2" t="n">
        <v>0</v>
      </c>
      <c r="DA517" s="2" t="n">
        <v>92.7</v>
      </c>
      <c r="DB517" s="2" t="n">
        <v>93.88</v>
      </c>
      <c r="DC517" s="2" t="n">
        <v>0</v>
      </c>
      <c r="DD517" s="2" t="n">
        <v>95.33</v>
      </c>
      <c r="DE517" s="2" t="n">
        <v>96.5</v>
      </c>
      <c r="DF517" s="2" t="n">
        <v>0</v>
      </c>
      <c r="DG517" s="2" t="n">
        <v>96.91</v>
      </c>
      <c r="DH517" s="2" t="n">
        <v>97.39</v>
      </c>
      <c r="DI517" s="2" t="n">
        <v>0</v>
      </c>
      <c r="DJ517" s="2" t="n">
        <v>98.64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</row>
    <row r="518">
      <c r="A518" s="2" t="n">
        <v>3</v>
      </c>
      <c r="B518" s="2" t="inlineStr">
        <is>
          <t>21.03.01</t>
        </is>
      </c>
      <c r="C518" s="2" t="inlineStr">
        <is>
          <t>Prumadas  De Esgoto e Ventilação</t>
        </is>
      </c>
      <c r="D518" s="2" t="inlineStr">
        <is>
          <t>05/04/2027</t>
        </is>
      </c>
      <c r="E518" s="2" t="inlineStr">
        <is>
          <t>26/05/2028</t>
        </is>
      </c>
      <c r="F518" s="2" t="n">
        <v>269638.2</v>
      </c>
      <c r="G518" s="2" t="n">
        <v>0</v>
      </c>
      <c r="H518" s="2" t="n">
        <v>269638.2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3.74</v>
      </c>
      <c r="BX518" s="2" t="n">
        <v>5.07</v>
      </c>
      <c r="BY518" s="2" t="n">
        <v>0</v>
      </c>
      <c r="BZ518" s="2" t="n">
        <v>9.07</v>
      </c>
      <c r="CA518" s="2" t="n">
        <v>10.41</v>
      </c>
      <c r="CB518" s="2" t="n">
        <v>0</v>
      </c>
      <c r="CC518" s="2" t="n">
        <v>14.95</v>
      </c>
      <c r="CD518" s="2" t="n">
        <v>16.28</v>
      </c>
      <c r="CE518" s="2" t="n">
        <v>0</v>
      </c>
      <c r="CF518" s="2" t="n">
        <v>21.46</v>
      </c>
      <c r="CG518" s="2" t="n">
        <v>22.85</v>
      </c>
      <c r="CH518" s="2" t="n">
        <v>0</v>
      </c>
      <c r="CI518" s="2" t="n">
        <v>28.38</v>
      </c>
      <c r="CJ518" s="2" t="n">
        <v>29.75</v>
      </c>
      <c r="CK518" s="2" t="n">
        <v>0</v>
      </c>
      <c r="CL518" s="2" t="n">
        <v>34.68</v>
      </c>
      <c r="CM518" s="2" t="n">
        <v>36.03</v>
      </c>
      <c r="CN518" s="2" t="n">
        <v>0</v>
      </c>
      <c r="CO518" s="2" t="n">
        <v>49.84</v>
      </c>
      <c r="CP518" s="2" t="n">
        <v>55.6</v>
      </c>
      <c r="CQ518" s="2" t="n">
        <v>0</v>
      </c>
      <c r="CR518" s="2" t="n">
        <v>60.17</v>
      </c>
      <c r="CS518" s="2" t="n">
        <v>63.48</v>
      </c>
      <c r="CT518" s="2" t="n">
        <v>0</v>
      </c>
      <c r="CU518" s="2" t="n">
        <v>66.83</v>
      </c>
      <c r="CV518" s="2" t="n">
        <v>70.05</v>
      </c>
      <c r="CW518" s="2" t="n">
        <v>0</v>
      </c>
      <c r="CX518" s="2" t="n">
        <v>74.64</v>
      </c>
      <c r="CY518" s="2" t="n">
        <v>80.12</v>
      </c>
      <c r="CZ518" s="2" t="n">
        <v>0</v>
      </c>
      <c r="DA518" s="2" t="n">
        <v>83.3</v>
      </c>
      <c r="DB518" s="2" t="n">
        <v>85.73999999999999</v>
      </c>
      <c r="DC518" s="2" t="n">
        <v>0</v>
      </c>
      <c r="DD518" s="2" t="n">
        <v>86.91</v>
      </c>
      <c r="DE518" s="2" t="n">
        <v>91.3</v>
      </c>
      <c r="DF518" s="2" t="n">
        <v>0</v>
      </c>
      <c r="DG518" s="2" t="n">
        <v>93.17</v>
      </c>
      <c r="DH518" s="2" t="n">
        <v>94.02</v>
      </c>
      <c r="DI518" s="2" t="n">
        <v>0</v>
      </c>
      <c r="DJ518" s="2" t="n">
        <v>94.65000000000001</v>
      </c>
      <c r="DK518" s="2" t="n">
        <v>100</v>
      </c>
      <c r="DL518" s="2" t="n">
        <v>0</v>
      </c>
      <c r="DM518" s="2" t="n">
        <v>100</v>
      </c>
      <c r="DN518" s="2" t="n">
        <v>100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</row>
    <row r="519">
      <c r="A519" s="2" t="n">
        <v>3</v>
      </c>
      <c r="B519" s="2" t="inlineStr">
        <is>
          <t>21.03.02</t>
        </is>
      </c>
      <c r="C519" s="2" t="inlineStr">
        <is>
          <t>Distribuição Interna De Esgoto</t>
        </is>
      </c>
      <c r="D519" s="2" t="inlineStr">
        <is>
          <t>30/04/2027</t>
        </is>
      </c>
      <c r="E519" s="2" t="inlineStr">
        <is>
          <t>22/05/2028</t>
        </is>
      </c>
      <c r="F519" s="2" t="n">
        <v>316531.8</v>
      </c>
      <c r="G519" s="2" t="n">
        <v>0</v>
      </c>
      <c r="H519" s="2" t="n">
        <v>316531.8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0.43</v>
      </c>
      <c r="BY519" s="2" t="n">
        <v>0</v>
      </c>
      <c r="BZ519" s="2" t="n">
        <v>6.94</v>
      </c>
      <c r="CA519" s="2" t="n">
        <v>9.109999999999999</v>
      </c>
      <c r="CB519" s="2" t="n">
        <v>0</v>
      </c>
      <c r="CC519" s="2" t="n">
        <v>16.49</v>
      </c>
      <c r="CD519" s="2" t="n">
        <v>18.66</v>
      </c>
      <c r="CE519" s="2" t="n">
        <v>0</v>
      </c>
      <c r="CF519" s="2" t="n">
        <v>26.03</v>
      </c>
      <c r="CG519" s="2" t="n">
        <v>28.2</v>
      </c>
      <c r="CH519" s="2" t="n">
        <v>0</v>
      </c>
      <c r="CI519" s="2" t="n">
        <v>35.58</v>
      </c>
      <c r="CJ519" s="2" t="n">
        <v>37.75</v>
      </c>
      <c r="CK519" s="2" t="n">
        <v>0</v>
      </c>
      <c r="CL519" s="2" t="n">
        <v>44.69</v>
      </c>
      <c r="CM519" s="2" t="n">
        <v>46.86</v>
      </c>
      <c r="CN519" s="2" t="n">
        <v>0</v>
      </c>
      <c r="CO519" s="2" t="n">
        <v>53.36</v>
      </c>
      <c r="CP519" s="2" t="n">
        <v>55.53</v>
      </c>
      <c r="CQ519" s="2" t="n">
        <v>0</v>
      </c>
      <c r="CR519" s="2" t="n">
        <v>62.04</v>
      </c>
      <c r="CS519" s="2" t="n">
        <v>64.20999999999999</v>
      </c>
      <c r="CT519" s="2" t="n">
        <v>0</v>
      </c>
      <c r="CU519" s="2" t="n">
        <v>68.98</v>
      </c>
      <c r="CV519" s="2" t="n">
        <v>71.15000000000001</v>
      </c>
      <c r="CW519" s="2" t="n">
        <v>0</v>
      </c>
      <c r="CX519" s="2" t="n">
        <v>78.09</v>
      </c>
      <c r="CY519" s="2" t="n">
        <v>80.26000000000001</v>
      </c>
      <c r="CZ519" s="2" t="n">
        <v>0</v>
      </c>
      <c r="DA519" s="2" t="n">
        <v>87.2</v>
      </c>
      <c r="DB519" s="2" t="n">
        <v>89.47</v>
      </c>
      <c r="DC519" s="2" t="n">
        <v>0</v>
      </c>
      <c r="DD519" s="2" t="n">
        <v>93.87</v>
      </c>
      <c r="DE519" s="2" t="n">
        <v>94.45</v>
      </c>
      <c r="DF519" s="2" t="n">
        <v>0</v>
      </c>
      <c r="DG519" s="2" t="n">
        <v>94.38</v>
      </c>
      <c r="DH519" s="2" t="n">
        <v>95.43000000000001</v>
      </c>
      <c r="DI519" s="2" t="n">
        <v>0</v>
      </c>
      <c r="DJ519" s="2" t="n">
        <v>99.53</v>
      </c>
      <c r="DK519" s="2" t="n">
        <v>100</v>
      </c>
      <c r="DL519" s="2" t="n">
        <v>0</v>
      </c>
      <c r="DM519" s="2" t="n">
        <v>100</v>
      </c>
      <c r="DN519" s="2" t="n">
        <v>100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</row>
    <row r="520">
      <c r="A520" s="2" t="n">
        <v>3</v>
      </c>
      <c r="B520" s="2" t="inlineStr">
        <is>
          <t>21.03.03</t>
        </is>
      </c>
      <c r="C520" s="2" t="inlineStr">
        <is>
          <t>Redes Coletoras De Esgoto</t>
        </is>
      </c>
      <c r="D520" s="2" t="inlineStr">
        <is>
          <t>11/01/2027</t>
        </is>
      </c>
      <c r="E520" s="2" t="inlineStr">
        <is>
          <t>05/02/2027</t>
        </is>
      </c>
      <c r="F520" s="2" t="n">
        <v>375148.8</v>
      </c>
      <c r="G520" s="2" t="n">
        <v>0</v>
      </c>
      <c r="H520" s="2" t="n">
        <v>375148.8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15</v>
      </c>
      <c r="BO520" s="2" t="n">
        <v>75</v>
      </c>
      <c r="BP520" s="2" t="n">
        <v>0</v>
      </c>
      <c r="BQ520" s="2" t="n">
        <v>100</v>
      </c>
      <c r="BR520" s="2" t="n">
        <v>100</v>
      </c>
      <c r="BS520" s="2" t="n">
        <v>0</v>
      </c>
      <c r="BT520" s="2" t="n">
        <v>100</v>
      </c>
      <c r="BU520" s="2" t="n">
        <v>100</v>
      </c>
      <c r="BV520" s="2" t="n">
        <v>0</v>
      </c>
      <c r="BW520" s="2" t="n">
        <v>100</v>
      </c>
      <c r="BX520" s="2" t="n">
        <v>100</v>
      </c>
      <c r="BY520" s="2" t="n">
        <v>0</v>
      </c>
      <c r="BZ520" s="2" t="n">
        <v>100</v>
      </c>
      <c r="CA520" s="2" t="n">
        <v>100</v>
      </c>
      <c r="CB520" s="2" t="n">
        <v>0</v>
      </c>
      <c r="CC520" s="2" t="n">
        <v>100</v>
      </c>
      <c r="CD520" s="2" t="n">
        <v>100</v>
      </c>
      <c r="CE520" s="2" t="n">
        <v>0</v>
      </c>
      <c r="CF520" s="2" t="n">
        <v>100</v>
      </c>
      <c r="CG520" s="2" t="n">
        <v>100</v>
      </c>
      <c r="CH520" s="2" t="n">
        <v>0</v>
      </c>
      <c r="CI520" s="2" t="n">
        <v>100</v>
      </c>
      <c r="CJ520" s="2" t="n">
        <v>100</v>
      </c>
      <c r="CK520" s="2" t="n">
        <v>0</v>
      </c>
      <c r="CL520" s="2" t="n">
        <v>100</v>
      </c>
      <c r="CM520" s="2" t="n">
        <v>100</v>
      </c>
      <c r="CN520" s="2" t="n">
        <v>0</v>
      </c>
      <c r="CO520" s="2" t="n">
        <v>100</v>
      </c>
      <c r="CP520" s="2" t="n">
        <v>100</v>
      </c>
      <c r="CQ520" s="2" t="n">
        <v>0</v>
      </c>
      <c r="CR520" s="2" t="n">
        <v>100</v>
      </c>
      <c r="CS520" s="2" t="n">
        <v>100</v>
      </c>
      <c r="CT520" s="2" t="n">
        <v>0</v>
      </c>
      <c r="CU520" s="2" t="n">
        <v>100</v>
      </c>
      <c r="CV520" s="2" t="n">
        <v>100</v>
      </c>
      <c r="CW520" s="2" t="n">
        <v>0</v>
      </c>
      <c r="CX520" s="2" t="n">
        <v>100</v>
      </c>
      <c r="CY520" s="2" t="n">
        <v>100</v>
      </c>
      <c r="CZ520" s="2" t="n">
        <v>0</v>
      </c>
      <c r="DA520" s="2" t="n">
        <v>100</v>
      </c>
      <c r="DB520" s="2" t="n">
        <v>100</v>
      </c>
      <c r="DC520" s="2" t="n">
        <v>0</v>
      </c>
      <c r="DD520" s="2" t="n">
        <v>100</v>
      </c>
      <c r="DE520" s="2" t="n">
        <v>100</v>
      </c>
      <c r="DF520" s="2" t="n">
        <v>0</v>
      </c>
      <c r="DG520" s="2" t="n">
        <v>100</v>
      </c>
      <c r="DH520" s="2" t="n">
        <v>100</v>
      </c>
      <c r="DI520" s="2" t="n">
        <v>0</v>
      </c>
      <c r="DJ520" s="2" t="n">
        <v>100</v>
      </c>
      <c r="DK520" s="2" t="n">
        <v>100</v>
      </c>
      <c r="DL520" s="2" t="n">
        <v>0</v>
      </c>
      <c r="DM520" s="2" t="n">
        <v>100</v>
      </c>
      <c r="DN520" s="2" t="n">
        <v>100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</row>
    <row r="521">
      <c r="A521" s="2" t="n">
        <v>3</v>
      </c>
      <c r="B521" s="2" t="inlineStr">
        <is>
          <t>21.03.04</t>
        </is>
      </c>
      <c r="C521" s="2" t="inlineStr">
        <is>
          <t>Caixas de passagem</t>
        </is>
      </c>
      <c r="D521" s="2" t="inlineStr">
        <is>
          <t>11/01/2027</t>
        </is>
      </c>
      <c r="E521" s="2" t="inlineStr">
        <is>
          <t>05/02/2027</t>
        </is>
      </c>
      <c r="F521" s="2" t="n">
        <v>211021.2</v>
      </c>
      <c r="G521" s="2" t="n">
        <v>0</v>
      </c>
      <c r="H521" s="2" t="n">
        <v>211021.2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15</v>
      </c>
      <c r="BO521" s="2" t="n">
        <v>75</v>
      </c>
      <c r="BP521" s="2" t="n">
        <v>0</v>
      </c>
      <c r="BQ521" s="2" t="n">
        <v>100</v>
      </c>
      <c r="BR521" s="2" t="n">
        <v>100</v>
      </c>
      <c r="BS521" s="2" t="n">
        <v>0</v>
      </c>
      <c r="BT521" s="2" t="n">
        <v>100</v>
      </c>
      <c r="BU521" s="2" t="n">
        <v>100</v>
      </c>
      <c r="BV521" s="2" t="n">
        <v>0</v>
      </c>
      <c r="BW521" s="2" t="n">
        <v>100</v>
      </c>
      <c r="BX521" s="2" t="n">
        <v>100</v>
      </c>
      <c r="BY521" s="2" t="n">
        <v>0</v>
      </c>
      <c r="BZ521" s="2" t="n">
        <v>100</v>
      </c>
      <c r="CA521" s="2" t="n">
        <v>100</v>
      </c>
      <c r="CB521" s="2" t="n">
        <v>0</v>
      </c>
      <c r="CC521" s="2" t="n">
        <v>100</v>
      </c>
      <c r="CD521" s="2" t="n">
        <v>100</v>
      </c>
      <c r="CE521" s="2" t="n">
        <v>0</v>
      </c>
      <c r="CF521" s="2" t="n">
        <v>100</v>
      </c>
      <c r="CG521" s="2" t="n">
        <v>100</v>
      </c>
      <c r="CH521" s="2" t="n">
        <v>0</v>
      </c>
      <c r="CI521" s="2" t="n">
        <v>100</v>
      </c>
      <c r="CJ521" s="2" t="n">
        <v>100</v>
      </c>
      <c r="CK521" s="2" t="n">
        <v>0</v>
      </c>
      <c r="CL521" s="2" t="n">
        <v>100</v>
      </c>
      <c r="CM521" s="2" t="n">
        <v>100</v>
      </c>
      <c r="CN521" s="2" t="n">
        <v>0</v>
      </c>
      <c r="CO521" s="2" t="n">
        <v>100</v>
      </c>
      <c r="CP521" s="2" t="n">
        <v>100</v>
      </c>
      <c r="CQ521" s="2" t="n">
        <v>0</v>
      </c>
      <c r="CR521" s="2" t="n">
        <v>100</v>
      </c>
      <c r="CS521" s="2" t="n">
        <v>100</v>
      </c>
      <c r="CT521" s="2" t="n">
        <v>0</v>
      </c>
      <c r="CU521" s="2" t="n">
        <v>100</v>
      </c>
      <c r="CV521" s="2" t="n">
        <v>100</v>
      </c>
      <c r="CW521" s="2" t="n">
        <v>0</v>
      </c>
      <c r="CX521" s="2" t="n">
        <v>100</v>
      </c>
      <c r="CY521" s="2" t="n">
        <v>100</v>
      </c>
      <c r="CZ521" s="2" t="n">
        <v>0</v>
      </c>
      <c r="DA521" s="2" t="n">
        <v>100</v>
      </c>
      <c r="DB521" s="2" t="n">
        <v>100</v>
      </c>
      <c r="DC521" s="2" t="n">
        <v>0</v>
      </c>
      <c r="DD521" s="2" t="n">
        <v>100</v>
      </c>
      <c r="DE521" s="2" t="n">
        <v>100</v>
      </c>
      <c r="DF521" s="2" t="n">
        <v>0</v>
      </c>
      <c r="DG521" s="2" t="n">
        <v>100</v>
      </c>
      <c r="DH521" s="2" t="n">
        <v>100</v>
      </c>
      <c r="DI521" s="2" t="n">
        <v>0</v>
      </c>
      <c r="DJ521" s="2" t="n">
        <v>100</v>
      </c>
      <c r="DK521" s="2" t="n">
        <v>100</v>
      </c>
      <c r="DL521" s="2" t="n">
        <v>0</v>
      </c>
      <c r="DM521" s="2" t="n">
        <v>100</v>
      </c>
      <c r="DN521" s="2" t="n">
        <v>100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</row>
    <row r="522">
      <c r="A522" s="2" t="n">
        <v>2</v>
      </c>
      <c r="B522" s="2" t="inlineStr">
        <is>
          <t>21.04</t>
        </is>
      </c>
      <c r="C522" s="2" t="inlineStr">
        <is>
          <t>Instalações pluviais Prediais</t>
        </is>
      </c>
      <c r="D522" s="2" t="inlineStr">
        <is>
          <t>30/04/2027</t>
        </is>
      </c>
      <c r="E522" s="2" t="inlineStr">
        <is>
          <t>22/05/2028</t>
        </is>
      </c>
      <c r="F522" s="2" t="n">
        <v>937872</v>
      </c>
      <c r="G522" s="2" t="n">
        <v>0</v>
      </c>
      <c r="H522" s="2" t="n">
        <v>937872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0.43</v>
      </c>
      <c r="BY522" s="2" t="n">
        <v>0</v>
      </c>
      <c r="BZ522" s="2" t="n">
        <v>6.94</v>
      </c>
      <c r="CA522" s="2" t="n">
        <v>9.109999999999999</v>
      </c>
      <c r="CB522" s="2" t="n">
        <v>0</v>
      </c>
      <c r="CC522" s="2" t="n">
        <v>16.49</v>
      </c>
      <c r="CD522" s="2" t="n">
        <v>18.66</v>
      </c>
      <c r="CE522" s="2" t="n">
        <v>0</v>
      </c>
      <c r="CF522" s="2" t="n">
        <v>26.03</v>
      </c>
      <c r="CG522" s="2" t="n">
        <v>28.2</v>
      </c>
      <c r="CH522" s="2" t="n">
        <v>0</v>
      </c>
      <c r="CI522" s="2" t="n">
        <v>35.58</v>
      </c>
      <c r="CJ522" s="2" t="n">
        <v>37.75</v>
      </c>
      <c r="CK522" s="2" t="n">
        <v>0</v>
      </c>
      <c r="CL522" s="2" t="n">
        <v>44.69</v>
      </c>
      <c r="CM522" s="2" t="n">
        <v>46.86</v>
      </c>
      <c r="CN522" s="2" t="n">
        <v>0</v>
      </c>
      <c r="CO522" s="2" t="n">
        <v>53.36</v>
      </c>
      <c r="CP522" s="2" t="n">
        <v>55.53</v>
      </c>
      <c r="CQ522" s="2" t="n">
        <v>0</v>
      </c>
      <c r="CR522" s="2" t="n">
        <v>62.04</v>
      </c>
      <c r="CS522" s="2" t="n">
        <v>64.20999999999999</v>
      </c>
      <c r="CT522" s="2" t="n">
        <v>0</v>
      </c>
      <c r="CU522" s="2" t="n">
        <v>68.98</v>
      </c>
      <c r="CV522" s="2" t="n">
        <v>71.15000000000001</v>
      </c>
      <c r="CW522" s="2" t="n">
        <v>0</v>
      </c>
      <c r="CX522" s="2" t="n">
        <v>78.09</v>
      </c>
      <c r="CY522" s="2" t="n">
        <v>80.26000000000001</v>
      </c>
      <c r="CZ522" s="2" t="n">
        <v>0</v>
      </c>
      <c r="DA522" s="2" t="n">
        <v>87.2</v>
      </c>
      <c r="DB522" s="2" t="n">
        <v>89.47</v>
      </c>
      <c r="DC522" s="2" t="n">
        <v>0</v>
      </c>
      <c r="DD522" s="2" t="n">
        <v>93.87</v>
      </c>
      <c r="DE522" s="2" t="n">
        <v>94.45</v>
      </c>
      <c r="DF522" s="2" t="n">
        <v>0</v>
      </c>
      <c r="DG522" s="2" t="n">
        <v>94.38</v>
      </c>
      <c r="DH522" s="2" t="n">
        <v>95.43000000000001</v>
      </c>
      <c r="DI522" s="2" t="n">
        <v>0</v>
      </c>
      <c r="DJ522" s="2" t="n">
        <v>99.53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</row>
    <row r="523">
      <c r="A523" s="2" t="n">
        <v>3</v>
      </c>
      <c r="B523" s="2" t="inlineStr">
        <is>
          <t>21.04.01</t>
        </is>
      </c>
      <c r="C523" s="2" t="inlineStr">
        <is>
          <t>Prumadas  pluviais</t>
        </is>
      </c>
      <c r="D523" s="2" t="inlineStr">
        <is>
          <t>30/04/2027</t>
        </is>
      </c>
      <c r="E523" s="2" t="inlineStr">
        <is>
          <t>22/05/2028</t>
        </is>
      </c>
      <c r="F523" s="2" t="n">
        <v>234468</v>
      </c>
      <c r="G523" s="2" t="n">
        <v>0</v>
      </c>
      <c r="H523" s="2" t="n">
        <v>234468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0.43</v>
      </c>
      <c r="BY523" s="2" t="n">
        <v>0</v>
      </c>
      <c r="BZ523" s="2" t="n">
        <v>6.94</v>
      </c>
      <c r="CA523" s="2" t="n">
        <v>9.109999999999999</v>
      </c>
      <c r="CB523" s="2" t="n">
        <v>0</v>
      </c>
      <c r="CC523" s="2" t="n">
        <v>16.49</v>
      </c>
      <c r="CD523" s="2" t="n">
        <v>18.66</v>
      </c>
      <c r="CE523" s="2" t="n">
        <v>0</v>
      </c>
      <c r="CF523" s="2" t="n">
        <v>26.03</v>
      </c>
      <c r="CG523" s="2" t="n">
        <v>28.2</v>
      </c>
      <c r="CH523" s="2" t="n">
        <v>0</v>
      </c>
      <c r="CI523" s="2" t="n">
        <v>35.58</v>
      </c>
      <c r="CJ523" s="2" t="n">
        <v>37.75</v>
      </c>
      <c r="CK523" s="2" t="n">
        <v>0</v>
      </c>
      <c r="CL523" s="2" t="n">
        <v>44.69</v>
      </c>
      <c r="CM523" s="2" t="n">
        <v>46.86</v>
      </c>
      <c r="CN523" s="2" t="n">
        <v>0</v>
      </c>
      <c r="CO523" s="2" t="n">
        <v>53.36</v>
      </c>
      <c r="CP523" s="2" t="n">
        <v>55.53</v>
      </c>
      <c r="CQ523" s="2" t="n">
        <v>0</v>
      </c>
      <c r="CR523" s="2" t="n">
        <v>62.04</v>
      </c>
      <c r="CS523" s="2" t="n">
        <v>64.20999999999999</v>
      </c>
      <c r="CT523" s="2" t="n">
        <v>0</v>
      </c>
      <c r="CU523" s="2" t="n">
        <v>68.98</v>
      </c>
      <c r="CV523" s="2" t="n">
        <v>71.15000000000001</v>
      </c>
      <c r="CW523" s="2" t="n">
        <v>0</v>
      </c>
      <c r="CX523" s="2" t="n">
        <v>78.09</v>
      </c>
      <c r="CY523" s="2" t="n">
        <v>80.26000000000001</v>
      </c>
      <c r="CZ523" s="2" t="n">
        <v>0</v>
      </c>
      <c r="DA523" s="2" t="n">
        <v>87.2</v>
      </c>
      <c r="DB523" s="2" t="n">
        <v>89.47</v>
      </c>
      <c r="DC523" s="2" t="n">
        <v>0</v>
      </c>
      <c r="DD523" s="2" t="n">
        <v>93.87</v>
      </c>
      <c r="DE523" s="2" t="n">
        <v>94.45</v>
      </c>
      <c r="DF523" s="2" t="n">
        <v>0</v>
      </c>
      <c r="DG523" s="2" t="n">
        <v>94.38</v>
      </c>
      <c r="DH523" s="2" t="n">
        <v>95.43000000000001</v>
      </c>
      <c r="DI523" s="2" t="n">
        <v>0</v>
      </c>
      <c r="DJ523" s="2" t="n">
        <v>99.53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</row>
    <row r="524">
      <c r="A524" s="2" t="n">
        <v>3</v>
      </c>
      <c r="B524" s="2" t="inlineStr">
        <is>
          <t>21.04.02</t>
        </is>
      </c>
      <c r="C524" s="2" t="inlineStr">
        <is>
          <t>Redes Coletoras de água pluvial</t>
        </is>
      </c>
      <c r="D524" s="2" t="inlineStr">
        <is>
          <t>30/04/2027</t>
        </is>
      </c>
      <c r="E524" s="2" t="inlineStr">
        <is>
          <t>22/05/2028</t>
        </is>
      </c>
      <c r="F524" s="2" t="n">
        <v>422042.4000000001</v>
      </c>
      <c r="G524" s="2" t="n">
        <v>0</v>
      </c>
      <c r="H524" s="2" t="n">
        <v>422042.4000000001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0.43</v>
      </c>
      <c r="BY524" s="2" t="n">
        <v>0</v>
      </c>
      <c r="BZ524" s="2" t="n">
        <v>6.94</v>
      </c>
      <c r="CA524" s="2" t="n">
        <v>9.109999999999999</v>
      </c>
      <c r="CB524" s="2" t="n">
        <v>0</v>
      </c>
      <c r="CC524" s="2" t="n">
        <v>16.49</v>
      </c>
      <c r="CD524" s="2" t="n">
        <v>18.66</v>
      </c>
      <c r="CE524" s="2" t="n">
        <v>0</v>
      </c>
      <c r="CF524" s="2" t="n">
        <v>26.03</v>
      </c>
      <c r="CG524" s="2" t="n">
        <v>28.2</v>
      </c>
      <c r="CH524" s="2" t="n">
        <v>0</v>
      </c>
      <c r="CI524" s="2" t="n">
        <v>35.58</v>
      </c>
      <c r="CJ524" s="2" t="n">
        <v>37.75</v>
      </c>
      <c r="CK524" s="2" t="n">
        <v>0</v>
      </c>
      <c r="CL524" s="2" t="n">
        <v>44.69</v>
      </c>
      <c r="CM524" s="2" t="n">
        <v>46.86</v>
      </c>
      <c r="CN524" s="2" t="n">
        <v>0</v>
      </c>
      <c r="CO524" s="2" t="n">
        <v>53.36</v>
      </c>
      <c r="CP524" s="2" t="n">
        <v>55.53</v>
      </c>
      <c r="CQ524" s="2" t="n">
        <v>0</v>
      </c>
      <c r="CR524" s="2" t="n">
        <v>62.04</v>
      </c>
      <c r="CS524" s="2" t="n">
        <v>64.20999999999999</v>
      </c>
      <c r="CT524" s="2" t="n">
        <v>0</v>
      </c>
      <c r="CU524" s="2" t="n">
        <v>68.98</v>
      </c>
      <c r="CV524" s="2" t="n">
        <v>71.15000000000001</v>
      </c>
      <c r="CW524" s="2" t="n">
        <v>0</v>
      </c>
      <c r="CX524" s="2" t="n">
        <v>78.09</v>
      </c>
      <c r="CY524" s="2" t="n">
        <v>80.26000000000001</v>
      </c>
      <c r="CZ524" s="2" t="n">
        <v>0</v>
      </c>
      <c r="DA524" s="2" t="n">
        <v>87.2</v>
      </c>
      <c r="DB524" s="2" t="n">
        <v>89.47</v>
      </c>
      <c r="DC524" s="2" t="n">
        <v>0</v>
      </c>
      <c r="DD524" s="2" t="n">
        <v>93.87</v>
      </c>
      <c r="DE524" s="2" t="n">
        <v>94.45</v>
      </c>
      <c r="DF524" s="2" t="n">
        <v>0</v>
      </c>
      <c r="DG524" s="2" t="n">
        <v>94.38</v>
      </c>
      <c r="DH524" s="2" t="n">
        <v>95.43000000000001</v>
      </c>
      <c r="DI524" s="2" t="n">
        <v>0</v>
      </c>
      <c r="DJ524" s="2" t="n">
        <v>99.53</v>
      </c>
      <c r="DK524" s="2" t="n">
        <v>100</v>
      </c>
      <c r="DL524" s="2" t="n">
        <v>0</v>
      </c>
      <c r="DM524" s="2" t="n">
        <v>100</v>
      </c>
      <c r="DN524" s="2" t="n">
        <v>100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</row>
    <row r="525">
      <c r="A525" s="2" t="n">
        <v>3</v>
      </c>
      <c r="B525" s="2" t="inlineStr">
        <is>
          <t>21.04.03</t>
        </is>
      </c>
      <c r="C525" s="2" t="inlineStr">
        <is>
          <t>Caixas de passagem</t>
        </is>
      </c>
      <c r="D525" s="2" t="inlineStr">
        <is>
          <t>30/04/2027</t>
        </is>
      </c>
      <c r="E525" s="2" t="inlineStr">
        <is>
          <t>22/05/2028</t>
        </is>
      </c>
      <c r="F525" s="2" t="n">
        <v>281361.6</v>
      </c>
      <c r="G525" s="2" t="n">
        <v>0</v>
      </c>
      <c r="H525" s="2" t="n">
        <v>281361.6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0.43</v>
      </c>
      <c r="BY525" s="2" t="n">
        <v>0</v>
      </c>
      <c r="BZ525" s="2" t="n">
        <v>6.94</v>
      </c>
      <c r="CA525" s="2" t="n">
        <v>9.109999999999999</v>
      </c>
      <c r="CB525" s="2" t="n">
        <v>0</v>
      </c>
      <c r="CC525" s="2" t="n">
        <v>16.49</v>
      </c>
      <c r="CD525" s="2" t="n">
        <v>18.66</v>
      </c>
      <c r="CE525" s="2" t="n">
        <v>0</v>
      </c>
      <c r="CF525" s="2" t="n">
        <v>26.03</v>
      </c>
      <c r="CG525" s="2" t="n">
        <v>28.2</v>
      </c>
      <c r="CH525" s="2" t="n">
        <v>0</v>
      </c>
      <c r="CI525" s="2" t="n">
        <v>35.58</v>
      </c>
      <c r="CJ525" s="2" t="n">
        <v>37.75</v>
      </c>
      <c r="CK525" s="2" t="n">
        <v>0</v>
      </c>
      <c r="CL525" s="2" t="n">
        <v>44.69</v>
      </c>
      <c r="CM525" s="2" t="n">
        <v>46.86</v>
      </c>
      <c r="CN525" s="2" t="n">
        <v>0</v>
      </c>
      <c r="CO525" s="2" t="n">
        <v>53.36</v>
      </c>
      <c r="CP525" s="2" t="n">
        <v>55.53</v>
      </c>
      <c r="CQ525" s="2" t="n">
        <v>0</v>
      </c>
      <c r="CR525" s="2" t="n">
        <v>62.04</v>
      </c>
      <c r="CS525" s="2" t="n">
        <v>64.20999999999999</v>
      </c>
      <c r="CT525" s="2" t="n">
        <v>0</v>
      </c>
      <c r="CU525" s="2" t="n">
        <v>68.98</v>
      </c>
      <c r="CV525" s="2" t="n">
        <v>71.15000000000001</v>
      </c>
      <c r="CW525" s="2" t="n">
        <v>0</v>
      </c>
      <c r="CX525" s="2" t="n">
        <v>78.09</v>
      </c>
      <c r="CY525" s="2" t="n">
        <v>80.26000000000001</v>
      </c>
      <c r="CZ525" s="2" t="n">
        <v>0</v>
      </c>
      <c r="DA525" s="2" t="n">
        <v>87.2</v>
      </c>
      <c r="DB525" s="2" t="n">
        <v>89.47</v>
      </c>
      <c r="DC525" s="2" t="n">
        <v>0</v>
      </c>
      <c r="DD525" s="2" t="n">
        <v>93.87</v>
      </c>
      <c r="DE525" s="2" t="n">
        <v>94.45</v>
      </c>
      <c r="DF525" s="2" t="n">
        <v>0</v>
      </c>
      <c r="DG525" s="2" t="n">
        <v>94.38</v>
      </c>
      <c r="DH525" s="2" t="n">
        <v>95.43000000000001</v>
      </c>
      <c r="DI525" s="2" t="n">
        <v>0</v>
      </c>
      <c r="DJ525" s="2" t="n">
        <v>99.53</v>
      </c>
      <c r="DK525" s="2" t="n">
        <v>100</v>
      </c>
      <c r="DL525" s="2" t="n">
        <v>0</v>
      </c>
      <c r="DM525" s="2" t="n">
        <v>100</v>
      </c>
      <c r="DN525" s="2" t="n">
        <v>100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</row>
    <row r="526">
      <c r="A526" s="2" t="n">
        <v>2</v>
      </c>
      <c r="B526" s="2" t="inlineStr">
        <is>
          <t>21.05</t>
        </is>
      </c>
      <c r="C526" s="2" t="inlineStr">
        <is>
          <t>Instalações hidráulicas complementares</t>
        </is>
      </c>
      <c r="D526" s="2" t="inlineStr">
        <is>
          <t>11/01/2027</t>
        </is>
      </c>
      <c r="E526" s="2" t="inlineStr">
        <is>
          <t>23/08/2028</t>
        </is>
      </c>
      <c r="F526" s="2" t="n">
        <v>1121560</v>
      </c>
      <c r="G526" s="2" t="n">
        <v>0</v>
      </c>
      <c r="H526" s="2" t="n">
        <v>1121560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2.94</v>
      </c>
      <c r="BO526" s="2" t="n">
        <v>14.71</v>
      </c>
      <c r="BP526" s="2" t="n">
        <v>0</v>
      </c>
      <c r="BQ526" s="2" t="n">
        <v>19.62</v>
      </c>
      <c r="BR526" s="2" t="n">
        <v>19.62</v>
      </c>
      <c r="BS526" s="2" t="n">
        <v>0</v>
      </c>
      <c r="BT526" s="2" t="n">
        <v>19.62</v>
      </c>
      <c r="BU526" s="2" t="n">
        <v>19.62</v>
      </c>
      <c r="BV526" s="2" t="n">
        <v>0</v>
      </c>
      <c r="BW526" s="2" t="n">
        <v>19.62</v>
      </c>
      <c r="BX526" s="2" t="n">
        <v>19.78</v>
      </c>
      <c r="BY526" s="2" t="n">
        <v>0</v>
      </c>
      <c r="BZ526" s="2" t="n">
        <v>22.3</v>
      </c>
      <c r="CA526" s="2" t="n">
        <v>23.14</v>
      </c>
      <c r="CB526" s="2" t="n">
        <v>0</v>
      </c>
      <c r="CC526" s="2" t="n">
        <v>26</v>
      </c>
      <c r="CD526" s="2" t="n">
        <v>26.84</v>
      </c>
      <c r="CE526" s="2" t="n">
        <v>0</v>
      </c>
      <c r="CF526" s="2" t="n">
        <v>30.05</v>
      </c>
      <c r="CG526" s="2" t="n">
        <v>31.19</v>
      </c>
      <c r="CH526" s="2" t="n">
        <v>0</v>
      </c>
      <c r="CI526" s="2" t="n">
        <v>35.07</v>
      </c>
      <c r="CJ526" s="2" t="n">
        <v>36.21</v>
      </c>
      <c r="CK526" s="2" t="n">
        <v>0</v>
      </c>
      <c r="CL526" s="2" t="n">
        <v>39.85</v>
      </c>
      <c r="CM526" s="2" t="n">
        <v>40.99</v>
      </c>
      <c r="CN526" s="2" t="n">
        <v>0</v>
      </c>
      <c r="CO526" s="2" t="n">
        <v>44.41</v>
      </c>
      <c r="CP526" s="2" t="n">
        <v>45.55</v>
      </c>
      <c r="CQ526" s="2" t="n">
        <v>0</v>
      </c>
      <c r="CR526" s="2" t="n">
        <v>48.97</v>
      </c>
      <c r="CS526" s="2" t="n">
        <v>50.11</v>
      </c>
      <c r="CT526" s="2" t="n">
        <v>0</v>
      </c>
      <c r="CU526" s="2" t="n">
        <v>52.62</v>
      </c>
      <c r="CV526" s="2" t="n">
        <v>53.76</v>
      </c>
      <c r="CW526" s="2" t="n">
        <v>0</v>
      </c>
      <c r="CX526" s="2" t="n">
        <v>57.41</v>
      </c>
      <c r="CY526" s="2" t="n">
        <v>58.55</v>
      </c>
      <c r="CZ526" s="2" t="n">
        <v>0</v>
      </c>
      <c r="DA526" s="2" t="n">
        <v>62.19</v>
      </c>
      <c r="DB526" s="2" t="n">
        <v>63.33</v>
      </c>
      <c r="DC526" s="2" t="n">
        <v>0</v>
      </c>
      <c r="DD526" s="2" t="n">
        <v>66.23</v>
      </c>
      <c r="DE526" s="2" t="n">
        <v>66.73999999999999</v>
      </c>
      <c r="DF526" s="2" t="n">
        <v>0</v>
      </c>
      <c r="DG526" s="2" t="n">
        <v>67.45999999999999</v>
      </c>
      <c r="DH526" s="2" t="n">
        <v>68.13</v>
      </c>
      <c r="DI526" s="2" t="n">
        <v>0</v>
      </c>
      <c r="DJ526" s="2" t="n">
        <v>70.73999999999999</v>
      </c>
      <c r="DK526" s="2" t="n">
        <v>71.26000000000001</v>
      </c>
      <c r="DL526" s="2" t="n">
        <v>0</v>
      </c>
      <c r="DM526" s="2" t="n">
        <v>72.98</v>
      </c>
      <c r="DN526" s="2" t="n">
        <v>85.52</v>
      </c>
      <c r="DO526" s="2" t="n">
        <v>0</v>
      </c>
      <c r="DP526" s="2" t="n">
        <v>85.52</v>
      </c>
      <c r="DQ526" s="2" t="n">
        <v>89.56</v>
      </c>
      <c r="DR526" s="2" t="n">
        <v>0</v>
      </c>
      <c r="DS526" s="2" t="n">
        <v>96.2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</row>
    <row r="527">
      <c r="A527" s="2" t="n">
        <v>3</v>
      </c>
      <c r="B527" s="2" t="inlineStr">
        <is>
          <t>21.05.01</t>
        </is>
      </c>
      <c r="C527" s="2" t="inlineStr">
        <is>
          <t>Instalações de Gás de cozinha</t>
        </is>
      </c>
      <c r="D527" s="2" t="inlineStr">
        <is>
          <t>30/04/2027</t>
        </is>
      </c>
      <c r="E527" s="2" t="inlineStr">
        <is>
          <t>07/08/2028</t>
        </is>
      </c>
      <c r="F527" s="2" t="n">
        <v>468935.9999999999</v>
      </c>
      <c r="G527" s="2" t="n">
        <v>0</v>
      </c>
      <c r="H527" s="2" t="n">
        <v>468935.9999999999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0.35</v>
      </c>
      <c r="BY527" s="2" t="n">
        <v>0</v>
      </c>
      <c r="BZ527" s="2" t="n">
        <v>5.61</v>
      </c>
      <c r="CA527" s="2" t="n">
        <v>7.37</v>
      </c>
      <c r="CB527" s="2" t="n">
        <v>0</v>
      </c>
      <c r="CC527" s="2" t="n">
        <v>13.33</v>
      </c>
      <c r="CD527" s="2" t="n">
        <v>15.09</v>
      </c>
      <c r="CE527" s="2" t="n">
        <v>0</v>
      </c>
      <c r="CF527" s="2" t="n">
        <v>21.59</v>
      </c>
      <c r="CG527" s="2" t="n">
        <v>23.79</v>
      </c>
      <c r="CH527" s="2" t="n">
        <v>0</v>
      </c>
      <c r="CI527" s="2" t="n">
        <v>31.26</v>
      </c>
      <c r="CJ527" s="2" t="n">
        <v>33.46</v>
      </c>
      <c r="CK527" s="2" t="n">
        <v>0</v>
      </c>
      <c r="CL527" s="2" t="n">
        <v>40.5</v>
      </c>
      <c r="CM527" s="2" t="n">
        <v>42.7</v>
      </c>
      <c r="CN527" s="2" t="n">
        <v>0</v>
      </c>
      <c r="CO527" s="2" t="n">
        <v>49.29</v>
      </c>
      <c r="CP527" s="2" t="n">
        <v>51.49</v>
      </c>
      <c r="CQ527" s="2" t="n">
        <v>0</v>
      </c>
      <c r="CR527" s="2" t="n">
        <v>58.09</v>
      </c>
      <c r="CS527" s="2" t="n">
        <v>60.29</v>
      </c>
      <c r="CT527" s="2" t="n">
        <v>0</v>
      </c>
      <c r="CU527" s="2" t="n">
        <v>65.12</v>
      </c>
      <c r="CV527" s="2" t="n">
        <v>67.31999999999999</v>
      </c>
      <c r="CW527" s="2" t="n">
        <v>0</v>
      </c>
      <c r="CX527" s="2" t="n">
        <v>74.36</v>
      </c>
      <c r="CY527" s="2" t="n">
        <v>76.56</v>
      </c>
      <c r="CZ527" s="2" t="n">
        <v>0</v>
      </c>
      <c r="DA527" s="2" t="n">
        <v>83.59</v>
      </c>
      <c r="DB527" s="2" t="n">
        <v>85.79000000000001</v>
      </c>
      <c r="DC527" s="2" t="n">
        <v>0</v>
      </c>
      <c r="DD527" s="2" t="n">
        <v>90.83</v>
      </c>
      <c r="DE527" s="2" t="n">
        <v>91.48999999999999</v>
      </c>
      <c r="DF527" s="2" t="n">
        <v>0</v>
      </c>
      <c r="DG527" s="2" t="n">
        <v>92.59</v>
      </c>
      <c r="DH527" s="2" t="n">
        <v>93.45999999999999</v>
      </c>
      <c r="DI527" s="2" t="n">
        <v>0</v>
      </c>
      <c r="DJ527" s="2" t="n">
        <v>98.23</v>
      </c>
      <c r="DK527" s="2" t="n">
        <v>98.95999999999999</v>
      </c>
      <c r="DL527" s="2" t="n">
        <v>0</v>
      </c>
      <c r="DM527" s="2" t="n">
        <v>99.2</v>
      </c>
      <c r="DN527" s="2" t="n">
        <v>99.2</v>
      </c>
      <c r="DO527" s="2" t="n">
        <v>0</v>
      </c>
      <c r="DP527" s="2" t="n">
        <v>99.2</v>
      </c>
      <c r="DQ527" s="2" t="n">
        <v>99.56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</row>
    <row r="528">
      <c r="A528" s="2" t="n">
        <v>3</v>
      </c>
      <c r="B528" s="2" t="inlineStr">
        <is>
          <t>21.05.02</t>
        </is>
      </c>
      <c r="C528" s="2" t="inlineStr">
        <is>
          <t>Aquecedores de passagem à gás</t>
        </is>
      </c>
      <c r="D528" s="2" t="inlineStr">
        <is>
          <t>30/04/2027</t>
        </is>
      </c>
      <c r="E528" s="2" t="inlineStr">
        <is>
          <t>07/08/2028</t>
        </is>
      </c>
      <c r="F528" s="2" t="n">
        <v>120000</v>
      </c>
      <c r="G528" s="2" t="n">
        <v>0</v>
      </c>
      <c r="H528" s="2" t="n">
        <v>120000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0.2</v>
      </c>
      <c r="BY528" s="2" t="n">
        <v>0</v>
      </c>
      <c r="BZ528" s="2" t="n">
        <v>3.17</v>
      </c>
      <c r="CA528" s="2" t="n">
        <v>4.17</v>
      </c>
      <c r="CB528" s="2" t="n">
        <v>0</v>
      </c>
      <c r="CC528" s="2" t="n">
        <v>7.54</v>
      </c>
      <c r="CD528" s="2" t="n">
        <v>8.529999999999999</v>
      </c>
      <c r="CE528" s="2" t="n">
        <v>0</v>
      </c>
      <c r="CF528" s="2" t="n">
        <v>13.19</v>
      </c>
      <c r="CG528" s="2" t="n">
        <v>15.25</v>
      </c>
      <c r="CH528" s="2" t="n">
        <v>0</v>
      </c>
      <c r="CI528" s="2" t="n">
        <v>22.25</v>
      </c>
      <c r="CJ528" s="2" t="n">
        <v>24.31</v>
      </c>
      <c r="CK528" s="2" t="n">
        <v>0</v>
      </c>
      <c r="CL528" s="2" t="n">
        <v>30.91</v>
      </c>
      <c r="CM528" s="2" t="n">
        <v>32.97</v>
      </c>
      <c r="CN528" s="2" t="n">
        <v>0</v>
      </c>
      <c r="CO528" s="2" t="n">
        <v>39.15</v>
      </c>
      <c r="CP528" s="2" t="n">
        <v>41.21</v>
      </c>
      <c r="CQ528" s="2" t="n">
        <v>0</v>
      </c>
      <c r="CR528" s="2" t="n">
        <v>47.39</v>
      </c>
      <c r="CS528" s="2" t="n">
        <v>49.45</v>
      </c>
      <c r="CT528" s="2" t="n">
        <v>0</v>
      </c>
      <c r="CU528" s="2" t="n">
        <v>53.98</v>
      </c>
      <c r="CV528" s="2" t="n">
        <v>56.04</v>
      </c>
      <c r="CW528" s="2" t="n">
        <v>0</v>
      </c>
      <c r="CX528" s="2" t="n">
        <v>62.64</v>
      </c>
      <c r="CY528" s="2" t="n">
        <v>64.7</v>
      </c>
      <c r="CZ528" s="2" t="n">
        <v>0</v>
      </c>
      <c r="DA528" s="2" t="n">
        <v>71.29000000000001</v>
      </c>
      <c r="DB528" s="2" t="n">
        <v>73.34999999999999</v>
      </c>
      <c r="DC528" s="2" t="n">
        <v>0</v>
      </c>
      <c r="DD528" s="2" t="n">
        <v>80.77</v>
      </c>
      <c r="DE528" s="2" t="n">
        <v>82.93000000000001</v>
      </c>
      <c r="DF528" s="2" t="n">
        <v>0</v>
      </c>
      <c r="DG528" s="2" t="n">
        <v>85.34999999999999</v>
      </c>
      <c r="DH528" s="2" t="n">
        <v>88.2</v>
      </c>
      <c r="DI528" s="2" t="n">
        <v>0</v>
      </c>
      <c r="DJ528" s="2" t="n">
        <v>93.98</v>
      </c>
      <c r="DK528" s="2" t="n">
        <v>95.94</v>
      </c>
      <c r="DL528" s="2" t="n">
        <v>0</v>
      </c>
      <c r="DM528" s="2" t="n">
        <v>98.08</v>
      </c>
      <c r="DN528" s="2" t="n">
        <v>98.08</v>
      </c>
      <c r="DO528" s="2" t="n">
        <v>0</v>
      </c>
      <c r="DP528" s="2" t="n">
        <v>98.08</v>
      </c>
      <c r="DQ528" s="2" t="n">
        <v>98.93000000000001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</row>
    <row r="529">
      <c r="A529" s="2" t="n">
        <v>3</v>
      </c>
      <c r="B529" s="2" t="inlineStr">
        <is>
          <t>21.05.03</t>
        </is>
      </c>
      <c r="C529" s="2" t="inlineStr">
        <is>
          <t>Aquecedores Solares</t>
        </is>
      </c>
      <c r="D529" s="2" t="inlineStr">
        <is>
          <t>01/06/2028</t>
        </is>
      </c>
      <c r="E529" s="2" t="inlineStr">
        <is>
          <t>23/08/2028</t>
        </is>
      </c>
      <c r="F529" s="2" t="n">
        <v>312624</v>
      </c>
      <c r="G529" s="2" t="n">
        <v>0</v>
      </c>
      <c r="H529" s="2" t="n">
        <v>312624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</v>
      </c>
      <c r="CA529" s="2" t="n">
        <v>0</v>
      </c>
      <c r="CB529" s="2" t="n">
        <v>0</v>
      </c>
      <c r="CC529" s="2" t="n">
        <v>0</v>
      </c>
      <c r="CD529" s="2" t="n">
        <v>0</v>
      </c>
      <c r="CE529" s="2" t="n">
        <v>0</v>
      </c>
      <c r="CF529" s="2" t="n">
        <v>0</v>
      </c>
      <c r="CG529" s="2" t="n">
        <v>0</v>
      </c>
      <c r="CH529" s="2" t="n">
        <v>0</v>
      </c>
      <c r="CI529" s="2" t="n">
        <v>0</v>
      </c>
      <c r="CJ529" s="2" t="n">
        <v>0</v>
      </c>
      <c r="CK529" s="2" t="n">
        <v>0</v>
      </c>
      <c r="CL529" s="2" t="n">
        <v>0</v>
      </c>
      <c r="CM529" s="2" t="n">
        <v>0</v>
      </c>
      <c r="CN529" s="2" t="n">
        <v>0</v>
      </c>
      <c r="CO529" s="2" t="n">
        <v>0</v>
      </c>
      <c r="CP529" s="2" t="n">
        <v>0</v>
      </c>
      <c r="CQ529" s="2" t="n">
        <v>0</v>
      </c>
      <c r="CR529" s="2" t="n">
        <v>0</v>
      </c>
      <c r="CS529" s="2" t="n">
        <v>0</v>
      </c>
      <c r="CT529" s="2" t="n">
        <v>0</v>
      </c>
      <c r="CU529" s="2" t="n">
        <v>0</v>
      </c>
      <c r="CV529" s="2" t="n">
        <v>0</v>
      </c>
      <c r="CW529" s="2" t="n">
        <v>0</v>
      </c>
      <c r="CX529" s="2" t="n">
        <v>0</v>
      </c>
      <c r="CY529" s="2" t="n">
        <v>0</v>
      </c>
      <c r="CZ529" s="2" t="n">
        <v>0</v>
      </c>
      <c r="DA529" s="2" t="n">
        <v>0</v>
      </c>
      <c r="DB529" s="2" t="n">
        <v>0</v>
      </c>
      <c r="DC529" s="2" t="n">
        <v>0</v>
      </c>
      <c r="DD529" s="2" t="n">
        <v>0</v>
      </c>
      <c r="DE529" s="2" t="n">
        <v>0</v>
      </c>
      <c r="DF529" s="2" t="n">
        <v>0</v>
      </c>
      <c r="DG529" s="2" t="n">
        <v>0</v>
      </c>
      <c r="DH529" s="2" t="n">
        <v>0</v>
      </c>
      <c r="DI529" s="2" t="n">
        <v>0</v>
      </c>
      <c r="DJ529" s="2" t="n">
        <v>0</v>
      </c>
      <c r="DK529" s="2" t="n">
        <v>0</v>
      </c>
      <c r="DL529" s="2" t="n">
        <v>0</v>
      </c>
      <c r="DM529" s="2" t="n">
        <v>5</v>
      </c>
      <c r="DN529" s="2" t="n">
        <v>50</v>
      </c>
      <c r="DO529" s="2" t="n">
        <v>0</v>
      </c>
      <c r="DP529" s="2" t="n">
        <v>50</v>
      </c>
      <c r="DQ529" s="2" t="n">
        <v>63.64</v>
      </c>
      <c r="DR529" s="2" t="n">
        <v>0</v>
      </c>
      <c r="DS529" s="2" t="n">
        <v>86.36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</row>
    <row r="530">
      <c r="A530" s="2" t="n">
        <v>3</v>
      </c>
      <c r="B530" s="2" t="inlineStr">
        <is>
          <t>21.05.04</t>
        </is>
      </c>
      <c r="C530" s="2" t="inlineStr">
        <is>
          <t>Rede de extensão de água/esgoto</t>
        </is>
      </c>
      <c r="D530" s="2" t="inlineStr">
        <is>
          <t>11/01/2027</t>
        </is>
      </c>
      <c r="E530" s="2" t="inlineStr">
        <is>
          <t>05/02/2027</t>
        </is>
      </c>
      <c r="F530" s="2" t="n">
        <v>220000</v>
      </c>
      <c r="G530" s="2" t="n">
        <v>0</v>
      </c>
      <c r="H530" s="2" t="n">
        <v>220000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15</v>
      </c>
      <c r="BO530" s="2" t="n">
        <v>75</v>
      </c>
      <c r="BP530" s="2" t="n">
        <v>0</v>
      </c>
      <c r="BQ530" s="2" t="n">
        <v>100</v>
      </c>
      <c r="BR530" s="2" t="n">
        <v>100</v>
      </c>
      <c r="BS530" s="2" t="n">
        <v>0</v>
      </c>
      <c r="BT530" s="2" t="n">
        <v>100</v>
      </c>
      <c r="BU530" s="2" t="n">
        <v>100</v>
      </c>
      <c r="BV530" s="2" t="n">
        <v>0</v>
      </c>
      <c r="BW530" s="2" t="n">
        <v>100</v>
      </c>
      <c r="BX530" s="2" t="n">
        <v>100</v>
      </c>
      <c r="BY530" s="2" t="n">
        <v>0</v>
      </c>
      <c r="BZ530" s="2" t="n">
        <v>100</v>
      </c>
      <c r="CA530" s="2" t="n">
        <v>100</v>
      </c>
      <c r="CB530" s="2" t="n">
        <v>0</v>
      </c>
      <c r="CC530" s="2" t="n">
        <v>100</v>
      </c>
      <c r="CD530" s="2" t="n">
        <v>100</v>
      </c>
      <c r="CE530" s="2" t="n">
        <v>0</v>
      </c>
      <c r="CF530" s="2" t="n">
        <v>100</v>
      </c>
      <c r="CG530" s="2" t="n">
        <v>100</v>
      </c>
      <c r="CH530" s="2" t="n">
        <v>0</v>
      </c>
      <c r="CI530" s="2" t="n">
        <v>100</v>
      </c>
      <c r="CJ530" s="2" t="n">
        <v>100</v>
      </c>
      <c r="CK530" s="2" t="n">
        <v>0</v>
      </c>
      <c r="CL530" s="2" t="n">
        <v>100</v>
      </c>
      <c r="CM530" s="2" t="n">
        <v>100</v>
      </c>
      <c r="CN530" s="2" t="n">
        <v>0</v>
      </c>
      <c r="CO530" s="2" t="n">
        <v>100</v>
      </c>
      <c r="CP530" s="2" t="n">
        <v>100</v>
      </c>
      <c r="CQ530" s="2" t="n">
        <v>0</v>
      </c>
      <c r="CR530" s="2" t="n">
        <v>100</v>
      </c>
      <c r="CS530" s="2" t="n">
        <v>100</v>
      </c>
      <c r="CT530" s="2" t="n">
        <v>0</v>
      </c>
      <c r="CU530" s="2" t="n">
        <v>100</v>
      </c>
      <c r="CV530" s="2" t="n">
        <v>100</v>
      </c>
      <c r="CW530" s="2" t="n">
        <v>0</v>
      </c>
      <c r="CX530" s="2" t="n">
        <v>100</v>
      </c>
      <c r="CY530" s="2" t="n">
        <v>100</v>
      </c>
      <c r="CZ530" s="2" t="n">
        <v>0</v>
      </c>
      <c r="DA530" s="2" t="n">
        <v>100</v>
      </c>
      <c r="DB530" s="2" t="n">
        <v>100</v>
      </c>
      <c r="DC530" s="2" t="n">
        <v>0</v>
      </c>
      <c r="DD530" s="2" t="n">
        <v>100</v>
      </c>
      <c r="DE530" s="2" t="n">
        <v>100</v>
      </c>
      <c r="DF530" s="2" t="n">
        <v>0</v>
      </c>
      <c r="DG530" s="2" t="n">
        <v>100</v>
      </c>
      <c r="DH530" s="2" t="n">
        <v>100</v>
      </c>
      <c r="DI530" s="2" t="n">
        <v>0</v>
      </c>
      <c r="DJ530" s="2" t="n">
        <v>100</v>
      </c>
      <c r="DK530" s="2" t="n">
        <v>100</v>
      </c>
      <c r="DL530" s="2" t="n">
        <v>0</v>
      </c>
      <c r="DM530" s="2" t="n">
        <v>100</v>
      </c>
      <c r="DN530" s="2" t="n">
        <v>100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</row>
    <row r="531">
      <c r="A531" s="2" t="n">
        <v>1</v>
      </c>
      <c r="B531" s="2" t="inlineStr">
        <is>
          <t>22</t>
        </is>
      </c>
      <c r="C531" s="2" t="inlineStr">
        <is>
          <t>INSTALAÇÕES COMBATE INCÊNDIO</t>
        </is>
      </c>
      <c r="D531" s="2" t="inlineStr">
        <is>
          <t>30/03/2027</t>
        </is>
      </c>
      <c r="E531" s="2" t="inlineStr">
        <is>
          <t>05/02/2029</t>
        </is>
      </c>
      <c r="F531" s="2" t="n">
        <v>781560</v>
      </c>
      <c r="G531" s="2" t="n">
        <v>0</v>
      </c>
      <c r="H531" s="2" t="n">
        <v>781560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0.59</v>
      </c>
      <c r="BV531" s="2" t="n">
        <v>0</v>
      </c>
      <c r="BW531" s="2" t="n">
        <v>5.34</v>
      </c>
      <c r="BX531" s="2" t="n">
        <v>6.82</v>
      </c>
      <c r="BY531" s="2" t="n">
        <v>0</v>
      </c>
      <c r="BZ531" s="2" t="n">
        <v>11.27</v>
      </c>
      <c r="CA531" s="2" t="n">
        <v>12.76</v>
      </c>
      <c r="CB531" s="2" t="n">
        <v>0</v>
      </c>
      <c r="CC531" s="2" t="n">
        <v>17.8</v>
      </c>
      <c r="CD531" s="2" t="n">
        <v>19.28</v>
      </c>
      <c r="CE531" s="2" t="n">
        <v>0</v>
      </c>
      <c r="CF531" s="2" t="n">
        <v>25.05</v>
      </c>
      <c r="CG531" s="2" t="n">
        <v>26.58</v>
      </c>
      <c r="CH531" s="2" t="n">
        <v>0</v>
      </c>
      <c r="CI531" s="2" t="n">
        <v>32.74</v>
      </c>
      <c r="CJ531" s="2" t="n">
        <v>34.26</v>
      </c>
      <c r="CK531" s="2" t="n">
        <v>0</v>
      </c>
      <c r="CL531" s="2" t="n">
        <v>39.74</v>
      </c>
      <c r="CM531" s="2" t="n">
        <v>41.25</v>
      </c>
      <c r="CN531" s="2" t="n">
        <v>0</v>
      </c>
      <c r="CO531" s="2" t="n">
        <v>48.23</v>
      </c>
      <c r="CP531" s="2" t="n">
        <v>51.31</v>
      </c>
      <c r="CQ531" s="2" t="n">
        <v>0</v>
      </c>
      <c r="CR531" s="2" t="n">
        <v>56.92</v>
      </c>
      <c r="CS531" s="2" t="n">
        <v>59.31</v>
      </c>
      <c r="CT531" s="2" t="n">
        <v>0</v>
      </c>
      <c r="CU531" s="2" t="n">
        <v>63.7</v>
      </c>
      <c r="CV531" s="2" t="n">
        <v>65.84999999999999</v>
      </c>
      <c r="CW531" s="2" t="n">
        <v>0</v>
      </c>
      <c r="CX531" s="2" t="n">
        <v>70.70999999999999</v>
      </c>
      <c r="CY531" s="2" t="n">
        <v>74.56</v>
      </c>
      <c r="CZ531" s="2" t="n">
        <v>0</v>
      </c>
      <c r="DA531" s="2" t="n">
        <v>78</v>
      </c>
      <c r="DB531" s="2" t="n">
        <v>90.28</v>
      </c>
      <c r="DC531" s="2" t="n">
        <v>0</v>
      </c>
      <c r="DD531" s="2" t="n">
        <v>90.84999999999999</v>
      </c>
      <c r="DE531" s="2" t="n">
        <v>92.38</v>
      </c>
      <c r="DF531" s="2" t="n">
        <v>0</v>
      </c>
      <c r="DG531" s="2" t="n">
        <v>95.22</v>
      </c>
      <c r="DH531" s="2" t="n">
        <v>95.40000000000001</v>
      </c>
      <c r="DI531" s="2" t="n">
        <v>0</v>
      </c>
      <c r="DJ531" s="2" t="n">
        <v>95.84</v>
      </c>
      <c r="DK531" s="2" t="n">
        <v>97.81999999999999</v>
      </c>
      <c r="DL531" s="2" t="n">
        <v>0</v>
      </c>
      <c r="DM531" s="2" t="n">
        <v>98.03</v>
      </c>
      <c r="DN531" s="2" t="n">
        <v>98.09</v>
      </c>
      <c r="DO531" s="2" t="n">
        <v>0</v>
      </c>
      <c r="DP531" s="2" t="n">
        <v>98.3</v>
      </c>
      <c r="DQ531" s="2" t="n">
        <v>98.37</v>
      </c>
      <c r="DR531" s="2" t="n">
        <v>0</v>
      </c>
      <c r="DS531" s="2" t="n">
        <v>98.59</v>
      </c>
      <c r="DT531" s="2" t="n">
        <v>98.66</v>
      </c>
      <c r="DU531" s="2" t="n">
        <v>0</v>
      </c>
      <c r="DV531" s="2" t="n">
        <v>98.84999999999999</v>
      </c>
      <c r="DW531" s="2" t="n">
        <v>98.93000000000001</v>
      </c>
      <c r="DX531" s="2" t="n">
        <v>0</v>
      </c>
      <c r="DY531" s="2" t="n">
        <v>99.14</v>
      </c>
      <c r="DZ531" s="2" t="n">
        <v>99.22</v>
      </c>
      <c r="EA531" s="2" t="n">
        <v>0</v>
      </c>
      <c r="EB531" s="2" t="n">
        <v>99.40000000000001</v>
      </c>
      <c r="EC531" s="2" t="n">
        <v>99.51000000000001</v>
      </c>
      <c r="ED531" s="2" t="n">
        <v>0</v>
      </c>
      <c r="EE531" s="2" t="n">
        <v>99.63</v>
      </c>
      <c r="EF531" s="2" t="n">
        <v>99.7</v>
      </c>
      <c r="EG531" s="2" t="n">
        <v>0</v>
      </c>
      <c r="EH531" s="2" t="n">
        <v>99.88</v>
      </c>
      <c r="EI531" s="2" t="n">
        <v>99.95999999999999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</row>
    <row r="532">
      <c r="A532" s="2" t="n">
        <v>2</v>
      </c>
      <c r="B532" s="2" t="inlineStr">
        <is>
          <t>22.01</t>
        </is>
      </c>
      <c r="C532" s="2" t="inlineStr">
        <is>
          <t>Prumadas de incendio</t>
        </is>
      </c>
      <c r="D532" s="2" t="inlineStr">
        <is>
          <t>30/03/2027</t>
        </is>
      </c>
      <c r="E532" s="2" t="inlineStr">
        <is>
          <t>18/04/2028</t>
        </is>
      </c>
      <c r="F532" s="2" t="n">
        <v>234468</v>
      </c>
      <c r="G532" s="2" t="n">
        <v>0</v>
      </c>
      <c r="H532" s="2" t="n">
        <v>234468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0.85</v>
      </c>
      <c r="BV532" s="2" t="n">
        <v>0</v>
      </c>
      <c r="BW532" s="2" t="n">
        <v>7.63</v>
      </c>
      <c r="BX532" s="2" t="n">
        <v>9.75</v>
      </c>
      <c r="BY532" s="2" t="n">
        <v>0</v>
      </c>
      <c r="BZ532" s="2" t="n">
        <v>16.11</v>
      </c>
      <c r="CA532" s="2" t="n">
        <v>18.23</v>
      </c>
      <c r="CB532" s="2" t="n">
        <v>0</v>
      </c>
      <c r="CC532" s="2" t="n">
        <v>25.43</v>
      </c>
      <c r="CD532" s="2" t="n">
        <v>27.55</v>
      </c>
      <c r="CE532" s="2" t="n">
        <v>0</v>
      </c>
      <c r="CF532" s="2" t="n">
        <v>35.78</v>
      </c>
      <c r="CG532" s="2" t="n">
        <v>37.98</v>
      </c>
      <c r="CH532" s="2" t="n">
        <v>0</v>
      </c>
      <c r="CI532" s="2" t="n">
        <v>46.77</v>
      </c>
      <c r="CJ532" s="2" t="n">
        <v>48.95</v>
      </c>
      <c r="CK532" s="2" t="n">
        <v>0</v>
      </c>
      <c r="CL532" s="2" t="n">
        <v>56.77</v>
      </c>
      <c r="CM532" s="2" t="n">
        <v>58.92</v>
      </c>
      <c r="CN532" s="2" t="n">
        <v>0</v>
      </c>
      <c r="CO532" s="2" t="n">
        <v>65.69</v>
      </c>
      <c r="CP532" s="2" t="n">
        <v>67.84</v>
      </c>
      <c r="CQ532" s="2" t="n">
        <v>0</v>
      </c>
      <c r="CR532" s="2" t="n">
        <v>74.56999999999999</v>
      </c>
      <c r="CS532" s="2" t="n">
        <v>76.69</v>
      </c>
      <c r="CT532" s="2" t="n">
        <v>0</v>
      </c>
      <c r="CU532" s="2" t="n">
        <v>81.34999999999999</v>
      </c>
      <c r="CV532" s="2" t="n">
        <v>83.47</v>
      </c>
      <c r="CW532" s="2" t="n">
        <v>0</v>
      </c>
      <c r="CX532" s="2" t="n">
        <v>90.25</v>
      </c>
      <c r="CY532" s="2" t="n">
        <v>92.37</v>
      </c>
      <c r="CZ532" s="2" t="n">
        <v>0</v>
      </c>
      <c r="DA532" s="2" t="n">
        <v>96.01000000000001</v>
      </c>
      <c r="DB532" s="2" t="n">
        <v>96.19</v>
      </c>
      <c r="DC532" s="2" t="n">
        <v>0</v>
      </c>
      <c r="DD532" s="2" t="n">
        <v>96.19</v>
      </c>
      <c r="DE532" s="2" t="n">
        <v>96.19</v>
      </c>
      <c r="DF532" s="2" t="n">
        <v>0</v>
      </c>
      <c r="DG532" s="2" t="n">
        <v>100</v>
      </c>
      <c r="DH532" s="2" t="n">
        <v>100</v>
      </c>
      <c r="DI532" s="2" t="n">
        <v>0</v>
      </c>
      <c r="DJ532" s="2" t="n">
        <v>100</v>
      </c>
      <c r="DK532" s="2" t="n">
        <v>100</v>
      </c>
      <c r="DL532" s="2" t="n">
        <v>0</v>
      </c>
      <c r="DM532" s="2" t="n">
        <v>100</v>
      </c>
      <c r="DN532" s="2" t="n">
        <v>100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</row>
    <row r="533">
      <c r="A533" s="2" t="n">
        <v>2</v>
      </c>
      <c r="B533" s="2" t="inlineStr">
        <is>
          <t>22.02</t>
        </is>
      </c>
      <c r="C533" s="2" t="inlineStr">
        <is>
          <t>Distribuição</t>
        </is>
      </c>
      <c r="D533" s="2" t="inlineStr">
        <is>
          <t>30/03/2027</t>
        </is>
      </c>
      <c r="E533" s="2" t="inlineStr">
        <is>
          <t>18/04/2028</t>
        </is>
      </c>
      <c r="F533" s="2" t="n">
        <v>312624</v>
      </c>
      <c r="G533" s="2" t="n">
        <v>0</v>
      </c>
      <c r="H533" s="2" t="n">
        <v>312624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0.85</v>
      </c>
      <c r="BV533" s="2" t="n">
        <v>0</v>
      </c>
      <c r="BW533" s="2" t="n">
        <v>7.63</v>
      </c>
      <c r="BX533" s="2" t="n">
        <v>9.75</v>
      </c>
      <c r="BY533" s="2" t="n">
        <v>0</v>
      </c>
      <c r="BZ533" s="2" t="n">
        <v>16.11</v>
      </c>
      <c r="CA533" s="2" t="n">
        <v>18.23</v>
      </c>
      <c r="CB533" s="2" t="n">
        <v>0</v>
      </c>
      <c r="CC533" s="2" t="n">
        <v>25.43</v>
      </c>
      <c r="CD533" s="2" t="n">
        <v>27.55</v>
      </c>
      <c r="CE533" s="2" t="n">
        <v>0</v>
      </c>
      <c r="CF533" s="2" t="n">
        <v>35.78</v>
      </c>
      <c r="CG533" s="2" t="n">
        <v>37.98</v>
      </c>
      <c r="CH533" s="2" t="n">
        <v>0</v>
      </c>
      <c r="CI533" s="2" t="n">
        <v>46.77</v>
      </c>
      <c r="CJ533" s="2" t="n">
        <v>48.95</v>
      </c>
      <c r="CK533" s="2" t="n">
        <v>0</v>
      </c>
      <c r="CL533" s="2" t="n">
        <v>56.77</v>
      </c>
      <c r="CM533" s="2" t="n">
        <v>58.92</v>
      </c>
      <c r="CN533" s="2" t="n">
        <v>0</v>
      </c>
      <c r="CO533" s="2" t="n">
        <v>65.69</v>
      </c>
      <c r="CP533" s="2" t="n">
        <v>67.84</v>
      </c>
      <c r="CQ533" s="2" t="n">
        <v>0</v>
      </c>
      <c r="CR533" s="2" t="n">
        <v>74.56999999999999</v>
      </c>
      <c r="CS533" s="2" t="n">
        <v>76.69</v>
      </c>
      <c r="CT533" s="2" t="n">
        <v>0</v>
      </c>
      <c r="CU533" s="2" t="n">
        <v>81.34999999999999</v>
      </c>
      <c r="CV533" s="2" t="n">
        <v>83.47</v>
      </c>
      <c r="CW533" s="2" t="n">
        <v>0</v>
      </c>
      <c r="CX533" s="2" t="n">
        <v>90.25</v>
      </c>
      <c r="CY533" s="2" t="n">
        <v>92.37</v>
      </c>
      <c r="CZ533" s="2" t="n">
        <v>0</v>
      </c>
      <c r="DA533" s="2" t="n">
        <v>96.01000000000001</v>
      </c>
      <c r="DB533" s="2" t="n">
        <v>96.19</v>
      </c>
      <c r="DC533" s="2" t="n">
        <v>0</v>
      </c>
      <c r="DD533" s="2" t="n">
        <v>96.19</v>
      </c>
      <c r="DE533" s="2" t="n">
        <v>96.19</v>
      </c>
      <c r="DF533" s="2" t="n">
        <v>0</v>
      </c>
      <c r="DG533" s="2" t="n">
        <v>100</v>
      </c>
      <c r="DH533" s="2" t="n">
        <v>100</v>
      </c>
      <c r="DI533" s="2" t="n">
        <v>0</v>
      </c>
      <c r="DJ533" s="2" t="n">
        <v>100</v>
      </c>
      <c r="DK533" s="2" t="n">
        <v>100</v>
      </c>
      <c r="DL533" s="2" t="n">
        <v>0</v>
      </c>
      <c r="DM533" s="2" t="n">
        <v>100</v>
      </c>
      <c r="DN533" s="2" t="n">
        <v>100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</row>
    <row r="534">
      <c r="A534" s="2" t="n">
        <v>2</v>
      </c>
      <c r="B534" s="2" t="inlineStr">
        <is>
          <t>22.03</t>
        </is>
      </c>
      <c r="C534" s="2" t="inlineStr">
        <is>
          <t>Hidrantes, mangueiras, registros e caixas</t>
        </is>
      </c>
      <c r="D534" s="2" t="inlineStr">
        <is>
          <t>04/10/2027</t>
        </is>
      </c>
      <c r="E534" s="2" t="inlineStr">
        <is>
          <t>26/05/2028</t>
        </is>
      </c>
      <c r="F534" s="2" t="n">
        <v>117234</v>
      </c>
      <c r="G534" s="2" t="n">
        <v>0</v>
      </c>
      <c r="H534" s="2" t="n">
        <v>117234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</v>
      </c>
      <c r="CA534" s="2" t="n">
        <v>0</v>
      </c>
      <c r="CB534" s="2" t="n">
        <v>0</v>
      </c>
      <c r="CC534" s="2" t="n">
        <v>0</v>
      </c>
      <c r="CD534" s="2" t="n">
        <v>0</v>
      </c>
      <c r="CE534" s="2" t="n">
        <v>0</v>
      </c>
      <c r="CF534" s="2" t="n">
        <v>0</v>
      </c>
      <c r="CG534" s="2" t="n">
        <v>0</v>
      </c>
      <c r="CH534" s="2" t="n">
        <v>0</v>
      </c>
      <c r="CI534" s="2" t="n">
        <v>0</v>
      </c>
      <c r="CJ534" s="2" t="n">
        <v>0</v>
      </c>
      <c r="CK534" s="2" t="n">
        <v>0</v>
      </c>
      <c r="CL534" s="2" t="n">
        <v>0</v>
      </c>
      <c r="CM534" s="2" t="n">
        <v>0</v>
      </c>
      <c r="CN534" s="2" t="n">
        <v>0</v>
      </c>
      <c r="CO534" s="2" t="n">
        <v>8.33</v>
      </c>
      <c r="CP534" s="2" t="n">
        <v>14.17</v>
      </c>
      <c r="CQ534" s="2" t="n">
        <v>0</v>
      </c>
      <c r="CR534" s="2" t="n">
        <v>17.5</v>
      </c>
      <c r="CS534" s="2" t="n">
        <v>20.83</v>
      </c>
      <c r="CT534" s="2" t="n">
        <v>0</v>
      </c>
      <c r="CU534" s="2" t="n">
        <v>25</v>
      </c>
      <c r="CV534" s="2" t="n">
        <v>27.5</v>
      </c>
      <c r="CW534" s="2" t="n">
        <v>0</v>
      </c>
      <c r="CX534" s="2" t="n">
        <v>27.92</v>
      </c>
      <c r="CY534" s="2" t="n">
        <v>36.67</v>
      </c>
      <c r="CZ534" s="2" t="n">
        <v>0</v>
      </c>
      <c r="DA534" s="2" t="n">
        <v>40</v>
      </c>
      <c r="DB534" s="2" t="n">
        <v>85</v>
      </c>
      <c r="DC534" s="2" t="n">
        <v>0</v>
      </c>
      <c r="DD534" s="2" t="n">
        <v>86.25</v>
      </c>
      <c r="DE534" s="2" t="n">
        <v>91.67</v>
      </c>
      <c r="DF534" s="2" t="n">
        <v>0</v>
      </c>
      <c r="DG534" s="2" t="n">
        <v>91.67</v>
      </c>
      <c r="DH534" s="2" t="n">
        <v>92.08</v>
      </c>
      <c r="DI534" s="2" t="n">
        <v>0</v>
      </c>
      <c r="DJ534" s="2" t="n">
        <v>92.92</v>
      </c>
      <c r="DK534" s="2" t="n">
        <v>100</v>
      </c>
      <c r="DL534" s="2" t="n">
        <v>0</v>
      </c>
      <c r="DM534" s="2" t="n">
        <v>100</v>
      </c>
      <c r="DN534" s="2" t="n">
        <v>100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Extintores de incêndio</t>
        </is>
      </c>
      <c r="D535" s="2" t="inlineStr">
        <is>
          <t>04/10/2027</t>
        </is>
      </c>
      <c r="E535" s="2" t="inlineStr">
        <is>
          <t>26/05/2028</t>
        </is>
      </c>
      <c r="F535" s="2" t="n">
        <v>93787.2</v>
      </c>
      <c r="G535" s="2" t="n">
        <v>0</v>
      </c>
      <c r="H535" s="2" t="n">
        <v>93787.2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</v>
      </c>
      <c r="CA535" s="2" t="n">
        <v>0</v>
      </c>
      <c r="CB535" s="2" t="n">
        <v>0</v>
      </c>
      <c r="CC535" s="2" t="n">
        <v>0</v>
      </c>
      <c r="CD535" s="2" t="n">
        <v>0</v>
      </c>
      <c r="CE535" s="2" t="n">
        <v>0</v>
      </c>
      <c r="CF535" s="2" t="n">
        <v>0</v>
      </c>
      <c r="CG535" s="2" t="n">
        <v>0</v>
      </c>
      <c r="CH535" s="2" t="n">
        <v>0</v>
      </c>
      <c r="CI535" s="2" t="n">
        <v>0</v>
      </c>
      <c r="CJ535" s="2" t="n">
        <v>0</v>
      </c>
      <c r="CK535" s="2" t="n">
        <v>0</v>
      </c>
      <c r="CL535" s="2" t="n">
        <v>0</v>
      </c>
      <c r="CM535" s="2" t="n">
        <v>0</v>
      </c>
      <c r="CN535" s="2" t="n">
        <v>0</v>
      </c>
      <c r="CO535" s="2" t="n">
        <v>8.33</v>
      </c>
      <c r="CP535" s="2" t="n">
        <v>14.17</v>
      </c>
      <c r="CQ535" s="2" t="n">
        <v>0</v>
      </c>
      <c r="CR535" s="2" t="n">
        <v>17.5</v>
      </c>
      <c r="CS535" s="2" t="n">
        <v>20.83</v>
      </c>
      <c r="CT535" s="2" t="n">
        <v>0</v>
      </c>
      <c r="CU535" s="2" t="n">
        <v>25</v>
      </c>
      <c r="CV535" s="2" t="n">
        <v>27.5</v>
      </c>
      <c r="CW535" s="2" t="n">
        <v>0</v>
      </c>
      <c r="CX535" s="2" t="n">
        <v>27.92</v>
      </c>
      <c r="CY535" s="2" t="n">
        <v>36.67</v>
      </c>
      <c r="CZ535" s="2" t="n">
        <v>0</v>
      </c>
      <c r="DA535" s="2" t="n">
        <v>40</v>
      </c>
      <c r="DB535" s="2" t="n">
        <v>85</v>
      </c>
      <c r="DC535" s="2" t="n">
        <v>0</v>
      </c>
      <c r="DD535" s="2" t="n">
        <v>86.25</v>
      </c>
      <c r="DE535" s="2" t="n">
        <v>91.67</v>
      </c>
      <c r="DF535" s="2" t="n">
        <v>0</v>
      </c>
      <c r="DG535" s="2" t="n">
        <v>91.67</v>
      </c>
      <c r="DH535" s="2" t="n">
        <v>92.08</v>
      </c>
      <c r="DI535" s="2" t="n">
        <v>0</v>
      </c>
      <c r="DJ535" s="2" t="n">
        <v>92.92</v>
      </c>
      <c r="DK535" s="2" t="n">
        <v>100</v>
      </c>
      <c r="DL535" s="2" t="n">
        <v>0</v>
      </c>
      <c r="DM535" s="2" t="n">
        <v>100</v>
      </c>
      <c r="DN535" s="2" t="n">
        <v>100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</row>
    <row r="536">
      <c r="A536" s="2" t="n">
        <v>2</v>
      </c>
      <c r="B536" s="2" t="inlineStr">
        <is>
          <t>22.05</t>
        </is>
      </c>
      <c r="C536" s="2" t="inlineStr">
        <is>
          <t>Comunicação visual</t>
        </is>
      </c>
      <c r="D536" s="2" t="inlineStr">
        <is>
          <t>01/03/2028</t>
        </is>
      </c>
      <c r="E536" s="2" t="inlineStr">
        <is>
          <t>05/02/2029</t>
        </is>
      </c>
      <c r="F536" s="2" t="n">
        <v>23446.8</v>
      </c>
      <c r="G536" s="2" t="n">
        <v>0</v>
      </c>
      <c r="H536" s="2" t="n">
        <v>23446.8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</v>
      </c>
      <c r="CA536" s="2" t="n">
        <v>0</v>
      </c>
      <c r="CB536" s="2" t="n">
        <v>0</v>
      </c>
      <c r="CC536" s="2" t="n">
        <v>0</v>
      </c>
      <c r="CD536" s="2" t="n">
        <v>0</v>
      </c>
      <c r="CE536" s="2" t="n">
        <v>0</v>
      </c>
      <c r="CF536" s="2" t="n">
        <v>0</v>
      </c>
      <c r="CG536" s="2" t="n">
        <v>0</v>
      </c>
      <c r="CH536" s="2" t="n">
        <v>0</v>
      </c>
      <c r="CI536" s="2" t="n">
        <v>0</v>
      </c>
      <c r="CJ536" s="2" t="n">
        <v>0</v>
      </c>
      <c r="CK536" s="2" t="n">
        <v>0</v>
      </c>
      <c r="CL536" s="2" t="n">
        <v>0</v>
      </c>
      <c r="CM536" s="2" t="n">
        <v>0</v>
      </c>
      <c r="CN536" s="2" t="n">
        <v>0</v>
      </c>
      <c r="CO536" s="2" t="n">
        <v>0</v>
      </c>
      <c r="CP536" s="2" t="n">
        <v>0</v>
      </c>
      <c r="CQ536" s="2" t="n">
        <v>0</v>
      </c>
      <c r="CR536" s="2" t="n">
        <v>0</v>
      </c>
      <c r="CS536" s="2" t="n">
        <v>0</v>
      </c>
      <c r="CT536" s="2" t="n">
        <v>0</v>
      </c>
      <c r="CU536" s="2" t="n">
        <v>0</v>
      </c>
      <c r="CV536" s="2" t="n">
        <v>0</v>
      </c>
      <c r="CW536" s="2" t="n">
        <v>0</v>
      </c>
      <c r="CX536" s="2" t="n">
        <v>0</v>
      </c>
      <c r="CY536" s="2" t="n">
        <v>0</v>
      </c>
      <c r="CZ536" s="2" t="n">
        <v>0</v>
      </c>
      <c r="DA536" s="2" t="n">
        <v>0</v>
      </c>
      <c r="DB536" s="2" t="n">
        <v>0</v>
      </c>
      <c r="DC536" s="2" t="n">
        <v>0</v>
      </c>
      <c r="DD536" s="2" t="n">
        <v>7.81</v>
      </c>
      <c r="DE536" s="2" t="n">
        <v>9.98</v>
      </c>
      <c r="DF536" s="2" t="n">
        <v>0</v>
      </c>
      <c r="DG536" s="2" t="n">
        <v>15.62</v>
      </c>
      <c r="DH536" s="2" t="n">
        <v>17.79</v>
      </c>
      <c r="DI536" s="2" t="n">
        <v>0</v>
      </c>
      <c r="DJ536" s="2" t="n">
        <v>25.16</v>
      </c>
      <c r="DK536" s="2" t="n">
        <v>27.33</v>
      </c>
      <c r="DL536" s="2" t="n">
        <v>0</v>
      </c>
      <c r="DM536" s="2" t="n">
        <v>34.27</v>
      </c>
      <c r="DN536" s="2" t="n">
        <v>36.44</v>
      </c>
      <c r="DO536" s="2" t="n">
        <v>0</v>
      </c>
      <c r="DP536" s="2" t="n">
        <v>43.39</v>
      </c>
      <c r="DQ536" s="2" t="n">
        <v>45.55</v>
      </c>
      <c r="DR536" s="2" t="n">
        <v>0</v>
      </c>
      <c r="DS536" s="2" t="n">
        <v>52.93</v>
      </c>
      <c r="DT536" s="2" t="n">
        <v>55.3</v>
      </c>
      <c r="DU536" s="2" t="n">
        <v>0</v>
      </c>
      <c r="DV536" s="2" t="n">
        <v>61.8</v>
      </c>
      <c r="DW536" s="2" t="n">
        <v>64.3</v>
      </c>
      <c r="DX536" s="2" t="n">
        <v>0</v>
      </c>
      <c r="DY536" s="2" t="n">
        <v>71.25</v>
      </c>
      <c r="DZ536" s="2" t="n">
        <v>74.06</v>
      </c>
      <c r="EA536" s="2" t="n">
        <v>0</v>
      </c>
      <c r="EB536" s="2" t="n">
        <v>80.08</v>
      </c>
      <c r="EC536" s="2" t="n">
        <v>83.51000000000001</v>
      </c>
      <c r="ED536" s="2" t="n">
        <v>0</v>
      </c>
      <c r="EE536" s="2" t="n">
        <v>87.76000000000001</v>
      </c>
      <c r="EF536" s="2" t="n">
        <v>90.02</v>
      </c>
      <c r="EG536" s="2" t="n">
        <v>0</v>
      </c>
      <c r="EH536" s="2" t="n">
        <v>95.98</v>
      </c>
      <c r="EI536" s="2" t="n">
        <v>98.61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</row>
    <row r="537">
      <c r="A537" s="2" t="n">
        <v>1</v>
      </c>
      <c r="B537" s="2" t="inlineStr">
        <is>
          <t>23</t>
        </is>
      </c>
      <c r="C537" s="2" t="inlineStr">
        <is>
          <t>INSTALAÇÕES ESPECIAIS</t>
        </is>
      </c>
      <c r="D537" s="2" t="inlineStr">
        <is>
          <t>22/06/2027</t>
        </is>
      </c>
      <c r="E537" s="2" t="inlineStr">
        <is>
          <t>09/02/2029</t>
        </is>
      </c>
      <c r="F537" s="2" t="n">
        <v>2684762.924135941</v>
      </c>
      <c r="G537" s="2" t="n">
        <v>0</v>
      </c>
      <c r="H537" s="2" t="n">
        <v>2684762.924135941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</v>
      </c>
      <c r="CA537" s="2" t="n">
        <v>0</v>
      </c>
      <c r="CB537" s="2" t="n">
        <v>0</v>
      </c>
      <c r="CC537" s="2" t="n">
        <v>0.15</v>
      </c>
      <c r="CD537" s="2" t="n">
        <v>0.54</v>
      </c>
      <c r="CE537" s="2" t="n">
        <v>0</v>
      </c>
      <c r="CF537" s="2" t="n">
        <v>2.78</v>
      </c>
      <c r="CG537" s="2" t="n">
        <v>3.95</v>
      </c>
      <c r="CH537" s="2" t="n">
        <v>0</v>
      </c>
      <c r="CI537" s="2" t="n">
        <v>7.91</v>
      </c>
      <c r="CJ537" s="2" t="n">
        <v>9.08</v>
      </c>
      <c r="CK537" s="2" t="n">
        <v>0</v>
      </c>
      <c r="CL537" s="2" t="n">
        <v>12.81</v>
      </c>
      <c r="CM537" s="2" t="n">
        <v>13.99</v>
      </c>
      <c r="CN537" s="2" t="n">
        <v>0</v>
      </c>
      <c r="CO537" s="2" t="n">
        <v>19.06</v>
      </c>
      <c r="CP537" s="2" t="n">
        <v>20.43</v>
      </c>
      <c r="CQ537" s="2" t="n">
        <v>0</v>
      </c>
      <c r="CR537" s="2" t="n">
        <v>27.65</v>
      </c>
      <c r="CS537" s="2" t="n">
        <v>29.02</v>
      </c>
      <c r="CT537" s="2" t="n">
        <v>0</v>
      </c>
      <c r="CU537" s="2" t="n">
        <v>32.39</v>
      </c>
      <c r="CV537" s="2" t="n">
        <v>33.57</v>
      </c>
      <c r="CW537" s="2" t="n">
        <v>0</v>
      </c>
      <c r="CX537" s="2" t="n">
        <v>37.37</v>
      </c>
      <c r="CY537" s="2" t="n">
        <v>38.54</v>
      </c>
      <c r="CZ537" s="2" t="n">
        <v>0</v>
      </c>
      <c r="DA537" s="2" t="n">
        <v>42.31</v>
      </c>
      <c r="DB537" s="2" t="n">
        <v>43.48</v>
      </c>
      <c r="DC537" s="2" t="n">
        <v>0</v>
      </c>
      <c r="DD537" s="2" t="n">
        <v>47.72</v>
      </c>
      <c r="DE537" s="2" t="n">
        <v>51.13</v>
      </c>
      <c r="DF537" s="2" t="n">
        <v>0</v>
      </c>
      <c r="DG537" s="2" t="n">
        <v>55.7</v>
      </c>
      <c r="DH537" s="2" t="n">
        <v>56.64</v>
      </c>
      <c r="DI537" s="2" t="n">
        <v>0</v>
      </c>
      <c r="DJ537" s="2" t="n">
        <v>62.34</v>
      </c>
      <c r="DK537" s="2" t="n">
        <v>63.52</v>
      </c>
      <c r="DL537" s="2" t="n">
        <v>0</v>
      </c>
      <c r="DM537" s="2" t="n">
        <v>64.34</v>
      </c>
      <c r="DN537" s="2" t="n">
        <v>67.56</v>
      </c>
      <c r="DO537" s="2" t="n">
        <v>0</v>
      </c>
      <c r="DP537" s="2" t="n">
        <v>71.61</v>
      </c>
      <c r="DQ537" s="2" t="n">
        <v>72.81</v>
      </c>
      <c r="DR537" s="2" t="n">
        <v>0</v>
      </c>
      <c r="DS537" s="2" t="n">
        <v>79.12</v>
      </c>
      <c r="DT537" s="2" t="n">
        <v>83.13</v>
      </c>
      <c r="DU537" s="2" t="n">
        <v>0</v>
      </c>
      <c r="DV537" s="2" t="n">
        <v>86.81</v>
      </c>
      <c r="DW537" s="2" t="n">
        <v>88.59</v>
      </c>
      <c r="DX537" s="2" t="n">
        <v>0</v>
      </c>
      <c r="DY537" s="2" t="n">
        <v>88.67</v>
      </c>
      <c r="DZ537" s="2" t="n">
        <v>91.59999999999999</v>
      </c>
      <c r="EA537" s="2" t="n">
        <v>0</v>
      </c>
      <c r="EB537" s="2" t="n">
        <v>91.56</v>
      </c>
      <c r="EC537" s="2" t="n">
        <v>93.8</v>
      </c>
      <c r="ED537" s="2" t="n">
        <v>0</v>
      </c>
      <c r="EE537" s="2" t="n">
        <v>92.40000000000001</v>
      </c>
      <c r="EF537" s="2" t="n">
        <v>95.43000000000001</v>
      </c>
      <c r="EG537" s="2" t="n">
        <v>0</v>
      </c>
      <c r="EH537" s="2" t="n">
        <v>95.91</v>
      </c>
      <c r="EI537" s="2" t="n">
        <v>98.31999999999999</v>
      </c>
      <c r="EJ537" s="2" t="n">
        <v>0</v>
      </c>
      <c r="EK537" s="2" t="n">
        <v>98.31999999999999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</row>
    <row r="538">
      <c r="A538" s="2" t="n">
        <v>2</v>
      </c>
      <c r="B538" s="2" t="inlineStr">
        <is>
          <t>23.01</t>
        </is>
      </c>
      <c r="C538" s="2" t="inlineStr">
        <is>
          <t>Automação</t>
        </is>
      </c>
      <c r="D538" s="2" t="inlineStr">
        <is>
          <t>19/05/2028</t>
        </is>
      </c>
      <c r="E538" s="2" t="inlineStr">
        <is>
          <t>09/02/2029</t>
        </is>
      </c>
      <c r="F538" s="2" t="n">
        <v>352000</v>
      </c>
      <c r="G538" s="2" t="n">
        <v>0</v>
      </c>
      <c r="H538" s="2" t="n">
        <v>352000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</v>
      </c>
      <c r="CA538" s="2" t="n">
        <v>0</v>
      </c>
      <c r="CB538" s="2" t="n">
        <v>0</v>
      </c>
      <c r="CC538" s="2" t="n">
        <v>0</v>
      </c>
      <c r="CD538" s="2" t="n">
        <v>0</v>
      </c>
      <c r="CE538" s="2" t="n">
        <v>0</v>
      </c>
      <c r="CF538" s="2" t="n">
        <v>0</v>
      </c>
      <c r="CG538" s="2" t="n">
        <v>0</v>
      </c>
      <c r="CH538" s="2" t="n">
        <v>0</v>
      </c>
      <c r="CI538" s="2" t="n">
        <v>0</v>
      </c>
      <c r="CJ538" s="2" t="n">
        <v>0</v>
      </c>
      <c r="CK538" s="2" t="n">
        <v>0</v>
      </c>
      <c r="CL538" s="2" t="n">
        <v>0</v>
      </c>
      <c r="CM538" s="2" t="n">
        <v>0</v>
      </c>
      <c r="CN538" s="2" t="n">
        <v>0</v>
      </c>
      <c r="CO538" s="2" t="n">
        <v>0</v>
      </c>
      <c r="CP538" s="2" t="n">
        <v>0</v>
      </c>
      <c r="CQ538" s="2" t="n">
        <v>0</v>
      </c>
      <c r="CR538" s="2" t="n">
        <v>0</v>
      </c>
      <c r="CS538" s="2" t="n">
        <v>0</v>
      </c>
      <c r="CT538" s="2" t="n">
        <v>0</v>
      </c>
      <c r="CU538" s="2" t="n">
        <v>0</v>
      </c>
      <c r="CV538" s="2" t="n">
        <v>0</v>
      </c>
      <c r="CW538" s="2" t="n">
        <v>0</v>
      </c>
      <c r="CX538" s="2" t="n">
        <v>0</v>
      </c>
      <c r="CY538" s="2" t="n">
        <v>0</v>
      </c>
      <c r="CZ538" s="2" t="n">
        <v>0</v>
      </c>
      <c r="DA538" s="2" t="n">
        <v>0</v>
      </c>
      <c r="DB538" s="2" t="n">
        <v>0</v>
      </c>
      <c r="DC538" s="2" t="n">
        <v>0</v>
      </c>
      <c r="DD538" s="2" t="n">
        <v>0</v>
      </c>
      <c r="DE538" s="2" t="n">
        <v>0</v>
      </c>
      <c r="DF538" s="2" t="n">
        <v>0</v>
      </c>
      <c r="DG538" s="2" t="n">
        <v>0</v>
      </c>
      <c r="DH538" s="2" t="n">
        <v>0</v>
      </c>
      <c r="DI538" s="2" t="n">
        <v>0</v>
      </c>
      <c r="DJ538" s="2" t="n">
        <v>21.99</v>
      </c>
      <c r="DK538" s="2" t="n">
        <v>24.73</v>
      </c>
      <c r="DL538" s="2" t="n">
        <v>0</v>
      </c>
      <c r="DM538" s="2" t="n">
        <v>27.48</v>
      </c>
      <c r="DN538" s="2" t="n">
        <v>27.48</v>
      </c>
      <c r="DO538" s="2" t="n">
        <v>0</v>
      </c>
      <c r="DP538" s="2" t="n">
        <v>27.48</v>
      </c>
      <c r="DQ538" s="2" t="n">
        <v>27.48</v>
      </c>
      <c r="DR538" s="2" t="n">
        <v>0</v>
      </c>
      <c r="DS538" s="2" t="n">
        <v>27.48</v>
      </c>
      <c r="DT538" s="2" t="n">
        <v>27.48</v>
      </c>
      <c r="DU538" s="2" t="n">
        <v>0</v>
      </c>
      <c r="DV538" s="2" t="n">
        <v>27.48</v>
      </c>
      <c r="DW538" s="2" t="n">
        <v>27.48</v>
      </c>
      <c r="DX538" s="2" t="n">
        <v>0</v>
      </c>
      <c r="DY538" s="2" t="n">
        <v>27.48</v>
      </c>
      <c r="DZ538" s="2" t="n">
        <v>45.61</v>
      </c>
      <c r="EA538" s="2" t="n">
        <v>0</v>
      </c>
      <c r="EB538" s="2" t="n">
        <v>45.61</v>
      </c>
      <c r="EC538" s="2" t="n">
        <v>56.49</v>
      </c>
      <c r="ED538" s="2" t="n">
        <v>0</v>
      </c>
      <c r="EE538" s="2" t="n">
        <v>47.42</v>
      </c>
      <c r="EF538" s="2" t="n">
        <v>65.55</v>
      </c>
      <c r="EG538" s="2" t="n">
        <v>0</v>
      </c>
      <c r="EH538" s="2" t="n">
        <v>69.18000000000001</v>
      </c>
      <c r="EI538" s="2" t="n">
        <v>87.31</v>
      </c>
      <c r="EJ538" s="2" t="n">
        <v>0</v>
      </c>
      <c r="EK538" s="2" t="n">
        <v>87.31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</row>
    <row r="539">
      <c r="A539" s="2" t="n">
        <v>3</v>
      </c>
      <c r="B539" s="2" t="inlineStr">
        <is>
          <t>23.01.01</t>
        </is>
      </c>
      <c r="C539" s="2" t="inlineStr">
        <is>
          <t>Abertura automática de portões de garagem</t>
        </is>
      </c>
      <c r="D539" s="2" t="inlineStr">
        <is>
          <t>19/05/2028</t>
        </is>
      </c>
      <c r="E539" s="2" t="inlineStr">
        <is>
          <t>09/02/2029</t>
        </is>
      </c>
      <c r="F539" s="2" t="n">
        <v>9000</v>
      </c>
      <c r="G539" s="2" t="n">
        <v>0</v>
      </c>
      <c r="H539" s="2" t="n">
        <v>9000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</v>
      </c>
      <c r="CA539" s="2" t="n">
        <v>0</v>
      </c>
      <c r="CB539" s="2" t="n">
        <v>0</v>
      </c>
      <c r="CC539" s="2" t="n">
        <v>0</v>
      </c>
      <c r="CD539" s="2" t="n">
        <v>0</v>
      </c>
      <c r="CE539" s="2" t="n">
        <v>0</v>
      </c>
      <c r="CF539" s="2" t="n">
        <v>0</v>
      </c>
      <c r="CG539" s="2" t="n">
        <v>0</v>
      </c>
      <c r="CH539" s="2" t="n">
        <v>0</v>
      </c>
      <c r="CI539" s="2" t="n">
        <v>0</v>
      </c>
      <c r="CJ539" s="2" t="n">
        <v>0</v>
      </c>
      <c r="CK539" s="2" t="n">
        <v>0</v>
      </c>
      <c r="CL539" s="2" t="n">
        <v>0</v>
      </c>
      <c r="CM539" s="2" t="n">
        <v>0</v>
      </c>
      <c r="CN539" s="2" t="n">
        <v>0</v>
      </c>
      <c r="CO539" s="2" t="n">
        <v>0</v>
      </c>
      <c r="CP539" s="2" t="n">
        <v>0</v>
      </c>
      <c r="CQ539" s="2" t="n">
        <v>0</v>
      </c>
      <c r="CR539" s="2" t="n">
        <v>0</v>
      </c>
      <c r="CS539" s="2" t="n">
        <v>0</v>
      </c>
      <c r="CT539" s="2" t="n">
        <v>0</v>
      </c>
      <c r="CU539" s="2" t="n">
        <v>0</v>
      </c>
      <c r="CV539" s="2" t="n">
        <v>0</v>
      </c>
      <c r="CW539" s="2" t="n">
        <v>0</v>
      </c>
      <c r="CX539" s="2" t="n">
        <v>0</v>
      </c>
      <c r="CY539" s="2" t="n">
        <v>0</v>
      </c>
      <c r="CZ539" s="2" t="n">
        <v>0</v>
      </c>
      <c r="DA539" s="2" t="n">
        <v>0</v>
      </c>
      <c r="DB539" s="2" t="n">
        <v>0</v>
      </c>
      <c r="DC539" s="2" t="n">
        <v>0</v>
      </c>
      <c r="DD539" s="2" t="n">
        <v>0</v>
      </c>
      <c r="DE539" s="2" t="n">
        <v>0</v>
      </c>
      <c r="DF539" s="2" t="n">
        <v>0</v>
      </c>
      <c r="DG539" s="2" t="n">
        <v>0</v>
      </c>
      <c r="DH539" s="2" t="n">
        <v>0</v>
      </c>
      <c r="DI539" s="2" t="n">
        <v>0</v>
      </c>
      <c r="DJ539" s="2" t="n">
        <v>21.99</v>
      </c>
      <c r="DK539" s="2" t="n">
        <v>24.73</v>
      </c>
      <c r="DL539" s="2" t="n">
        <v>0</v>
      </c>
      <c r="DM539" s="2" t="n">
        <v>27.48</v>
      </c>
      <c r="DN539" s="2" t="n">
        <v>27.48</v>
      </c>
      <c r="DO539" s="2" t="n">
        <v>0</v>
      </c>
      <c r="DP539" s="2" t="n">
        <v>27.48</v>
      </c>
      <c r="DQ539" s="2" t="n">
        <v>27.48</v>
      </c>
      <c r="DR539" s="2" t="n">
        <v>0</v>
      </c>
      <c r="DS539" s="2" t="n">
        <v>27.48</v>
      </c>
      <c r="DT539" s="2" t="n">
        <v>27.48</v>
      </c>
      <c r="DU539" s="2" t="n">
        <v>0</v>
      </c>
      <c r="DV539" s="2" t="n">
        <v>27.48</v>
      </c>
      <c r="DW539" s="2" t="n">
        <v>27.48</v>
      </c>
      <c r="DX539" s="2" t="n">
        <v>0</v>
      </c>
      <c r="DY539" s="2" t="n">
        <v>27.48</v>
      </c>
      <c r="DZ539" s="2" t="n">
        <v>45.61</v>
      </c>
      <c r="EA539" s="2" t="n">
        <v>0</v>
      </c>
      <c r="EB539" s="2" t="n">
        <v>45.61</v>
      </c>
      <c r="EC539" s="2" t="n">
        <v>56.49</v>
      </c>
      <c r="ED539" s="2" t="n">
        <v>0</v>
      </c>
      <c r="EE539" s="2" t="n">
        <v>47.42</v>
      </c>
      <c r="EF539" s="2" t="n">
        <v>65.55</v>
      </c>
      <c r="EG539" s="2" t="n">
        <v>0</v>
      </c>
      <c r="EH539" s="2" t="n">
        <v>69.18000000000001</v>
      </c>
      <c r="EI539" s="2" t="n">
        <v>87.31</v>
      </c>
      <c r="EJ539" s="2" t="n">
        <v>0</v>
      </c>
      <c r="EK539" s="2" t="n">
        <v>87.31</v>
      </c>
      <c r="EL539" s="2" t="n">
        <v>100</v>
      </c>
      <c r="EM539" s="2" t="n">
        <v>0</v>
      </c>
      <c r="EN539" s="2" t="n">
        <v>100</v>
      </c>
      <c r="EO539" s="2" t="n">
        <v>100</v>
      </c>
      <c r="EP539" s="2" t="n">
        <v>0</v>
      </c>
      <c r="EQ539" s="2" t="n">
        <v>100</v>
      </c>
      <c r="ER539" s="2" t="n">
        <v>100</v>
      </c>
      <c r="ES539" s="2" t="n">
        <v>0</v>
      </c>
    </row>
    <row r="540">
      <c r="A540" s="2" t="n">
        <v>3</v>
      </c>
      <c r="B540" s="2" t="inlineStr">
        <is>
          <t>23.01.02</t>
        </is>
      </c>
      <c r="C540" s="2" t="inlineStr">
        <is>
          <t>Estação de carga para carro elétrico - 1 por apartamento - infra + cabeamento</t>
        </is>
      </c>
      <c r="D540" s="2" t="inlineStr">
        <is>
          <t>19/05/2028</t>
        </is>
      </c>
      <c r="E540" s="2" t="inlineStr">
        <is>
          <t>09/02/2029</t>
        </is>
      </c>
      <c r="F540" s="2" t="n">
        <v>343000</v>
      </c>
      <c r="G540" s="2" t="n">
        <v>0</v>
      </c>
      <c r="H540" s="2" t="n">
        <v>343000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</v>
      </c>
      <c r="CA540" s="2" t="n">
        <v>0</v>
      </c>
      <c r="CB540" s="2" t="n">
        <v>0</v>
      </c>
      <c r="CC540" s="2" t="n">
        <v>0</v>
      </c>
      <c r="CD540" s="2" t="n">
        <v>0</v>
      </c>
      <c r="CE540" s="2" t="n">
        <v>0</v>
      </c>
      <c r="CF540" s="2" t="n">
        <v>0</v>
      </c>
      <c r="CG540" s="2" t="n">
        <v>0</v>
      </c>
      <c r="CH540" s="2" t="n">
        <v>0</v>
      </c>
      <c r="CI540" s="2" t="n">
        <v>0</v>
      </c>
      <c r="CJ540" s="2" t="n">
        <v>0</v>
      </c>
      <c r="CK540" s="2" t="n">
        <v>0</v>
      </c>
      <c r="CL540" s="2" t="n">
        <v>0</v>
      </c>
      <c r="CM540" s="2" t="n">
        <v>0</v>
      </c>
      <c r="CN540" s="2" t="n">
        <v>0</v>
      </c>
      <c r="CO540" s="2" t="n">
        <v>0</v>
      </c>
      <c r="CP540" s="2" t="n">
        <v>0</v>
      </c>
      <c r="CQ540" s="2" t="n">
        <v>0</v>
      </c>
      <c r="CR540" s="2" t="n">
        <v>0</v>
      </c>
      <c r="CS540" s="2" t="n">
        <v>0</v>
      </c>
      <c r="CT540" s="2" t="n">
        <v>0</v>
      </c>
      <c r="CU540" s="2" t="n">
        <v>0</v>
      </c>
      <c r="CV540" s="2" t="n">
        <v>0</v>
      </c>
      <c r="CW540" s="2" t="n">
        <v>0</v>
      </c>
      <c r="CX540" s="2" t="n">
        <v>0</v>
      </c>
      <c r="CY540" s="2" t="n">
        <v>0</v>
      </c>
      <c r="CZ540" s="2" t="n">
        <v>0</v>
      </c>
      <c r="DA540" s="2" t="n">
        <v>0</v>
      </c>
      <c r="DB540" s="2" t="n">
        <v>0</v>
      </c>
      <c r="DC540" s="2" t="n">
        <v>0</v>
      </c>
      <c r="DD540" s="2" t="n">
        <v>0</v>
      </c>
      <c r="DE540" s="2" t="n">
        <v>0</v>
      </c>
      <c r="DF540" s="2" t="n">
        <v>0</v>
      </c>
      <c r="DG540" s="2" t="n">
        <v>0</v>
      </c>
      <c r="DH540" s="2" t="n">
        <v>0</v>
      </c>
      <c r="DI540" s="2" t="n">
        <v>0</v>
      </c>
      <c r="DJ540" s="2" t="n">
        <v>21.99</v>
      </c>
      <c r="DK540" s="2" t="n">
        <v>24.73</v>
      </c>
      <c r="DL540" s="2" t="n">
        <v>0</v>
      </c>
      <c r="DM540" s="2" t="n">
        <v>27.48</v>
      </c>
      <c r="DN540" s="2" t="n">
        <v>27.48</v>
      </c>
      <c r="DO540" s="2" t="n">
        <v>0</v>
      </c>
      <c r="DP540" s="2" t="n">
        <v>27.48</v>
      </c>
      <c r="DQ540" s="2" t="n">
        <v>27.48</v>
      </c>
      <c r="DR540" s="2" t="n">
        <v>0</v>
      </c>
      <c r="DS540" s="2" t="n">
        <v>27.48</v>
      </c>
      <c r="DT540" s="2" t="n">
        <v>27.48</v>
      </c>
      <c r="DU540" s="2" t="n">
        <v>0</v>
      </c>
      <c r="DV540" s="2" t="n">
        <v>27.48</v>
      </c>
      <c r="DW540" s="2" t="n">
        <v>27.48</v>
      </c>
      <c r="DX540" s="2" t="n">
        <v>0</v>
      </c>
      <c r="DY540" s="2" t="n">
        <v>27.48</v>
      </c>
      <c r="DZ540" s="2" t="n">
        <v>45.61</v>
      </c>
      <c r="EA540" s="2" t="n">
        <v>0</v>
      </c>
      <c r="EB540" s="2" t="n">
        <v>45.61</v>
      </c>
      <c r="EC540" s="2" t="n">
        <v>56.49</v>
      </c>
      <c r="ED540" s="2" t="n">
        <v>0</v>
      </c>
      <c r="EE540" s="2" t="n">
        <v>47.42</v>
      </c>
      <c r="EF540" s="2" t="n">
        <v>65.55</v>
      </c>
      <c r="EG540" s="2" t="n">
        <v>0</v>
      </c>
      <c r="EH540" s="2" t="n">
        <v>69.18000000000001</v>
      </c>
      <c r="EI540" s="2" t="n">
        <v>87.31</v>
      </c>
      <c r="EJ540" s="2" t="n">
        <v>0</v>
      </c>
      <c r="EK540" s="2" t="n">
        <v>87.31</v>
      </c>
      <c r="EL540" s="2" t="n">
        <v>100</v>
      </c>
      <c r="EM540" s="2" t="n">
        <v>0</v>
      </c>
      <c r="EN540" s="2" t="n">
        <v>100</v>
      </c>
      <c r="EO540" s="2" t="n">
        <v>100</v>
      </c>
      <c r="EP540" s="2" t="n">
        <v>0</v>
      </c>
      <c r="EQ540" s="2" t="n">
        <v>100</v>
      </c>
      <c r="ER540" s="2" t="n">
        <v>100</v>
      </c>
      <c r="ES540" s="2" t="n">
        <v>0</v>
      </c>
    </row>
    <row r="541">
      <c r="A541" s="2" t="n">
        <v>2</v>
      </c>
      <c r="B541" s="2" t="inlineStr">
        <is>
          <t>23.02</t>
        </is>
      </c>
      <c r="C541" s="2" t="inlineStr">
        <is>
          <t>Ar condicionado,  exaustão e pressurização</t>
        </is>
      </c>
      <c r="D541" s="2" t="inlineStr">
        <is>
          <t>16/07/2027</t>
        </is>
      </c>
      <c r="E541" s="2" t="inlineStr">
        <is>
          <t>14/09/2028</t>
        </is>
      </c>
      <c r="F541" s="2" t="n">
        <v>1472695</v>
      </c>
      <c r="G541" s="2" t="n">
        <v>0</v>
      </c>
      <c r="H541" s="2" t="n">
        <v>1472695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</v>
      </c>
      <c r="CA541" s="2" t="n">
        <v>0</v>
      </c>
      <c r="CB541" s="2" t="n">
        <v>0</v>
      </c>
      <c r="CC541" s="2" t="n">
        <v>0</v>
      </c>
      <c r="CD541" s="2" t="n">
        <v>0</v>
      </c>
      <c r="CE541" s="2" t="n">
        <v>0</v>
      </c>
      <c r="CF541" s="2" t="n">
        <v>1.71</v>
      </c>
      <c r="CG541" s="2" t="n">
        <v>3.14</v>
      </c>
      <c r="CH541" s="2" t="n">
        <v>0</v>
      </c>
      <c r="CI541" s="2" t="n">
        <v>7.99</v>
      </c>
      <c r="CJ541" s="2" t="n">
        <v>9.41</v>
      </c>
      <c r="CK541" s="2" t="n">
        <v>0</v>
      </c>
      <c r="CL541" s="2" t="n">
        <v>13.98</v>
      </c>
      <c r="CM541" s="2" t="n">
        <v>15.4</v>
      </c>
      <c r="CN541" s="2" t="n">
        <v>0</v>
      </c>
      <c r="CO541" s="2" t="n">
        <v>22.5</v>
      </c>
      <c r="CP541" s="2" t="n">
        <v>24.28</v>
      </c>
      <c r="CQ541" s="2" t="n">
        <v>0</v>
      </c>
      <c r="CR541" s="2" t="n">
        <v>35.25</v>
      </c>
      <c r="CS541" s="2" t="n">
        <v>37.03</v>
      </c>
      <c r="CT541" s="2" t="n">
        <v>0</v>
      </c>
      <c r="CU541" s="2" t="n">
        <v>41.57</v>
      </c>
      <c r="CV541" s="2" t="n">
        <v>43</v>
      </c>
      <c r="CW541" s="2" t="n">
        <v>0</v>
      </c>
      <c r="CX541" s="2" t="n">
        <v>47.57</v>
      </c>
      <c r="CY541" s="2" t="n">
        <v>48.99</v>
      </c>
      <c r="CZ541" s="2" t="n">
        <v>0</v>
      </c>
      <c r="DA541" s="2" t="n">
        <v>53.56</v>
      </c>
      <c r="DB541" s="2" t="n">
        <v>54.98</v>
      </c>
      <c r="DC541" s="2" t="n">
        <v>0</v>
      </c>
      <c r="DD541" s="2" t="n">
        <v>60.12</v>
      </c>
      <c r="DE541" s="2" t="n">
        <v>61.54</v>
      </c>
      <c r="DF541" s="2" t="n">
        <v>0</v>
      </c>
      <c r="DG541" s="2" t="n">
        <v>65.25</v>
      </c>
      <c r="DH541" s="2" t="n">
        <v>66.68000000000001</v>
      </c>
      <c r="DI541" s="2" t="n">
        <v>0</v>
      </c>
      <c r="DJ541" s="2" t="n">
        <v>71.34999999999999</v>
      </c>
      <c r="DK541" s="2" t="n">
        <v>72.79000000000001</v>
      </c>
      <c r="DL541" s="2" t="n">
        <v>0</v>
      </c>
      <c r="DM541" s="2" t="n">
        <v>73.56</v>
      </c>
      <c r="DN541" s="2" t="n">
        <v>78.98999999999999</v>
      </c>
      <c r="DO541" s="2" t="n">
        <v>0</v>
      </c>
      <c r="DP541" s="2" t="n">
        <v>85.19</v>
      </c>
      <c r="DQ541" s="2" t="n">
        <v>86.95</v>
      </c>
      <c r="DR541" s="2" t="n">
        <v>0</v>
      </c>
      <c r="DS541" s="2" t="n">
        <v>88.38</v>
      </c>
      <c r="DT541" s="2" t="n">
        <v>93.03</v>
      </c>
      <c r="DU541" s="2" t="n">
        <v>0</v>
      </c>
      <c r="DV541" s="2" t="n">
        <v>99.23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</row>
    <row r="542">
      <c r="A542" s="2" t="n">
        <v>3</v>
      </c>
      <c r="B542" s="2" t="inlineStr">
        <is>
          <t>23.02.01</t>
        </is>
      </c>
      <c r="C542" s="2" t="inlineStr">
        <is>
          <t>Ar condicionado - Infra para área comum e apartamentos</t>
        </is>
      </c>
      <c r="D542" s="2" t="inlineStr">
        <is>
          <t>16/07/2027</t>
        </is>
      </c>
      <c r="E542" s="2" t="inlineStr">
        <is>
          <t>07/08/2028</t>
        </is>
      </c>
      <c r="F542" s="2" t="n">
        <v>959217.9999999999</v>
      </c>
      <c r="G542" s="2" t="n">
        <v>0</v>
      </c>
      <c r="H542" s="2" t="n">
        <v>959217.9999999999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</v>
      </c>
      <c r="CA542" s="2" t="n">
        <v>0</v>
      </c>
      <c r="CB542" s="2" t="n">
        <v>0</v>
      </c>
      <c r="CC542" s="2" t="n">
        <v>0</v>
      </c>
      <c r="CD542" s="2" t="n">
        <v>0</v>
      </c>
      <c r="CE542" s="2" t="n">
        <v>0</v>
      </c>
      <c r="CF542" s="2" t="n">
        <v>2.63</v>
      </c>
      <c r="CG542" s="2" t="n">
        <v>4.82</v>
      </c>
      <c r="CH542" s="2" t="n">
        <v>0</v>
      </c>
      <c r="CI542" s="2" t="n">
        <v>12.26</v>
      </c>
      <c r="CJ542" s="2" t="n">
        <v>14.45</v>
      </c>
      <c r="CK542" s="2" t="n">
        <v>0</v>
      </c>
      <c r="CL542" s="2" t="n">
        <v>21.46</v>
      </c>
      <c r="CM542" s="2" t="n">
        <v>23.65</v>
      </c>
      <c r="CN542" s="2" t="n">
        <v>0</v>
      </c>
      <c r="CO542" s="2" t="n">
        <v>30.22</v>
      </c>
      <c r="CP542" s="2" t="n">
        <v>32.41</v>
      </c>
      <c r="CQ542" s="2" t="n">
        <v>0</v>
      </c>
      <c r="CR542" s="2" t="n">
        <v>38.98</v>
      </c>
      <c r="CS542" s="2" t="n">
        <v>41.17</v>
      </c>
      <c r="CT542" s="2" t="n">
        <v>0</v>
      </c>
      <c r="CU542" s="2" t="n">
        <v>45.99</v>
      </c>
      <c r="CV542" s="2" t="n">
        <v>48.18</v>
      </c>
      <c r="CW542" s="2" t="n">
        <v>0</v>
      </c>
      <c r="CX542" s="2" t="n">
        <v>55.18</v>
      </c>
      <c r="CY542" s="2" t="n">
        <v>57.37</v>
      </c>
      <c r="CZ542" s="2" t="n">
        <v>0</v>
      </c>
      <c r="DA542" s="2" t="n">
        <v>64.38</v>
      </c>
      <c r="DB542" s="2" t="n">
        <v>66.56999999999999</v>
      </c>
      <c r="DC542" s="2" t="n">
        <v>0</v>
      </c>
      <c r="DD542" s="2" t="n">
        <v>74.45</v>
      </c>
      <c r="DE542" s="2" t="n">
        <v>76.64</v>
      </c>
      <c r="DF542" s="2" t="n">
        <v>0</v>
      </c>
      <c r="DG542" s="2" t="n">
        <v>82.34</v>
      </c>
      <c r="DH542" s="2" t="n">
        <v>84.53</v>
      </c>
      <c r="DI542" s="2" t="n">
        <v>0</v>
      </c>
      <c r="DJ542" s="2" t="n">
        <v>91.69</v>
      </c>
      <c r="DK542" s="2" t="n">
        <v>93.92</v>
      </c>
      <c r="DL542" s="2" t="n">
        <v>0</v>
      </c>
      <c r="DM542" s="2" t="n">
        <v>95.09999999999999</v>
      </c>
      <c r="DN542" s="2" t="n">
        <v>95.09999999999999</v>
      </c>
      <c r="DO542" s="2" t="n">
        <v>0</v>
      </c>
      <c r="DP542" s="2" t="n">
        <v>95.09999999999999</v>
      </c>
      <c r="DQ542" s="2" t="n">
        <v>97.81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</row>
    <row r="543">
      <c r="A543" s="2" t="n">
        <v>3</v>
      </c>
      <c r="B543" s="2" t="inlineStr">
        <is>
          <t>23.02.02</t>
        </is>
      </c>
      <c r="C543" s="2" t="inlineStr">
        <is>
          <t>Sistema de exaustão tipo ventokit</t>
        </is>
      </c>
      <c r="D543" s="2" t="inlineStr">
        <is>
          <t>19/10/2027</t>
        </is>
      </c>
      <c r="E543" s="2" t="inlineStr">
        <is>
          <t>14/09/2028</t>
        </is>
      </c>
      <c r="F543" s="2" t="n">
        <v>110200</v>
      </c>
      <c r="G543" s="2" t="n">
        <v>0</v>
      </c>
      <c r="H543" s="2" t="n">
        <v>110200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8.08</v>
      </c>
      <c r="CP543" s="2" t="n">
        <v>9.09</v>
      </c>
      <c r="CQ543" s="2" t="n">
        <v>0</v>
      </c>
      <c r="CR543" s="2" t="n">
        <v>28.28</v>
      </c>
      <c r="CS543" s="2" t="n">
        <v>29.29</v>
      </c>
      <c r="CT543" s="2" t="n">
        <v>0</v>
      </c>
      <c r="CU543" s="2" t="n">
        <v>33.33</v>
      </c>
      <c r="CV543" s="2" t="n">
        <v>33.33</v>
      </c>
      <c r="CW543" s="2" t="n">
        <v>0</v>
      </c>
      <c r="CX543" s="2" t="n">
        <v>33.33</v>
      </c>
      <c r="CY543" s="2" t="n">
        <v>33.33</v>
      </c>
      <c r="CZ543" s="2" t="n">
        <v>0</v>
      </c>
      <c r="DA543" s="2" t="n">
        <v>33.33</v>
      </c>
      <c r="DB543" s="2" t="n">
        <v>33.33</v>
      </c>
      <c r="DC543" s="2" t="n">
        <v>0</v>
      </c>
      <c r="DD543" s="2" t="n">
        <v>33.33</v>
      </c>
      <c r="DE543" s="2" t="n">
        <v>33.33</v>
      </c>
      <c r="DF543" s="2" t="n">
        <v>0</v>
      </c>
      <c r="DG543" s="2" t="n">
        <v>33.33</v>
      </c>
      <c r="DH543" s="2" t="n">
        <v>33.33</v>
      </c>
      <c r="DI543" s="2" t="n">
        <v>0</v>
      </c>
      <c r="DJ543" s="2" t="n">
        <v>33.33</v>
      </c>
      <c r="DK543" s="2" t="n">
        <v>33.33</v>
      </c>
      <c r="DL543" s="2" t="n">
        <v>0</v>
      </c>
      <c r="DM543" s="2" t="n">
        <v>33.33</v>
      </c>
      <c r="DN543" s="2" t="n">
        <v>48.89</v>
      </c>
      <c r="DO543" s="2" t="n">
        <v>0</v>
      </c>
      <c r="DP543" s="2" t="n">
        <v>66.67</v>
      </c>
      <c r="DQ543" s="2" t="n">
        <v>66.67</v>
      </c>
      <c r="DR543" s="2" t="n">
        <v>0</v>
      </c>
      <c r="DS543" s="2" t="n">
        <v>66.67</v>
      </c>
      <c r="DT543" s="2" t="n">
        <v>80</v>
      </c>
      <c r="DU543" s="2" t="n">
        <v>0</v>
      </c>
      <c r="DV543" s="2" t="n">
        <v>97.78</v>
      </c>
      <c r="DW543" s="2" t="n">
        <v>100</v>
      </c>
      <c r="DX543" s="2" t="n">
        <v>0</v>
      </c>
      <c r="DY543" s="2" t="n">
        <v>100</v>
      </c>
      <c r="DZ543" s="2" t="n">
        <v>100</v>
      </c>
      <c r="EA543" s="2" t="n">
        <v>0</v>
      </c>
      <c r="EB543" s="2" t="n">
        <v>100</v>
      </c>
      <c r="EC543" s="2" t="n">
        <v>100</v>
      </c>
      <c r="ED543" s="2" t="n">
        <v>0</v>
      </c>
      <c r="EE543" s="2" t="n">
        <v>100</v>
      </c>
      <c r="EF543" s="2" t="n">
        <v>100</v>
      </c>
      <c r="EG543" s="2" t="n">
        <v>0</v>
      </c>
      <c r="EH543" s="2" t="n">
        <v>100</v>
      </c>
      <c r="EI543" s="2" t="n">
        <v>100</v>
      </c>
      <c r="EJ543" s="2" t="n">
        <v>0</v>
      </c>
      <c r="EK543" s="2" t="n">
        <v>100</v>
      </c>
      <c r="EL543" s="2" t="n">
        <v>100</v>
      </c>
      <c r="EM543" s="2" t="n">
        <v>0</v>
      </c>
      <c r="EN543" s="2" t="n">
        <v>100</v>
      </c>
      <c r="EO543" s="2" t="n">
        <v>100</v>
      </c>
      <c r="EP543" s="2" t="n">
        <v>0</v>
      </c>
      <c r="EQ543" s="2" t="n">
        <v>100</v>
      </c>
      <c r="ER543" s="2" t="n">
        <v>100</v>
      </c>
      <c r="ES543" s="2" t="n">
        <v>0</v>
      </c>
    </row>
    <row r="544">
      <c r="A544" s="2" t="n">
        <v>3</v>
      </c>
      <c r="B544" s="2" t="inlineStr">
        <is>
          <t>23.02.03</t>
        </is>
      </c>
      <c r="C544" s="2" t="inlineStr">
        <is>
          <t>Sistema de Pressurização</t>
        </is>
      </c>
      <c r="D544" s="2" t="inlineStr">
        <is>
          <t>19/10/2027</t>
        </is>
      </c>
      <c r="E544" s="2" t="inlineStr">
        <is>
          <t>14/09/2028</t>
        </is>
      </c>
      <c r="F544" s="2" t="n">
        <v>185644</v>
      </c>
      <c r="G544" s="2" t="n">
        <v>0</v>
      </c>
      <c r="H544" s="2" t="n">
        <v>185644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8.08</v>
      </c>
      <c r="CP544" s="2" t="n">
        <v>9.09</v>
      </c>
      <c r="CQ544" s="2" t="n">
        <v>0</v>
      </c>
      <c r="CR544" s="2" t="n">
        <v>28.28</v>
      </c>
      <c r="CS544" s="2" t="n">
        <v>29.29</v>
      </c>
      <c r="CT544" s="2" t="n">
        <v>0</v>
      </c>
      <c r="CU544" s="2" t="n">
        <v>33.33</v>
      </c>
      <c r="CV544" s="2" t="n">
        <v>33.33</v>
      </c>
      <c r="CW544" s="2" t="n">
        <v>0</v>
      </c>
      <c r="CX544" s="2" t="n">
        <v>33.33</v>
      </c>
      <c r="CY544" s="2" t="n">
        <v>33.33</v>
      </c>
      <c r="CZ544" s="2" t="n">
        <v>0</v>
      </c>
      <c r="DA544" s="2" t="n">
        <v>33.33</v>
      </c>
      <c r="DB544" s="2" t="n">
        <v>33.33</v>
      </c>
      <c r="DC544" s="2" t="n">
        <v>0</v>
      </c>
      <c r="DD544" s="2" t="n">
        <v>33.33</v>
      </c>
      <c r="DE544" s="2" t="n">
        <v>33.33</v>
      </c>
      <c r="DF544" s="2" t="n">
        <v>0</v>
      </c>
      <c r="DG544" s="2" t="n">
        <v>33.33</v>
      </c>
      <c r="DH544" s="2" t="n">
        <v>33.33</v>
      </c>
      <c r="DI544" s="2" t="n">
        <v>0</v>
      </c>
      <c r="DJ544" s="2" t="n">
        <v>33.33</v>
      </c>
      <c r="DK544" s="2" t="n">
        <v>33.33</v>
      </c>
      <c r="DL544" s="2" t="n">
        <v>0</v>
      </c>
      <c r="DM544" s="2" t="n">
        <v>33.33</v>
      </c>
      <c r="DN544" s="2" t="n">
        <v>48.89</v>
      </c>
      <c r="DO544" s="2" t="n">
        <v>0</v>
      </c>
      <c r="DP544" s="2" t="n">
        <v>66.67</v>
      </c>
      <c r="DQ544" s="2" t="n">
        <v>66.67</v>
      </c>
      <c r="DR544" s="2" t="n">
        <v>0</v>
      </c>
      <c r="DS544" s="2" t="n">
        <v>66.67</v>
      </c>
      <c r="DT544" s="2" t="n">
        <v>80</v>
      </c>
      <c r="DU544" s="2" t="n">
        <v>0</v>
      </c>
      <c r="DV544" s="2" t="n">
        <v>97.78</v>
      </c>
      <c r="DW544" s="2" t="n">
        <v>100</v>
      </c>
      <c r="DX544" s="2" t="n">
        <v>0</v>
      </c>
      <c r="DY544" s="2" t="n">
        <v>100</v>
      </c>
      <c r="DZ544" s="2" t="n">
        <v>100</v>
      </c>
      <c r="EA544" s="2" t="n">
        <v>0</v>
      </c>
      <c r="EB544" s="2" t="n">
        <v>100</v>
      </c>
      <c r="EC544" s="2" t="n">
        <v>100</v>
      </c>
      <c r="ED544" s="2" t="n">
        <v>0</v>
      </c>
      <c r="EE544" s="2" t="n">
        <v>100</v>
      </c>
      <c r="EF544" s="2" t="n">
        <v>100</v>
      </c>
      <c r="EG544" s="2" t="n">
        <v>0</v>
      </c>
      <c r="EH544" s="2" t="n">
        <v>100</v>
      </c>
      <c r="EI544" s="2" t="n">
        <v>100</v>
      </c>
      <c r="EJ544" s="2" t="n">
        <v>0</v>
      </c>
      <c r="EK544" s="2" t="n">
        <v>100</v>
      </c>
      <c r="EL544" s="2" t="n">
        <v>100</v>
      </c>
      <c r="EM544" s="2" t="n">
        <v>0</v>
      </c>
      <c r="EN544" s="2" t="n">
        <v>100</v>
      </c>
      <c r="EO544" s="2" t="n">
        <v>100</v>
      </c>
      <c r="EP544" s="2" t="n">
        <v>0</v>
      </c>
      <c r="EQ544" s="2" t="n">
        <v>100</v>
      </c>
      <c r="ER544" s="2" t="n">
        <v>100</v>
      </c>
      <c r="ES544" s="2" t="n">
        <v>0</v>
      </c>
    </row>
    <row r="545">
      <c r="A545" s="2" t="n">
        <v>3</v>
      </c>
      <c r="B545" s="2" t="inlineStr">
        <is>
          <t>23.02.04</t>
        </is>
      </c>
      <c r="C545" s="2" t="inlineStr">
        <is>
          <t>Sistema de exaustão do subsolo comercial</t>
        </is>
      </c>
      <c r="D545" s="2" t="inlineStr">
        <is>
          <t>19/10/2027</t>
        </is>
      </c>
      <c r="E545" s="2" t="inlineStr">
        <is>
          <t>14/09/2028</t>
        </is>
      </c>
      <c r="F545" s="2" t="n">
        <v>217633</v>
      </c>
      <c r="G545" s="2" t="n">
        <v>0</v>
      </c>
      <c r="H545" s="2" t="n">
        <v>217633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8.08</v>
      </c>
      <c r="CP545" s="2" t="n">
        <v>9.09</v>
      </c>
      <c r="CQ545" s="2" t="n">
        <v>0</v>
      </c>
      <c r="CR545" s="2" t="n">
        <v>28.28</v>
      </c>
      <c r="CS545" s="2" t="n">
        <v>29.29</v>
      </c>
      <c r="CT545" s="2" t="n">
        <v>0</v>
      </c>
      <c r="CU545" s="2" t="n">
        <v>33.33</v>
      </c>
      <c r="CV545" s="2" t="n">
        <v>33.33</v>
      </c>
      <c r="CW545" s="2" t="n">
        <v>0</v>
      </c>
      <c r="CX545" s="2" t="n">
        <v>33.33</v>
      </c>
      <c r="CY545" s="2" t="n">
        <v>33.33</v>
      </c>
      <c r="CZ545" s="2" t="n">
        <v>0</v>
      </c>
      <c r="DA545" s="2" t="n">
        <v>33.33</v>
      </c>
      <c r="DB545" s="2" t="n">
        <v>33.33</v>
      </c>
      <c r="DC545" s="2" t="n">
        <v>0</v>
      </c>
      <c r="DD545" s="2" t="n">
        <v>33.33</v>
      </c>
      <c r="DE545" s="2" t="n">
        <v>33.33</v>
      </c>
      <c r="DF545" s="2" t="n">
        <v>0</v>
      </c>
      <c r="DG545" s="2" t="n">
        <v>33.33</v>
      </c>
      <c r="DH545" s="2" t="n">
        <v>33.33</v>
      </c>
      <c r="DI545" s="2" t="n">
        <v>0</v>
      </c>
      <c r="DJ545" s="2" t="n">
        <v>33.33</v>
      </c>
      <c r="DK545" s="2" t="n">
        <v>33.33</v>
      </c>
      <c r="DL545" s="2" t="n">
        <v>0</v>
      </c>
      <c r="DM545" s="2" t="n">
        <v>33.33</v>
      </c>
      <c r="DN545" s="2" t="n">
        <v>48.89</v>
      </c>
      <c r="DO545" s="2" t="n">
        <v>0</v>
      </c>
      <c r="DP545" s="2" t="n">
        <v>66.67</v>
      </c>
      <c r="DQ545" s="2" t="n">
        <v>66.67</v>
      </c>
      <c r="DR545" s="2" t="n">
        <v>0</v>
      </c>
      <c r="DS545" s="2" t="n">
        <v>66.67</v>
      </c>
      <c r="DT545" s="2" t="n">
        <v>80</v>
      </c>
      <c r="DU545" s="2" t="n">
        <v>0</v>
      </c>
      <c r="DV545" s="2" t="n">
        <v>97.78</v>
      </c>
      <c r="DW545" s="2" t="n">
        <v>100</v>
      </c>
      <c r="DX545" s="2" t="n">
        <v>0</v>
      </c>
      <c r="DY545" s="2" t="n">
        <v>100</v>
      </c>
      <c r="DZ545" s="2" t="n">
        <v>100</v>
      </c>
      <c r="EA545" s="2" t="n">
        <v>0</v>
      </c>
      <c r="EB545" s="2" t="n">
        <v>100</v>
      </c>
      <c r="EC545" s="2" t="n">
        <v>100</v>
      </c>
      <c r="ED545" s="2" t="n">
        <v>0</v>
      </c>
      <c r="EE545" s="2" t="n">
        <v>100</v>
      </c>
      <c r="EF545" s="2" t="n">
        <v>100</v>
      </c>
      <c r="EG545" s="2" t="n">
        <v>0</v>
      </c>
      <c r="EH545" s="2" t="n">
        <v>100</v>
      </c>
      <c r="EI545" s="2" t="n">
        <v>100</v>
      </c>
      <c r="EJ545" s="2" t="n">
        <v>0</v>
      </c>
      <c r="EK545" s="2" t="n">
        <v>100</v>
      </c>
      <c r="EL545" s="2" t="n">
        <v>100</v>
      </c>
      <c r="EM545" s="2" t="n">
        <v>0</v>
      </c>
      <c r="EN545" s="2" t="n">
        <v>100</v>
      </c>
      <c r="EO545" s="2" t="n">
        <v>100</v>
      </c>
      <c r="EP545" s="2" t="n">
        <v>0</v>
      </c>
      <c r="EQ545" s="2" t="n">
        <v>100</v>
      </c>
      <c r="ER545" s="2" t="n">
        <v>100</v>
      </c>
      <c r="ES545" s="2" t="n">
        <v>0</v>
      </c>
    </row>
    <row r="546">
      <c r="A546" s="2" t="n">
        <v>2</v>
      </c>
      <c r="B546" s="2" t="inlineStr">
        <is>
          <t>23.03</t>
        </is>
      </c>
      <c r="C546" s="2" t="inlineStr">
        <is>
          <t>Serviços Complementares diversos</t>
        </is>
      </c>
      <c r="D546" s="2" t="inlineStr">
        <is>
          <t>20/09/2027</t>
        </is>
      </c>
      <c r="E546" s="2" t="inlineStr">
        <is>
          <t>09/02/2029</t>
        </is>
      </c>
      <c r="F546" s="2" t="n">
        <v>316616</v>
      </c>
      <c r="G546" s="2" t="n">
        <v>0</v>
      </c>
      <c r="H546" s="2" t="n">
        <v>316616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</v>
      </c>
      <c r="CD546" s="2" t="n">
        <v>0</v>
      </c>
      <c r="CE546" s="2" t="n">
        <v>0</v>
      </c>
      <c r="CF546" s="2" t="n">
        <v>0</v>
      </c>
      <c r="CG546" s="2" t="n">
        <v>0</v>
      </c>
      <c r="CH546" s="2" t="n">
        <v>0</v>
      </c>
      <c r="CI546" s="2" t="n">
        <v>0</v>
      </c>
      <c r="CJ546" s="2" t="n">
        <v>0</v>
      </c>
      <c r="CK546" s="2" t="n">
        <v>0</v>
      </c>
      <c r="CL546" s="2" t="n">
        <v>0.05</v>
      </c>
      <c r="CM546" s="2" t="n">
        <v>0.12</v>
      </c>
      <c r="CN546" s="2" t="n">
        <v>0</v>
      </c>
      <c r="CO546" s="2" t="n">
        <v>0.36</v>
      </c>
      <c r="CP546" s="2" t="n">
        <v>0.44</v>
      </c>
      <c r="CQ546" s="2" t="n">
        <v>0</v>
      </c>
      <c r="CR546" s="2" t="n">
        <v>0.86</v>
      </c>
      <c r="CS546" s="2" t="n">
        <v>0.9399999999999999</v>
      </c>
      <c r="CT546" s="2" t="n">
        <v>0</v>
      </c>
      <c r="CU546" s="2" t="n">
        <v>1.26</v>
      </c>
      <c r="CV546" s="2" t="n">
        <v>1.34</v>
      </c>
      <c r="CW546" s="2" t="n">
        <v>0</v>
      </c>
      <c r="CX546" s="2" t="n">
        <v>1.91</v>
      </c>
      <c r="CY546" s="2" t="n">
        <v>1.98</v>
      </c>
      <c r="CZ546" s="2" t="n">
        <v>0</v>
      </c>
      <c r="DA546" s="2" t="n">
        <v>2.29</v>
      </c>
      <c r="DB546" s="2" t="n">
        <v>2.36</v>
      </c>
      <c r="DC546" s="2" t="n">
        <v>0</v>
      </c>
      <c r="DD546" s="2" t="n">
        <v>2.71</v>
      </c>
      <c r="DE546" s="2" t="n">
        <v>21.73</v>
      </c>
      <c r="DF546" s="2" t="n">
        <v>0</v>
      </c>
      <c r="DG546" s="2" t="n">
        <v>34.75</v>
      </c>
      <c r="DH546" s="2" t="n">
        <v>34.82</v>
      </c>
      <c r="DI546" s="2" t="n">
        <v>0</v>
      </c>
      <c r="DJ546" s="2" t="n">
        <v>35.34</v>
      </c>
      <c r="DK546" s="2" t="n">
        <v>35.44</v>
      </c>
      <c r="DL546" s="2" t="n">
        <v>0</v>
      </c>
      <c r="DM546" s="2" t="n">
        <v>35.69</v>
      </c>
      <c r="DN546" s="2" t="n">
        <v>35.75</v>
      </c>
      <c r="DO546" s="2" t="n">
        <v>0</v>
      </c>
      <c r="DP546" s="2" t="n">
        <v>35.96</v>
      </c>
      <c r="DQ546" s="2" t="n">
        <v>36.17</v>
      </c>
      <c r="DR546" s="2" t="n">
        <v>0</v>
      </c>
      <c r="DS546" s="2" t="n">
        <v>83.02</v>
      </c>
      <c r="DT546" s="2" t="n">
        <v>85.55</v>
      </c>
      <c r="DU546" s="2" t="n">
        <v>0</v>
      </c>
      <c r="DV546" s="2" t="n">
        <v>87.88</v>
      </c>
      <c r="DW546" s="2" t="n">
        <v>87.89</v>
      </c>
      <c r="DX546" s="2" t="n">
        <v>0</v>
      </c>
      <c r="DY546" s="2" t="n">
        <v>88</v>
      </c>
      <c r="DZ546" s="2" t="n">
        <v>89.23999999999999</v>
      </c>
      <c r="EA546" s="2" t="n">
        <v>0</v>
      </c>
      <c r="EB546" s="2" t="n">
        <v>88.90000000000001</v>
      </c>
      <c r="EC546" s="2" t="n">
        <v>95.76000000000001</v>
      </c>
      <c r="ED546" s="2" t="n">
        <v>0</v>
      </c>
      <c r="EE546" s="2" t="n">
        <v>93.97</v>
      </c>
      <c r="EF546" s="2" t="n">
        <v>99.56</v>
      </c>
      <c r="EG546" s="2" t="n">
        <v>0</v>
      </c>
      <c r="EH546" s="2" t="n">
        <v>99.61</v>
      </c>
      <c r="EI546" s="2" t="n">
        <v>99.84</v>
      </c>
      <c r="EJ546" s="2" t="n">
        <v>0</v>
      </c>
      <c r="EK546" s="2" t="n">
        <v>99.84</v>
      </c>
      <c r="EL546" s="2" t="n">
        <v>100</v>
      </c>
      <c r="EM546" s="2" t="n">
        <v>0</v>
      </c>
      <c r="EN546" s="2" t="n">
        <v>100</v>
      </c>
      <c r="EO546" s="2" t="n">
        <v>100</v>
      </c>
      <c r="EP546" s="2" t="n">
        <v>0</v>
      </c>
      <c r="EQ546" s="2" t="n">
        <v>100</v>
      </c>
      <c r="ER546" s="2" t="n">
        <v>100</v>
      </c>
      <c r="ES546" s="2" t="n">
        <v>0</v>
      </c>
    </row>
    <row r="547">
      <c r="A547" s="2" t="n">
        <v>3</v>
      </c>
      <c r="B547" s="2" t="inlineStr">
        <is>
          <t>23.03.01</t>
        </is>
      </c>
      <c r="C547" s="2" t="inlineStr">
        <is>
          <t>Maquinário para Piscina</t>
        </is>
      </c>
      <c r="D547" s="2" t="inlineStr">
        <is>
          <t>02/08/2028</t>
        </is>
      </c>
      <c r="E547" s="2" t="inlineStr">
        <is>
          <t>01/09/2028</t>
        </is>
      </c>
      <c r="F547" s="2" t="n">
        <v>150000</v>
      </c>
      <c r="G547" s="2" t="n">
        <v>0</v>
      </c>
      <c r="H547" s="2" t="n">
        <v>150000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90.91</v>
      </c>
      <c r="DT547" s="2" t="n">
        <v>95.45</v>
      </c>
      <c r="DU547" s="2" t="n">
        <v>0</v>
      </c>
      <c r="DV547" s="2" t="n">
        <v>100</v>
      </c>
      <c r="DW547" s="2" t="n">
        <v>100</v>
      </c>
      <c r="DX547" s="2" t="n">
        <v>0</v>
      </c>
      <c r="DY547" s="2" t="n">
        <v>100</v>
      </c>
      <c r="DZ547" s="2" t="n">
        <v>100</v>
      </c>
      <c r="EA547" s="2" t="n">
        <v>0</v>
      </c>
      <c r="EB547" s="2" t="n">
        <v>100</v>
      </c>
      <c r="EC547" s="2" t="n">
        <v>100</v>
      </c>
      <c r="ED547" s="2" t="n">
        <v>0</v>
      </c>
      <c r="EE547" s="2" t="n">
        <v>100</v>
      </c>
      <c r="EF547" s="2" t="n">
        <v>100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</row>
    <row r="548">
      <c r="A548" s="2" t="n">
        <v>3</v>
      </c>
      <c r="B548" s="2" t="inlineStr">
        <is>
          <t>23.03.02</t>
        </is>
      </c>
      <c r="C548" s="2" t="inlineStr">
        <is>
          <t>Maquinário para sauna</t>
        </is>
      </c>
      <c r="D548" s="2" t="inlineStr">
        <is>
          <t>02/08/2028</t>
        </is>
      </c>
      <c r="E548" s="2" t="inlineStr">
        <is>
          <t>01/09/2028</t>
        </is>
      </c>
      <c r="F548" s="2" t="n">
        <v>12500</v>
      </c>
      <c r="G548" s="2" t="n">
        <v>0</v>
      </c>
      <c r="H548" s="2" t="n">
        <v>12500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90.91</v>
      </c>
      <c r="DT548" s="2" t="n">
        <v>95.45</v>
      </c>
      <c r="DU548" s="2" t="n">
        <v>0</v>
      </c>
      <c r="DV548" s="2" t="n">
        <v>100</v>
      </c>
      <c r="DW548" s="2" t="n">
        <v>100</v>
      </c>
      <c r="DX548" s="2" t="n">
        <v>0</v>
      </c>
      <c r="DY548" s="2" t="n">
        <v>100</v>
      </c>
      <c r="DZ548" s="2" t="n">
        <v>100</v>
      </c>
      <c r="EA548" s="2" t="n">
        <v>0</v>
      </c>
      <c r="EB548" s="2" t="n">
        <v>100</v>
      </c>
      <c r="EC548" s="2" t="n">
        <v>100</v>
      </c>
      <c r="ED548" s="2" t="n">
        <v>0</v>
      </c>
      <c r="EE548" s="2" t="n">
        <v>100</v>
      </c>
      <c r="EF548" s="2" t="n">
        <v>100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</row>
    <row r="549">
      <c r="A549" s="2" t="n">
        <v>3</v>
      </c>
      <c r="B549" s="2" t="inlineStr">
        <is>
          <t>23.03.03</t>
        </is>
      </c>
      <c r="C549" s="2" t="inlineStr">
        <is>
          <t>Protecao Anti-Impacto Nas Garagens</t>
        </is>
      </c>
      <c r="D549" s="2" t="inlineStr">
        <is>
          <t>11/02/2028</t>
        </is>
      </c>
      <c r="E549" s="2" t="inlineStr">
        <is>
          <t>09/02/2029</t>
        </is>
      </c>
      <c r="F549" s="2" t="n">
        <v>4116</v>
      </c>
      <c r="G549" s="2" t="n">
        <v>0</v>
      </c>
      <c r="H549" s="2" t="n">
        <v>4116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0.01</v>
      </c>
      <c r="DB549" s="2" t="n">
        <v>0.01</v>
      </c>
      <c r="DC549" s="2" t="n">
        <v>0</v>
      </c>
      <c r="DD549" s="2" t="n">
        <v>0.04</v>
      </c>
      <c r="DE549" s="2" t="n">
        <v>0.04</v>
      </c>
      <c r="DF549" s="2" t="n">
        <v>0</v>
      </c>
      <c r="DG549" s="2" t="n">
        <v>0.06</v>
      </c>
      <c r="DH549" s="2" t="n">
        <v>0.06</v>
      </c>
      <c r="DI549" s="2" t="n">
        <v>0</v>
      </c>
      <c r="DJ549" s="2" t="n">
        <v>21.67</v>
      </c>
      <c r="DK549" s="2" t="n">
        <v>24.37</v>
      </c>
      <c r="DL549" s="2" t="n">
        <v>0</v>
      </c>
      <c r="DM549" s="2" t="n">
        <v>27.09</v>
      </c>
      <c r="DN549" s="2" t="n">
        <v>27.09</v>
      </c>
      <c r="DO549" s="2" t="n">
        <v>0</v>
      </c>
      <c r="DP549" s="2" t="n">
        <v>27.11</v>
      </c>
      <c r="DQ549" s="2" t="n">
        <v>27.12</v>
      </c>
      <c r="DR549" s="2" t="n">
        <v>0</v>
      </c>
      <c r="DS549" s="2" t="n">
        <v>27.13</v>
      </c>
      <c r="DT549" s="2" t="n">
        <v>27.14</v>
      </c>
      <c r="DU549" s="2" t="n">
        <v>0</v>
      </c>
      <c r="DV549" s="2" t="n">
        <v>27.16</v>
      </c>
      <c r="DW549" s="2" t="n">
        <v>27.16</v>
      </c>
      <c r="DX549" s="2" t="n">
        <v>0</v>
      </c>
      <c r="DY549" s="2" t="n">
        <v>27.18</v>
      </c>
      <c r="DZ549" s="2" t="n">
        <v>44.99</v>
      </c>
      <c r="EA549" s="2" t="n">
        <v>0</v>
      </c>
      <c r="EB549" s="2" t="n">
        <v>45.07</v>
      </c>
      <c r="EC549" s="2" t="n">
        <v>57.21</v>
      </c>
      <c r="ED549" s="2" t="n">
        <v>0</v>
      </c>
      <c r="EE549" s="2" t="n">
        <v>48.36</v>
      </c>
      <c r="EF549" s="2" t="n">
        <v>66.16</v>
      </c>
      <c r="EG549" s="2" t="n">
        <v>0</v>
      </c>
      <c r="EH549" s="2" t="n">
        <v>69.73999999999999</v>
      </c>
      <c r="EI549" s="2" t="n">
        <v>87.54000000000001</v>
      </c>
      <c r="EJ549" s="2" t="n">
        <v>0</v>
      </c>
      <c r="EK549" s="2" t="n">
        <v>87.54000000000001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</row>
    <row r="550">
      <c r="A550" s="2" t="n">
        <v>3</v>
      </c>
      <c r="B550" s="2" t="inlineStr">
        <is>
          <t>23.03.04</t>
        </is>
      </c>
      <c r="C550" s="2" t="inlineStr">
        <is>
          <t>Brinquedos para playground</t>
        </is>
      </c>
      <c r="D550" s="2" t="inlineStr">
        <is>
          <t>27/10/2028</t>
        </is>
      </c>
      <c r="E550" s="2" t="inlineStr">
        <is>
          <t>18/12/2028</t>
        </is>
      </c>
      <c r="F550" s="2" t="n">
        <v>35000</v>
      </c>
      <c r="G550" s="2" t="n">
        <v>0</v>
      </c>
      <c r="H550" s="2" t="n">
        <v>35000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0</v>
      </c>
      <c r="CV550" s="2" t="n">
        <v>0</v>
      </c>
      <c r="CW550" s="2" t="n">
        <v>0</v>
      </c>
      <c r="CX550" s="2" t="n">
        <v>0</v>
      </c>
      <c r="CY550" s="2" t="n">
        <v>0</v>
      </c>
      <c r="CZ550" s="2" t="n">
        <v>0</v>
      </c>
      <c r="DA550" s="2" t="n">
        <v>0</v>
      </c>
      <c r="DB550" s="2" t="n">
        <v>0</v>
      </c>
      <c r="DC550" s="2" t="n">
        <v>0</v>
      </c>
      <c r="DD550" s="2" t="n">
        <v>0</v>
      </c>
      <c r="DE550" s="2" t="n">
        <v>0</v>
      </c>
      <c r="DF550" s="2" t="n">
        <v>0</v>
      </c>
      <c r="DG550" s="2" t="n">
        <v>0</v>
      </c>
      <c r="DH550" s="2" t="n">
        <v>0</v>
      </c>
      <c r="DI550" s="2" t="n">
        <v>0</v>
      </c>
      <c r="DJ550" s="2" t="n">
        <v>0</v>
      </c>
      <c r="DK550" s="2" t="n">
        <v>0</v>
      </c>
      <c r="DL550" s="2" t="n">
        <v>0</v>
      </c>
      <c r="DM550" s="2" t="n">
        <v>0</v>
      </c>
      <c r="DN550" s="2" t="n">
        <v>0</v>
      </c>
      <c r="DO550" s="2" t="n">
        <v>0</v>
      </c>
      <c r="DP550" s="2" t="n">
        <v>0</v>
      </c>
      <c r="DQ550" s="2" t="n">
        <v>0</v>
      </c>
      <c r="DR550" s="2" t="n">
        <v>0</v>
      </c>
      <c r="DS550" s="2" t="n">
        <v>0</v>
      </c>
      <c r="DT550" s="2" t="n">
        <v>0</v>
      </c>
      <c r="DU550" s="2" t="n">
        <v>0</v>
      </c>
      <c r="DV550" s="2" t="n">
        <v>0</v>
      </c>
      <c r="DW550" s="2" t="n">
        <v>0</v>
      </c>
      <c r="DX550" s="2" t="n">
        <v>0</v>
      </c>
      <c r="DY550" s="2" t="n">
        <v>0</v>
      </c>
      <c r="DZ550" s="2" t="n">
        <v>9.09</v>
      </c>
      <c r="EA550" s="2" t="n">
        <v>0</v>
      </c>
      <c r="EB550" s="2" t="n">
        <v>6.06</v>
      </c>
      <c r="EC550" s="2" t="n">
        <v>66.67</v>
      </c>
      <c r="ED550" s="2" t="n">
        <v>0</v>
      </c>
      <c r="EE550" s="2" t="n">
        <v>51.52</v>
      </c>
      <c r="EF550" s="2" t="n">
        <v>100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</row>
    <row r="551">
      <c r="A551" s="2" t="n">
        <v>3</v>
      </c>
      <c r="B551" s="2" t="inlineStr">
        <is>
          <t>23.03.05</t>
        </is>
      </c>
      <c r="C551" s="2" t="inlineStr">
        <is>
          <t>Bancada em chapa ACM ref.: Engebold aço cortén oxid (Lounge bar)</t>
        </is>
      </c>
      <c r="D551" s="2" t="inlineStr">
        <is>
          <t>20/09/2027</t>
        </is>
      </c>
      <c r="E551" s="2" t="inlineStr">
        <is>
          <t>11/10/2028</t>
        </is>
      </c>
      <c r="F551" s="2" t="n">
        <v>15000</v>
      </c>
      <c r="G551" s="2" t="n">
        <v>0</v>
      </c>
      <c r="H551" s="2" t="n">
        <v>15000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1.11</v>
      </c>
      <c r="CM551" s="2" t="n">
        <v>2.5</v>
      </c>
      <c r="CN551" s="2" t="n">
        <v>0</v>
      </c>
      <c r="CO551" s="2" t="n">
        <v>7.67</v>
      </c>
      <c r="CP551" s="2" t="n">
        <v>9.31</v>
      </c>
      <c r="CQ551" s="2" t="n">
        <v>0</v>
      </c>
      <c r="CR551" s="2" t="n">
        <v>18.22</v>
      </c>
      <c r="CS551" s="2" t="n">
        <v>19.86</v>
      </c>
      <c r="CT551" s="2" t="n">
        <v>0</v>
      </c>
      <c r="CU551" s="2" t="n">
        <v>26.67</v>
      </c>
      <c r="CV551" s="2" t="n">
        <v>28.31</v>
      </c>
      <c r="CW551" s="2" t="n">
        <v>0</v>
      </c>
      <c r="CX551" s="2" t="n">
        <v>40.25</v>
      </c>
      <c r="CY551" s="2" t="n">
        <v>41.89</v>
      </c>
      <c r="CZ551" s="2" t="n">
        <v>0</v>
      </c>
      <c r="DA551" s="2" t="n">
        <v>48.33</v>
      </c>
      <c r="DB551" s="2" t="n">
        <v>49.72</v>
      </c>
      <c r="DC551" s="2" t="n">
        <v>0</v>
      </c>
      <c r="DD551" s="2" t="n">
        <v>57.22</v>
      </c>
      <c r="DE551" s="2" t="n">
        <v>58.61</v>
      </c>
      <c r="DF551" s="2" t="n">
        <v>0</v>
      </c>
      <c r="DG551" s="2" t="n">
        <v>66.72</v>
      </c>
      <c r="DH551" s="2" t="n">
        <v>68.36</v>
      </c>
      <c r="DI551" s="2" t="n">
        <v>0</v>
      </c>
      <c r="DJ551" s="2" t="n">
        <v>73.33</v>
      </c>
      <c r="DK551" s="2" t="n">
        <v>74.72</v>
      </c>
      <c r="DL551" s="2" t="n">
        <v>0</v>
      </c>
      <c r="DM551" s="2" t="n">
        <v>79.17</v>
      </c>
      <c r="DN551" s="2" t="n">
        <v>80.56</v>
      </c>
      <c r="DO551" s="2" t="n">
        <v>0</v>
      </c>
      <c r="DP551" s="2" t="n">
        <v>85</v>
      </c>
      <c r="DQ551" s="2" t="n">
        <v>89.39</v>
      </c>
      <c r="DR551" s="2" t="n">
        <v>0</v>
      </c>
      <c r="DS551" s="2" t="n">
        <v>93.5</v>
      </c>
      <c r="DT551" s="2" t="n">
        <v>97.5</v>
      </c>
      <c r="DU551" s="2" t="n">
        <v>0</v>
      </c>
      <c r="DV551" s="2" t="n">
        <v>97.5</v>
      </c>
      <c r="DW551" s="2" t="n">
        <v>97.78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</row>
    <row r="552">
      <c r="A552" s="2" t="n">
        <v>3</v>
      </c>
      <c r="B552" s="2" t="inlineStr">
        <is>
          <t>23.03.06</t>
        </is>
      </c>
      <c r="C552" s="2" t="inlineStr">
        <is>
          <t>Pontos de ancoragem para limpeza e manutenção de fachadas</t>
        </is>
      </c>
      <c r="D552" s="2" t="inlineStr">
        <is>
          <t>29/03/2028</t>
        </is>
      </c>
      <c r="E552" s="2" t="inlineStr">
        <is>
          <t>04/04/2028</t>
        </is>
      </c>
      <c r="F552" s="2" t="n">
        <v>100000</v>
      </c>
      <c r="G552" s="2" t="n">
        <v>0</v>
      </c>
      <c r="H552" s="2" t="n">
        <v>100000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0</v>
      </c>
      <c r="CY552" s="2" t="n">
        <v>0</v>
      </c>
      <c r="CZ552" s="2" t="n">
        <v>0</v>
      </c>
      <c r="DA552" s="2" t="n">
        <v>0</v>
      </c>
      <c r="DB552" s="2" t="n">
        <v>0</v>
      </c>
      <c r="DC552" s="2" t="n">
        <v>0</v>
      </c>
      <c r="DD552" s="2" t="n">
        <v>0</v>
      </c>
      <c r="DE552" s="2" t="n">
        <v>60</v>
      </c>
      <c r="DF552" s="2" t="n">
        <v>0</v>
      </c>
      <c r="DG552" s="2" t="n">
        <v>100</v>
      </c>
      <c r="DH552" s="2" t="n">
        <v>100</v>
      </c>
      <c r="DI552" s="2" t="n">
        <v>0</v>
      </c>
      <c r="DJ552" s="2" t="n">
        <v>100</v>
      </c>
      <c r="DK552" s="2" t="n">
        <v>100</v>
      </c>
      <c r="DL552" s="2" t="n">
        <v>0</v>
      </c>
      <c r="DM552" s="2" t="n">
        <v>100</v>
      </c>
      <c r="DN552" s="2" t="n">
        <v>100</v>
      </c>
      <c r="DO552" s="2" t="n">
        <v>0</v>
      </c>
      <c r="DP552" s="2" t="n">
        <v>100</v>
      </c>
      <c r="DQ552" s="2" t="n">
        <v>100</v>
      </c>
      <c r="DR552" s="2" t="n">
        <v>0</v>
      </c>
      <c r="DS552" s="2" t="n">
        <v>100</v>
      </c>
      <c r="DT552" s="2" t="n">
        <v>100</v>
      </c>
      <c r="DU552" s="2" t="n">
        <v>0</v>
      </c>
      <c r="DV552" s="2" t="n">
        <v>100</v>
      </c>
      <c r="DW552" s="2" t="n">
        <v>100</v>
      </c>
      <c r="DX552" s="2" t="n">
        <v>0</v>
      </c>
      <c r="DY552" s="2" t="n">
        <v>100</v>
      </c>
      <c r="DZ552" s="2" t="n">
        <v>100</v>
      </c>
      <c r="EA552" s="2" t="n">
        <v>0</v>
      </c>
      <c r="EB552" s="2" t="n">
        <v>100</v>
      </c>
      <c r="EC552" s="2" t="n">
        <v>100</v>
      </c>
      <c r="ED552" s="2" t="n">
        <v>0</v>
      </c>
      <c r="EE552" s="2" t="n">
        <v>100</v>
      </c>
      <c r="EF552" s="2" t="n">
        <v>100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</row>
    <row r="553">
      <c r="A553" s="2" t="n">
        <v>2</v>
      </c>
      <c r="B553" s="2" t="inlineStr">
        <is>
          <t>23.04</t>
        </is>
      </c>
      <c r="C553" s="2" t="inlineStr">
        <is>
          <t>Quadras</t>
        </is>
      </c>
      <c r="D553" s="2" t="inlineStr">
        <is>
          <t>08/08/2028</t>
        </is>
      </c>
      <c r="E553" s="2" t="inlineStr">
        <is>
          <t>10/10/2028</t>
        </is>
      </c>
      <c r="F553" s="2" t="n">
        <v>80000</v>
      </c>
      <c r="G553" s="2" t="n">
        <v>0</v>
      </c>
      <c r="H553" s="2" t="n">
        <v>80000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0</v>
      </c>
      <c r="CY553" s="2" t="n">
        <v>0</v>
      </c>
      <c r="CZ553" s="2" t="n">
        <v>0</v>
      </c>
      <c r="DA553" s="2" t="n">
        <v>0</v>
      </c>
      <c r="DB553" s="2" t="n">
        <v>0</v>
      </c>
      <c r="DC553" s="2" t="n">
        <v>0</v>
      </c>
      <c r="DD553" s="2" t="n">
        <v>0</v>
      </c>
      <c r="DE553" s="2" t="n">
        <v>0</v>
      </c>
      <c r="DF553" s="2" t="n">
        <v>0</v>
      </c>
      <c r="DG553" s="2" t="n">
        <v>0</v>
      </c>
      <c r="DH553" s="2" t="n">
        <v>0</v>
      </c>
      <c r="DI553" s="2" t="n">
        <v>0</v>
      </c>
      <c r="DJ553" s="2" t="n">
        <v>0</v>
      </c>
      <c r="DK553" s="2" t="n">
        <v>0</v>
      </c>
      <c r="DL553" s="2" t="n">
        <v>0</v>
      </c>
      <c r="DM553" s="2" t="n">
        <v>0</v>
      </c>
      <c r="DN553" s="2" t="n">
        <v>0</v>
      </c>
      <c r="DO553" s="2" t="n">
        <v>0</v>
      </c>
      <c r="DP553" s="2" t="n">
        <v>0</v>
      </c>
      <c r="DQ553" s="2" t="n">
        <v>0</v>
      </c>
      <c r="DR553" s="2" t="n">
        <v>0</v>
      </c>
      <c r="DS553" s="2" t="n">
        <v>0</v>
      </c>
      <c r="DT553" s="2" t="n">
        <v>38.64</v>
      </c>
      <c r="DU553" s="2" t="n">
        <v>0</v>
      </c>
      <c r="DV553" s="2" t="n">
        <v>38.64</v>
      </c>
      <c r="DW553" s="2" t="n">
        <v>84.09</v>
      </c>
      <c r="DX553" s="2" t="n">
        <v>0</v>
      </c>
      <c r="DY553" s="2" t="n">
        <v>86.36</v>
      </c>
      <c r="DZ553" s="2" t="n">
        <v>100</v>
      </c>
      <c r="EA553" s="2" t="n">
        <v>0</v>
      </c>
      <c r="EB553" s="2" t="n">
        <v>100</v>
      </c>
      <c r="EC553" s="2" t="n">
        <v>100</v>
      </c>
      <c r="ED553" s="2" t="n">
        <v>0</v>
      </c>
      <c r="EE553" s="2" t="n">
        <v>100</v>
      </c>
      <c r="EF553" s="2" t="n">
        <v>100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</row>
    <row r="554">
      <c r="A554" s="2" t="n">
        <v>3</v>
      </c>
      <c r="B554" s="2" t="inlineStr">
        <is>
          <t>23.04.01</t>
        </is>
      </c>
      <c r="C554" s="2" t="inlineStr">
        <is>
          <t>Quadra recreação A=86,40m2 -  pintura epoxi fosca, cores conforme detalhamento, ref.: Suvinil, aplicado sobre piso em concreto com acabamento mecânico liso.</t>
        </is>
      </c>
      <c r="D554" s="2" t="inlineStr">
        <is>
          <t>08/08/2028</t>
        </is>
      </c>
      <c r="E554" s="2" t="inlineStr">
        <is>
          <t>10/10/2028</t>
        </is>
      </c>
      <c r="F554" s="2" t="n">
        <v>80000</v>
      </c>
      <c r="G554" s="2" t="n">
        <v>0</v>
      </c>
      <c r="H554" s="2" t="n">
        <v>80000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</v>
      </c>
      <c r="CG554" s="2" t="n">
        <v>0</v>
      </c>
      <c r="CH554" s="2" t="n">
        <v>0</v>
      </c>
      <c r="CI554" s="2" t="n">
        <v>0</v>
      </c>
      <c r="CJ554" s="2" t="n">
        <v>0</v>
      </c>
      <c r="CK554" s="2" t="n">
        <v>0</v>
      </c>
      <c r="CL554" s="2" t="n">
        <v>0</v>
      </c>
      <c r="CM554" s="2" t="n">
        <v>0</v>
      </c>
      <c r="CN554" s="2" t="n">
        <v>0</v>
      </c>
      <c r="CO554" s="2" t="n">
        <v>0</v>
      </c>
      <c r="CP554" s="2" t="n">
        <v>0</v>
      </c>
      <c r="CQ554" s="2" t="n">
        <v>0</v>
      </c>
      <c r="CR554" s="2" t="n">
        <v>0</v>
      </c>
      <c r="CS554" s="2" t="n">
        <v>0</v>
      </c>
      <c r="CT554" s="2" t="n">
        <v>0</v>
      </c>
      <c r="CU554" s="2" t="n">
        <v>0</v>
      </c>
      <c r="CV554" s="2" t="n">
        <v>0</v>
      </c>
      <c r="CW554" s="2" t="n">
        <v>0</v>
      </c>
      <c r="CX554" s="2" t="n">
        <v>0</v>
      </c>
      <c r="CY554" s="2" t="n">
        <v>0</v>
      </c>
      <c r="CZ554" s="2" t="n">
        <v>0</v>
      </c>
      <c r="DA554" s="2" t="n">
        <v>0</v>
      </c>
      <c r="DB554" s="2" t="n">
        <v>0</v>
      </c>
      <c r="DC554" s="2" t="n">
        <v>0</v>
      </c>
      <c r="DD554" s="2" t="n">
        <v>0</v>
      </c>
      <c r="DE554" s="2" t="n">
        <v>0</v>
      </c>
      <c r="DF554" s="2" t="n">
        <v>0</v>
      </c>
      <c r="DG554" s="2" t="n">
        <v>0</v>
      </c>
      <c r="DH554" s="2" t="n">
        <v>0</v>
      </c>
      <c r="DI554" s="2" t="n">
        <v>0</v>
      </c>
      <c r="DJ554" s="2" t="n">
        <v>0</v>
      </c>
      <c r="DK554" s="2" t="n">
        <v>0</v>
      </c>
      <c r="DL554" s="2" t="n">
        <v>0</v>
      </c>
      <c r="DM554" s="2" t="n">
        <v>0</v>
      </c>
      <c r="DN554" s="2" t="n">
        <v>0</v>
      </c>
      <c r="DO554" s="2" t="n">
        <v>0</v>
      </c>
      <c r="DP554" s="2" t="n">
        <v>0</v>
      </c>
      <c r="DQ554" s="2" t="n">
        <v>0</v>
      </c>
      <c r="DR554" s="2" t="n">
        <v>0</v>
      </c>
      <c r="DS554" s="2" t="n">
        <v>0</v>
      </c>
      <c r="DT554" s="2" t="n">
        <v>38.64</v>
      </c>
      <c r="DU554" s="2" t="n">
        <v>0</v>
      </c>
      <c r="DV554" s="2" t="n">
        <v>38.64</v>
      </c>
      <c r="DW554" s="2" t="n">
        <v>84.09</v>
      </c>
      <c r="DX554" s="2" t="n">
        <v>0</v>
      </c>
      <c r="DY554" s="2" t="n">
        <v>86.36</v>
      </c>
      <c r="DZ554" s="2" t="n">
        <v>100</v>
      </c>
      <c r="EA554" s="2" t="n">
        <v>0</v>
      </c>
      <c r="EB554" s="2" t="n">
        <v>100</v>
      </c>
      <c r="EC554" s="2" t="n">
        <v>100</v>
      </c>
      <c r="ED554" s="2" t="n">
        <v>0</v>
      </c>
      <c r="EE554" s="2" t="n">
        <v>100</v>
      </c>
      <c r="EF554" s="2" t="n">
        <v>100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</row>
    <row r="555">
      <c r="A555" s="2" t="n">
        <v>2</v>
      </c>
      <c r="B555" s="2" t="inlineStr">
        <is>
          <t>23.05</t>
        </is>
      </c>
      <c r="C555" s="2" t="inlineStr">
        <is>
          <t>Tratamento acústico</t>
        </is>
      </c>
      <c r="D555" s="2" t="inlineStr">
        <is>
          <t>22/06/2027</t>
        </is>
      </c>
      <c r="E555" s="2" t="inlineStr">
        <is>
          <t>07/08/2028</t>
        </is>
      </c>
      <c r="F555" s="2" t="n">
        <v>463451.9241359408</v>
      </c>
      <c r="G555" s="2" t="n">
        <v>0</v>
      </c>
      <c r="H555" s="2" t="n">
        <v>463451.9241359408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0.89</v>
      </c>
      <c r="CD555" s="2" t="n">
        <v>3.11</v>
      </c>
      <c r="CE555" s="2" t="n">
        <v>0</v>
      </c>
      <c r="CF555" s="2" t="n">
        <v>10.66</v>
      </c>
      <c r="CG555" s="2" t="n">
        <v>12.89</v>
      </c>
      <c r="CH555" s="2" t="n">
        <v>0</v>
      </c>
      <c r="CI555" s="2" t="n">
        <v>20.45</v>
      </c>
      <c r="CJ555" s="2" t="n">
        <v>22.67</v>
      </c>
      <c r="CK555" s="2" t="n">
        <v>0</v>
      </c>
      <c r="CL555" s="2" t="n">
        <v>29.78</v>
      </c>
      <c r="CM555" s="2" t="n">
        <v>32</v>
      </c>
      <c r="CN555" s="2" t="n">
        <v>0</v>
      </c>
      <c r="CO555" s="2" t="n">
        <v>38.67</v>
      </c>
      <c r="CP555" s="2" t="n">
        <v>40.9</v>
      </c>
      <c r="CQ555" s="2" t="n">
        <v>0</v>
      </c>
      <c r="CR555" s="2" t="n">
        <v>47.57</v>
      </c>
      <c r="CS555" s="2" t="n">
        <v>49.79</v>
      </c>
      <c r="CT555" s="2" t="n">
        <v>0</v>
      </c>
      <c r="CU555" s="2" t="n">
        <v>54.68</v>
      </c>
      <c r="CV555" s="2" t="n">
        <v>56.9</v>
      </c>
      <c r="CW555" s="2" t="n">
        <v>0</v>
      </c>
      <c r="CX555" s="2" t="n">
        <v>64.02</v>
      </c>
      <c r="CY555" s="2" t="n">
        <v>66.23999999999999</v>
      </c>
      <c r="CZ555" s="2" t="n">
        <v>0</v>
      </c>
      <c r="DA555" s="2" t="n">
        <v>73.34999999999999</v>
      </c>
      <c r="DB555" s="2" t="n">
        <v>75.56999999999999</v>
      </c>
      <c r="DC555" s="2" t="n">
        <v>0</v>
      </c>
      <c r="DD555" s="2" t="n">
        <v>83.58</v>
      </c>
      <c r="DE555" s="2" t="n">
        <v>85.8</v>
      </c>
      <c r="DF555" s="2" t="n">
        <v>0</v>
      </c>
      <c r="DG555" s="2" t="n">
        <v>91.58</v>
      </c>
      <c r="DH555" s="2" t="n">
        <v>92.43000000000001</v>
      </c>
      <c r="DI555" s="2" t="n">
        <v>0</v>
      </c>
      <c r="DJ555" s="2" t="n">
        <v>93.56999999999999</v>
      </c>
      <c r="DK555" s="2" t="n">
        <v>93.65000000000001</v>
      </c>
      <c r="DL555" s="2" t="n">
        <v>0</v>
      </c>
      <c r="DM555" s="2" t="n">
        <v>93.68000000000001</v>
      </c>
      <c r="DN555" s="2" t="n">
        <v>95.08</v>
      </c>
      <c r="DO555" s="2" t="n">
        <v>0</v>
      </c>
      <c r="DP555" s="2" t="n">
        <v>98.73</v>
      </c>
      <c r="DQ555" s="2" t="n">
        <v>99.89</v>
      </c>
      <c r="DR555" s="2" t="n">
        <v>0</v>
      </c>
      <c r="DS555" s="2" t="n">
        <v>99.93000000000001</v>
      </c>
      <c r="DT555" s="2" t="n">
        <v>100</v>
      </c>
      <c r="DU555" s="2" t="n">
        <v>0</v>
      </c>
      <c r="DV555" s="2" t="n">
        <v>100</v>
      </c>
      <c r="DW555" s="2" t="n">
        <v>100</v>
      </c>
      <c r="DX555" s="2" t="n">
        <v>0</v>
      </c>
      <c r="DY555" s="2" t="n">
        <v>100</v>
      </c>
      <c r="DZ555" s="2" t="n">
        <v>100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</row>
    <row r="556">
      <c r="A556" s="2" t="n">
        <v>3</v>
      </c>
      <c r="B556" s="2" t="inlineStr">
        <is>
          <t>23.05.01</t>
        </is>
      </c>
      <c r="C556" s="2" t="inlineStr">
        <is>
          <t>PI02 - Contrapiso flutuante: Contrapiso armado sobre painel de lã de vidro, (sistema Optima piso, membrana flexível, 15mm de espessura, ref. Isover para evitar fissuras, o contrapsio deverá ser armado com tela tipo "pop soldada".</t>
        </is>
      </c>
      <c r="D556" s="2" t="inlineStr">
        <is>
          <t>22/06/2027</t>
        </is>
      </c>
      <c r="E556" s="2" t="inlineStr">
        <is>
          <t>07/08/2028</t>
        </is>
      </c>
      <c r="F556" s="2" t="n">
        <v>34390.00079899999</v>
      </c>
      <c r="G556" s="2" t="n">
        <v>0</v>
      </c>
      <c r="H556" s="2" t="n">
        <v>34390.00079899999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0.89</v>
      </c>
      <c r="CD556" s="2" t="n">
        <v>3.11</v>
      </c>
      <c r="CE556" s="2" t="n">
        <v>0</v>
      </c>
      <c r="CF556" s="2" t="n">
        <v>10.66</v>
      </c>
      <c r="CG556" s="2" t="n">
        <v>12.89</v>
      </c>
      <c r="CH556" s="2" t="n">
        <v>0</v>
      </c>
      <c r="CI556" s="2" t="n">
        <v>20.45</v>
      </c>
      <c r="CJ556" s="2" t="n">
        <v>22.67</v>
      </c>
      <c r="CK556" s="2" t="n">
        <v>0</v>
      </c>
      <c r="CL556" s="2" t="n">
        <v>29.78</v>
      </c>
      <c r="CM556" s="2" t="n">
        <v>32</v>
      </c>
      <c r="CN556" s="2" t="n">
        <v>0</v>
      </c>
      <c r="CO556" s="2" t="n">
        <v>38.67</v>
      </c>
      <c r="CP556" s="2" t="n">
        <v>40.9</v>
      </c>
      <c r="CQ556" s="2" t="n">
        <v>0</v>
      </c>
      <c r="CR556" s="2" t="n">
        <v>47.57</v>
      </c>
      <c r="CS556" s="2" t="n">
        <v>49.79</v>
      </c>
      <c r="CT556" s="2" t="n">
        <v>0</v>
      </c>
      <c r="CU556" s="2" t="n">
        <v>54.68</v>
      </c>
      <c r="CV556" s="2" t="n">
        <v>56.9</v>
      </c>
      <c r="CW556" s="2" t="n">
        <v>0</v>
      </c>
      <c r="CX556" s="2" t="n">
        <v>64.02</v>
      </c>
      <c r="CY556" s="2" t="n">
        <v>66.23999999999999</v>
      </c>
      <c r="CZ556" s="2" t="n">
        <v>0</v>
      </c>
      <c r="DA556" s="2" t="n">
        <v>73.34999999999999</v>
      </c>
      <c r="DB556" s="2" t="n">
        <v>75.56999999999999</v>
      </c>
      <c r="DC556" s="2" t="n">
        <v>0</v>
      </c>
      <c r="DD556" s="2" t="n">
        <v>83.58</v>
      </c>
      <c r="DE556" s="2" t="n">
        <v>85.8</v>
      </c>
      <c r="DF556" s="2" t="n">
        <v>0</v>
      </c>
      <c r="DG556" s="2" t="n">
        <v>91.58</v>
      </c>
      <c r="DH556" s="2" t="n">
        <v>92.43000000000001</v>
      </c>
      <c r="DI556" s="2" t="n">
        <v>0</v>
      </c>
      <c r="DJ556" s="2" t="n">
        <v>93.56999999999999</v>
      </c>
      <c r="DK556" s="2" t="n">
        <v>93.65000000000001</v>
      </c>
      <c r="DL556" s="2" t="n">
        <v>0</v>
      </c>
      <c r="DM556" s="2" t="n">
        <v>93.68000000000001</v>
      </c>
      <c r="DN556" s="2" t="n">
        <v>95.08</v>
      </c>
      <c r="DO556" s="2" t="n">
        <v>0</v>
      </c>
      <c r="DP556" s="2" t="n">
        <v>98.73</v>
      </c>
      <c r="DQ556" s="2" t="n">
        <v>99.89</v>
      </c>
      <c r="DR556" s="2" t="n">
        <v>0</v>
      </c>
      <c r="DS556" s="2" t="n">
        <v>99.93000000000001</v>
      </c>
      <c r="DT556" s="2" t="n">
        <v>100</v>
      </c>
      <c r="DU556" s="2" t="n">
        <v>0</v>
      </c>
      <c r="DV556" s="2" t="n">
        <v>100</v>
      </c>
      <c r="DW556" s="2" t="n">
        <v>100</v>
      </c>
      <c r="DX556" s="2" t="n">
        <v>0</v>
      </c>
      <c r="DY556" s="2" t="n">
        <v>100</v>
      </c>
      <c r="DZ556" s="2" t="n">
        <v>100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</row>
    <row r="557">
      <c r="A557" s="2" t="n">
        <v>3</v>
      </c>
      <c r="B557" s="2" t="inlineStr">
        <is>
          <t>23.05.02</t>
        </is>
      </c>
      <c r="C557" s="2" t="inlineStr">
        <is>
          <t>PI03 - Contrapiso flutuante - Bombas e GMG: Base de concreto armado, de 10cm, sobre forma perdida de placa cimentícia de 10mm e painel de lã de PET, 50mm de espessura e 35kg /m3 de densidade, na projeção das bombas</t>
        </is>
      </c>
      <c r="D557" s="2" t="inlineStr">
        <is>
          <t>22/06/2027</t>
        </is>
      </c>
      <c r="E557" s="2" t="inlineStr">
        <is>
          <t>07/08/2028</t>
        </is>
      </c>
      <c r="F557" s="2" t="n">
        <v>8389.843514999999</v>
      </c>
      <c r="G557" s="2" t="n">
        <v>0</v>
      </c>
      <c r="H557" s="2" t="n">
        <v>8389.843514999999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0.89</v>
      </c>
      <c r="CD557" s="2" t="n">
        <v>3.11</v>
      </c>
      <c r="CE557" s="2" t="n">
        <v>0</v>
      </c>
      <c r="CF557" s="2" t="n">
        <v>10.66</v>
      </c>
      <c r="CG557" s="2" t="n">
        <v>12.89</v>
      </c>
      <c r="CH557" s="2" t="n">
        <v>0</v>
      </c>
      <c r="CI557" s="2" t="n">
        <v>20.45</v>
      </c>
      <c r="CJ557" s="2" t="n">
        <v>22.67</v>
      </c>
      <c r="CK557" s="2" t="n">
        <v>0</v>
      </c>
      <c r="CL557" s="2" t="n">
        <v>29.78</v>
      </c>
      <c r="CM557" s="2" t="n">
        <v>32</v>
      </c>
      <c r="CN557" s="2" t="n">
        <v>0</v>
      </c>
      <c r="CO557" s="2" t="n">
        <v>38.67</v>
      </c>
      <c r="CP557" s="2" t="n">
        <v>40.9</v>
      </c>
      <c r="CQ557" s="2" t="n">
        <v>0</v>
      </c>
      <c r="CR557" s="2" t="n">
        <v>47.57</v>
      </c>
      <c r="CS557" s="2" t="n">
        <v>49.79</v>
      </c>
      <c r="CT557" s="2" t="n">
        <v>0</v>
      </c>
      <c r="CU557" s="2" t="n">
        <v>54.68</v>
      </c>
      <c r="CV557" s="2" t="n">
        <v>56.9</v>
      </c>
      <c r="CW557" s="2" t="n">
        <v>0</v>
      </c>
      <c r="CX557" s="2" t="n">
        <v>64.02</v>
      </c>
      <c r="CY557" s="2" t="n">
        <v>66.23999999999999</v>
      </c>
      <c r="CZ557" s="2" t="n">
        <v>0</v>
      </c>
      <c r="DA557" s="2" t="n">
        <v>73.34999999999999</v>
      </c>
      <c r="DB557" s="2" t="n">
        <v>75.56999999999999</v>
      </c>
      <c r="DC557" s="2" t="n">
        <v>0</v>
      </c>
      <c r="DD557" s="2" t="n">
        <v>83.58</v>
      </c>
      <c r="DE557" s="2" t="n">
        <v>85.8</v>
      </c>
      <c r="DF557" s="2" t="n">
        <v>0</v>
      </c>
      <c r="DG557" s="2" t="n">
        <v>91.58</v>
      </c>
      <c r="DH557" s="2" t="n">
        <v>92.43000000000001</v>
      </c>
      <c r="DI557" s="2" t="n">
        <v>0</v>
      </c>
      <c r="DJ557" s="2" t="n">
        <v>93.56999999999999</v>
      </c>
      <c r="DK557" s="2" t="n">
        <v>93.65000000000001</v>
      </c>
      <c r="DL557" s="2" t="n">
        <v>0</v>
      </c>
      <c r="DM557" s="2" t="n">
        <v>93.68000000000001</v>
      </c>
      <c r="DN557" s="2" t="n">
        <v>95.08</v>
      </c>
      <c r="DO557" s="2" t="n">
        <v>0</v>
      </c>
      <c r="DP557" s="2" t="n">
        <v>98.73</v>
      </c>
      <c r="DQ557" s="2" t="n">
        <v>99.89</v>
      </c>
      <c r="DR557" s="2" t="n">
        <v>0</v>
      </c>
      <c r="DS557" s="2" t="n">
        <v>99.93000000000001</v>
      </c>
      <c r="DT557" s="2" t="n">
        <v>100</v>
      </c>
      <c r="DU557" s="2" t="n">
        <v>0</v>
      </c>
      <c r="DV557" s="2" t="n">
        <v>100</v>
      </c>
      <c r="DW557" s="2" t="n">
        <v>100</v>
      </c>
      <c r="DX557" s="2" t="n">
        <v>0</v>
      </c>
      <c r="DY557" s="2" t="n">
        <v>100</v>
      </c>
      <c r="DZ557" s="2" t="n">
        <v>100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</row>
    <row r="558">
      <c r="A558" s="2" t="n">
        <v>3</v>
      </c>
      <c r="B558" s="2" t="inlineStr">
        <is>
          <t>23.05.03</t>
        </is>
      </c>
      <c r="C558" s="2" t="inlineStr">
        <is>
          <t>PI04 - Base de inércia elevadores: Base de concreto armado, a ser dimensionada, sobre forma perdida de placa cimentícia de 10mm, e painel de lâ de PET, 50mm de espessura, e 35kg de densidade.</t>
        </is>
      </c>
      <c r="D558" s="2" t="inlineStr">
        <is>
          <t>22/06/2027</t>
        </is>
      </c>
      <c r="E558" s="2" t="inlineStr">
        <is>
          <t>07/08/2028</t>
        </is>
      </c>
      <c r="F558" s="2" t="n">
        <v>40858.3</v>
      </c>
      <c r="G558" s="2" t="n">
        <v>0</v>
      </c>
      <c r="H558" s="2" t="n">
        <v>40858.3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0.89</v>
      </c>
      <c r="CD558" s="2" t="n">
        <v>3.11</v>
      </c>
      <c r="CE558" s="2" t="n">
        <v>0</v>
      </c>
      <c r="CF558" s="2" t="n">
        <v>10.66</v>
      </c>
      <c r="CG558" s="2" t="n">
        <v>12.89</v>
      </c>
      <c r="CH558" s="2" t="n">
        <v>0</v>
      </c>
      <c r="CI558" s="2" t="n">
        <v>20.45</v>
      </c>
      <c r="CJ558" s="2" t="n">
        <v>22.67</v>
      </c>
      <c r="CK558" s="2" t="n">
        <v>0</v>
      </c>
      <c r="CL558" s="2" t="n">
        <v>29.78</v>
      </c>
      <c r="CM558" s="2" t="n">
        <v>32</v>
      </c>
      <c r="CN558" s="2" t="n">
        <v>0</v>
      </c>
      <c r="CO558" s="2" t="n">
        <v>38.67</v>
      </c>
      <c r="CP558" s="2" t="n">
        <v>40.9</v>
      </c>
      <c r="CQ558" s="2" t="n">
        <v>0</v>
      </c>
      <c r="CR558" s="2" t="n">
        <v>47.57</v>
      </c>
      <c r="CS558" s="2" t="n">
        <v>49.79</v>
      </c>
      <c r="CT558" s="2" t="n">
        <v>0</v>
      </c>
      <c r="CU558" s="2" t="n">
        <v>54.68</v>
      </c>
      <c r="CV558" s="2" t="n">
        <v>56.9</v>
      </c>
      <c r="CW558" s="2" t="n">
        <v>0</v>
      </c>
      <c r="CX558" s="2" t="n">
        <v>64.02</v>
      </c>
      <c r="CY558" s="2" t="n">
        <v>66.23999999999999</v>
      </c>
      <c r="CZ558" s="2" t="n">
        <v>0</v>
      </c>
      <c r="DA558" s="2" t="n">
        <v>73.34999999999999</v>
      </c>
      <c r="DB558" s="2" t="n">
        <v>75.56999999999999</v>
      </c>
      <c r="DC558" s="2" t="n">
        <v>0</v>
      </c>
      <c r="DD558" s="2" t="n">
        <v>83.58</v>
      </c>
      <c r="DE558" s="2" t="n">
        <v>85.8</v>
      </c>
      <c r="DF558" s="2" t="n">
        <v>0</v>
      </c>
      <c r="DG558" s="2" t="n">
        <v>91.58</v>
      </c>
      <c r="DH558" s="2" t="n">
        <v>92.43000000000001</v>
      </c>
      <c r="DI558" s="2" t="n">
        <v>0</v>
      </c>
      <c r="DJ558" s="2" t="n">
        <v>93.56999999999999</v>
      </c>
      <c r="DK558" s="2" t="n">
        <v>93.65000000000001</v>
      </c>
      <c r="DL558" s="2" t="n">
        <v>0</v>
      </c>
      <c r="DM558" s="2" t="n">
        <v>93.68000000000001</v>
      </c>
      <c r="DN558" s="2" t="n">
        <v>95.08</v>
      </c>
      <c r="DO558" s="2" t="n">
        <v>0</v>
      </c>
      <c r="DP558" s="2" t="n">
        <v>98.73</v>
      </c>
      <c r="DQ558" s="2" t="n">
        <v>99.89</v>
      </c>
      <c r="DR558" s="2" t="n">
        <v>0</v>
      </c>
      <c r="DS558" s="2" t="n">
        <v>99.93000000000001</v>
      </c>
      <c r="DT558" s="2" t="n">
        <v>100</v>
      </c>
      <c r="DU558" s="2" t="n">
        <v>0</v>
      </c>
      <c r="DV558" s="2" t="n">
        <v>100</v>
      </c>
      <c r="DW558" s="2" t="n">
        <v>100</v>
      </c>
      <c r="DX558" s="2" t="n">
        <v>0</v>
      </c>
      <c r="DY558" s="2" t="n">
        <v>100</v>
      </c>
      <c r="DZ558" s="2" t="n">
        <v>100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</row>
    <row r="559">
      <c r="A559" s="2" t="n">
        <v>3</v>
      </c>
      <c r="B559" s="2" t="inlineStr">
        <is>
          <t>23.05.04</t>
        </is>
      </c>
      <c r="C559" s="2" t="inlineStr">
        <is>
          <t>RE01 - Revestimento de parede de absorção acústica composto por 1 manta de lã de PET com 35kg/m3 de densidade e 50mm de espessura. Fixado perfis próprios metálicos, ref. Trisoft ou similar</t>
        </is>
      </c>
      <c r="D559" s="2" t="inlineStr">
        <is>
          <t>22/06/2027</t>
        </is>
      </c>
      <c r="E559" s="2" t="inlineStr">
        <is>
          <t>07/08/2028</t>
        </is>
      </c>
      <c r="F559" s="2" t="n">
        <v>142032.6055832208</v>
      </c>
      <c r="G559" s="2" t="n">
        <v>0</v>
      </c>
      <c r="H559" s="2" t="n">
        <v>142032.6055832208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0.89</v>
      </c>
      <c r="CD559" s="2" t="n">
        <v>3.11</v>
      </c>
      <c r="CE559" s="2" t="n">
        <v>0</v>
      </c>
      <c r="CF559" s="2" t="n">
        <v>10.66</v>
      </c>
      <c r="CG559" s="2" t="n">
        <v>12.89</v>
      </c>
      <c r="CH559" s="2" t="n">
        <v>0</v>
      </c>
      <c r="CI559" s="2" t="n">
        <v>20.45</v>
      </c>
      <c r="CJ559" s="2" t="n">
        <v>22.67</v>
      </c>
      <c r="CK559" s="2" t="n">
        <v>0</v>
      </c>
      <c r="CL559" s="2" t="n">
        <v>29.78</v>
      </c>
      <c r="CM559" s="2" t="n">
        <v>32</v>
      </c>
      <c r="CN559" s="2" t="n">
        <v>0</v>
      </c>
      <c r="CO559" s="2" t="n">
        <v>38.67</v>
      </c>
      <c r="CP559" s="2" t="n">
        <v>40.9</v>
      </c>
      <c r="CQ559" s="2" t="n">
        <v>0</v>
      </c>
      <c r="CR559" s="2" t="n">
        <v>47.57</v>
      </c>
      <c r="CS559" s="2" t="n">
        <v>49.79</v>
      </c>
      <c r="CT559" s="2" t="n">
        <v>0</v>
      </c>
      <c r="CU559" s="2" t="n">
        <v>54.68</v>
      </c>
      <c r="CV559" s="2" t="n">
        <v>56.9</v>
      </c>
      <c r="CW559" s="2" t="n">
        <v>0</v>
      </c>
      <c r="CX559" s="2" t="n">
        <v>64.02</v>
      </c>
      <c r="CY559" s="2" t="n">
        <v>66.23999999999999</v>
      </c>
      <c r="CZ559" s="2" t="n">
        <v>0</v>
      </c>
      <c r="DA559" s="2" t="n">
        <v>73.34999999999999</v>
      </c>
      <c r="DB559" s="2" t="n">
        <v>75.56999999999999</v>
      </c>
      <c r="DC559" s="2" t="n">
        <v>0</v>
      </c>
      <c r="DD559" s="2" t="n">
        <v>83.58</v>
      </c>
      <c r="DE559" s="2" t="n">
        <v>85.8</v>
      </c>
      <c r="DF559" s="2" t="n">
        <v>0</v>
      </c>
      <c r="DG559" s="2" t="n">
        <v>91.58</v>
      </c>
      <c r="DH559" s="2" t="n">
        <v>92.43000000000001</v>
      </c>
      <c r="DI559" s="2" t="n">
        <v>0</v>
      </c>
      <c r="DJ559" s="2" t="n">
        <v>93.56999999999999</v>
      </c>
      <c r="DK559" s="2" t="n">
        <v>93.65000000000001</v>
      </c>
      <c r="DL559" s="2" t="n">
        <v>0</v>
      </c>
      <c r="DM559" s="2" t="n">
        <v>93.68000000000001</v>
      </c>
      <c r="DN559" s="2" t="n">
        <v>95.08</v>
      </c>
      <c r="DO559" s="2" t="n">
        <v>0</v>
      </c>
      <c r="DP559" s="2" t="n">
        <v>98.73</v>
      </c>
      <c r="DQ559" s="2" t="n">
        <v>99.89</v>
      </c>
      <c r="DR559" s="2" t="n">
        <v>0</v>
      </c>
      <c r="DS559" s="2" t="n">
        <v>99.93000000000001</v>
      </c>
      <c r="DT559" s="2" t="n">
        <v>100</v>
      </c>
      <c r="DU559" s="2" t="n">
        <v>0</v>
      </c>
      <c r="DV559" s="2" t="n">
        <v>100</v>
      </c>
      <c r="DW559" s="2" t="n">
        <v>100</v>
      </c>
      <c r="DX559" s="2" t="n">
        <v>0</v>
      </c>
      <c r="DY559" s="2" t="n">
        <v>100</v>
      </c>
      <c r="DZ559" s="2" t="n">
        <v>100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</row>
    <row r="560">
      <c r="A560" s="2" t="n">
        <v>3</v>
      </c>
      <c r="B560" s="2" t="inlineStr">
        <is>
          <t>23.05.05</t>
        </is>
      </c>
      <c r="C560" s="2" t="inlineStr">
        <is>
          <t>FO01 -  Forro de absorção acústica composto por 1 manta de lã de PET com 35kg/m3 de densidade e 50mm de espessura. Fixado perfis próprios metálicos, ref. Trisoft ou similar</t>
        </is>
      </c>
      <c r="D560" s="2" t="inlineStr">
        <is>
          <t>22/06/2027</t>
        </is>
      </c>
      <c r="E560" s="2" t="inlineStr">
        <is>
          <t>07/08/2028</t>
        </is>
      </c>
      <c r="F560" s="2" t="n">
        <v>35118.18945599999</v>
      </c>
      <c r="G560" s="2" t="n">
        <v>0</v>
      </c>
      <c r="H560" s="2" t="n">
        <v>35118.18945599999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0.89</v>
      </c>
      <c r="CD560" s="2" t="n">
        <v>3.11</v>
      </c>
      <c r="CE560" s="2" t="n">
        <v>0</v>
      </c>
      <c r="CF560" s="2" t="n">
        <v>10.66</v>
      </c>
      <c r="CG560" s="2" t="n">
        <v>12.89</v>
      </c>
      <c r="CH560" s="2" t="n">
        <v>0</v>
      </c>
      <c r="CI560" s="2" t="n">
        <v>20.45</v>
      </c>
      <c r="CJ560" s="2" t="n">
        <v>22.67</v>
      </c>
      <c r="CK560" s="2" t="n">
        <v>0</v>
      </c>
      <c r="CL560" s="2" t="n">
        <v>29.78</v>
      </c>
      <c r="CM560" s="2" t="n">
        <v>32</v>
      </c>
      <c r="CN560" s="2" t="n">
        <v>0</v>
      </c>
      <c r="CO560" s="2" t="n">
        <v>38.67</v>
      </c>
      <c r="CP560" s="2" t="n">
        <v>40.9</v>
      </c>
      <c r="CQ560" s="2" t="n">
        <v>0</v>
      </c>
      <c r="CR560" s="2" t="n">
        <v>47.57</v>
      </c>
      <c r="CS560" s="2" t="n">
        <v>49.79</v>
      </c>
      <c r="CT560" s="2" t="n">
        <v>0</v>
      </c>
      <c r="CU560" s="2" t="n">
        <v>54.68</v>
      </c>
      <c r="CV560" s="2" t="n">
        <v>56.9</v>
      </c>
      <c r="CW560" s="2" t="n">
        <v>0</v>
      </c>
      <c r="CX560" s="2" t="n">
        <v>64.02</v>
      </c>
      <c r="CY560" s="2" t="n">
        <v>66.23999999999999</v>
      </c>
      <c r="CZ560" s="2" t="n">
        <v>0</v>
      </c>
      <c r="DA560" s="2" t="n">
        <v>73.34999999999999</v>
      </c>
      <c r="DB560" s="2" t="n">
        <v>75.56999999999999</v>
      </c>
      <c r="DC560" s="2" t="n">
        <v>0</v>
      </c>
      <c r="DD560" s="2" t="n">
        <v>83.58</v>
      </c>
      <c r="DE560" s="2" t="n">
        <v>85.8</v>
      </c>
      <c r="DF560" s="2" t="n">
        <v>0</v>
      </c>
      <c r="DG560" s="2" t="n">
        <v>91.58</v>
      </c>
      <c r="DH560" s="2" t="n">
        <v>92.43000000000001</v>
      </c>
      <c r="DI560" s="2" t="n">
        <v>0</v>
      </c>
      <c r="DJ560" s="2" t="n">
        <v>93.56999999999999</v>
      </c>
      <c r="DK560" s="2" t="n">
        <v>93.65000000000001</v>
      </c>
      <c r="DL560" s="2" t="n">
        <v>0</v>
      </c>
      <c r="DM560" s="2" t="n">
        <v>93.68000000000001</v>
      </c>
      <c r="DN560" s="2" t="n">
        <v>95.08</v>
      </c>
      <c r="DO560" s="2" t="n">
        <v>0</v>
      </c>
      <c r="DP560" s="2" t="n">
        <v>98.73</v>
      </c>
      <c r="DQ560" s="2" t="n">
        <v>99.89</v>
      </c>
      <c r="DR560" s="2" t="n">
        <v>0</v>
      </c>
      <c r="DS560" s="2" t="n">
        <v>99.93000000000001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</row>
    <row r="561">
      <c r="A561" s="2" t="n">
        <v>3</v>
      </c>
      <c r="B561" s="2" t="inlineStr">
        <is>
          <t>23.05.06</t>
        </is>
      </c>
      <c r="C561" s="2" t="inlineStr">
        <is>
          <t>FO02 - Forro em gesso acartonado perfurado de absorção acústica , modelo cleaneo quadrado, furação 12/25, sistema de instalação tipo fge - estruturado, ref. knauf ceiling solutions ou similar. . bordas ou “tabeiras” em gesso liso, com acabamento em pintura a definir, referência knauf ou similar. preenchimento superior com 1 manta de lã de pet com 35kg/m³ de densidade e 50mm de espessura, ref. trisoft ou similar.</t>
        </is>
      </c>
      <c r="D561" s="2" t="inlineStr">
        <is>
          <t>22/06/2027</t>
        </is>
      </c>
      <c r="E561" s="2" t="inlineStr">
        <is>
          <t>07/08/2028</t>
        </is>
      </c>
      <c r="F561" s="2" t="n">
        <v>81383.60999999999</v>
      </c>
      <c r="G561" s="2" t="n">
        <v>0</v>
      </c>
      <c r="H561" s="2" t="n">
        <v>81383.60999999999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0.89</v>
      </c>
      <c r="CD561" s="2" t="n">
        <v>3.11</v>
      </c>
      <c r="CE561" s="2" t="n">
        <v>0</v>
      </c>
      <c r="CF561" s="2" t="n">
        <v>10.66</v>
      </c>
      <c r="CG561" s="2" t="n">
        <v>12.89</v>
      </c>
      <c r="CH561" s="2" t="n">
        <v>0</v>
      </c>
      <c r="CI561" s="2" t="n">
        <v>20.45</v>
      </c>
      <c r="CJ561" s="2" t="n">
        <v>22.67</v>
      </c>
      <c r="CK561" s="2" t="n">
        <v>0</v>
      </c>
      <c r="CL561" s="2" t="n">
        <v>29.78</v>
      </c>
      <c r="CM561" s="2" t="n">
        <v>32</v>
      </c>
      <c r="CN561" s="2" t="n">
        <v>0</v>
      </c>
      <c r="CO561" s="2" t="n">
        <v>38.67</v>
      </c>
      <c r="CP561" s="2" t="n">
        <v>40.9</v>
      </c>
      <c r="CQ561" s="2" t="n">
        <v>0</v>
      </c>
      <c r="CR561" s="2" t="n">
        <v>47.57</v>
      </c>
      <c r="CS561" s="2" t="n">
        <v>49.79</v>
      </c>
      <c r="CT561" s="2" t="n">
        <v>0</v>
      </c>
      <c r="CU561" s="2" t="n">
        <v>54.68</v>
      </c>
      <c r="CV561" s="2" t="n">
        <v>56.9</v>
      </c>
      <c r="CW561" s="2" t="n">
        <v>0</v>
      </c>
      <c r="CX561" s="2" t="n">
        <v>64.02</v>
      </c>
      <c r="CY561" s="2" t="n">
        <v>66.23999999999999</v>
      </c>
      <c r="CZ561" s="2" t="n">
        <v>0</v>
      </c>
      <c r="DA561" s="2" t="n">
        <v>73.34999999999999</v>
      </c>
      <c r="DB561" s="2" t="n">
        <v>75.56999999999999</v>
      </c>
      <c r="DC561" s="2" t="n">
        <v>0</v>
      </c>
      <c r="DD561" s="2" t="n">
        <v>83.58</v>
      </c>
      <c r="DE561" s="2" t="n">
        <v>85.8</v>
      </c>
      <c r="DF561" s="2" t="n">
        <v>0</v>
      </c>
      <c r="DG561" s="2" t="n">
        <v>91.58</v>
      </c>
      <c r="DH561" s="2" t="n">
        <v>92.43000000000001</v>
      </c>
      <c r="DI561" s="2" t="n">
        <v>0</v>
      </c>
      <c r="DJ561" s="2" t="n">
        <v>93.56999999999999</v>
      </c>
      <c r="DK561" s="2" t="n">
        <v>93.65000000000001</v>
      </c>
      <c r="DL561" s="2" t="n">
        <v>0</v>
      </c>
      <c r="DM561" s="2" t="n">
        <v>93.68000000000001</v>
      </c>
      <c r="DN561" s="2" t="n">
        <v>95.08</v>
      </c>
      <c r="DO561" s="2" t="n">
        <v>0</v>
      </c>
      <c r="DP561" s="2" t="n">
        <v>98.73</v>
      </c>
      <c r="DQ561" s="2" t="n">
        <v>99.89</v>
      </c>
      <c r="DR561" s="2" t="n">
        <v>0</v>
      </c>
      <c r="DS561" s="2" t="n">
        <v>99.93000000000001</v>
      </c>
      <c r="DT561" s="2" t="n">
        <v>100</v>
      </c>
      <c r="DU561" s="2" t="n">
        <v>0</v>
      </c>
      <c r="DV561" s="2" t="n">
        <v>100</v>
      </c>
      <c r="DW561" s="2" t="n">
        <v>100</v>
      </c>
      <c r="DX561" s="2" t="n">
        <v>0</v>
      </c>
      <c r="DY561" s="2" t="n">
        <v>100</v>
      </c>
      <c r="DZ561" s="2" t="n">
        <v>100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</row>
    <row r="562">
      <c r="A562" s="2" t="n">
        <v>3</v>
      </c>
      <c r="B562" s="2" t="inlineStr">
        <is>
          <t>23.05.07</t>
        </is>
      </c>
      <c r="C562" s="2" t="inlineStr">
        <is>
          <t>FO03 - Forro de isolamento acústico composto por 1 nível de forro fge ( estruturado) com 2 chapas de gesso st (standard) cada um. preenchimento superior com 1 manta de lã de
pet com 35kg/m³ de densidade e 50mm de espessura</t>
        </is>
      </c>
      <c r="D562" s="2" t="inlineStr">
        <is>
          <t>22/06/2027</t>
        </is>
      </c>
      <c r="E562" s="2" t="inlineStr">
        <is>
          <t>07/08/2028</t>
        </is>
      </c>
      <c r="F562" s="2" t="n">
        <v>121279.37478272</v>
      </c>
      <c r="G562" s="2" t="n">
        <v>0</v>
      </c>
      <c r="H562" s="2" t="n">
        <v>121279.37478272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0.89</v>
      </c>
      <c r="CD562" s="2" t="n">
        <v>3.11</v>
      </c>
      <c r="CE562" s="2" t="n">
        <v>0</v>
      </c>
      <c r="CF562" s="2" t="n">
        <v>10.66</v>
      </c>
      <c r="CG562" s="2" t="n">
        <v>12.89</v>
      </c>
      <c r="CH562" s="2" t="n">
        <v>0</v>
      </c>
      <c r="CI562" s="2" t="n">
        <v>20.45</v>
      </c>
      <c r="CJ562" s="2" t="n">
        <v>22.67</v>
      </c>
      <c r="CK562" s="2" t="n">
        <v>0</v>
      </c>
      <c r="CL562" s="2" t="n">
        <v>29.78</v>
      </c>
      <c r="CM562" s="2" t="n">
        <v>32</v>
      </c>
      <c r="CN562" s="2" t="n">
        <v>0</v>
      </c>
      <c r="CO562" s="2" t="n">
        <v>38.67</v>
      </c>
      <c r="CP562" s="2" t="n">
        <v>40.9</v>
      </c>
      <c r="CQ562" s="2" t="n">
        <v>0</v>
      </c>
      <c r="CR562" s="2" t="n">
        <v>47.57</v>
      </c>
      <c r="CS562" s="2" t="n">
        <v>49.79</v>
      </c>
      <c r="CT562" s="2" t="n">
        <v>0</v>
      </c>
      <c r="CU562" s="2" t="n">
        <v>54.68</v>
      </c>
      <c r="CV562" s="2" t="n">
        <v>56.9</v>
      </c>
      <c r="CW562" s="2" t="n">
        <v>0</v>
      </c>
      <c r="CX562" s="2" t="n">
        <v>64.02</v>
      </c>
      <c r="CY562" s="2" t="n">
        <v>66.23999999999999</v>
      </c>
      <c r="CZ562" s="2" t="n">
        <v>0</v>
      </c>
      <c r="DA562" s="2" t="n">
        <v>73.34999999999999</v>
      </c>
      <c r="DB562" s="2" t="n">
        <v>75.56999999999999</v>
      </c>
      <c r="DC562" s="2" t="n">
        <v>0</v>
      </c>
      <c r="DD562" s="2" t="n">
        <v>83.58</v>
      </c>
      <c r="DE562" s="2" t="n">
        <v>85.8</v>
      </c>
      <c r="DF562" s="2" t="n">
        <v>0</v>
      </c>
      <c r="DG562" s="2" t="n">
        <v>91.58</v>
      </c>
      <c r="DH562" s="2" t="n">
        <v>92.43000000000001</v>
      </c>
      <c r="DI562" s="2" t="n">
        <v>0</v>
      </c>
      <c r="DJ562" s="2" t="n">
        <v>93.56999999999999</v>
      </c>
      <c r="DK562" s="2" t="n">
        <v>93.65000000000001</v>
      </c>
      <c r="DL562" s="2" t="n">
        <v>0</v>
      </c>
      <c r="DM562" s="2" t="n">
        <v>93.68000000000001</v>
      </c>
      <c r="DN562" s="2" t="n">
        <v>95.08</v>
      </c>
      <c r="DO562" s="2" t="n">
        <v>0</v>
      </c>
      <c r="DP562" s="2" t="n">
        <v>98.73</v>
      </c>
      <c r="DQ562" s="2" t="n">
        <v>99.89</v>
      </c>
      <c r="DR562" s="2" t="n">
        <v>0</v>
      </c>
      <c r="DS562" s="2" t="n">
        <v>99.93000000000001</v>
      </c>
      <c r="DT562" s="2" t="n">
        <v>100</v>
      </c>
      <c r="DU562" s="2" t="n">
        <v>0</v>
      </c>
      <c r="DV562" s="2" t="n">
        <v>100</v>
      </c>
      <c r="DW562" s="2" t="n">
        <v>100</v>
      </c>
      <c r="DX562" s="2" t="n">
        <v>0</v>
      </c>
      <c r="DY562" s="2" t="n">
        <v>100</v>
      </c>
      <c r="DZ562" s="2" t="n">
        <v>100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</row>
    <row r="563">
      <c r="A563" s="2" t="n">
        <v>1</v>
      </c>
      <c r="B563" s="2" t="inlineStr">
        <is>
          <t>24</t>
        </is>
      </c>
      <c r="C563" s="2" t="inlineStr">
        <is>
          <t>ELEVADORES</t>
        </is>
      </c>
      <c r="D563" s="2" t="inlineStr">
        <is>
          <t>19/05/2028</t>
        </is>
      </c>
      <c r="E563" s="2" t="inlineStr">
        <is>
          <t>09/10/2028</t>
        </is>
      </c>
      <c r="F563" s="2" t="n">
        <v>3236182.089437039</v>
      </c>
      <c r="G563" s="2" t="n">
        <v>0</v>
      </c>
      <c r="H563" s="2" t="n">
        <v>3236182.089437039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9.09</v>
      </c>
      <c r="DL563" s="2" t="n">
        <v>0</v>
      </c>
      <c r="DM563" s="2" t="n">
        <v>18.18</v>
      </c>
      <c r="DN563" s="2" t="n">
        <v>30.3</v>
      </c>
      <c r="DO563" s="2" t="n">
        <v>0</v>
      </c>
      <c r="DP563" s="2" t="n">
        <v>39.39</v>
      </c>
      <c r="DQ563" s="2" t="n">
        <v>51.52</v>
      </c>
      <c r="DR563" s="2" t="n">
        <v>0</v>
      </c>
      <c r="DS563" s="2" t="n">
        <v>61.62</v>
      </c>
      <c r="DT563" s="2" t="n">
        <v>73.73999999999999</v>
      </c>
      <c r="DU563" s="2" t="n">
        <v>0</v>
      </c>
      <c r="DV563" s="2" t="n">
        <v>81.81999999999999</v>
      </c>
      <c r="DW563" s="2" t="n">
        <v>93.94</v>
      </c>
      <c r="DX563" s="2" t="n">
        <v>0</v>
      </c>
      <c r="DY563" s="2" t="n">
        <v>100</v>
      </c>
      <c r="DZ563" s="2" t="n">
        <v>100</v>
      </c>
      <c r="EA563" s="2" t="n">
        <v>0</v>
      </c>
      <c r="EB563" s="2" t="n">
        <v>100</v>
      </c>
      <c r="EC563" s="2" t="n">
        <v>100</v>
      </c>
      <c r="ED563" s="2" t="n">
        <v>0</v>
      </c>
      <c r="EE563" s="2" t="n">
        <v>100</v>
      </c>
      <c r="EF563" s="2" t="n">
        <v>100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</row>
    <row r="564">
      <c r="A564" s="2" t="n">
        <v>2</v>
      </c>
      <c r="B564" s="2" t="inlineStr">
        <is>
          <t>24.01</t>
        </is>
      </c>
      <c r="C564" s="2" t="inlineStr">
        <is>
          <t>Elevador Comercial - 2 paradas</t>
        </is>
      </c>
      <c r="D564" s="2" t="inlineStr">
        <is>
          <t>19/05/2028</t>
        </is>
      </c>
      <c r="E564" s="2" t="inlineStr">
        <is>
          <t>09/10/2028</t>
        </is>
      </c>
      <c r="F564" s="2" t="n">
        <v>200000</v>
      </c>
      <c r="G564" s="2" t="n">
        <v>0</v>
      </c>
      <c r="H564" s="2" t="n">
        <v>200000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9.09</v>
      </c>
      <c r="DL564" s="2" t="n">
        <v>0</v>
      </c>
      <c r="DM564" s="2" t="n">
        <v>18.18</v>
      </c>
      <c r="DN564" s="2" t="n">
        <v>30.3</v>
      </c>
      <c r="DO564" s="2" t="n">
        <v>0</v>
      </c>
      <c r="DP564" s="2" t="n">
        <v>39.39</v>
      </c>
      <c r="DQ564" s="2" t="n">
        <v>51.52</v>
      </c>
      <c r="DR564" s="2" t="n">
        <v>0</v>
      </c>
      <c r="DS564" s="2" t="n">
        <v>61.62</v>
      </c>
      <c r="DT564" s="2" t="n">
        <v>73.73999999999999</v>
      </c>
      <c r="DU564" s="2" t="n">
        <v>0</v>
      </c>
      <c r="DV564" s="2" t="n">
        <v>81.81999999999999</v>
      </c>
      <c r="DW564" s="2" t="n">
        <v>93.94</v>
      </c>
      <c r="DX564" s="2" t="n">
        <v>0</v>
      </c>
      <c r="DY564" s="2" t="n">
        <v>100</v>
      </c>
      <c r="DZ564" s="2" t="n">
        <v>100</v>
      </c>
      <c r="EA564" s="2" t="n">
        <v>0</v>
      </c>
      <c r="EB564" s="2" t="n">
        <v>100</v>
      </c>
      <c r="EC564" s="2" t="n">
        <v>100</v>
      </c>
      <c r="ED564" s="2" t="n">
        <v>0</v>
      </c>
      <c r="EE564" s="2" t="n">
        <v>100</v>
      </c>
      <c r="EF564" s="2" t="n">
        <v>100</v>
      </c>
      <c r="EG564" s="2" t="n">
        <v>0</v>
      </c>
      <c r="EH564" s="2" t="n">
        <v>100</v>
      </c>
      <c r="EI564" s="2" t="n">
        <v>100</v>
      </c>
      <c r="EJ564" s="2" t="n">
        <v>0</v>
      </c>
      <c r="EK564" s="2" t="n">
        <v>100</v>
      </c>
      <c r="EL564" s="2" t="n">
        <v>100</v>
      </c>
      <c r="EM564" s="2" t="n">
        <v>0</v>
      </c>
      <c r="EN564" s="2" t="n">
        <v>100</v>
      </c>
      <c r="EO564" s="2" t="n">
        <v>100</v>
      </c>
      <c r="EP564" s="2" t="n">
        <v>0</v>
      </c>
      <c r="EQ564" s="2" t="n">
        <v>100</v>
      </c>
      <c r="ER564" s="2" t="n">
        <v>100</v>
      </c>
      <c r="ES564" s="2" t="n">
        <v>0</v>
      </c>
    </row>
    <row r="565">
      <c r="A565" s="2" t="n">
        <v>2</v>
      </c>
      <c r="B565" s="2" t="inlineStr">
        <is>
          <t>24.02</t>
        </is>
      </c>
      <c r="C565" s="2" t="inlineStr">
        <is>
          <t>Elevador de Serviço Residencial - 34 paradas</t>
        </is>
      </c>
      <c r="D565" s="2" t="inlineStr">
        <is>
          <t>19/05/2028</t>
        </is>
      </c>
      <c r="E565" s="2" t="inlineStr">
        <is>
          <t>09/10/2028</t>
        </is>
      </c>
      <c r="F565" s="2" t="n">
        <v>963333.3333333334</v>
      </c>
      <c r="G565" s="2" t="n">
        <v>0</v>
      </c>
      <c r="H565" s="2" t="n">
        <v>963333.3333333334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9.09</v>
      </c>
      <c r="DL565" s="2" t="n">
        <v>0</v>
      </c>
      <c r="DM565" s="2" t="n">
        <v>18.18</v>
      </c>
      <c r="DN565" s="2" t="n">
        <v>30.3</v>
      </c>
      <c r="DO565" s="2" t="n">
        <v>0</v>
      </c>
      <c r="DP565" s="2" t="n">
        <v>39.39</v>
      </c>
      <c r="DQ565" s="2" t="n">
        <v>51.52</v>
      </c>
      <c r="DR565" s="2" t="n">
        <v>0</v>
      </c>
      <c r="DS565" s="2" t="n">
        <v>61.62</v>
      </c>
      <c r="DT565" s="2" t="n">
        <v>73.73999999999999</v>
      </c>
      <c r="DU565" s="2" t="n">
        <v>0</v>
      </c>
      <c r="DV565" s="2" t="n">
        <v>81.81999999999999</v>
      </c>
      <c r="DW565" s="2" t="n">
        <v>93.94</v>
      </c>
      <c r="DX565" s="2" t="n">
        <v>0</v>
      </c>
      <c r="DY565" s="2" t="n">
        <v>100</v>
      </c>
      <c r="DZ565" s="2" t="n">
        <v>100</v>
      </c>
      <c r="EA565" s="2" t="n">
        <v>0</v>
      </c>
      <c r="EB565" s="2" t="n">
        <v>100</v>
      </c>
      <c r="EC565" s="2" t="n">
        <v>100</v>
      </c>
      <c r="ED565" s="2" t="n">
        <v>0</v>
      </c>
      <c r="EE565" s="2" t="n">
        <v>100</v>
      </c>
      <c r="EF565" s="2" t="n">
        <v>100</v>
      </c>
      <c r="EG565" s="2" t="n">
        <v>0</v>
      </c>
      <c r="EH565" s="2" t="n">
        <v>100</v>
      </c>
      <c r="EI565" s="2" t="n">
        <v>100</v>
      </c>
      <c r="EJ565" s="2" t="n">
        <v>0</v>
      </c>
      <c r="EK565" s="2" t="n">
        <v>100</v>
      </c>
      <c r="EL565" s="2" t="n">
        <v>100</v>
      </c>
      <c r="EM565" s="2" t="n">
        <v>0</v>
      </c>
      <c r="EN565" s="2" t="n">
        <v>100</v>
      </c>
      <c r="EO565" s="2" t="n">
        <v>100</v>
      </c>
      <c r="EP565" s="2" t="n">
        <v>0</v>
      </c>
      <c r="EQ565" s="2" t="n">
        <v>100</v>
      </c>
      <c r="ER565" s="2" t="n">
        <v>100</v>
      </c>
      <c r="ES565" s="2" t="n">
        <v>0</v>
      </c>
    </row>
    <row r="566">
      <c r="A566" s="2" t="n">
        <v>2</v>
      </c>
      <c r="B566" s="2" t="inlineStr">
        <is>
          <t>24.03</t>
        </is>
      </c>
      <c r="C566" s="2" t="inlineStr">
        <is>
          <t>Elevador Social Residencial - 34 paradas</t>
        </is>
      </c>
      <c r="D566" s="2" t="inlineStr">
        <is>
          <t>19/05/2028</t>
        </is>
      </c>
      <c r="E566" s="2" t="inlineStr">
        <is>
          <t>09/10/2028</t>
        </is>
      </c>
      <c r="F566" s="2" t="n">
        <v>1926666.666666667</v>
      </c>
      <c r="G566" s="2" t="n">
        <v>0</v>
      </c>
      <c r="H566" s="2" t="n">
        <v>1926666.666666667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9.09</v>
      </c>
      <c r="DL566" s="2" t="n">
        <v>0</v>
      </c>
      <c r="DM566" s="2" t="n">
        <v>18.18</v>
      </c>
      <c r="DN566" s="2" t="n">
        <v>30.3</v>
      </c>
      <c r="DO566" s="2" t="n">
        <v>0</v>
      </c>
      <c r="DP566" s="2" t="n">
        <v>39.39</v>
      </c>
      <c r="DQ566" s="2" t="n">
        <v>51.52</v>
      </c>
      <c r="DR566" s="2" t="n">
        <v>0</v>
      </c>
      <c r="DS566" s="2" t="n">
        <v>61.62</v>
      </c>
      <c r="DT566" s="2" t="n">
        <v>73.73999999999999</v>
      </c>
      <c r="DU566" s="2" t="n">
        <v>0</v>
      </c>
      <c r="DV566" s="2" t="n">
        <v>81.81999999999999</v>
      </c>
      <c r="DW566" s="2" t="n">
        <v>93.94</v>
      </c>
      <c r="DX566" s="2" t="n">
        <v>0</v>
      </c>
      <c r="DY566" s="2" t="n">
        <v>100</v>
      </c>
      <c r="DZ566" s="2" t="n">
        <v>100</v>
      </c>
      <c r="EA566" s="2" t="n">
        <v>0</v>
      </c>
      <c r="EB566" s="2" t="n">
        <v>100</v>
      </c>
      <c r="EC566" s="2" t="n">
        <v>100</v>
      </c>
      <c r="ED566" s="2" t="n">
        <v>0</v>
      </c>
      <c r="EE566" s="2" t="n">
        <v>100</v>
      </c>
      <c r="EF566" s="2" t="n">
        <v>100</v>
      </c>
      <c r="EG566" s="2" t="n">
        <v>0</v>
      </c>
      <c r="EH566" s="2" t="n">
        <v>100</v>
      </c>
      <c r="EI566" s="2" t="n">
        <v>100</v>
      </c>
      <c r="EJ566" s="2" t="n">
        <v>0</v>
      </c>
      <c r="EK566" s="2" t="n">
        <v>100</v>
      </c>
      <c r="EL566" s="2" t="n">
        <v>100</v>
      </c>
      <c r="EM566" s="2" t="n">
        <v>0</v>
      </c>
      <c r="EN566" s="2" t="n">
        <v>100</v>
      </c>
      <c r="EO566" s="2" t="n">
        <v>100</v>
      </c>
      <c r="EP566" s="2" t="n">
        <v>0</v>
      </c>
      <c r="EQ566" s="2" t="n">
        <v>100</v>
      </c>
      <c r="ER566" s="2" t="n">
        <v>100</v>
      </c>
      <c r="ES566" s="2" t="n">
        <v>0</v>
      </c>
    </row>
    <row r="567">
      <c r="A567" s="2" t="n">
        <v>2</v>
      </c>
      <c r="B567" s="2" t="inlineStr">
        <is>
          <t>24.04</t>
        </is>
      </c>
      <c r="C567" s="2" t="inlineStr">
        <is>
          <t>Proteção para fosso dos elevadores</t>
        </is>
      </c>
      <c r="D567" s="2" t="inlineStr">
        <is>
          <t>19/05/2028</t>
        </is>
      </c>
      <c r="E567" s="2" t="inlineStr">
        <is>
          <t>09/10/2028</t>
        </is>
      </c>
      <c r="F567" s="2" t="n">
        <v>26182.08943703868</v>
      </c>
      <c r="G567" s="2" t="n">
        <v>0</v>
      </c>
      <c r="H567" s="2" t="n">
        <v>26182.08943703868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9.09</v>
      </c>
      <c r="DL567" s="2" t="n">
        <v>0</v>
      </c>
      <c r="DM567" s="2" t="n">
        <v>18.18</v>
      </c>
      <c r="DN567" s="2" t="n">
        <v>30.3</v>
      </c>
      <c r="DO567" s="2" t="n">
        <v>0</v>
      </c>
      <c r="DP567" s="2" t="n">
        <v>39.39</v>
      </c>
      <c r="DQ567" s="2" t="n">
        <v>51.52</v>
      </c>
      <c r="DR567" s="2" t="n">
        <v>0</v>
      </c>
      <c r="DS567" s="2" t="n">
        <v>61.62</v>
      </c>
      <c r="DT567" s="2" t="n">
        <v>73.73999999999999</v>
      </c>
      <c r="DU567" s="2" t="n">
        <v>0</v>
      </c>
      <c r="DV567" s="2" t="n">
        <v>81.81999999999999</v>
      </c>
      <c r="DW567" s="2" t="n">
        <v>93.94</v>
      </c>
      <c r="DX567" s="2" t="n">
        <v>0</v>
      </c>
      <c r="DY567" s="2" t="n">
        <v>100</v>
      </c>
      <c r="DZ567" s="2" t="n">
        <v>100</v>
      </c>
      <c r="EA567" s="2" t="n">
        <v>0</v>
      </c>
      <c r="EB567" s="2" t="n">
        <v>100</v>
      </c>
      <c r="EC567" s="2" t="n">
        <v>100</v>
      </c>
      <c r="ED567" s="2" t="n">
        <v>0</v>
      </c>
      <c r="EE567" s="2" t="n">
        <v>100</v>
      </c>
      <c r="EF567" s="2" t="n">
        <v>100</v>
      </c>
      <c r="EG567" s="2" t="n">
        <v>0</v>
      </c>
      <c r="EH567" s="2" t="n">
        <v>100</v>
      </c>
      <c r="EI567" s="2" t="n">
        <v>100</v>
      </c>
      <c r="EJ567" s="2" t="n">
        <v>0</v>
      </c>
      <c r="EK567" s="2" t="n">
        <v>100</v>
      </c>
      <c r="EL567" s="2" t="n">
        <v>100</v>
      </c>
      <c r="EM567" s="2" t="n">
        <v>0</v>
      </c>
      <c r="EN567" s="2" t="n">
        <v>100</v>
      </c>
      <c r="EO567" s="2" t="n">
        <v>100</v>
      </c>
      <c r="EP567" s="2" t="n">
        <v>0</v>
      </c>
      <c r="EQ567" s="2" t="n">
        <v>100</v>
      </c>
      <c r="ER567" s="2" t="n">
        <v>100</v>
      </c>
      <c r="ES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Instalação de bomba sapo para drenagem do poço do elevador</t>
        </is>
      </c>
      <c r="D568" s="2" t="inlineStr">
        <is>
          <t>19/05/2028</t>
        </is>
      </c>
      <c r="E568" s="2" t="inlineStr">
        <is>
          <t>09/10/2028</t>
        </is>
      </c>
      <c r="F568" s="2" t="n">
        <v>10000</v>
      </c>
      <c r="G568" s="2" t="n">
        <v>0</v>
      </c>
      <c r="H568" s="2" t="n">
        <v>10000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</v>
      </c>
      <c r="CS568" s="2" t="n">
        <v>0</v>
      </c>
      <c r="CT568" s="2" t="n">
        <v>0</v>
      </c>
      <c r="CU568" s="2" t="n">
        <v>0</v>
      </c>
      <c r="CV568" s="2" t="n">
        <v>0</v>
      </c>
      <c r="CW568" s="2" t="n">
        <v>0</v>
      </c>
      <c r="CX568" s="2" t="n">
        <v>0</v>
      </c>
      <c r="CY568" s="2" t="n">
        <v>0</v>
      </c>
      <c r="CZ568" s="2" t="n">
        <v>0</v>
      </c>
      <c r="DA568" s="2" t="n">
        <v>0</v>
      </c>
      <c r="DB568" s="2" t="n">
        <v>0</v>
      </c>
      <c r="DC568" s="2" t="n">
        <v>0</v>
      </c>
      <c r="DD568" s="2" t="n">
        <v>0</v>
      </c>
      <c r="DE568" s="2" t="n">
        <v>0</v>
      </c>
      <c r="DF568" s="2" t="n">
        <v>0</v>
      </c>
      <c r="DG568" s="2" t="n">
        <v>0</v>
      </c>
      <c r="DH568" s="2" t="n">
        <v>0</v>
      </c>
      <c r="DI568" s="2" t="n">
        <v>0</v>
      </c>
      <c r="DJ568" s="2" t="n">
        <v>0</v>
      </c>
      <c r="DK568" s="2" t="n">
        <v>9.09</v>
      </c>
      <c r="DL568" s="2" t="n">
        <v>0</v>
      </c>
      <c r="DM568" s="2" t="n">
        <v>18.18</v>
      </c>
      <c r="DN568" s="2" t="n">
        <v>30.3</v>
      </c>
      <c r="DO568" s="2" t="n">
        <v>0</v>
      </c>
      <c r="DP568" s="2" t="n">
        <v>39.39</v>
      </c>
      <c r="DQ568" s="2" t="n">
        <v>51.52</v>
      </c>
      <c r="DR568" s="2" t="n">
        <v>0</v>
      </c>
      <c r="DS568" s="2" t="n">
        <v>61.62</v>
      </c>
      <c r="DT568" s="2" t="n">
        <v>73.73999999999999</v>
      </c>
      <c r="DU568" s="2" t="n">
        <v>0</v>
      </c>
      <c r="DV568" s="2" t="n">
        <v>81.81999999999999</v>
      </c>
      <c r="DW568" s="2" t="n">
        <v>93.94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</row>
    <row r="569">
      <c r="A569" s="2" t="n">
        <v>2</v>
      </c>
      <c r="B569" s="2" t="inlineStr">
        <is>
          <t>24.06</t>
        </is>
      </c>
      <c r="C569" s="2" t="inlineStr">
        <is>
          <t>Proteção de elevadores definitivos com madeira, papelão e plástico durante a utilização pela obra</t>
        </is>
      </c>
      <c r="D569" s="2" t="inlineStr">
        <is>
          <t>19/05/2028</t>
        </is>
      </c>
      <c r="E569" s="2" t="inlineStr">
        <is>
          <t>09/10/2028</t>
        </is>
      </c>
      <c r="F569" s="2" t="n">
        <v>10000</v>
      </c>
      <c r="G569" s="2" t="n">
        <v>0</v>
      </c>
      <c r="H569" s="2" t="n">
        <v>10000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</v>
      </c>
      <c r="CS569" s="2" t="n">
        <v>0</v>
      </c>
      <c r="CT569" s="2" t="n">
        <v>0</v>
      </c>
      <c r="CU569" s="2" t="n">
        <v>0</v>
      </c>
      <c r="CV569" s="2" t="n">
        <v>0</v>
      </c>
      <c r="CW569" s="2" t="n">
        <v>0</v>
      </c>
      <c r="CX569" s="2" t="n">
        <v>0</v>
      </c>
      <c r="CY569" s="2" t="n">
        <v>0</v>
      </c>
      <c r="CZ569" s="2" t="n">
        <v>0</v>
      </c>
      <c r="DA569" s="2" t="n">
        <v>0</v>
      </c>
      <c r="DB569" s="2" t="n">
        <v>0</v>
      </c>
      <c r="DC569" s="2" t="n">
        <v>0</v>
      </c>
      <c r="DD569" s="2" t="n">
        <v>0</v>
      </c>
      <c r="DE569" s="2" t="n">
        <v>0</v>
      </c>
      <c r="DF569" s="2" t="n">
        <v>0</v>
      </c>
      <c r="DG569" s="2" t="n">
        <v>0</v>
      </c>
      <c r="DH569" s="2" t="n">
        <v>0</v>
      </c>
      <c r="DI569" s="2" t="n">
        <v>0</v>
      </c>
      <c r="DJ569" s="2" t="n">
        <v>0</v>
      </c>
      <c r="DK569" s="2" t="n">
        <v>9.09</v>
      </c>
      <c r="DL569" s="2" t="n">
        <v>0</v>
      </c>
      <c r="DM569" s="2" t="n">
        <v>18.18</v>
      </c>
      <c r="DN569" s="2" t="n">
        <v>30.3</v>
      </c>
      <c r="DO569" s="2" t="n">
        <v>0</v>
      </c>
      <c r="DP569" s="2" t="n">
        <v>39.39</v>
      </c>
      <c r="DQ569" s="2" t="n">
        <v>51.52</v>
      </c>
      <c r="DR569" s="2" t="n">
        <v>0</v>
      </c>
      <c r="DS569" s="2" t="n">
        <v>61.62</v>
      </c>
      <c r="DT569" s="2" t="n">
        <v>73.73999999999999</v>
      </c>
      <c r="DU569" s="2" t="n">
        <v>0</v>
      </c>
      <c r="DV569" s="2" t="n">
        <v>81.81999999999999</v>
      </c>
      <c r="DW569" s="2" t="n">
        <v>93.94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</row>
    <row r="570">
      <c r="A570" s="2" t="n">
        <v>2</v>
      </c>
      <c r="B570" s="2" t="inlineStr">
        <is>
          <t>24.07</t>
        </is>
      </c>
      <c r="C570" s="2" t="inlineStr">
        <is>
          <t>Serviços complementares à instalação e operação dos elevadores (içamento de motor, chumbamento de portas, preparo do poço)</t>
        </is>
      </c>
      <c r="D570" s="2" t="inlineStr">
        <is>
          <t>19/05/2028</t>
        </is>
      </c>
      <c r="E570" s="2" t="inlineStr">
        <is>
          <t>09/10/2028</t>
        </is>
      </c>
      <c r="F570" s="2" t="n">
        <v>100000</v>
      </c>
      <c r="G570" s="2" t="n">
        <v>0</v>
      </c>
      <c r="H570" s="2" t="n">
        <v>100000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</v>
      </c>
      <c r="CS570" s="2" t="n">
        <v>0</v>
      </c>
      <c r="CT570" s="2" t="n">
        <v>0</v>
      </c>
      <c r="CU570" s="2" t="n">
        <v>0</v>
      </c>
      <c r="CV570" s="2" t="n">
        <v>0</v>
      </c>
      <c r="CW570" s="2" t="n">
        <v>0</v>
      </c>
      <c r="CX570" s="2" t="n">
        <v>0</v>
      </c>
      <c r="CY570" s="2" t="n">
        <v>0</v>
      </c>
      <c r="CZ570" s="2" t="n">
        <v>0</v>
      </c>
      <c r="DA570" s="2" t="n">
        <v>0</v>
      </c>
      <c r="DB570" s="2" t="n">
        <v>0</v>
      </c>
      <c r="DC570" s="2" t="n">
        <v>0</v>
      </c>
      <c r="DD570" s="2" t="n">
        <v>0</v>
      </c>
      <c r="DE570" s="2" t="n">
        <v>0</v>
      </c>
      <c r="DF570" s="2" t="n">
        <v>0</v>
      </c>
      <c r="DG570" s="2" t="n">
        <v>0</v>
      </c>
      <c r="DH570" s="2" t="n">
        <v>0</v>
      </c>
      <c r="DI570" s="2" t="n">
        <v>0</v>
      </c>
      <c r="DJ570" s="2" t="n">
        <v>0</v>
      </c>
      <c r="DK570" s="2" t="n">
        <v>9.09</v>
      </c>
      <c r="DL570" s="2" t="n">
        <v>0</v>
      </c>
      <c r="DM570" s="2" t="n">
        <v>18.18</v>
      </c>
      <c r="DN570" s="2" t="n">
        <v>30.3</v>
      </c>
      <c r="DO570" s="2" t="n">
        <v>0</v>
      </c>
      <c r="DP570" s="2" t="n">
        <v>39.39</v>
      </c>
      <c r="DQ570" s="2" t="n">
        <v>51.52</v>
      </c>
      <c r="DR570" s="2" t="n">
        <v>0</v>
      </c>
      <c r="DS570" s="2" t="n">
        <v>61.62</v>
      </c>
      <c r="DT570" s="2" t="n">
        <v>73.73999999999999</v>
      </c>
      <c r="DU570" s="2" t="n">
        <v>0</v>
      </c>
      <c r="DV570" s="2" t="n">
        <v>81.81999999999999</v>
      </c>
      <c r="DW570" s="2" t="n">
        <v>93.94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</row>
    <row r="571">
      <c r="A571" s="2" t="n">
        <v>1</v>
      </c>
      <c r="B571" s="2" t="inlineStr">
        <is>
          <t>25</t>
        </is>
      </c>
      <c r="C571" s="2" t="inlineStr">
        <is>
          <t>ESQUADRIAS</t>
        </is>
      </c>
      <c r="D571" s="2" t="inlineStr">
        <is>
          <t>07/12/2027</t>
        </is>
      </c>
      <c r="E571" s="2" t="inlineStr">
        <is>
          <t>17/11/2028</t>
        </is>
      </c>
      <c r="F571" s="2" t="n">
        <v>11181479.74402711</v>
      </c>
      <c r="G571" s="2" t="n">
        <v>0</v>
      </c>
      <c r="H571" s="2" t="n">
        <v>11181479.74402711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</v>
      </c>
      <c r="CS571" s="2" t="n">
        <v>0</v>
      </c>
      <c r="CT571" s="2" t="n">
        <v>0</v>
      </c>
      <c r="CU571" s="2" t="n">
        <v>2.75</v>
      </c>
      <c r="CV571" s="2" t="n">
        <v>4.72</v>
      </c>
      <c r="CW571" s="2" t="n">
        <v>0</v>
      </c>
      <c r="CX571" s="2" t="n">
        <v>11.01</v>
      </c>
      <c r="CY571" s="2" t="n">
        <v>12.97</v>
      </c>
      <c r="CZ571" s="2" t="n">
        <v>0</v>
      </c>
      <c r="DA571" s="2" t="n">
        <v>20.61</v>
      </c>
      <c r="DB571" s="2" t="n">
        <v>22.75</v>
      </c>
      <c r="DC571" s="2" t="n">
        <v>0</v>
      </c>
      <c r="DD571" s="2" t="n">
        <v>31.93</v>
      </c>
      <c r="DE571" s="2" t="n">
        <v>33.92</v>
      </c>
      <c r="DF571" s="2" t="n">
        <v>0</v>
      </c>
      <c r="DG571" s="2" t="n">
        <v>39.09</v>
      </c>
      <c r="DH571" s="2" t="n">
        <v>41.06</v>
      </c>
      <c r="DI571" s="2" t="n">
        <v>0</v>
      </c>
      <c r="DJ571" s="2" t="n">
        <v>47.9</v>
      </c>
      <c r="DK571" s="2" t="n">
        <v>49.88</v>
      </c>
      <c r="DL571" s="2" t="n">
        <v>0</v>
      </c>
      <c r="DM571" s="2" t="n">
        <v>57.31</v>
      </c>
      <c r="DN571" s="2" t="n">
        <v>59.45</v>
      </c>
      <c r="DO571" s="2" t="n">
        <v>0</v>
      </c>
      <c r="DP571" s="2" t="n">
        <v>66.15000000000001</v>
      </c>
      <c r="DQ571" s="2" t="n">
        <v>68.87</v>
      </c>
      <c r="DR571" s="2" t="n">
        <v>0</v>
      </c>
      <c r="DS571" s="2" t="n">
        <v>75.76000000000001</v>
      </c>
      <c r="DT571" s="2" t="n">
        <v>79.81999999999999</v>
      </c>
      <c r="DU571" s="2" t="n">
        <v>0</v>
      </c>
      <c r="DV571" s="2" t="n">
        <v>85.72</v>
      </c>
      <c r="DW571" s="2" t="n">
        <v>90.05</v>
      </c>
      <c r="DX571" s="2" t="n">
        <v>0</v>
      </c>
      <c r="DY571" s="2" t="n">
        <v>95.36</v>
      </c>
      <c r="DZ571" s="2" t="n">
        <v>96.20999999999999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</row>
    <row r="572">
      <c r="A572" s="2" t="n">
        <v>2</v>
      </c>
      <c r="B572" s="2" t="inlineStr">
        <is>
          <t>25.02</t>
        </is>
      </c>
      <c r="C572" s="2" t="inlineStr">
        <is>
          <t>Esquadrias de alumínio</t>
        </is>
      </c>
      <c r="D572" s="2" t="inlineStr">
        <is>
          <t>07/12/2027</t>
        </is>
      </c>
      <c r="E572" s="2" t="inlineStr">
        <is>
          <t>17/11/2028</t>
        </is>
      </c>
      <c r="F572" s="2" t="n">
        <v>11181479.74402711</v>
      </c>
      <c r="G572" s="2" t="n">
        <v>0</v>
      </c>
      <c r="H572" s="2" t="n">
        <v>11181479.74402711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0</v>
      </c>
      <c r="CM572" s="2" t="n">
        <v>0</v>
      </c>
      <c r="CN572" s="2" t="n">
        <v>0</v>
      </c>
      <c r="CO572" s="2" t="n">
        <v>0</v>
      </c>
      <c r="CP572" s="2" t="n">
        <v>0</v>
      </c>
      <c r="CQ572" s="2" t="n">
        <v>0</v>
      </c>
      <c r="CR572" s="2" t="n">
        <v>0</v>
      </c>
      <c r="CS572" s="2" t="n">
        <v>0</v>
      </c>
      <c r="CT572" s="2" t="n">
        <v>0</v>
      </c>
      <c r="CU572" s="2" t="n">
        <v>2.75</v>
      </c>
      <c r="CV572" s="2" t="n">
        <v>4.72</v>
      </c>
      <c r="CW572" s="2" t="n">
        <v>0</v>
      </c>
      <c r="CX572" s="2" t="n">
        <v>11.01</v>
      </c>
      <c r="CY572" s="2" t="n">
        <v>12.97</v>
      </c>
      <c r="CZ572" s="2" t="n">
        <v>0</v>
      </c>
      <c r="DA572" s="2" t="n">
        <v>20.61</v>
      </c>
      <c r="DB572" s="2" t="n">
        <v>22.75</v>
      </c>
      <c r="DC572" s="2" t="n">
        <v>0</v>
      </c>
      <c r="DD572" s="2" t="n">
        <v>31.93</v>
      </c>
      <c r="DE572" s="2" t="n">
        <v>33.92</v>
      </c>
      <c r="DF572" s="2" t="n">
        <v>0</v>
      </c>
      <c r="DG572" s="2" t="n">
        <v>39.09</v>
      </c>
      <c r="DH572" s="2" t="n">
        <v>41.06</v>
      </c>
      <c r="DI572" s="2" t="n">
        <v>0</v>
      </c>
      <c r="DJ572" s="2" t="n">
        <v>47.9</v>
      </c>
      <c r="DK572" s="2" t="n">
        <v>49.88</v>
      </c>
      <c r="DL572" s="2" t="n">
        <v>0</v>
      </c>
      <c r="DM572" s="2" t="n">
        <v>57.31</v>
      </c>
      <c r="DN572" s="2" t="n">
        <v>59.45</v>
      </c>
      <c r="DO572" s="2" t="n">
        <v>0</v>
      </c>
      <c r="DP572" s="2" t="n">
        <v>66.15000000000001</v>
      </c>
      <c r="DQ572" s="2" t="n">
        <v>68.87</v>
      </c>
      <c r="DR572" s="2" t="n">
        <v>0</v>
      </c>
      <c r="DS572" s="2" t="n">
        <v>75.76000000000001</v>
      </c>
      <c r="DT572" s="2" t="n">
        <v>79.81999999999999</v>
      </c>
      <c r="DU572" s="2" t="n">
        <v>0</v>
      </c>
      <c r="DV572" s="2" t="n">
        <v>85.72</v>
      </c>
      <c r="DW572" s="2" t="n">
        <v>90.05</v>
      </c>
      <c r="DX572" s="2" t="n">
        <v>0</v>
      </c>
      <c r="DY572" s="2" t="n">
        <v>95.36</v>
      </c>
      <c r="DZ572" s="2" t="n">
        <v>96.20999999999999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</row>
    <row r="573">
      <c r="A573" s="2" t="n">
        <v>3</v>
      </c>
      <c r="B573" s="2" t="inlineStr">
        <is>
          <t>25.02.01</t>
        </is>
      </c>
      <c r="C573" s="2" t="inlineStr">
        <is>
          <t>Contramarcos para esquadrias de alumínio</t>
        </is>
      </c>
      <c r="D573" s="2" t="inlineStr">
        <is>
          <t>07/12/2027</t>
        </is>
      </c>
      <c r="E573" s="2" t="inlineStr">
        <is>
          <t>17/11/2028</t>
        </is>
      </c>
      <c r="F573" s="2" t="n">
        <v>846000.8305032968</v>
      </c>
      <c r="G573" s="2" t="n">
        <v>0</v>
      </c>
      <c r="H573" s="2" t="n">
        <v>846000.8305032968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0</v>
      </c>
      <c r="CM573" s="2" t="n">
        <v>0</v>
      </c>
      <c r="CN573" s="2" t="n">
        <v>0</v>
      </c>
      <c r="CO573" s="2" t="n">
        <v>0</v>
      </c>
      <c r="CP573" s="2" t="n">
        <v>0</v>
      </c>
      <c r="CQ573" s="2" t="n">
        <v>0</v>
      </c>
      <c r="CR573" s="2" t="n">
        <v>0</v>
      </c>
      <c r="CS573" s="2" t="n">
        <v>0</v>
      </c>
      <c r="CT573" s="2" t="n">
        <v>0</v>
      </c>
      <c r="CU573" s="2" t="n">
        <v>2.86</v>
      </c>
      <c r="CV573" s="2" t="n">
        <v>4.91</v>
      </c>
      <c r="CW573" s="2" t="n">
        <v>0</v>
      </c>
      <c r="CX573" s="2" t="n">
        <v>11.45</v>
      </c>
      <c r="CY573" s="2" t="n">
        <v>13.5</v>
      </c>
      <c r="CZ573" s="2" t="n">
        <v>0</v>
      </c>
      <c r="DA573" s="2" t="n">
        <v>21.44</v>
      </c>
      <c r="DB573" s="2" t="n">
        <v>23.66</v>
      </c>
      <c r="DC573" s="2" t="n">
        <v>0</v>
      </c>
      <c r="DD573" s="2" t="n">
        <v>33.22</v>
      </c>
      <c r="DE573" s="2" t="n">
        <v>35.28</v>
      </c>
      <c r="DF573" s="2" t="n">
        <v>0</v>
      </c>
      <c r="DG573" s="2" t="n">
        <v>40.67</v>
      </c>
      <c r="DH573" s="2" t="n">
        <v>42.71</v>
      </c>
      <c r="DI573" s="2" t="n">
        <v>0</v>
      </c>
      <c r="DJ573" s="2" t="n">
        <v>49.83</v>
      </c>
      <c r="DK573" s="2" t="n">
        <v>51.89</v>
      </c>
      <c r="DL573" s="2" t="n">
        <v>0</v>
      </c>
      <c r="DM573" s="2" t="n">
        <v>59.62</v>
      </c>
      <c r="DN573" s="2" t="n">
        <v>61.84</v>
      </c>
      <c r="DO573" s="2" t="n">
        <v>0</v>
      </c>
      <c r="DP573" s="2" t="n">
        <v>68.81</v>
      </c>
      <c r="DQ573" s="2" t="n">
        <v>71.23999999999999</v>
      </c>
      <c r="DR573" s="2" t="n">
        <v>0</v>
      </c>
      <c r="DS573" s="2" t="n">
        <v>78.20999999999999</v>
      </c>
      <c r="DT573" s="2" t="n">
        <v>80.42</v>
      </c>
      <c r="DU573" s="2" t="n">
        <v>0</v>
      </c>
      <c r="DV573" s="2" t="n">
        <v>86.55</v>
      </c>
      <c r="DW573" s="2" t="n">
        <v>89.65000000000001</v>
      </c>
      <c r="DX573" s="2" t="n">
        <v>0</v>
      </c>
      <c r="DY573" s="2" t="n">
        <v>95.18000000000001</v>
      </c>
      <c r="DZ573" s="2" t="n">
        <v>96.06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</row>
    <row r="574">
      <c r="A574" s="2" t="n">
        <v>3</v>
      </c>
      <c r="B574" s="2" t="inlineStr">
        <is>
          <t>25.02.02</t>
        </is>
      </c>
      <c r="C574" s="2" t="inlineStr">
        <is>
          <t>Esquadrias de alumínio</t>
        </is>
      </c>
      <c r="D574" s="2" t="inlineStr">
        <is>
          <t>07/12/2027</t>
        </is>
      </c>
      <c r="E574" s="2" t="inlineStr">
        <is>
          <t>17/11/2028</t>
        </is>
      </c>
      <c r="F574" s="2" t="n">
        <v>9398784</v>
      </c>
      <c r="G574" s="2" t="n">
        <v>0</v>
      </c>
      <c r="H574" s="2" t="n">
        <v>9398784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0</v>
      </c>
      <c r="CM574" s="2" t="n">
        <v>0</v>
      </c>
      <c r="CN574" s="2" t="n">
        <v>0</v>
      </c>
      <c r="CO574" s="2" t="n">
        <v>0</v>
      </c>
      <c r="CP574" s="2" t="n">
        <v>0</v>
      </c>
      <c r="CQ574" s="2" t="n">
        <v>0</v>
      </c>
      <c r="CR574" s="2" t="n">
        <v>0</v>
      </c>
      <c r="CS574" s="2" t="n">
        <v>0</v>
      </c>
      <c r="CT574" s="2" t="n">
        <v>0</v>
      </c>
      <c r="CU574" s="2" t="n">
        <v>2.86</v>
      </c>
      <c r="CV574" s="2" t="n">
        <v>4.91</v>
      </c>
      <c r="CW574" s="2" t="n">
        <v>0</v>
      </c>
      <c r="CX574" s="2" t="n">
        <v>11.45</v>
      </c>
      <c r="CY574" s="2" t="n">
        <v>13.5</v>
      </c>
      <c r="CZ574" s="2" t="n">
        <v>0</v>
      </c>
      <c r="DA574" s="2" t="n">
        <v>21.44</v>
      </c>
      <c r="DB574" s="2" t="n">
        <v>23.66</v>
      </c>
      <c r="DC574" s="2" t="n">
        <v>0</v>
      </c>
      <c r="DD574" s="2" t="n">
        <v>33.22</v>
      </c>
      <c r="DE574" s="2" t="n">
        <v>35.28</v>
      </c>
      <c r="DF574" s="2" t="n">
        <v>0</v>
      </c>
      <c r="DG574" s="2" t="n">
        <v>40.67</v>
      </c>
      <c r="DH574" s="2" t="n">
        <v>42.71</v>
      </c>
      <c r="DI574" s="2" t="n">
        <v>0</v>
      </c>
      <c r="DJ574" s="2" t="n">
        <v>49.83</v>
      </c>
      <c r="DK574" s="2" t="n">
        <v>51.89</v>
      </c>
      <c r="DL574" s="2" t="n">
        <v>0</v>
      </c>
      <c r="DM574" s="2" t="n">
        <v>59.62</v>
      </c>
      <c r="DN574" s="2" t="n">
        <v>61.84</v>
      </c>
      <c r="DO574" s="2" t="n">
        <v>0</v>
      </c>
      <c r="DP574" s="2" t="n">
        <v>68.81</v>
      </c>
      <c r="DQ574" s="2" t="n">
        <v>71.23999999999999</v>
      </c>
      <c r="DR574" s="2" t="n">
        <v>0</v>
      </c>
      <c r="DS574" s="2" t="n">
        <v>78.20999999999999</v>
      </c>
      <c r="DT574" s="2" t="n">
        <v>80.42</v>
      </c>
      <c r="DU574" s="2" t="n">
        <v>0</v>
      </c>
      <c r="DV574" s="2" t="n">
        <v>86.55</v>
      </c>
      <c r="DW574" s="2" t="n">
        <v>89.65000000000001</v>
      </c>
      <c r="DX574" s="2" t="n">
        <v>0</v>
      </c>
      <c r="DY574" s="2" t="n">
        <v>95.18000000000001</v>
      </c>
      <c r="DZ574" s="2" t="n">
        <v>96.06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</row>
    <row r="575">
      <c r="A575" s="2" t="n">
        <v>3</v>
      </c>
      <c r="B575" s="2" t="inlineStr">
        <is>
          <t>25.02.03</t>
        </is>
      </c>
      <c r="C575" s="2" t="inlineStr">
        <is>
          <t>Marquise da varanda do pavimento térreo</t>
        </is>
      </c>
      <c r="D575" s="2" t="inlineStr">
        <is>
          <t>07/12/2027</t>
        </is>
      </c>
      <c r="E575" s="2" t="inlineStr">
        <is>
          <t>17/11/2028</t>
        </is>
      </c>
      <c r="F575" s="2" t="n">
        <v>206508.5238095238</v>
      </c>
      <c r="G575" s="2" t="n">
        <v>0</v>
      </c>
      <c r="H575" s="2" t="n">
        <v>206508.5238095238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0</v>
      </c>
      <c r="CM575" s="2" t="n">
        <v>0</v>
      </c>
      <c r="CN575" s="2" t="n">
        <v>0</v>
      </c>
      <c r="CO575" s="2" t="n">
        <v>0</v>
      </c>
      <c r="CP575" s="2" t="n">
        <v>0</v>
      </c>
      <c r="CQ575" s="2" t="n">
        <v>0</v>
      </c>
      <c r="CR575" s="2" t="n">
        <v>0</v>
      </c>
      <c r="CS575" s="2" t="n">
        <v>0</v>
      </c>
      <c r="CT575" s="2" t="n">
        <v>0</v>
      </c>
      <c r="CU575" s="2" t="n">
        <v>2.86</v>
      </c>
      <c r="CV575" s="2" t="n">
        <v>4.91</v>
      </c>
      <c r="CW575" s="2" t="n">
        <v>0</v>
      </c>
      <c r="CX575" s="2" t="n">
        <v>11.45</v>
      </c>
      <c r="CY575" s="2" t="n">
        <v>13.5</v>
      </c>
      <c r="CZ575" s="2" t="n">
        <v>0</v>
      </c>
      <c r="DA575" s="2" t="n">
        <v>21.44</v>
      </c>
      <c r="DB575" s="2" t="n">
        <v>23.66</v>
      </c>
      <c r="DC575" s="2" t="n">
        <v>0</v>
      </c>
      <c r="DD575" s="2" t="n">
        <v>33.22</v>
      </c>
      <c r="DE575" s="2" t="n">
        <v>35.28</v>
      </c>
      <c r="DF575" s="2" t="n">
        <v>0</v>
      </c>
      <c r="DG575" s="2" t="n">
        <v>40.67</v>
      </c>
      <c r="DH575" s="2" t="n">
        <v>42.71</v>
      </c>
      <c r="DI575" s="2" t="n">
        <v>0</v>
      </c>
      <c r="DJ575" s="2" t="n">
        <v>49.83</v>
      </c>
      <c r="DK575" s="2" t="n">
        <v>51.89</v>
      </c>
      <c r="DL575" s="2" t="n">
        <v>0</v>
      </c>
      <c r="DM575" s="2" t="n">
        <v>59.62</v>
      </c>
      <c r="DN575" s="2" t="n">
        <v>61.84</v>
      </c>
      <c r="DO575" s="2" t="n">
        <v>0</v>
      </c>
      <c r="DP575" s="2" t="n">
        <v>68.81</v>
      </c>
      <c r="DQ575" s="2" t="n">
        <v>71.23999999999999</v>
      </c>
      <c r="DR575" s="2" t="n">
        <v>0</v>
      </c>
      <c r="DS575" s="2" t="n">
        <v>78.20999999999999</v>
      </c>
      <c r="DT575" s="2" t="n">
        <v>80.42</v>
      </c>
      <c r="DU575" s="2" t="n">
        <v>0</v>
      </c>
      <c r="DV575" s="2" t="n">
        <v>86.55</v>
      </c>
      <c r="DW575" s="2" t="n">
        <v>89.65000000000001</v>
      </c>
      <c r="DX575" s="2" t="n">
        <v>0</v>
      </c>
      <c r="DY575" s="2" t="n">
        <v>95.18000000000001</v>
      </c>
      <c r="DZ575" s="2" t="n">
        <v>96.06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</row>
    <row r="576">
      <c r="A576" s="2" t="n">
        <v>3</v>
      </c>
      <c r="B576" s="2" t="inlineStr">
        <is>
          <t>25.02.04</t>
        </is>
      </c>
      <c r="C576" s="2" t="inlineStr">
        <is>
          <t>Brise de fechamento das garagens</t>
        </is>
      </c>
      <c r="D576" s="2" t="inlineStr">
        <is>
          <t>26/07/2028</t>
        </is>
      </c>
      <c r="E576" s="2" t="inlineStr">
        <is>
          <t>26/09/2028</t>
        </is>
      </c>
      <c r="F576" s="2" t="n">
        <v>433114.2857142857</v>
      </c>
      <c r="G576" s="2" t="n">
        <v>0</v>
      </c>
      <c r="H576" s="2" t="n">
        <v>433114.2857142857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0</v>
      </c>
      <c r="CM576" s="2" t="n">
        <v>0</v>
      </c>
      <c r="CN576" s="2" t="n">
        <v>0</v>
      </c>
      <c r="CO576" s="2" t="n">
        <v>0</v>
      </c>
      <c r="CP576" s="2" t="n">
        <v>0</v>
      </c>
      <c r="CQ576" s="2" t="n">
        <v>0</v>
      </c>
      <c r="CR576" s="2" t="n">
        <v>0</v>
      </c>
      <c r="CS576" s="2" t="n">
        <v>0</v>
      </c>
      <c r="CT576" s="2" t="n">
        <v>0</v>
      </c>
      <c r="CU576" s="2" t="n">
        <v>0</v>
      </c>
      <c r="CV576" s="2" t="n">
        <v>0</v>
      </c>
      <c r="CW576" s="2" t="n">
        <v>0</v>
      </c>
      <c r="CX576" s="2" t="n">
        <v>0</v>
      </c>
      <c r="CY576" s="2" t="n">
        <v>0</v>
      </c>
      <c r="CZ576" s="2" t="n">
        <v>0</v>
      </c>
      <c r="DA576" s="2" t="n">
        <v>0</v>
      </c>
      <c r="DB576" s="2" t="n">
        <v>0</v>
      </c>
      <c r="DC576" s="2" t="n">
        <v>0</v>
      </c>
      <c r="DD576" s="2" t="n">
        <v>0</v>
      </c>
      <c r="DE576" s="2" t="n">
        <v>0</v>
      </c>
      <c r="DF576" s="2" t="n">
        <v>0</v>
      </c>
      <c r="DG576" s="2" t="n">
        <v>0</v>
      </c>
      <c r="DH576" s="2" t="n">
        <v>0</v>
      </c>
      <c r="DI576" s="2" t="n">
        <v>0</v>
      </c>
      <c r="DJ576" s="2" t="n">
        <v>0</v>
      </c>
      <c r="DK576" s="2" t="n">
        <v>0</v>
      </c>
      <c r="DL576" s="2" t="n">
        <v>0</v>
      </c>
      <c r="DM576" s="2" t="n">
        <v>0</v>
      </c>
      <c r="DN576" s="2" t="n">
        <v>0</v>
      </c>
      <c r="DO576" s="2" t="n">
        <v>0</v>
      </c>
      <c r="DP576" s="2" t="n">
        <v>0</v>
      </c>
      <c r="DQ576" s="2" t="n">
        <v>10</v>
      </c>
      <c r="DR576" s="2" t="n">
        <v>0</v>
      </c>
      <c r="DS576" s="2" t="n">
        <v>15</v>
      </c>
      <c r="DT576" s="2" t="n">
        <v>65</v>
      </c>
      <c r="DU576" s="2" t="n">
        <v>0</v>
      </c>
      <c r="DV576" s="2" t="n">
        <v>65</v>
      </c>
      <c r="DW576" s="2" t="n">
        <v>100</v>
      </c>
      <c r="DX576" s="2" t="n">
        <v>0</v>
      </c>
      <c r="DY576" s="2" t="n">
        <v>100</v>
      </c>
      <c r="DZ576" s="2" t="n">
        <v>100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</row>
    <row r="577">
      <c r="A577" s="2" t="n">
        <v>3</v>
      </c>
      <c r="B577" s="2" t="inlineStr">
        <is>
          <t>25.02.05</t>
        </is>
      </c>
      <c r="C577" s="2" t="inlineStr">
        <is>
          <t>Brise em veneziana de alumínio cor Bronze 104</t>
        </is>
      </c>
      <c r="D577" s="2" t="inlineStr">
        <is>
          <t>07/12/2027</t>
        </is>
      </c>
      <c r="E577" s="2" t="inlineStr">
        <is>
          <t>17/11/2028</t>
        </is>
      </c>
      <c r="F577" s="2" t="n">
        <v>268243.7583</v>
      </c>
      <c r="G577" s="2" t="n">
        <v>0</v>
      </c>
      <c r="H577" s="2" t="n">
        <v>268243.7583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0</v>
      </c>
      <c r="CM577" s="2" t="n">
        <v>0</v>
      </c>
      <c r="CN577" s="2" t="n">
        <v>0</v>
      </c>
      <c r="CO577" s="2" t="n">
        <v>0</v>
      </c>
      <c r="CP577" s="2" t="n">
        <v>0</v>
      </c>
      <c r="CQ577" s="2" t="n">
        <v>0</v>
      </c>
      <c r="CR577" s="2" t="n">
        <v>0</v>
      </c>
      <c r="CS577" s="2" t="n">
        <v>0</v>
      </c>
      <c r="CT577" s="2" t="n">
        <v>0</v>
      </c>
      <c r="CU577" s="2" t="n">
        <v>2.86</v>
      </c>
      <c r="CV577" s="2" t="n">
        <v>4.91</v>
      </c>
      <c r="CW577" s="2" t="n">
        <v>0</v>
      </c>
      <c r="CX577" s="2" t="n">
        <v>11.45</v>
      </c>
      <c r="CY577" s="2" t="n">
        <v>13.5</v>
      </c>
      <c r="CZ577" s="2" t="n">
        <v>0</v>
      </c>
      <c r="DA577" s="2" t="n">
        <v>21.44</v>
      </c>
      <c r="DB577" s="2" t="n">
        <v>23.66</v>
      </c>
      <c r="DC577" s="2" t="n">
        <v>0</v>
      </c>
      <c r="DD577" s="2" t="n">
        <v>33.22</v>
      </c>
      <c r="DE577" s="2" t="n">
        <v>35.28</v>
      </c>
      <c r="DF577" s="2" t="n">
        <v>0</v>
      </c>
      <c r="DG577" s="2" t="n">
        <v>40.67</v>
      </c>
      <c r="DH577" s="2" t="n">
        <v>42.71</v>
      </c>
      <c r="DI577" s="2" t="n">
        <v>0</v>
      </c>
      <c r="DJ577" s="2" t="n">
        <v>49.83</v>
      </c>
      <c r="DK577" s="2" t="n">
        <v>51.89</v>
      </c>
      <c r="DL577" s="2" t="n">
        <v>0</v>
      </c>
      <c r="DM577" s="2" t="n">
        <v>59.62</v>
      </c>
      <c r="DN577" s="2" t="n">
        <v>61.84</v>
      </c>
      <c r="DO577" s="2" t="n">
        <v>0</v>
      </c>
      <c r="DP577" s="2" t="n">
        <v>68.81</v>
      </c>
      <c r="DQ577" s="2" t="n">
        <v>71.23999999999999</v>
      </c>
      <c r="DR577" s="2" t="n">
        <v>0</v>
      </c>
      <c r="DS577" s="2" t="n">
        <v>78.20999999999999</v>
      </c>
      <c r="DT577" s="2" t="n">
        <v>80.42</v>
      </c>
      <c r="DU577" s="2" t="n">
        <v>0</v>
      </c>
      <c r="DV577" s="2" t="n">
        <v>86.55</v>
      </c>
      <c r="DW577" s="2" t="n">
        <v>89.65000000000001</v>
      </c>
      <c r="DX577" s="2" t="n">
        <v>0</v>
      </c>
      <c r="DY577" s="2" t="n">
        <v>95.18000000000001</v>
      </c>
      <c r="DZ577" s="2" t="n">
        <v>96.06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</row>
    <row r="578">
      <c r="A578" s="2" t="n">
        <v>3</v>
      </c>
      <c r="B578" s="2" t="inlineStr">
        <is>
          <t>25.02.06</t>
        </is>
      </c>
      <c r="C578" s="2" t="inlineStr">
        <is>
          <t>Veneziana - Platibanda cobertura</t>
        </is>
      </c>
      <c r="D578" s="2" t="inlineStr">
        <is>
          <t>07/12/2027</t>
        </is>
      </c>
      <c r="E578" s="2" t="inlineStr">
        <is>
          <t>17/11/2028</t>
        </is>
      </c>
      <c r="F578" s="2" t="n">
        <v>28828.3457</v>
      </c>
      <c r="G578" s="2" t="n">
        <v>0</v>
      </c>
      <c r="H578" s="2" t="n">
        <v>28828.3457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0</v>
      </c>
      <c r="CM578" s="2" t="n">
        <v>0</v>
      </c>
      <c r="CN578" s="2" t="n">
        <v>0</v>
      </c>
      <c r="CO578" s="2" t="n">
        <v>0</v>
      </c>
      <c r="CP578" s="2" t="n">
        <v>0</v>
      </c>
      <c r="CQ578" s="2" t="n">
        <v>0</v>
      </c>
      <c r="CR578" s="2" t="n">
        <v>0</v>
      </c>
      <c r="CS578" s="2" t="n">
        <v>0</v>
      </c>
      <c r="CT578" s="2" t="n">
        <v>0</v>
      </c>
      <c r="CU578" s="2" t="n">
        <v>2.86</v>
      </c>
      <c r="CV578" s="2" t="n">
        <v>4.91</v>
      </c>
      <c r="CW578" s="2" t="n">
        <v>0</v>
      </c>
      <c r="CX578" s="2" t="n">
        <v>11.45</v>
      </c>
      <c r="CY578" s="2" t="n">
        <v>13.5</v>
      </c>
      <c r="CZ578" s="2" t="n">
        <v>0</v>
      </c>
      <c r="DA578" s="2" t="n">
        <v>21.44</v>
      </c>
      <c r="DB578" s="2" t="n">
        <v>23.66</v>
      </c>
      <c r="DC578" s="2" t="n">
        <v>0</v>
      </c>
      <c r="DD578" s="2" t="n">
        <v>33.22</v>
      </c>
      <c r="DE578" s="2" t="n">
        <v>35.28</v>
      </c>
      <c r="DF578" s="2" t="n">
        <v>0</v>
      </c>
      <c r="DG578" s="2" t="n">
        <v>40.67</v>
      </c>
      <c r="DH578" s="2" t="n">
        <v>42.71</v>
      </c>
      <c r="DI578" s="2" t="n">
        <v>0</v>
      </c>
      <c r="DJ578" s="2" t="n">
        <v>49.83</v>
      </c>
      <c r="DK578" s="2" t="n">
        <v>51.89</v>
      </c>
      <c r="DL578" s="2" t="n">
        <v>0</v>
      </c>
      <c r="DM578" s="2" t="n">
        <v>59.62</v>
      </c>
      <c r="DN578" s="2" t="n">
        <v>61.84</v>
      </c>
      <c r="DO578" s="2" t="n">
        <v>0</v>
      </c>
      <c r="DP578" s="2" t="n">
        <v>68.81</v>
      </c>
      <c r="DQ578" s="2" t="n">
        <v>71.23999999999999</v>
      </c>
      <c r="DR578" s="2" t="n">
        <v>0</v>
      </c>
      <c r="DS578" s="2" t="n">
        <v>78.20999999999999</v>
      </c>
      <c r="DT578" s="2" t="n">
        <v>80.42</v>
      </c>
      <c r="DU578" s="2" t="n">
        <v>0</v>
      </c>
      <c r="DV578" s="2" t="n">
        <v>86.55</v>
      </c>
      <c r="DW578" s="2" t="n">
        <v>89.65000000000001</v>
      </c>
      <c r="DX578" s="2" t="n">
        <v>0</v>
      </c>
      <c r="DY578" s="2" t="n">
        <v>95.18000000000001</v>
      </c>
      <c r="DZ578" s="2" t="n">
        <v>96.06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</row>
    <row r="579">
      <c r="A579" s="2" t="n">
        <v>1</v>
      </c>
      <c r="B579" s="2" t="inlineStr">
        <is>
          <t>26</t>
        </is>
      </c>
      <c r="C579" s="2" t="inlineStr">
        <is>
          <t>SERRALHERIA</t>
        </is>
      </c>
      <c r="D579" s="2" t="inlineStr">
        <is>
          <t>02/08/2027</t>
        </is>
      </c>
      <c r="E579" s="2" t="inlineStr">
        <is>
          <t>25/01/2029</t>
        </is>
      </c>
      <c r="F579" s="2" t="n">
        <v>482766.7570565591</v>
      </c>
      <c r="G579" s="2" t="n">
        <v>0</v>
      </c>
      <c r="H579" s="2" t="n">
        <v>482766.7570565591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5.31</v>
      </c>
      <c r="CJ579" s="2" t="n">
        <v>10.61</v>
      </c>
      <c r="CK579" s="2" t="n">
        <v>0</v>
      </c>
      <c r="CL579" s="2" t="n">
        <v>10.61</v>
      </c>
      <c r="CM579" s="2" t="n">
        <v>10.61</v>
      </c>
      <c r="CN579" s="2" t="n">
        <v>0</v>
      </c>
      <c r="CO579" s="2" t="n">
        <v>10.61</v>
      </c>
      <c r="CP579" s="2" t="n">
        <v>15.92</v>
      </c>
      <c r="CQ579" s="2" t="n">
        <v>0</v>
      </c>
      <c r="CR579" s="2" t="n">
        <v>15.92</v>
      </c>
      <c r="CS579" s="2" t="n">
        <v>15.92</v>
      </c>
      <c r="CT579" s="2" t="n">
        <v>0</v>
      </c>
      <c r="CU579" s="2" t="n">
        <v>15.92</v>
      </c>
      <c r="CV579" s="2" t="n">
        <v>19.1</v>
      </c>
      <c r="CW579" s="2" t="n">
        <v>0</v>
      </c>
      <c r="CX579" s="2" t="n">
        <v>19.63</v>
      </c>
      <c r="CY579" s="2" t="n">
        <v>21.22</v>
      </c>
      <c r="CZ579" s="2" t="n">
        <v>0</v>
      </c>
      <c r="DA579" s="2" t="n">
        <v>22.32</v>
      </c>
      <c r="DB579" s="2" t="n">
        <v>27.68</v>
      </c>
      <c r="DC579" s="2" t="n">
        <v>0</v>
      </c>
      <c r="DD579" s="2" t="n">
        <v>40.92</v>
      </c>
      <c r="DE579" s="2" t="n">
        <v>45.74</v>
      </c>
      <c r="DF579" s="2" t="n">
        <v>0</v>
      </c>
      <c r="DG579" s="2" t="n">
        <v>54.15</v>
      </c>
      <c r="DH579" s="2" t="n">
        <v>57.39</v>
      </c>
      <c r="DI579" s="2" t="n">
        <v>0</v>
      </c>
      <c r="DJ579" s="2" t="n">
        <v>60.39</v>
      </c>
      <c r="DK579" s="2" t="n">
        <v>62.18</v>
      </c>
      <c r="DL579" s="2" t="n">
        <v>0</v>
      </c>
      <c r="DM579" s="2" t="n">
        <v>71.88</v>
      </c>
      <c r="DN579" s="2" t="n">
        <v>72.97</v>
      </c>
      <c r="DO579" s="2" t="n">
        <v>0</v>
      </c>
      <c r="DP579" s="2" t="n">
        <v>74.18000000000001</v>
      </c>
      <c r="DQ579" s="2" t="n">
        <v>74.58</v>
      </c>
      <c r="DR579" s="2" t="n">
        <v>0</v>
      </c>
      <c r="DS579" s="2" t="n">
        <v>75.87</v>
      </c>
      <c r="DT579" s="2" t="n">
        <v>76.34</v>
      </c>
      <c r="DU579" s="2" t="n">
        <v>0</v>
      </c>
      <c r="DV579" s="2" t="n">
        <v>77.47</v>
      </c>
      <c r="DW579" s="2" t="n">
        <v>77.91</v>
      </c>
      <c r="DX579" s="2" t="n">
        <v>0</v>
      </c>
      <c r="DY579" s="2" t="n">
        <v>79.13</v>
      </c>
      <c r="DZ579" s="2" t="n">
        <v>79.51000000000001</v>
      </c>
      <c r="EA579" s="2" t="n">
        <v>0</v>
      </c>
      <c r="EB579" s="2" t="n">
        <v>80.56999999999999</v>
      </c>
      <c r="EC579" s="2" t="n">
        <v>97.98999999999999</v>
      </c>
      <c r="ED579" s="2" t="n">
        <v>0</v>
      </c>
      <c r="EE579" s="2" t="n">
        <v>98.73999999999999</v>
      </c>
      <c r="EF579" s="2" t="n">
        <v>99.13</v>
      </c>
      <c r="EG579" s="2" t="n">
        <v>0</v>
      </c>
      <c r="EH579" s="2" t="n">
        <v>99.97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</row>
    <row r="580">
      <c r="A580" s="2" t="n">
        <v>2</v>
      </c>
      <c r="B580" s="2" t="inlineStr">
        <is>
          <t>26.01</t>
        </is>
      </c>
      <c r="C580" s="2" t="inlineStr">
        <is>
          <t>Portas corta-fogo</t>
        </is>
      </c>
      <c r="D580" s="2" t="inlineStr">
        <is>
          <t>14/02/2028</t>
        </is>
      </c>
      <c r="E580" s="2" t="inlineStr">
        <is>
          <t>16/01/2029</t>
        </is>
      </c>
      <c r="F580" s="2" t="n">
        <v>164554.8332014947</v>
      </c>
      <c r="G580" s="2" t="n">
        <v>0</v>
      </c>
      <c r="H580" s="2" t="n">
        <v>164554.8332014947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0</v>
      </c>
      <c r="CM580" s="2" t="n">
        <v>0</v>
      </c>
      <c r="CN580" s="2" t="n">
        <v>0</v>
      </c>
      <c r="CO580" s="2" t="n">
        <v>0</v>
      </c>
      <c r="CP580" s="2" t="n">
        <v>0</v>
      </c>
      <c r="CQ580" s="2" t="n">
        <v>0</v>
      </c>
      <c r="CR580" s="2" t="n">
        <v>0</v>
      </c>
      <c r="CS580" s="2" t="n">
        <v>0</v>
      </c>
      <c r="CT580" s="2" t="n">
        <v>0</v>
      </c>
      <c r="CU580" s="2" t="n">
        <v>0</v>
      </c>
      <c r="CV580" s="2" t="n">
        <v>0</v>
      </c>
      <c r="CW580" s="2" t="n">
        <v>0</v>
      </c>
      <c r="CX580" s="2" t="n">
        <v>0</v>
      </c>
      <c r="CY580" s="2" t="n">
        <v>0</v>
      </c>
      <c r="CZ580" s="2" t="n">
        <v>0</v>
      </c>
      <c r="DA580" s="2" t="n">
        <v>1.56</v>
      </c>
      <c r="DB580" s="2" t="n">
        <v>2.67</v>
      </c>
      <c r="DC580" s="2" t="n">
        <v>0</v>
      </c>
      <c r="DD580" s="2" t="n">
        <v>6.67</v>
      </c>
      <c r="DE580" s="2" t="n">
        <v>7.78</v>
      </c>
      <c r="DF580" s="2" t="n">
        <v>0</v>
      </c>
      <c r="DG580" s="2" t="n">
        <v>10.67</v>
      </c>
      <c r="DH580" s="2" t="n">
        <v>11.78</v>
      </c>
      <c r="DI580" s="2" t="n">
        <v>0</v>
      </c>
      <c r="DJ580" s="2" t="n">
        <v>15.56</v>
      </c>
      <c r="DK580" s="2" t="n">
        <v>16.67</v>
      </c>
      <c r="DL580" s="2" t="n">
        <v>0</v>
      </c>
      <c r="DM580" s="2" t="n">
        <v>20.22</v>
      </c>
      <c r="DN580" s="2" t="n">
        <v>21.33</v>
      </c>
      <c r="DO580" s="2" t="n">
        <v>0</v>
      </c>
      <c r="DP580" s="2" t="n">
        <v>24.89</v>
      </c>
      <c r="DQ580" s="2" t="n">
        <v>26</v>
      </c>
      <c r="DR580" s="2" t="n">
        <v>0</v>
      </c>
      <c r="DS580" s="2" t="n">
        <v>29.78</v>
      </c>
      <c r="DT580" s="2" t="n">
        <v>30.89</v>
      </c>
      <c r="DU580" s="2" t="n">
        <v>0</v>
      </c>
      <c r="DV580" s="2" t="n">
        <v>34.22</v>
      </c>
      <c r="DW580" s="2" t="n">
        <v>35.33</v>
      </c>
      <c r="DX580" s="2" t="n">
        <v>0</v>
      </c>
      <c r="DY580" s="2" t="n">
        <v>38.89</v>
      </c>
      <c r="DZ580" s="2" t="n">
        <v>40</v>
      </c>
      <c r="EA580" s="2" t="n">
        <v>0</v>
      </c>
      <c r="EB580" s="2" t="n">
        <v>43.11</v>
      </c>
      <c r="EC580" s="2" t="n">
        <v>94.22</v>
      </c>
      <c r="ED580" s="2" t="n">
        <v>0</v>
      </c>
      <c r="EE580" s="2" t="n">
        <v>96.44</v>
      </c>
      <c r="EF580" s="2" t="n">
        <v>97.56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</row>
    <row r="581">
      <c r="A581" s="2" t="n">
        <v>3</v>
      </c>
      <c r="B581" s="2" t="inlineStr">
        <is>
          <t>26.01.01</t>
        </is>
      </c>
      <c r="C581" s="2" t="inlineStr">
        <is>
          <t>PCF1 - Porta corta-fogo 1fl de abrir, 90x210cm</t>
        </is>
      </c>
      <c r="D581" s="2" t="inlineStr">
        <is>
          <t>14/02/2028</t>
        </is>
      </c>
      <c r="E581" s="2" t="inlineStr">
        <is>
          <t>16/01/2029</t>
        </is>
      </c>
      <c r="F581" s="2" t="n">
        <v>155012.6102052758</v>
      </c>
      <c r="G581" s="2" t="n">
        <v>0</v>
      </c>
      <c r="H581" s="2" t="n">
        <v>155012.6102052758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0</v>
      </c>
      <c r="CM581" s="2" t="n">
        <v>0</v>
      </c>
      <c r="CN581" s="2" t="n">
        <v>0</v>
      </c>
      <c r="CO581" s="2" t="n">
        <v>0</v>
      </c>
      <c r="CP581" s="2" t="n">
        <v>0</v>
      </c>
      <c r="CQ581" s="2" t="n">
        <v>0</v>
      </c>
      <c r="CR581" s="2" t="n">
        <v>0</v>
      </c>
      <c r="CS581" s="2" t="n">
        <v>0</v>
      </c>
      <c r="CT581" s="2" t="n">
        <v>0</v>
      </c>
      <c r="CU581" s="2" t="n">
        <v>0</v>
      </c>
      <c r="CV581" s="2" t="n">
        <v>0</v>
      </c>
      <c r="CW581" s="2" t="n">
        <v>0</v>
      </c>
      <c r="CX581" s="2" t="n">
        <v>0</v>
      </c>
      <c r="CY581" s="2" t="n">
        <v>0</v>
      </c>
      <c r="CZ581" s="2" t="n">
        <v>0</v>
      </c>
      <c r="DA581" s="2" t="n">
        <v>1.56</v>
      </c>
      <c r="DB581" s="2" t="n">
        <v>2.67</v>
      </c>
      <c r="DC581" s="2" t="n">
        <v>0</v>
      </c>
      <c r="DD581" s="2" t="n">
        <v>6.67</v>
      </c>
      <c r="DE581" s="2" t="n">
        <v>7.78</v>
      </c>
      <c r="DF581" s="2" t="n">
        <v>0</v>
      </c>
      <c r="DG581" s="2" t="n">
        <v>10.67</v>
      </c>
      <c r="DH581" s="2" t="n">
        <v>11.78</v>
      </c>
      <c r="DI581" s="2" t="n">
        <v>0</v>
      </c>
      <c r="DJ581" s="2" t="n">
        <v>15.56</v>
      </c>
      <c r="DK581" s="2" t="n">
        <v>16.67</v>
      </c>
      <c r="DL581" s="2" t="n">
        <v>0</v>
      </c>
      <c r="DM581" s="2" t="n">
        <v>20.22</v>
      </c>
      <c r="DN581" s="2" t="n">
        <v>21.33</v>
      </c>
      <c r="DO581" s="2" t="n">
        <v>0</v>
      </c>
      <c r="DP581" s="2" t="n">
        <v>24.89</v>
      </c>
      <c r="DQ581" s="2" t="n">
        <v>26</v>
      </c>
      <c r="DR581" s="2" t="n">
        <v>0</v>
      </c>
      <c r="DS581" s="2" t="n">
        <v>29.78</v>
      </c>
      <c r="DT581" s="2" t="n">
        <v>30.89</v>
      </c>
      <c r="DU581" s="2" t="n">
        <v>0</v>
      </c>
      <c r="DV581" s="2" t="n">
        <v>34.22</v>
      </c>
      <c r="DW581" s="2" t="n">
        <v>35.33</v>
      </c>
      <c r="DX581" s="2" t="n">
        <v>0</v>
      </c>
      <c r="DY581" s="2" t="n">
        <v>38.89</v>
      </c>
      <c r="DZ581" s="2" t="n">
        <v>40</v>
      </c>
      <c r="EA581" s="2" t="n">
        <v>0</v>
      </c>
      <c r="EB581" s="2" t="n">
        <v>43.11</v>
      </c>
      <c r="EC581" s="2" t="n">
        <v>94.22</v>
      </c>
      <c r="ED581" s="2" t="n">
        <v>0</v>
      </c>
      <c r="EE581" s="2" t="n">
        <v>96.44</v>
      </c>
      <c r="EF581" s="2" t="n">
        <v>97.56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</row>
    <row r="582">
      <c r="A582" s="2" t="n">
        <v>3</v>
      </c>
      <c r="B582" s="2" t="inlineStr">
        <is>
          <t>26.01.02</t>
        </is>
      </c>
      <c r="C582" s="2" t="inlineStr">
        <is>
          <t>PCF2 - Porta corta-fogo 1fl de abrir, 100x210cm</t>
        </is>
      </c>
      <c r="D582" s="2" t="inlineStr">
        <is>
          <t>14/02/2028</t>
        </is>
      </c>
      <c r="E582" s="2" t="inlineStr">
        <is>
          <t>16/01/2029</t>
        </is>
      </c>
      <c r="F582" s="2" t="n">
        <v>3252.222996218947</v>
      </c>
      <c r="G582" s="2" t="n">
        <v>0</v>
      </c>
      <c r="H582" s="2" t="n">
        <v>3252.222996218947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</v>
      </c>
      <c r="CD582" s="2" t="n">
        <v>0</v>
      </c>
      <c r="CE582" s="2" t="n">
        <v>0</v>
      </c>
      <c r="CF582" s="2" t="n">
        <v>0</v>
      </c>
      <c r="CG582" s="2" t="n">
        <v>0</v>
      </c>
      <c r="CH582" s="2" t="n">
        <v>0</v>
      </c>
      <c r="CI582" s="2" t="n">
        <v>0</v>
      </c>
      <c r="CJ582" s="2" t="n">
        <v>0</v>
      </c>
      <c r="CK582" s="2" t="n">
        <v>0</v>
      </c>
      <c r="CL582" s="2" t="n">
        <v>0</v>
      </c>
      <c r="CM582" s="2" t="n">
        <v>0</v>
      </c>
      <c r="CN582" s="2" t="n">
        <v>0</v>
      </c>
      <c r="CO582" s="2" t="n">
        <v>0</v>
      </c>
      <c r="CP582" s="2" t="n">
        <v>0</v>
      </c>
      <c r="CQ582" s="2" t="n">
        <v>0</v>
      </c>
      <c r="CR582" s="2" t="n">
        <v>0</v>
      </c>
      <c r="CS582" s="2" t="n">
        <v>0</v>
      </c>
      <c r="CT582" s="2" t="n">
        <v>0</v>
      </c>
      <c r="CU582" s="2" t="n">
        <v>0</v>
      </c>
      <c r="CV582" s="2" t="n">
        <v>0</v>
      </c>
      <c r="CW582" s="2" t="n">
        <v>0</v>
      </c>
      <c r="CX582" s="2" t="n">
        <v>0</v>
      </c>
      <c r="CY582" s="2" t="n">
        <v>0</v>
      </c>
      <c r="CZ582" s="2" t="n">
        <v>0</v>
      </c>
      <c r="DA582" s="2" t="n">
        <v>1.56</v>
      </c>
      <c r="DB582" s="2" t="n">
        <v>2.67</v>
      </c>
      <c r="DC582" s="2" t="n">
        <v>0</v>
      </c>
      <c r="DD582" s="2" t="n">
        <v>6.67</v>
      </c>
      <c r="DE582" s="2" t="n">
        <v>7.78</v>
      </c>
      <c r="DF582" s="2" t="n">
        <v>0</v>
      </c>
      <c r="DG582" s="2" t="n">
        <v>10.67</v>
      </c>
      <c r="DH582" s="2" t="n">
        <v>11.78</v>
      </c>
      <c r="DI582" s="2" t="n">
        <v>0</v>
      </c>
      <c r="DJ582" s="2" t="n">
        <v>15.56</v>
      </c>
      <c r="DK582" s="2" t="n">
        <v>16.67</v>
      </c>
      <c r="DL582" s="2" t="n">
        <v>0</v>
      </c>
      <c r="DM582" s="2" t="n">
        <v>20.22</v>
      </c>
      <c r="DN582" s="2" t="n">
        <v>21.33</v>
      </c>
      <c r="DO582" s="2" t="n">
        <v>0</v>
      </c>
      <c r="DP582" s="2" t="n">
        <v>24.89</v>
      </c>
      <c r="DQ582" s="2" t="n">
        <v>26</v>
      </c>
      <c r="DR582" s="2" t="n">
        <v>0</v>
      </c>
      <c r="DS582" s="2" t="n">
        <v>29.78</v>
      </c>
      <c r="DT582" s="2" t="n">
        <v>30.89</v>
      </c>
      <c r="DU582" s="2" t="n">
        <v>0</v>
      </c>
      <c r="DV582" s="2" t="n">
        <v>34.22</v>
      </c>
      <c r="DW582" s="2" t="n">
        <v>35.33</v>
      </c>
      <c r="DX582" s="2" t="n">
        <v>0</v>
      </c>
      <c r="DY582" s="2" t="n">
        <v>38.89</v>
      </c>
      <c r="DZ582" s="2" t="n">
        <v>40</v>
      </c>
      <c r="EA582" s="2" t="n">
        <v>0</v>
      </c>
      <c r="EB582" s="2" t="n">
        <v>43.11</v>
      </c>
      <c r="EC582" s="2" t="n">
        <v>94.22</v>
      </c>
      <c r="ED582" s="2" t="n">
        <v>0</v>
      </c>
      <c r="EE582" s="2" t="n">
        <v>96.44</v>
      </c>
      <c r="EF582" s="2" t="n">
        <v>97.56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</row>
    <row r="583">
      <c r="A583" s="2" t="n">
        <v>3</v>
      </c>
      <c r="B583" s="2" t="inlineStr">
        <is>
          <t>26.01.03</t>
        </is>
      </c>
      <c r="C583" s="2" t="inlineStr">
        <is>
          <t>PCF3 - Porta corta-fogo 1fl de abrir, 120x210cm</t>
        </is>
      </c>
      <c r="D583" s="2" t="inlineStr">
        <is>
          <t>14/02/2028</t>
        </is>
      </c>
      <c r="E583" s="2" t="inlineStr">
        <is>
          <t>16/01/2029</t>
        </is>
      </c>
      <c r="F583" s="2" t="n">
        <v>4060</v>
      </c>
      <c r="G583" s="2" t="n">
        <v>0</v>
      </c>
      <c r="H583" s="2" t="n">
        <v>4060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0</v>
      </c>
      <c r="CP583" s="2" t="n">
        <v>0</v>
      </c>
      <c r="CQ583" s="2" t="n">
        <v>0</v>
      </c>
      <c r="CR583" s="2" t="n">
        <v>0</v>
      </c>
      <c r="CS583" s="2" t="n">
        <v>0</v>
      </c>
      <c r="CT583" s="2" t="n">
        <v>0</v>
      </c>
      <c r="CU583" s="2" t="n">
        <v>0</v>
      </c>
      <c r="CV583" s="2" t="n">
        <v>0</v>
      </c>
      <c r="CW583" s="2" t="n">
        <v>0</v>
      </c>
      <c r="CX583" s="2" t="n">
        <v>0</v>
      </c>
      <c r="CY583" s="2" t="n">
        <v>0</v>
      </c>
      <c r="CZ583" s="2" t="n">
        <v>0</v>
      </c>
      <c r="DA583" s="2" t="n">
        <v>1.56</v>
      </c>
      <c r="DB583" s="2" t="n">
        <v>2.67</v>
      </c>
      <c r="DC583" s="2" t="n">
        <v>0</v>
      </c>
      <c r="DD583" s="2" t="n">
        <v>6.67</v>
      </c>
      <c r="DE583" s="2" t="n">
        <v>7.78</v>
      </c>
      <c r="DF583" s="2" t="n">
        <v>0</v>
      </c>
      <c r="DG583" s="2" t="n">
        <v>10.67</v>
      </c>
      <c r="DH583" s="2" t="n">
        <v>11.78</v>
      </c>
      <c r="DI583" s="2" t="n">
        <v>0</v>
      </c>
      <c r="DJ583" s="2" t="n">
        <v>15.56</v>
      </c>
      <c r="DK583" s="2" t="n">
        <v>16.67</v>
      </c>
      <c r="DL583" s="2" t="n">
        <v>0</v>
      </c>
      <c r="DM583" s="2" t="n">
        <v>20.22</v>
      </c>
      <c r="DN583" s="2" t="n">
        <v>21.33</v>
      </c>
      <c r="DO583" s="2" t="n">
        <v>0</v>
      </c>
      <c r="DP583" s="2" t="n">
        <v>24.89</v>
      </c>
      <c r="DQ583" s="2" t="n">
        <v>26</v>
      </c>
      <c r="DR583" s="2" t="n">
        <v>0</v>
      </c>
      <c r="DS583" s="2" t="n">
        <v>29.78</v>
      </c>
      <c r="DT583" s="2" t="n">
        <v>30.89</v>
      </c>
      <c r="DU583" s="2" t="n">
        <v>0</v>
      </c>
      <c r="DV583" s="2" t="n">
        <v>34.22</v>
      </c>
      <c r="DW583" s="2" t="n">
        <v>35.33</v>
      </c>
      <c r="DX583" s="2" t="n">
        <v>0</v>
      </c>
      <c r="DY583" s="2" t="n">
        <v>38.89</v>
      </c>
      <c r="DZ583" s="2" t="n">
        <v>40</v>
      </c>
      <c r="EA583" s="2" t="n">
        <v>0</v>
      </c>
      <c r="EB583" s="2" t="n">
        <v>43.11</v>
      </c>
      <c r="EC583" s="2" t="n">
        <v>94.22</v>
      </c>
      <c r="ED583" s="2" t="n">
        <v>0</v>
      </c>
      <c r="EE583" s="2" t="n">
        <v>96.44</v>
      </c>
      <c r="EF583" s="2" t="n">
        <v>97.56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</row>
    <row r="584">
      <c r="A584" s="2" t="n">
        <v>3</v>
      </c>
      <c r="B584" s="2" t="inlineStr">
        <is>
          <t>26.01.04</t>
        </is>
      </c>
      <c r="C584" s="2" t="inlineStr">
        <is>
          <t>PCF4 - Porta corta-fogo 2fls de abrir, 150x210cm</t>
        </is>
      </c>
      <c r="D584" s="2" t="inlineStr">
        <is>
          <t>14/02/2028</t>
        </is>
      </c>
      <c r="E584" s="2" t="inlineStr">
        <is>
          <t>16/01/2029</t>
        </is>
      </c>
      <c r="F584" s="2" t="n">
        <v>2230</v>
      </c>
      <c r="G584" s="2" t="n">
        <v>0</v>
      </c>
      <c r="H584" s="2" t="n">
        <v>2230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0</v>
      </c>
      <c r="CD584" s="2" t="n">
        <v>0</v>
      </c>
      <c r="CE584" s="2" t="n">
        <v>0</v>
      </c>
      <c r="CF584" s="2" t="n">
        <v>0</v>
      </c>
      <c r="CG584" s="2" t="n">
        <v>0</v>
      </c>
      <c r="CH584" s="2" t="n">
        <v>0</v>
      </c>
      <c r="CI584" s="2" t="n">
        <v>0</v>
      </c>
      <c r="CJ584" s="2" t="n">
        <v>0</v>
      </c>
      <c r="CK584" s="2" t="n">
        <v>0</v>
      </c>
      <c r="CL584" s="2" t="n">
        <v>0</v>
      </c>
      <c r="CM584" s="2" t="n">
        <v>0</v>
      </c>
      <c r="CN584" s="2" t="n">
        <v>0</v>
      </c>
      <c r="CO584" s="2" t="n">
        <v>0</v>
      </c>
      <c r="CP584" s="2" t="n">
        <v>0</v>
      </c>
      <c r="CQ584" s="2" t="n">
        <v>0</v>
      </c>
      <c r="CR584" s="2" t="n">
        <v>0</v>
      </c>
      <c r="CS584" s="2" t="n">
        <v>0</v>
      </c>
      <c r="CT584" s="2" t="n">
        <v>0</v>
      </c>
      <c r="CU584" s="2" t="n">
        <v>0</v>
      </c>
      <c r="CV584" s="2" t="n">
        <v>0</v>
      </c>
      <c r="CW584" s="2" t="n">
        <v>0</v>
      </c>
      <c r="CX584" s="2" t="n">
        <v>0</v>
      </c>
      <c r="CY584" s="2" t="n">
        <v>0</v>
      </c>
      <c r="CZ584" s="2" t="n">
        <v>0</v>
      </c>
      <c r="DA584" s="2" t="n">
        <v>1.56</v>
      </c>
      <c r="DB584" s="2" t="n">
        <v>2.67</v>
      </c>
      <c r="DC584" s="2" t="n">
        <v>0</v>
      </c>
      <c r="DD584" s="2" t="n">
        <v>6.67</v>
      </c>
      <c r="DE584" s="2" t="n">
        <v>7.78</v>
      </c>
      <c r="DF584" s="2" t="n">
        <v>0</v>
      </c>
      <c r="DG584" s="2" t="n">
        <v>10.67</v>
      </c>
      <c r="DH584" s="2" t="n">
        <v>11.78</v>
      </c>
      <c r="DI584" s="2" t="n">
        <v>0</v>
      </c>
      <c r="DJ584" s="2" t="n">
        <v>15.56</v>
      </c>
      <c r="DK584" s="2" t="n">
        <v>16.67</v>
      </c>
      <c r="DL584" s="2" t="n">
        <v>0</v>
      </c>
      <c r="DM584" s="2" t="n">
        <v>20.22</v>
      </c>
      <c r="DN584" s="2" t="n">
        <v>21.33</v>
      </c>
      <c r="DO584" s="2" t="n">
        <v>0</v>
      </c>
      <c r="DP584" s="2" t="n">
        <v>24.89</v>
      </c>
      <c r="DQ584" s="2" t="n">
        <v>26</v>
      </c>
      <c r="DR584" s="2" t="n">
        <v>0</v>
      </c>
      <c r="DS584" s="2" t="n">
        <v>29.78</v>
      </c>
      <c r="DT584" s="2" t="n">
        <v>30.89</v>
      </c>
      <c r="DU584" s="2" t="n">
        <v>0</v>
      </c>
      <c r="DV584" s="2" t="n">
        <v>34.22</v>
      </c>
      <c r="DW584" s="2" t="n">
        <v>35.33</v>
      </c>
      <c r="DX584" s="2" t="n">
        <v>0</v>
      </c>
      <c r="DY584" s="2" t="n">
        <v>38.89</v>
      </c>
      <c r="DZ584" s="2" t="n">
        <v>40</v>
      </c>
      <c r="EA584" s="2" t="n">
        <v>0</v>
      </c>
      <c r="EB584" s="2" t="n">
        <v>43.11</v>
      </c>
      <c r="EC584" s="2" t="n">
        <v>94.22</v>
      </c>
      <c r="ED584" s="2" t="n">
        <v>0</v>
      </c>
      <c r="EE584" s="2" t="n">
        <v>96.44</v>
      </c>
      <c r="EF584" s="2" t="n">
        <v>97.56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</row>
    <row r="585">
      <c r="A585" s="2" t="n">
        <v>2</v>
      </c>
      <c r="B585" s="2" t="inlineStr">
        <is>
          <t>26.02</t>
        </is>
      </c>
      <c r="C585" s="2" t="inlineStr">
        <is>
          <t>Portas de chapa lisa</t>
        </is>
      </c>
      <c r="D585" s="2" t="inlineStr">
        <is>
          <t>02/08/2027</t>
        </is>
      </c>
      <c r="E585" s="2" t="inlineStr">
        <is>
          <t>29/06/2028</t>
        </is>
      </c>
      <c r="F585" s="2" t="n">
        <v>1943.187337585244</v>
      </c>
      <c r="G585" s="2" t="n">
        <v>0</v>
      </c>
      <c r="H585" s="2" t="n">
        <v>1943.187337585244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14.29</v>
      </c>
      <c r="CJ585" s="2" t="n">
        <v>28.57</v>
      </c>
      <c r="CK585" s="2" t="n">
        <v>0</v>
      </c>
      <c r="CL585" s="2" t="n">
        <v>28.57</v>
      </c>
      <c r="CM585" s="2" t="n">
        <v>28.57</v>
      </c>
      <c r="CN585" s="2" t="n">
        <v>0</v>
      </c>
      <c r="CO585" s="2" t="n">
        <v>28.57</v>
      </c>
      <c r="CP585" s="2" t="n">
        <v>42.86</v>
      </c>
      <c r="CQ585" s="2" t="n">
        <v>0</v>
      </c>
      <c r="CR585" s="2" t="n">
        <v>42.86</v>
      </c>
      <c r="CS585" s="2" t="n">
        <v>42.86</v>
      </c>
      <c r="CT585" s="2" t="n">
        <v>0</v>
      </c>
      <c r="CU585" s="2" t="n">
        <v>42.86</v>
      </c>
      <c r="CV585" s="2" t="n">
        <v>51.43</v>
      </c>
      <c r="CW585" s="2" t="n">
        <v>0</v>
      </c>
      <c r="CX585" s="2" t="n">
        <v>52.86</v>
      </c>
      <c r="CY585" s="2" t="n">
        <v>57.14</v>
      </c>
      <c r="CZ585" s="2" t="n">
        <v>0</v>
      </c>
      <c r="DA585" s="2" t="n">
        <v>57.14</v>
      </c>
      <c r="DB585" s="2" t="n">
        <v>62.86</v>
      </c>
      <c r="DC585" s="2" t="n">
        <v>0</v>
      </c>
      <c r="DD585" s="2" t="n">
        <v>67.14</v>
      </c>
      <c r="DE585" s="2" t="n">
        <v>71.43000000000001</v>
      </c>
      <c r="DF585" s="2" t="n">
        <v>0</v>
      </c>
      <c r="DG585" s="2" t="n">
        <v>71.43000000000001</v>
      </c>
      <c r="DH585" s="2" t="n">
        <v>71.43000000000001</v>
      </c>
      <c r="DI585" s="2" t="n">
        <v>0</v>
      </c>
      <c r="DJ585" s="2" t="n">
        <v>71.43000000000001</v>
      </c>
      <c r="DK585" s="2" t="n">
        <v>75.23999999999999</v>
      </c>
      <c r="DL585" s="2" t="n">
        <v>0</v>
      </c>
      <c r="DM585" s="2" t="n">
        <v>98.09999999999999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</row>
    <row r="586">
      <c r="A586" s="2" t="n">
        <v>3</v>
      </c>
      <c r="B586" s="2" t="inlineStr">
        <is>
          <t>26.02.01</t>
        </is>
      </c>
      <c r="C586" s="2" t="inlineStr">
        <is>
          <t>PMe1 - Porta em aço galvanizado, 1fl de abrir, 80x210cm</t>
        </is>
      </c>
      <c r="D586" s="2" t="inlineStr">
        <is>
          <t>02/08/2027</t>
        </is>
      </c>
      <c r="E586" s="2" t="inlineStr">
        <is>
          <t>29/06/2028</t>
        </is>
      </c>
      <c r="F586" s="2" t="n">
        <v>914.4411000401149</v>
      </c>
      <c r="G586" s="2" t="n">
        <v>0</v>
      </c>
      <c r="H586" s="2" t="n">
        <v>914.4411000401149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14.29</v>
      </c>
      <c r="CJ586" s="2" t="n">
        <v>28.57</v>
      </c>
      <c r="CK586" s="2" t="n">
        <v>0</v>
      </c>
      <c r="CL586" s="2" t="n">
        <v>28.57</v>
      </c>
      <c r="CM586" s="2" t="n">
        <v>28.57</v>
      </c>
      <c r="CN586" s="2" t="n">
        <v>0</v>
      </c>
      <c r="CO586" s="2" t="n">
        <v>28.57</v>
      </c>
      <c r="CP586" s="2" t="n">
        <v>42.86</v>
      </c>
      <c r="CQ586" s="2" t="n">
        <v>0</v>
      </c>
      <c r="CR586" s="2" t="n">
        <v>42.86</v>
      </c>
      <c r="CS586" s="2" t="n">
        <v>42.86</v>
      </c>
      <c r="CT586" s="2" t="n">
        <v>0</v>
      </c>
      <c r="CU586" s="2" t="n">
        <v>42.86</v>
      </c>
      <c r="CV586" s="2" t="n">
        <v>51.43</v>
      </c>
      <c r="CW586" s="2" t="n">
        <v>0</v>
      </c>
      <c r="CX586" s="2" t="n">
        <v>52.86</v>
      </c>
      <c r="CY586" s="2" t="n">
        <v>57.14</v>
      </c>
      <c r="CZ586" s="2" t="n">
        <v>0</v>
      </c>
      <c r="DA586" s="2" t="n">
        <v>57.14</v>
      </c>
      <c r="DB586" s="2" t="n">
        <v>62.86</v>
      </c>
      <c r="DC586" s="2" t="n">
        <v>0</v>
      </c>
      <c r="DD586" s="2" t="n">
        <v>67.14</v>
      </c>
      <c r="DE586" s="2" t="n">
        <v>71.43000000000001</v>
      </c>
      <c r="DF586" s="2" t="n">
        <v>0</v>
      </c>
      <c r="DG586" s="2" t="n">
        <v>71.43000000000001</v>
      </c>
      <c r="DH586" s="2" t="n">
        <v>71.43000000000001</v>
      </c>
      <c r="DI586" s="2" t="n">
        <v>0</v>
      </c>
      <c r="DJ586" s="2" t="n">
        <v>71.43000000000001</v>
      </c>
      <c r="DK586" s="2" t="n">
        <v>75.23999999999999</v>
      </c>
      <c r="DL586" s="2" t="n">
        <v>0</v>
      </c>
      <c r="DM586" s="2" t="n">
        <v>98.09999999999999</v>
      </c>
      <c r="DN586" s="2" t="n">
        <v>100</v>
      </c>
      <c r="DO586" s="2" t="n">
        <v>0</v>
      </c>
      <c r="DP586" s="2" t="n">
        <v>100</v>
      </c>
      <c r="DQ586" s="2" t="n">
        <v>100</v>
      </c>
      <c r="DR586" s="2" t="n">
        <v>0</v>
      </c>
      <c r="DS586" s="2" t="n">
        <v>100</v>
      </c>
      <c r="DT586" s="2" t="n">
        <v>100</v>
      </c>
      <c r="DU586" s="2" t="n">
        <v>0</v>
      </c>
      <c r="DV586" s="2" t="n">
        <v>100</v>
      </c>
      <c r="DW586" s="2" t="n">
        <v>100</v>
      </c>
      <c r="DX586" s="2" t="n">
        <v>0</v>
      </c>
      <c r="DY586" s="2" t="n">
        <v>100</v>
      </c>
      <c r="DZ586" s="2" t="n">
        <v>100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</row>
    <row r="587">
      <c r="A587" s="2" t="n">
        <v>3</v>
      </c>
      <c r="B587" s="2" t="inlineStr">
        <is>
          <t>26.02.02</t>
        </is>
      </c>
      <c r="C587" s="2" t="inlineStr">
        <is>
          <t>PMe2 - Porta em aço galvanizado, 1fl de abrir, 90x210cm</t>
        </is>
      </c>
      <c r="D587" s="2" t="inlineStr">
        <is>
          <t>02/08/2027</t>
        </is>
      </c>
      <c r="E587" s="2" t="inlineStr">
        <is>
          <t>29/06/2028</t>
        </is>
      </c>
      <c r="F587" s="2" t="n">
        <v>1028.746237545129</v>
      </c>
      <c r="G587" s="2" t="n">
        <v>0</v>
      </c>
      <c r="H587" s="2" t="n">
        <v>1028.746237545129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14.29</v>
      </c>
      <c r="CJ587" s="2" t="n">
        <v>28.57</v>
      </c>
      <c r="CK587" s="2" t="n">
        <v>0</v>
      </c>
      <c r="CL587" s="2" t="n">
        <v>28.57</v>
      </c>
      <c r="CM587" s="2" t="n">
        <v>28.57</v>
      </c>
      <c r="CN587" s="2" t="n">
        <v>0</v>
      </c>
      <c r="CO587" s="2" t="n">
        <v>28.57</v>
      </c>
      <c r="CP587" s="2" t="n">
        <v>42.86</v>
      </c>
      <c r="CQ587" s="2" t="n">
        <v>0</v>
      </c>
      <c r="CR587" s="2" t="n">
        <v>42.86</v>
      </c>
      <c r="CS587" s="2" t="n">
        <v>42.86</v>
      </c>
      <c r="CT587" s="2" t="n">
        <v>0</v>
      </c>
      <c r="CU587" s="2" t="n">
        <v>42.86</v>
      </c>
      <c r="CV587" s="2" t="n">
        <v>51.43</v>
      </c>
      <c r="CW587" s="2" t="n">
        <v>0</v>
      </c>
      <c r="CX587" s="2" t="n">
        <v>52.86</v>
      </c>
      <c r="CY587" s="2" t="n">
        <v>57.14</v>
      </c>
      <c r="CZ587" s="2" t="n">
        <v>0</v>
      </c>
      <c r="DA587" s="2" t="n">
        <v>57.14</v>
      </c>
      <c r="DB587" s="2" t="n">
        <v>62.86</v>
      </c>
      <c r="DC587" s="2" t="n">
        <v>0</v>
      </c>
      <c r="DD587" s="2" t="n">
        <v>67.14</v>
      </c>
      <c r="DE587" s="2" t="n">
        <v>71.43000000000001</v>
      </c>
      <c r="DF587" s="2" t="n">
        <v>0</v>
      </c>
      <c r="DG587" s="2" t="n">
        <v>71.43000000000001</v>
      </c>
      <c r="DH587" s="2" t="n">
        <v>71.43000000000001</v>
      </c>
      <c r="DI587" s="2" t="n">
        <v>0</v>
      </c>
      <c r="DJ587" s="2" t="n">
        <v>71.43000000000001</v>
      </c>
      <c r="DK587" s="2" t="n">
        <v>75.23999999999999</v>
      </c>
      <c r="DL587" s="2" t="n">
        <v>0</v>
      </c>
      <c r="DM587" s="2" t="n">
        <v>98.09999999999999</v>
      </c>
      <c r="DN587" s="2" t="n">
        <v>100</v>
      </c>
      <c r="DO587" s="2" t="n">
        <v>0</v>
      </c>
      <c r="DP587" s="2" t="n">
        <v>100</v>
      </c>
      <c r="DQ587" s="2" t="n">
        <v>100</v>
      </c>
      <c r="DR587" s="2" t="n">
        <v>0</v>
      </c>
      <c r="DS587" s="2" t="n">
        <v>100</v>
      </c>
      <c r="DT587" s="2" t="n">
        <v>100</v>
      </c>
      <c r="DU587" s="2" t="n">
        <v>0</v>
      </c>
      <c r="DV587" s="2" t="n">
        <v>100</v>
      </c>
      <c r="DW587" s="2" t="n">
        <v>100</v>
      </c>
      <c r="DX587" s="2" t="n">
        <v>0</v>
      </c>
      <c r="DY587" s="2" t="n">
        <v>100</v>
      </c>
      <c r="DZ587" s="2" t="n">
        <v>100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</row>
    <row r="588">
      <c r="A588" s="2" t="n">
        <v>2</v>
      </c>
      <c r="B588" s="2" t="inlineStr">
        <is>
          <t>26.03</t>
        </is>
      </c>
      <c r="C588" s="2" t="inlineStr">
        <is>
          <t>Alçapões</t>
        </is>
      </c>
      <c r="D588" s="2" t="inlineStr">
        <is>
          <t>02/08/2027</t>
        </is>
      </c>
      <c r="E588" s="2" t="inlineStr">
        <is>
          <t>29/06/2028</t>
        </is>
      </c>
      <c r="F588" s="2" t="n">
        <v>9383.907478983083</v>
      </c>
      <c r="G588" s="2" t="n">
        <v>0</v>
      </c>
      <c r="H588" s="2" t="n">
        <v>9383.907478983083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14.29</v>
      </c>
      <c r="CJ588" s="2" t="n">
        <v>28.57</v>
      </c>
      <c r="CK588" s="2" t="n">
        <v>0</v>
      </c>
      <c r="CL588" s="2" t="n">
        <v>28.57</v>
      </c>
      <c r="CM588" s="2" t="n">
        <v>28.57</v>
      </c>
      <c r="CN588" s="2" t="n">
        <v>0</v>
      </c>
      <c r="CO588" s="2" t="n">
        <v>28.57</v>
      </c>
      <c r="CP588" s="2" t="n">
        <v>42.86</v>
      </c>
      <c r="CQ588" s="2" t="n">
        <v>0</v>
      </c>
      <c r="CR588" s="2" t="n">
        <v>42.86</v>
      </c>
      <c r="CS588" s="2" t="n">
        <v>42.86</v>
      </c>
      <c r="CT588" s="2" t="n">
        <v>0</v>
      </c>
      <c r="CU588" s="2" t="n">
        <v>42.86</v>
      </c>
      <c r="CV588" s="2" t="n">
        <v>51.43</v>
      </c>
      <c r="CW588" s="2" t="n">
        <v>0</v>
      </c>
      <c r="CX588" s="2" t="n">
        <v>52.86</v>
      </c>
      <c r="CY588" s="2" t="n">
        <v>57.14</v>
      </c>
      <c r="CZ588" s="2" t="n">
        <v>0</v>
      </c>
      <c r="DA588" s="2" t="n">
        <v>57.14</v>
      </c>
      <c r="DB588" s="2" t="n">
        <v>62.86</v>
      </c>
      <c r="DC588" s="2" t="n">
        <v>0</v>
      </c>
      <c r="DD588" s="2" t="n">
        <v>67.14</v>
      </c>
      <c r="DE588" s="2" t="n">
        <v>71.43000000000001</v>
      </c>
      <c r="DF588" s="2" t="n">
        <v>0</v>
      </c>
      <c r="DG588" s="2" t="n">
        <v>71.43000000000001</v>
      </c>
      <c r="DH588" s="2" t="n">
        <v>71.43000000000001</v>
      </c>
      <c r="DI588" s="2" t="n">
        <v>0</v>
      </c>
      <c r="DJ588" s="2" t="n">
        <v>71.43000000000001</v>
      </c>
      <c r="DK588" s="2" t="n">
        <v>75.23999999999999</v>
      </c>
      <c r="DL588" s="2" t="n">
        <v>0</v>
      </c>
      <c r="DM588" s="2" t="n">
        <v>98.09999999999999</v>
      </c>
      <c r="DN588" s="2" t="n">
        <v>100</v>
      </c>
      <c r="DO588" s="2" t="n">
        <v>0</v>
      </c>
      <c r="DP588" s="2" t="n">
        <v>100</v>
      </c>
      <c r="DQ588" s="2" t="n">
        <v>100</v>
      </c>
      <c r="DR588" s="2" t="n">
        <v>0</v>
      </c>
      <c r="DS588" s="2" t="n">
        <v>100</v>
      </c>
      <c r="DT588" s="2" t="n">
        <v>100</v>
      </c>
      <c r="DU588" s="2" t="n">
        <v>0</v>
      </c>
      <c r="DV588" s="2" t="n">
        <v>100</v>
      </c>
      <c r="DW588" s="2" t="n">
        <v>100</v>
      </c>
      <c r="DX588" s="2" t="n">
        <v>0</v>
      </c>
      <c r="DY588" s="2" t="n">
        <v>100</v>
      </c>
      <c r="DZ588" s="2" t="n">
        <v>100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</row>
    <row r="589">
      <c r="A589" s="2" t="n">
        <v>3</v>
      </c>
      <c r="B589" s="2" t="inlineStr">
        <is>
          <t>26.03.01</t>
        </is>
      </c>
      <c r="C589" s="2" t="inlineStr">
        <is>
          <t>Alçapão de chapa lisa 200x130cm</t>
        </is>
      </c>
      <c r="D589" s="2" t="inlineStr">
        <is>
          <t>02/08/2027</t>
        </is>
      </c>
      <c r="E589" s="2" t="inlineStr">
        <is>
          <t>29/06/2028</t>
        </is>
      </c>
      <c r="F589" s="2" t="n">
        <v>4245.619393043389</v>
      </c>
      <c r="G589" s="2" t="n">
        <v>0</v>
      </c>
      <c r="H589" s="2" t="n">
        <v>4245.619393043389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14.29</v>
      </c>
      <c r="CJ589" s="2" t="n">
        <v>28.57</v>
      </c>
      <c r="CK589" s="2" t="n">
        <v>0</v>
      </c>
      <c r="CL589" s="2" t="n">
        <v>28.57</v>
      </c>
      <c r="CM589" s="2" t="n">
        <v>28.57</v>
      </c>
      <c r="CN589" s="2" t="n">
        <v>0</v>
      </c>
      <c r="CO589" s="2" t="n">
        <v>28.57</v>
      </c>
      <c r="CP589" s="2" t="n">
        <v>42.86</v>
      </c>
      <c r="CQ589" s="2" t="n">
        <v>0</v>
      </c>
      <c r="CR589" s="2" t="n">
        <v>42.86</v>
      </c>
      <c r="CS589" s="2" t="n">
        <v>42.86</v>
      </c>
      <c r="CT589" s="2" t="n">
        <v>0</v>
      </c>
      <c r="CU589" s="2" t="n">
        <v>42.86</v>
      </c>
      <c r="CV589" s="2" t="n">
        <v>51.43</v>
      </c>
      <c r="CW589" s="2" t="n">
        <v>0</v>
      </c>
      <c r="CX589" s="2" t="n">
        <v>52.86</v>
      </c>
      <c r="CY589" s="2" t="n">
        <v>57.14</v>
      </c>
      <c r="CZ589" s="2" t="n">
        <v>0</v>
      </c>
      <c r="DA589" s="2" t="n">
        <v>57.14</v>
      </c>
      <c r="DB589" s="2" t="n">
        <v>62.86</v>
      </c>
      <c r="DC589" s="2" t="n">
        <v>0</v>
      </c>
      <c r="DD589" s="2" t="n">
        <v>67.14</v>
      </c>
      <c r="DE589" s="2" t="n">
        <v>71.43000000000001</v>
      </c>
      <c r="DF589" s="2" t="n">
        <v>0</v>
      </c>
      <c r="DG589" s="2" t="n">
        <v>71.43000000000001</v>
      </c>
      <c r="DH589" s="2" t="n">
        <v>71.43000000000001</v>
      </c>
      <c r="DI589" s="2" t="n">
        <v>0</v>
      </c>
      <c r="DJ589" s="2" t="n">
        <v>71.43000000000001</v>
      </c>
      <c r="DK589" s="2" t="n">
        <v>75.23999999999999</v>
      </c>
      <c r="DL589" s="2" t="n">
        <v>0</v>
      </c>
      <c r="DM589" s="2" t="n">
        <v>98.09999999999999</v>
      </c>
      <c r="DN589" s="2" t="n">
        <v>100</v>
      </c>
      <c r="DO589" s="2" t="n">
        <v>0</v>
      </c>
      <c r="DP589" s="2" t="n">
        <v>100</v>
      </c>
      <c r="DQ589" s="2" t="n">
        <v>100</v>
      </c>
      <c r="DR589" s="2" t="n">
        <v>0</v>
      </c>
      <c r="DS589" s="2" t="n">
        <v>100</v>
      </c>
      <c r="DT589" s="2" t="n">
        <v>100</v>
      </c>
      <c r="DU589" s="2" t="n">
        <v>0</v>
      </c>
      <c r="DV589" s="2" t="n">
        <v>100</v>
      </c>
      <c r="DW589" s="2" t="n">
        <v>100</v>
      </c>
      <c r="DX589" s="2" t="n">
        <v>0</v>
      </c>
      <c r="DY589" s="2" t="n">
        <v>100</v>
      </c>
      <c r="DZ589" s="2" t="n">
        <v>100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</row>
    <row r="590">
      <c r="A590" s="2" t="n">
        <v>3</v>
      </c>
      <c r="B590" s="2" t="inlineStr">
        <is>
          <t>26.03.02</t>
        </is>
      </c>
      <c r="C590" s="2" t="inlineStr">
        <is>
          <t>Alçapão de chapa lisa 80x80cm</t>
        </is>
      </c>
      <c r="D590" s="2" t="inlineStr">
        <is>
          <t>02/08/2027</t>
        </is>
      </c>
      <c r="E590" s="2" t="inlineStr">
        <is>
          <t>29/06/2028</t>
        </is>
      </c>
      <c r="F590" s="2" t="n">
        <v>2438.509600106973</v>
      </c>
      <c r="G590" s="2" t="n">
        <v>0</v>
      </c>
      <c r="H590" s="2" t="n">
        <v>2438.509600106973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14.29</v>
      </c>
      <c r="CJ590" s="2" t="n">
        <v>28.57</v>
      </c>
      <c r="CK590" s="2" t="n">
        <v>0</v>
      </c>
      <c r="CL590" s="2" t="n">
        <v>28.57</v>
      </c>
      <c r="CM590" s="2" t="n">
        <v>28.57</v>
      </c>
      <c r="CN590" s="2" t="n">
        <v>0</v>
      </c>
      <c r="CO590" s="2" t="n">
        <v>28.57</v>
      </c>
      <c r="CP590" s="2" t="n">
        <v>42.86</v>
      </c>
      <c r="CQ590" s="2" t="n">
        <v>0</v>
      </c>
      <c r="CR590" s="2" t="n">
        <v>42.86</v>
      </c>
      <c r="CS590" s="2" t="n">
        <v>42.86</v>
      </c>
      <c r="CT590" s="2" t="n">
        <v>0</v>
      </c>
      <c r="CU590" s="2" t="n">
        <v>42.86</v>
      </c>
      <c r="CV590" s="2" t="n">
        <v>51.43</v>
      </c>
      <c r="CW590" s="2" t="n">
        <v>0</v>
      </c>
      <c r="CX590" s="2" t="n">
        <v>52.86</v>
      </c>
      <c r="CY590" s="2" t="n">
        <v>57.14</v>
      </c>
      <c r="CZ590" s="2" t="n">
        <v>0</v>
      </c>
      <c r="DA590" s="2" t="n">
        <v>57.14</v>
      </c>
      <c r="DB590" s="2" t="n">
        <v>62.86</v>
      </c>
      <c r="DC590" s="2" t="n">
        <v>0</v>
      </c>
      <c r="DD590" s="2" t="n">
        <v>67.14</v>
      </c>
      <c r="DE590" s="2" t="n">
        <v>71.43000000000001</v>
      </c>
      <c r="DF590" s="2" t="n">
        <v>0</v>
      </c>
      <c r="DG590" s="2" t="n">
        <v>71.43000000000001</v>
      </c>
      <c r="DH590" s="2" t="n">
        <v>71.43000000000001</v>
      </c>
      <c r="DI590" s="2" t="n">
        <v>0</v>
      </c>
      <c r="DJ590" s="2" t="n">
        <v>71.43000000000001</v>
      </c>
      <c r="DK590" s="2" t="n">
        <v>75.23999999999999</v>
      </c>
      <c r="DL590" s="2" t="n">
        <v>0</v>
      </c>
      <c r="DM590" s="2" t="n">
        <v>98.09999999999999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</row>
    <row r="591">
      <c r="A591" s="2" t="n">
        <v>3</v>
      </c>
      <c r="B591" s="2" t="inlineStr">
        <is>
          <t>26.03.03</t>
        </is>
      </c>
      <c r="C591" s="2" t="inlineStr">
        <is>
          <t>AL02 - Portinhola de abrir em aço galvanizado, 80x80cm</t>
        </is>
      </c>
      <c r="D591" s="2" t="inlineStr">
        <is>
          <t>02/08/2027</t>
        </is>
      </c>
      <c r="E591" s="2" t="inlineStr">
        <is>
          <t>29/06/2028</t>
        </is>
      </c>
      <c r="F591" s="2" t="n">
        <v>2438.509600106973</v>
      </c>
      <c r="G591" s="2" t="n">
        <v>0</v>
      </c>
      <c r="H591" s="2" t="n">
        <v>2438.509600106973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14.29</v>
      </c>
      <c r="CJ591" s="2" t="n">
        <v>28.57</v>
      </c>
      <c r="CK591" s="2" t="n">
        <v>0</v>
      </c>
      <c r="CL591" s="2" t="n">
        <v>28.57</v>
      </c>
      <c r="CM591" s="2" t="n">
        <v>28.57</v>
      </c>
      <c r="CN591" s="2" t="n">
        <v>0</v>
      </c>
      <c r="CO591" s="2" t="n">
        <v>28.57</v>
      </c>
      <c r="CP591" s="2" t="n">
        <v>42.86</v>
      </c>
      <c r="CQ591" s="2" t="n">
        <v>0</v>
      </c>
      <c r="CR591" s="2" t="n">
        <v>42.86</v>
      </c>
      <c r="CS591" s="2" t="n">
        <v>42.86</v>
      </c>
      <c r="CT591" s="2" t="n">
        <v>0</v>
      </c>
      <c r="CU591" s="2" t="n">
        <v>42.86</v>
      </c>
      <c r="CV591" s="2" t="n">
        <v>51.43</v>
      </c>
      <c r="CW591" s="2" t="n">
        <v>0</v>
      </c>
      <c r="CX591" s="2" t="n">
        <v>52.86</v>
      </c>
      <c r="CY591" s="2" t="n">
        <v>57.14</v>
      </c>
      <c r="CZ591" s="2" t="n">
        <v>0</v>
      </c>
      <c r="DA591" s="2" t="n">
        <v>57.14</v>
      </c>
      <c r="DB591" s="2" t="n">
        <v>62.86</v>
      </c>
      <c r="DC591" s="2" t="n">
        <v>0</v>
      </c>
      <c r="DD591" s="2" t="n">
        <v>67.14</v>
      </c>
      <c r="DE591" s="2" t="n">
        <v>71.43000000000001</v>
      </c>
      <c r="DF591" s="2" t="n">
        <v>0</v>
      </c>
      <c r="DG591" s="2" t="n">
        <v>71.43000000000001</v>
      </c>
      <c r="DH591" s="2" t="n">
        <v>71.43000000000001</v>
      </c>
      <c r="DI591" s="2" t="n">
        <v>0</v>
      </c>
      <c r="DJ591" s="2" t="n">
        <v>71.43000000000001</v>
      </c>
      <c r="DK591" s="2" t="n">
        <v>75.23999999999999</v>
      </c>
      <c r="DL591" s="2" t="n">
        <v>0</v>
      </c>
      <c r="DM591" s="2" t="n">
        <v>98.09999999999999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</row>
    <row r="592">
      <c r="A592" s="2" t="n">
        <v>3</v>
      </c>
      <c r="B592" s="2" t="inlineStr">
        <is>
          <t>26.03.04</t>
        </is>
      </c>
      <c r="C592" s="2" t="inlineStr">
        <is>
          <t>AL01 - Portinhola de abrir em aço galvanizado, 80x60cm</t>
        </is>
      </c>
      <c r="D592" s="2" t="inlineStr">
        <is>
          <t>02/08/2027</t>
        </is>
      </c>
      <c r="E592" s="2" t="inlineStr">
        <is>
          <t>29/06/2028</t>
        </is>
      </c>
      <c r="F592" s="2" t="n">
        <v>261.2688857257471</v>
      </c>
      <c r="G592" s="2" t="n">
        <v>0</v>
      </c>
      <c r="H592" s="2" t="n">
        <v>261.2688857257471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14.29</v>
      </c>
      <c r="CJ592" s="2" t="n">
        <v>28.57</v>
      </c>
      <c r="CK592" s="2" t="n">
        <v>0</v>
      </c>
      <c r="CL592" s="2" t="n">
        <v>28.57</v>
      </c>
      <c r="CM592" s="2" t="n">
        <v>28.57</v>
      </c>
      <c r="CN592" s="2" t="n">
        <v>0</v>
      </c>
      <c r="CO592" s="2" t="n">
        <v>28.57</v>
      </c>
      <c r="CP592" s="2" t="n">
        <v>42.86</v>
      </c>
      <c r="CQ592" s="2" t="n">
        <v>0</v>
      </c>
      <c r="CR592" s="2" t="n">
        <v>42.86</v>
      </c>
      <c r="CS592" s="2" t="n">
        <v>42.86</v>
      </c>
      <c r="CT592" s="2" t="n">
        <v>0</v>
      </c>
      <c r="CU592" s="2" t="n">
        <v>42.86</v>
      </c>
      <c r="CV592" s="2" t="n">
        <v>51.43</v>
      </c>
      <c r="CW592" s="2" t="n">
        <v>0</v>
      </c>
      <c r="CX592" s="2" t="n">
        <v>52.86</v>
      </c>
      <c r="CY592" s="2" t="n">
        <v>57.14</v>
      </c>
      <c r="CZ592" s="2" t="n">
        <v>0</v>
      </c>
      <c r="DA592" s="2" t="n">
        <v>57.14</v>
      </c>
      <c r="DB592" s="2" t="n">
        <v>62.86</v>
      </c>
      <c r="DC592" s="2" t="n">
        <v>0</v>
      </c>
      <c r="DD592" s="2" t="n">
        <v>67.14</v>
      </c>
      <c r="DE592" s="2" t="n">
        <v>71.43000000000001</v>
      </c>
      <c r="DF592" s="2" t="n">
        <v>0</v>
      </c>
      <c r="DG592" s="2" t="n">
        <v>71.43000000000001</v>
      </c>
      <c r="DH592" s="2" t="n">
        <v>71.43000000000001</v>
      </c>
      <c r="DI592" s="2" t="n">
        <v>0</v>
      </c>
      <c r="DJ592" s="2" t="n">
        <v>71.43000000000001</v>
      </c>
      <c r="DK592" s="2" t="n">
        <v>75.23999999999999</v>
      </c>
      <c r="DL592" s="2" t="n">
        <v>0</v>
      </c>
      <c r="DM592" s="2" t="n">
        <v>98.09999999999999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</row>
    <row r="593">
      <c r="A593" s="2" t="n">
        <v>2</v>
      </c>
      <c r="B593" s="2" t="inlineStr">
        <is>
          <t>26.04</t>
        </is>
      </c>
      <c r="C593" s="2" t="inlineStr">
        <is>
          <t>Corrimaos e guarda corpos</t>
        </is>
      </c>
      <c r="D593" s="2" t="inlineStr">
        <is>
          <t>22/02/2028</t>
        </is>
      </c>
      <c r="E593" s="2" t="inlineStr">
        <is>
          <t>25/01/2029</t>
        </is>
      </c>
      <c r="F593" s="2" t="n">
        <v>138929.1556170276</v>
      </c>
      <c r="G593" s="2" t="n">
        <v>0</v>
      </c>
      <c r="H593" s="2" t="n">
        <v>138929.1556170276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1.98</v>
      </c>
      <c r="DB593" s="2" t="n">
        <v>11.91</v>
      </c>
      <c r="DC593" s="2" t="n">
        <v>0</v>
      </c>
      <c r="DD593" s="2" t="n">
        <v>47.64</v>
      </c>
      <c r="DE593" s="2" t="n">
        <v>57.56</v>
      </c>
      <c r="DF593" s="2" t="n">
        <v>0</v>
      </c>
      <c r="DG593" s="2" t="n">
        <v>83.37</v>
      </c>
      <c r="DH593" s="2" t="n">
        <v>93.29000000000001</v>
      </c>
      <c r="DI593" s="2" t="n">
        <v>0</v>
      </c>
      <c r="DJ593" s="2" t="n">
        <v>99.23999999999999</v>
      </c>
      <c r="DK593" s="2" t="n">
        <v>99.23999999999999</v>
      </c>
      <c r="DL593" s="2" t="n">
        <v>0</v>
      </c>
      <c r="DM593" s="2" t="n">
        <v>99.23999999999999</v>
      </c>
      <c r="DN593" s="2" t="n">
        <v>99.23999999999999</v>
      </c>
      <c r="DO593" s="2" t="n">
        <v>0</v>
      </c>
      <c r="DP593" s="2" t="n">
        <v>99.23999999999999</v>
      </c>
      <c r="DQ593" s="2" t="n">
        <v>99.3</v>
      </c>
      <c r="DR593" s="2" t="n">
        <v>0</v>
      </c>
      <c r="DS593" s="2" t="n">
        <v>99.33</v>
      </c>
      <c r="DT593" s="2" t="n">
        <v>99.64</v>
      </c>
      <c r="DU593" s="2" t="n">
        <v>0</v>
      </c>
      <c r="DV593" s="2" t="n">
        <v>99.64</v>
      </c>
      <c r="DW593" s="2" t="n">
        <v>99.84999999999999</v>
      </c>
      <c r="DX593" s="2" t="n">
        <v>0</v>
      </c>
      <c r="DY593" s="2" t="n">
        <v>99.84999999999999</v>
      </c>
      <c r="DZ593" s="2" t="n">
        <v>99.84999999999999</v>
      </c>
      <c r="EA593" s="2" t="n">
        <v>0</v>
      </c>
      <c r="EB593" s="2" t="n">
        <v>99.84999999999999</v>
      </c>
      <c r="EC593" s="2" t="n">
        <v>99.84999999999999</v>
      </c>
      <c r="ED593" s="2" t="n">
        <v>0</v>
      </c>
      <c r="EE593" s="2" t="n">
        <v>99.84999999999999</v>
      </c>
      <c r="EF593" s="2" t="n">
        <v>99.88</v>
      </c>
      <c r="EG593" s="2" t="n">
        <v>0</v>
      </c>
      <c r="EH593" s="2" t="n">
        <v>99.89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</row>
    <row r="594">
      <c r="A594" s="2" t="n">
        <v>3</v>
      </c>
      <c r="B594" s="2" t="inlineStr">
        <is>
          <t>26.04.01</t>
        </is>
      </c>
      <c r="C594" s="2" t="inlineStr">
        <is>
          <t>Corrimãos em aço carbono pintados com tinta esmalte</t>
        </is>
      </c>
      <c r="D594" s="2" t="inlineStr">
        <is>
          <t>22/02/2028</t>
        </is>
      </c>
      <c r="E594" s="2" t="inlineStr">
        <is>
          <t>04/05/2028</t>
        </is>
      </c>
      <c r="F594" s="2" t="n">
        <v>137879.2596011776</v>
      </c>
      <c r="G594" s="2" t="n">
        <v>0</v>
      </c>
      <c r="H594" s="2" t="n">
        <v>137879.2596011776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</v>
      </c>
      <c r="CG594" s="2" t="n">
        <v>0</v>
      </c>
      <c r="CH594" s="2" t="n">
        <v>0</v>
      </c>
      <c r="CI594" s="2" t="n">
        <v>0</v>
      </c>
      <c r="CJ594" s="2" t="n">
        <v>0</v>
      </c>
      <c r="CK594" s="2" t="n">
        <v>0</v>
      </c>
      <c r="CL594" s="2" t="n">
        <v>0</v>
      </c>
      <c r="CM594" s="2" t="n">
        <v>0</v>
      </c>
      <c r="CN594" s="2" t="n">
        <v>0</v>
      </c>
      <c r="CO594" s="2" t="n">
        <v>0</v>
      </c>
      <c r="CP594" s="2" t="n">
        <v>0</v>
      </c>
      <c r="CQ594" s="2" t="n">
        <v>0</v>
      </c>
      <c r="CR594" s="2" t="n">
        <v>0</v>
      </c>
      <c r="CS594" s="2" t="n">
        <v>0</v>
      </c>
      <c r="CT594" s="2" t="n">
        <v>0</v>
      </c>
      <c r="CU594" s="2" t="n">
        <v>0</v>
      </c>
      <c r="CV594" s="2" t="n">
        <v>0</v>
      </c>
      <c r="CW594" s="2" t="n">
        <v>0</v>
      </c>
      <c r="CX594" s="2" t="n">
        <v>0</v>
      </c>
      <c r="CY594" s="2" t="n">
        <v>0</v>
      </c>
      <c r="CZ594" s="2" t="n">
        <v>0</v>
      </c>
      <c r="DA594" s="2" t="n">
        <v>2</v>
      </c>
      <c r="DB594" s="2" t="n">
        <v>12</v>
      </c>
      <c r="DC594" s="2" t="n">
        <v>0</v>
      </c>
      <c r="DD594" s="2" t="n">
        <v>48</v>
      </c>
      <c r="DE594" s="2" t="n">
        <v>58</v>
      </c>
      <c r="DF594" s="2" t="n">
        <v>0</v>
      </c>
      <c r="DG594" s="2" t="n">
        <v>84</v>
      </c>
      <c r="DH594" s="2" t="n">
        <v>94</v>
      </c>
      <c r="DI594" s="2" t="n">
        <v>0</v>
      </c>
      <c r="DJ594" s="2" t="n">
        <v>100</v>
      </c>
      <c r="DK594" s="2" t="n">
        <v>100</v>
      </c>
      <c r="DL594" s="2" t="n">
        <v>0</v>
      </c>
      <c r="DM594" s="2" t="n">
        <v>100</v>
      </c>
      <c r="DN594" s="2" t="n">
        <v>100</v>
      </c>
      <c r="DO594" s="2" t="n">
        <v>0</v>
      </c>
      <c r="DP594" s="2" t="n">
        <v>100</v>
      </c>
      <c r="DQ594" s="2" t="n">
        <v>100</v>
      </c>
      <c r="DR594" s="2" t="n">
        <v>0</v>
      </c>
      <c r="DS594" s="2" t="n">
        <v>100</v>
      </c>
      <c r="DT594" s="2" t="n">
        <v>100</v>
      </c>
      <c r="DU594" s="2" t="n">
        <v>0</v>
      </c>
      <c r="DV594" s="2" t="n">
        <v>100</v>
      </c>
      <c r="DW594" s="2" t="n">
        <v>100</v>
      </c>
      <c r="DX594" s="2" t="n">
        <v>0</v>
      </c>
      <c r="DY594" s="2" t="n">
        <v>100</v>
      </c>
      <c r="DZ594" s="2" t="n">
        <v>100</v>
      </c>
      <c r="EA594" s="2" t="n">
        <v>0</v>
      </c>
      <c r="EB594" s="2" t="n">
        <v>100</v>
      </c>
      <c r="EC594" s="2" t="n">
        <v>100</v>
      </c>
      <c r="ED594" s="2" t="n">
        <v>0</v>
      </c>
      <c r="EE594" s="2" t="n">
        <v>100</v>
      </c>
      <c r="EF594" s="2" t="n">
        <v>100</v>
      </c>
      <c r="EG594" s="2" t="n">
        <v>0</v>
      </c>
      <c r="EH594" s="2" t="n">
        <v>100</v>
      </c>
      <c r="EI594" s="2" t="n">
        <v>100</v>
      </c>
      <c r="EJ594" s="2" t="n">
        <v>0</v>
      </c>
      <c r="EK594" s="2" t="n">
        <v>100</v>
      </c>
      <c r="EL594" s="2" t="n">
        <v>100</v>
      </c>
      <c r="EM594" s="2" t="n">
        <v>0</v>
      </c>
      <c r="EN594" s="2" t="n">
        <v>100</v>
      </c>
      <c r="EO594" s="2" t="n">
        <v>100</v>
      </c>
      <c r="EP594" s="2" t="n">
        <v>0</v>
      </c>
      <c r="EQ594" s="2" t="n">
        <v>100</v>
      </c>
      <c r="ER594" s="2" t="n">
        <v>100</v>
      </c>
      <c r="ES594" s="2" t="n">
        <v>0</v>
      </c>
    </row>
    <row r="595">
      <c r="A595" s="2" t="n">
        <v>3</v>
      </c>
      <c r="B595" s="2" t="inlineStr">
        <is>
          <t>26.04.02</t>
        </is>
      </c>
      <c r="C595" s="2" t="inlineStr">
        <is>
          <t>Guarda-corpo tubular de aço H=120cm</t>
        </is>
      </c>
      <c r="D595" s="2" t="inlineStr">
        <is>
          <t>26/07/2028</t>
        </is>
      </c>
      <c r="E595" s="2" t="inlineStr">
        <is>
          <t>25/01/2029</t>
        </is>
      </c>
      <c r="F595" s="2" t="n">
        <v>1049.896015850082</v>
      </c>
      <c r="G595" s="2" t="n">
        <v>0</v>
      </c>
      <c r="H595" s="2" t="n">
        <v>1049.896015850082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0</v>
      </c>
      <c r="CG595" s="2" t="n">
        <v>0</v>
      </c>
      <c r="CH595" s="2" t="n">
        <v>0</v>
      </c>
      <c r="CI595" s="2" t="n">
        <v>0</v>
      </c>
      <c r="CJ595" s="2" t="n">
        <v>0</v>
      </c>
      <c r="CK595" s="2" t="n">
        <v>0</v>
      </c>
      <c r="CL595" s="2" t="n">
        <v>0</v>
      </c>
      <c r="CM595" s="2" t="n">
        <v>0</v>
      </c>
      <c r="CN595" s="2" t="n">
        <v>0</v>
      </c>
      <c r="CO595" s="2" t="n">
        <v>0</v>
      </c>
      <c r="CP595" s="2" t="n">
        <v>0</v>
      </c>
      <c r="CQ595" s="2" t="n">
        <v>0</v>
      </c>
      <c r="CR595" s="2" t="n">
        <v>0</v>
      </c>
      <c r="CS595" s="2" t="n">
        <v>0</v>
      </c>
      <c r="CT595" s="2" t="n">
        <v>0</v>
      </c>
      <c r="CU595" s="2" t="n">
        <v>0</v>
      </c>
      <c r="CV595" s="2" t="n">
        <v>0</v>
      </c>
      <c r="CW595" s="2" t="n">
        <v>0</v>
      </c>
      <c r="CX595" s="2" t="n">
        <v>0</v>
      </c>
      <c r="CY595" s="2" t="n">
        <v>0</v>
      </c>
      <c r="CZ595" s="2" t="n">
        <v>0</v>
      </c>
      <c r="DA595" s="2" t="n">
        <v>0</v>
      </c>
      <c r="DB595" s="2" t="n">
        <v>0</v>
      </c>
      <c r="DC595" s="2" t="n">
        <v>0</v>
      </c>
      <c r="DD595" s="2" t="n">
        <v>0</v>
      </c>
      <c r="DE595" s="2" t="n">
        <v>0</v>
      </c>
      <c r="DF595" s="2" t="n">
        <v>0</v>
      </c>
      <c r="DG595" s="2" t="n">
        <v>0</v>
      </c>
      <c r="DH595" s="2" t="n">
        <v>0</v>
      </c>
      <c r="DI595" s="2" t="n">
        <v>0</v>
      </c>
      <c r="DJ595" s="2" t="n">
        <v>0</v>
      </c>
      <c r="DK595" s="2" t="n">
        <v>0</v>
      </c>
      <c r="DL595" s="2" t="n">
        <v>0</v>
      </c>
      <c r="DM595" s="2" t="n">
        <v>0</v>
      </c>
      <c r="DN595" s="2" t="n">
        <v>0</v>
      </c>
      <c r="DO595" s="2" t="n">
        <v>0</v>
      </c>
      <c r="DP595" s="2" t="n">
        <v>0</v>
      </c>
      <c r="DQ595" s="2" t="n">
        <v>8</v>
      </c>
      <c r="DR595" s="2" t="n">
        <v>0</v>
      </c>
      <c r="DS595" s="2" t="n">
        <v>12</v>
      </c>
      <c r="DT595" s="2" t="n">
        <v>52</v>
      </c>
      <c r="DU595" s="2" t="n">
        <v>0</v>
      </c>
      <c r="DV595" s="2" t="n">
        <v>52</v>
      </c>
      <c r="DW595" s="2" t="n">
        <v>80</v>
      </c>
      <c r="DX595" s="2" t="n">
        <v>0</v>
      </c>
      <c r="DY595" s="2" t="n">
        <v>80</v>
      </c>
      <c r="DZ595" s="2" t="n">
        <v>80</v>
      </c>
      <c r="EA595" s="2" t="n">
        <v>0</v>
      </c>
      <c r="EB595" s="2" t="n">
        <v>80</v>
      </c>
      <c r="EC595" s="2" t="n">
        <v>80</v>
      </c>
      <c r="ED595" s="2" t="n">
        <v>0</v>
      </c>
      <c r="EE595" s="2" t="n">
        <v>80</v>
      </c>
      <c r="EF595" s="2" t="n">
        <v>83.64</v>
      </c>
      <c r="EG595" s="2" t="n">
        <v>0</v>
      </c>
      <c r="EH595" s="2" t="n">
        <v>85.45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</row>
    <row r="596">
      <c r="A596" s="2" t="n">
        <v>2</v>
      </c>
      <c r="B596" s="2" t="inlineStr">
        <is>
          <t>26.05</t>
        </is>
      </c>
      <c r="C596" s="2" t="inlineStr">
        <is>
          <t>Gradis, portoes e fechamentos</t>
        </is>
      </c>
      <c r="D596" s="2" t="inlineStr">
        <is>
          <t>02/08/2027</t>
        </is>
      </c>
      <c r="E596" s="2" t="inlineStr">
        <is>
          <t>29/06/2028</t>
        </is>
      </c>
      <c r="F596" s="2" t="n">
        <v>28431</v>
      </c>
      <c r="G596" s="2" t="n">
        <v>0</v>
      </c>
      <c r="H596" s="2" t="n">
        <v>28431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0</v>
      </c>
      <c r="CG596" s="2" t="n">
        <v>0</v>
      </c>
      <c r="CH596" s="2" t="n">
        <v>0</v>
      </c>
      <c r="CI596" s="2" t="n">
        <v>14.29</v>
      </c>
      <c r="CJ596" s="2" t="n">
        <v>28.57</v>
      </c>
      <c r="CK596" s="2" t="n">
        <v>0</v>
      </c>
      <c r="CL596" s="2" t="n">
        <v>28.57</v>
      </c>
      <c r="CM596" s="2" t="n">
        <v>28.57</v>
      </c>
      <c r="CN596" s="2" t="n">
        <v>0</v>
      </c>
      <c r="CO596" s="2" t="n">
        <v>28.57</v>
      </c>
      <c r="CP596" s="2" t="n">
        <v>42.86</v>
      </c>
      <c r="CQ596" s="2" t="n">
        <v>0</v>
      </c>
      <c r="CR596" s="2" t="n">
        <v>42.86</v>
      </c>
      <c r="CS596" s="2" t="n">
        <v>42.86</v>
      </c>
      <c r="CT596" s="2" t="n">
        <v>0</v>
      </c>
      <c r="CU596" s="2" t="n">
        <v>42.86</v>
      </c>
      <c r="CV596" s="2" t="n">
        <v>51.43</v>
      </c>
      <c r="CW596" s="2" t="n">
        <v>0</v>
      </c>
      <c r="CX596" s="2" t="n">
        <v>52.86</v>
      </c>
      <c r="CY596" s="2" t="n">
        <v>57.14</v>
      </c>
      <c r="CZ596" s="2" t="n">
        <v>0</v>
      </c>
      <c r="DA596" s="2" t="n">
        <v>57.14</v>
      </c>
      <c r="DB596" s="2" t="n">
        <v>62.86</v>
      </c>
      <c r="DC596" s="2" t="n">
        <v>0</v>
      </c>
      <c r="DD596" s="2" t="n">
        <v>67.14</v>
      </c>
      <c r="DE596" s="2" t="n">
        <v>71.43000000000001</v>
      </c>
      <c r="DF596" s="2" t="n">
        <v>0</v>
      </c>
      <c r="DG596" s="2" t="n">
        <v>71.43000000000001</v>
      </c>
      <c r="DH596" s="2" t="n">
        <v>71.43000000000001</v>
      </c>
      <c r="DI596" s="2" t="n">
        <v>0</v>
      </c>
      <c r="DJ596" s="2" t="n">
        <v>71.43000000000001</v>
      </c>
      <c r="DK596" s="2" t="n">
        <v>75.23999999999999</v>
      </c>
      <c r="DL596" s="2" t="n">
        <v>0</v>
      </c>
      <c r="DM596" s="2" t="n">
        <v>98.09999999999999</v>
      </c>
      <c r="DN596" s="2" t="n">
        <v>100</v>
      </c>
      <c r="DO596" s="2" t="n">
        <v>0</v>
      </c>
      <c r="DP596" s="2" t="n">
        <v>100</v>
      </c>
      <c r="DQ596" s="2" t="n">
        <v>100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</row>
    <row r="597">
      <c r="A597" s="2" t="n">
        <v>3</v>
      </c>
      <c r="B597" s="2" t="inlineStr">
        <is>
          <t>26.05.01</t>
        </is>
      </c>
      <c r="C597" s="2" t="inlineStr">
        <is>
          <t>Al 01 - Alambrado a ser definido, tonalidade Bronze 104</t>
        </is>
      </c>
      <c r="D597" s="2" t="inlineStr">
        <is>
          <t>02/08/2027</t>
        </is>
      </c>
      <c r="E597" s="2" t="inlineStr">
        <is>
          <t>29/06/2028</t>
        </is>
      </c>
      <c r="F597" s="2" t="n">
        <v>28431</v>
      </c>
      <c r="G597" s="2" t="n">
        <v>0</v>
      </c>
      <c r="H597" s="2" t="n">
        <v>28431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14.29</v>
      </c>
      <c r="CJ597" s="2" t="n">
        <v>28.57</v>
      </c>
      <c r="CK597" s="2" t="n">
        <v>0</v>
      </c>
      <c r="CL597" s="2" t="n">
        <v>28.57</v>
      </c>
      <c r="CM597" s="2" t="n">
        <v>28.57</v>
      </c>
      <c r="CN597" s="2" t="n">
        <v>0</v>
      </c>
      <c r="CO597" s="2" t="n">
        <v>28.57</v>
      </c>
      <c r="CP597" s="2" t="n">
        <v>42.86</v>
      </c>
      <c r="CQ597" s="2" t="n">
        <v>0</v>
      </c>
      <c r="CR597" s="2" t="n">
        <v>42.86</v>
      </c>
      <c r="CS597" s="2" t="n">
        <v>42.86</v>
      </c>
      <c r="CT597" s="2" t="n">
        <v>0</v>
      </c>
      <c r="CU597" s="2" t="n">
        <v>42.86</v>
      </c>
      <c r="CV597" s="2" t="n">
        <v>51.43</v>
      </c>
      <c r="CW597" s="2" t="n">
        <v>0</v>
      </c>
      <c r="CX597" s="2" t="n">
        <v>52.86</v>
      </c>
      <c r="CY597" s="2" t="n">
        <v>57.14</v>
      </c>
      <c r="CZ597" s="2" t="n">
        <v>0</v>
      </c>
      <c r="DA597" s="2" t="n">
        <v>57.14</v>
      </c>
      <c r="DB597" s="2" t="n">
        <v>62.86</v>
      </c>
      <c r="DC597" s="2" t="n">
        <v>0</v>
      </c>
      <c r="DD597" s="2" t="n">
        <v>67.14</v>
      </c>
      <c r="DE597" s="2" t="n">
        <v>71.43000000000001</v>
      </c>
      <c r="DF597" s="2" t="n">
        <v>0</v>
      </c>
      <c r="DG597" s="2" t="n">
        <v>71.43000000000001</v>
      </c>
      <c r="DH597" s="2" t="n">
        <v>71.43000000000001</v>
      </c>
      <c r="DI597" s="2" t="n">
        <v>0</v>
      </c>
      <c r="DJ597" s="2" t="n">
        <v>71.43000000000001</v>
      </c>
      <c r="DK597" s="2" t="n">
        <v>75.23999999999999</v>
      </c>
      <c r="DL597" s="2" t="n">
        <v>0</v>
      </c>
      <c r="DM597" s="2" t="n">
        <v>98.09999999999999</v>
      </c>
      <c r="DN597" s="2" t="n">
        <v>100</v>
      </c>
      <c r="DO597" s="2" t="n">
        <v>0</v>
      </c>
      <c r="DP597" s="2" t="n">
        <v>100</v>
      </c>
      <c r="DQ597" s="2" t="n">
        <v>100</v>
      </c>
      <c r="DR597" s="2" t="n">
        <v>0</v>
      </c>
      <c r="DS597" s="2" t="n">
        <v>100</v>
      </c>
      <c r="DT597" s="2" t="n">
        <v>100</v>
      </c>
      <c r="DU597" s="2" t="n">
        <v>0</v>
      </c>
      <c r="DV597" s="2" t="n">
        <v>100</v>
      </c>
      <c r="DW597" s="2" t="n">
        <v>100</v>
      </c>
      <c r="DX597" s="2" t="n">
        <v>0</v>
      </c>
      <c r="DY597" s="2" t="n">
        <v>100</v>
      </c>
      <c r="DZ597" s="2" t="n">
        <v>100</v>
      </c>
      <c r="EA597" s="2" t="n">
        <v>0</v>
      </c>
      <c r="EB597" s="2" t="n">
        <v>100</v>
      </c>
      <c r="EC597" s="2" t="n">
        <v>100</v>
      </c>
      <c r="ED597" s="2" t="n">
        <v>0</v>
      </c>
      <c r="EE597" s="2" t="n">
        <v>100</v>
      </c>
      <c r="EF597" s="2" t="n">
        <v>100</v>
      </c>
      <c r="EG597" s="2" t="n">
        <v>0</v>
      </c>
      <c r="EH597" s="2" t="n">
        <v>100</v>
      </c>
      <c r="EI597" s="2" t="n">
        <v>100</v>
      </c>
      <c r="EJ597" s="2" t="n">
        <v>0</v>
      </c>
      <c r="EK597" s="2" t="n">
        <v>100</v>
      </c>
      <c r="EL597" s="2" t="n">
        <v>100</v>
      </c>
      <c r="EM597" s="2" t="n">
        <v>0</v>
      </c>
      <c r="EN597" s="2" t="n">
        <v>100</v>
      </c>
      <c r="EO597" s="2" t="n">
        <v>100</v>
      </c>
      <c r="EP597" s="2" t="n">
        <v>0</v>
      </c>
      <c r="EQ597" s="2" t="n">
        <v>100</v>
      </c>
      <c r="ER597" s="2" t="n">
        <v>100</v>
      </c>
      <c r="ES597" s="2" t="n">
        <v>0</v>
      </c>
    </row>
    <row r="598">
      <c r="A598" s="2" t="n">
        <v>2</v>
      </c>
      <c r="B598" s="2" t="inlineStr">
        <is>
          <t>26.06</t>
        </is>
      </c>
      <c r="C598" s="2" t="inlineStr">
        <is>
          <t>Escadas</t>
        </is>
      </c>
      <c r="D598" s="2" t="inlineStr">
        <is>
          <t>02/08/2027</t>
        </is>
      </c>
      <c r="E598" s="2" t="inlineStr">
        <is>
          <t>29/06/2028</t>
        </is>
      </c>
      <c r="F598" s="2" t="n">
        <v>6799.807968574239</v>
      </c>
      <c r="G598" s="2" t="n">
        <v>0</v>
      </c>
      <c r="H598" s="2" t="n">
        <v>6799.807968574239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14.29</v>
      </c>
      <c r="CJ598" s="2" t="n">
        <v>28.57</v>
      </c>
      <c r="CK598" s="2" t="n">
        <v>0</v>
      </c>
      <c r="CL598" s="2" t="n">
        <v>28.57</v>
      </c>
      <c r="CM598" s="2" t="n">
        <v>28.57</v>
      </c>
      <c r="CN598" s="2" t="n">
        <v>0</v>
      </c>
      <c r="CO598" s="2" t="n">
        <v>28.57</v>
      </c>
      <c r="CP598" s="2" t="n">
        <v>42.86</v>
      </c>
      <c r="CQ598" s="2" t="n">
        <v>0</v>
      </c>
      <c r="CR598" s="2" t="n">
        <v>42.86</v>
      </c>
      <c r="CS598" s="2" t="n">
        <v>42.86</v>
      </c>
      <c r="CT598" s="2" t="n">
        <v>0</v>
      </c>
      <c r="CU598" s="2" t="n">
        <v>42.86</v>
      </c>
      <c r="CV598" s="2" t="n">
        <v>51.43</v>
      </c>
      <c r="CW598" s="2" t="n">
        <v>0</v>
      </c>
      <c r="CX598" s="2" t="n">
        <v>52.86</v>
      </c>
      <c r="CY598" s="2" t="n">
        <v>57.14</v>
      </c>
      <c r="CZ598" s="2" t="n">
        <v>0</v>
      </c>
      <c r="DA598" s="2" t="n">
        <v>57.14</v>
      </c>
      <c r="DB598" s="2" t="n">
        <v>62.86</v>
      </c>
      <c r="DC598" s="2" t="n">
        <v>0</v>
      </c>
      <c r="DD598" s="2" t="n">
        <v>67.14</v>
      </c>
      <c r="DE598" s="2" t="n">
        <v>71.43000000000001</v>
      </c>
      <c r="DF598" s="2" t="n">
        <v>0</v>
      </c>
      <c r="DG598" s="2" t="n">
        <v>71.43000000000001</v>
      </c>
      <c r="DH598" s="2" t="n">
        <v>71.43000000000001</v>
      </c>
      <c r="DI598" s="2" t="n">
        <v>0</v>
      </c>
      <c r="DJ598" s="2" t="n">
        <v>71.43000000000001</v>
      </c>
      <c r="DK598" s="2" t="n">
        <v>75.23999999999999</v>
      </c>
      <c r="DL598" s="2" t="n">
        <v>0</v>
      </c>
      <c r="DM598" s="2" t="n">
        <v>98.09999999999999</v>
      </c>
      <c r="DN598" s="2" t="n">
        <v>100</v>
      </c>
      <c r="DO598" s="2" t="n">
        <v>0</v>
      </c>
      <c r="DP598" s="2" t="n">
        <v>100</v>
      </c>
      <c r="DQ598" s="2" t="n">
        <v>100</v>
      </c>
      <c r="DR598" s="2" t="n">
        <v>0</v>
      </c>
      <c r="DS598" s="2" t="n">
        <v>100</v>
      </c>
      <c r="DT598" s="2" t="n">
        <v>100</v>
      </c>
      <c r="DU598" s="2" t="n">
        <v>0</v>
      </c>
      <c r="DV598" s="2" t="n">
        <v>100</v>
      </c>
      <c r="DW598" s="2" t="n">
        <v>100</v>
      </c>
      <c r="DX598" s="2" t="n">
        <v>0</v>
      </c>
      <c r="DY598" s="2" t="n">
        <v>100</v>
      </c>
      <c r="DZ598" s="2" t="n">
        <v>100</v>
      </c>
      <c r="EA598" s="2" t="n">
        <v>0</v>
      </c>
      <c r="EB598" s="2" t="n">
        <v>100</v>
      </c>
      <c r="EC598" s="2" t="n">
        <v>100</v>
      </c>
      <c r="ED598" s="2" t="n">
        <v>0</v>
      </c>
      <c r="EE598" s="2" t="n">
        <v>100</v>
      </c>
      <c r="EF598" s="2" t="n">
        <v>100</v>
      </c>
      <c r="EG598" s="2" t="n">
        <v>0</v>
      </c>
      <c r="EH598" s="2" t="n">
        <v>100</v>
      </c>
      <c r="EI598" s="2" t="n">
        <v>100</v>
      </c>
      <c r="EJ598" s="2" t="n">
        <v>0</v>
      </c>
      <c r="EK598" s="2" t="n">
        <v>100</v>
      </c>
      <c r="EL598" s="2" t="n">
        <v>100</v>
      </c>
      <c r="EM598" s="2" t="n">
        <v>0</v>
      </c>
      <c r="EN598" s="2" t="n">
        <v>100</v>
      </c>
      <c r="EO598" s="2" t="n">
        <v>100</v>
      </c>
      <c r="EP598" s="2" t="n">
        <v>0</v>
      </c>
      <c r="EQ598" s="2" t="n">
        <v>100</v>
      </c>
      <c r="ER598" s="2" t="n">
        <v>100</v>
      </c>
      <c r="ES598" s="2" t="n">
        <v>0</v>
      </c>
    </row>
    <row r="599">
      <c r="A599" s="2" t="n">
        <v>3</v>
      </c>
      <c r="B599" s="2" t="inlineStr">
        <is>
          <t>26.06.01</t>
        </is>
      </c>
      <c r="C599" s="2" t="inlineStr">
        <is>
          <t>Escada de marinheiro - degraus chumbados</t>
        </is>
      </c>
      <c r="D599" s="2" t="inlineStr">
        <is>
          <t>02/08/2027</t>
        </is>
      </c>
      <c r="E599" s="2" t="inlineStr">
        <is>
          <t>29/06/2028</t>
        </is>
      </c>
      <c r="F599" s="2" t="n">
        <v>6799.807968574239</v>
      </c>
      <c r="G599" s="2" t="n">
        <v>0</v>
      </c>
      <c r="H599" s="2" t="n">
        <v>6799.807968574239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14.29</v>
      </c>
      <c r="CJ599" s="2" t="n">
        <v>28.57</v>
      </c>
      <c r="CK599" s="2" t="n">
        <v>0</v>
      </c>
      <c r="CL599" s="2" t="n">
        <v>28.57</v>
      </c>
      <c r="CM599" s="2" t="n">
        <v>28.57</v>
      </c>
      <c r="CN599" s="2" t="n">
        <v>0</v>
      </c>
      <c r="CO599" s="2" t="n">
        <v>28.57</v>
      </c>
      <c r="CP599" s="2" t="n">
        <v>42.86</v>
      </c>
      <c r="CQ599" s="2" t="n">
        <v>0</v>
      </c>
      <c r="CR599" s="2" t="n">
        <v>42.86</v>
      </c>
      <c r="CS599" s="2" t="n">
        <v>42.86</v>
      </c>
      <c r="CT599" s="2" t="n">
        <v>0</v>
      </c>
      <c r="CU599" s="2" t="n">
        <v>42.86</v>
      </c>
      <c r="CV599" s="2" t="n">
        <v>51.43</v>
      </c>
      <c r="CW599" s="2" t="n">
        <v>0</v>
      </c>
      <c r="CX599" s="2" t="n">
        <v>52.86</v>
      </c>
      <c r="CY599" s="2" t="n">
        <v>57.14</v>
      </c>
      <c r="CZ599" s="2" t="n">
        <v>0</v>
      </c>
      <c r="DA599" s="2" t="n">
        <v>57.14</v>
      </c>
      <c r="DB599" s="2" t="n">
        <v>62.86</v>
      </c>
      <c r="DC599" s="2" t="n">
        <v>0</v>
      </c>
      <c r="DD599" s="2" t="n">
        <v>67.14</v>
      </c>
      <c r="DE599" s="2" t="n">
        <v>71.43000000000001</v>
      </c>
      <c r="DF599" s="2" t="n">
        <v>0</v>
      </c>
      <c r="DG599" s="2" t="n">
        <v>71.43000000000001</v>
      </c>
      <c r="DH599" s="2" t="n">
        <v>71.43000000000001</v>
      </c>
      <c r="DI599" s="2" t="n">
        <v>0</v>
      </c>
      <c r="DJ599" s="2" t="n">
        <v>71.43000000000001</v>
      </c>
      <c r="DK599" s="2" t="n">
        <v>75.23999999999999</v>
      </c>
      <c r="DL599" s="2" t="n">
        <v>0</v>
      </c>
      <c r="DM599" s="2" t="n">
        <v>98.09999999999999</v>
      </c>
      <c r="DN599" s="2" t="n">
        <v>100</v>
      </c>
      <c r="DO599" s="2" t="n">
        <v>0</v>
      </c>
      <c r="DP599" s="2" t="n">
        <v>100</v>
      </c>
      <c r="DQ599" s="2" t="n">
        <v>100</v>
      </c>
      <c r="DR599" s="2" t="n">
        <v>0</v>
      </c>
      <c r="DS599" s="2" t="n">
        <v>100</v>
      </c>
      <c r="DT599" s="2" t="n">
        <v>100</v>
      </c>
      <c r="DU599" s="2" t="n">
        <v>0</v>
      </c>
      <c r="DV599" s="2" t="n">
        <v>100</v>
      </c>
      <c r="DW599" s="2" t="n">
        <v>100</v>
      </c>
      <c r="DX599" s="2" t="n">
        <v>0</v>
      </c>
      <c r="DY599" s="2" t="n">
        <v>100</v>
      </c>
      <c r="DZ599" s="2" t="n">
        <v>100</v>
      </c>
      <c r="EA599" s="2" t="n">
        <v>0</v>
      </c>
      <c r="EB599" s="2" t="n">
        <v>100</v>
      </c>
      <c r="EC599" s="2" t="n">
        <v>100</v>
      </c>
      <c r="ED599" s="2" t="n">
        <v>0</v>
      </c>
      <c r="EE599" s="2" t="n">
        <v>100</v>
      </c>
      <c r="EF599" s="2" t="n">
        <v>100</v>
      </c>
      <c r="EG599" s="2" t="n">
        <v>0</v>
      </c>
      <c r="EH599" s="2" t="n">
        <v>100</v>
      </c>
      <c r="EI599" s="2" t="n">
        <v>100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</row>
    <row r="600">
      <c r="A600" s="2" t="n">
        <v>2</v>
      </c>
      <c r="B600" s="2" t="inlineStr">
        <is>
          <t>26.07</t>
        </is>
      </c>
      <c r="C600" s="2" t="inlineStr">
        <is>
          <t>Diversos</t>
        </is>
      </c>
      <c r="D600" s="2" t="inlineStr">
        <is>
          <t>02/08/2027</t>
        </is>
      </c>
      <c r="E600" s="2" t="inlineStr">
        <is>
          <t>29/06/2028</t>
        </is>
      </c>
      <c r="F600" s="2" t="n">
        <v>132724.8654528943</v>
      </c>
      <c r="G600" s="2" t="n">
        <v>0</v>
      </c>
      <c r="H600" s="2" t="n">
        <v>132724.8654528943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14.29</v>
      </c>
      <c r="CJ600" s="2" t="n">
        <v>28.57</v>
      </c>
      <c r="CK600" s="2" t="n">
        <v>0</v>
      </c>
      <c r="CL600" s="2" t="n">
        <v>28.57</v>
      </c>
      <c r="CM600" s="2" t="n">
        <v>28.57</v>
      </c>
      <c r="CN600" s="2" t="n">
        <v>0</v>
      </c>
      <c r="CO600" s="2" t="n">
        <v>28.57</v>
      </c>
      <c r="CP600" s="2" t="n">
        <v>42.86</v>
      </c>
      <c r="CQ600" s="2" t="n">
        <v>0</v>
      </c>
      <c r="CR600" s="2" t="n">
        <v>42.86</v>
      </c>
      <c r="CS600" s="2" t="n">
        <v>42.86</v>
      </c>
      <c r="CT600" s="2" t="n">
        <v>0</v>
      </c>
      <c r="CU600" s="2" t="n">
        <v>42.86</v>
      </c>
      <c r="CV600" s="2" t="n">
        <v>51.43</v>
      </c>
      <c r="CW600" s="2" t="n">
        <v>0</v>
      </c>
      <c r="CX600" s="2" t="n">
        <v>52.86</v>
      </c>
      <c r="CY600" s="2" t="n">
        <v>57.14</v>
      </c>
      <c r="CZ600" s="2" t="n">
        <v>0</v>
      </c>
      <c r="DA600" s="2" t="n">
        <v>57.14</v>
      </c>
      <c r="DB600" s="2" t="n">
        <v>62.86</v>
      </c>
      <c r="DC600" s="2" t="n">
        <v>0</v>
      </c>
      <c r="DD600" s="2" t="n">
        <v>67.14</v>
      </c>
      <c r="DE600" s="2" t="n">
        <v>71.43000000000001</v>
      </c>
      <c r="DF600" s="2" t="n">
        <v>0</v>
      </c>
      <c r="DG600" s="2" t="n">
        <v>71.43000000000001</v>
      </c>
      <c r="DH600" s="2" t="n">
        <v>71.43000000000001</v>
      </c>
      <c r="DI600" s="2" t="n">
        <v>0</v>
      </c>
      <c r="DJ600" s="2" t="n">
        <v>71.43000000000001</v>
      </c>
      <c r="DK600" s="2" t="n">
        <v>75.23999999999999</v>
      </c>
      <c r="DL600" s="2" t="n">
        <v>0</v>
      </c>
      <c r="DM600" s="2" t="n">
        <v>98.09999999999999</v>
      </c>
      <c r="DN600" s="2" t="n">
        <v>100</v>
      </c>
      <c r="DO600" s="2" t="n">
        <v>0</v>
      </c>
      <c r="DP600" s="2" t="n">
        <v>100</v>
      </c>
      <c r="DQ600" s="2" t="n">
        <v>100</v>
      </c>
      <c r="DR600" s="2" t="n">
        <v>0</v>
      </c>
      <c r="DS600" s="2" t="n">
        <v>100</v>
      </c>
      <c r="DT600" s="2" t="n">
        <v>100</v>
      </c>
      <c r="DU600" s="2" t="n">
        <v>0</v>
      </c>
      <c r="DV600" s="2" t="n">
        <v>100</v>
      </c>
      <c r="DW600" s="2" t="n">
        <v>100</v>
      </c>
      <c r="DX600" s="2" t="n">
        <v>0</v>
      </c>
      <c r="DY600" s="2" t="n">
        <v>100</v>
      </c>
      <c r="DZ600" s="2" t="n">
        <v>100</v>
      </c>
      <c r="EA600" s="2" t="n">
        <v>0</v>
      </c>
      <c r="EB600" s="2" t="n">
        <v>100</v>
      </c>
      <c r="EC600" s="2" t="n">
        <v>100</v>
      </c>
      <c r="ED600" s="2" t="n">
        <v>0</v>
      </c>
      <c r="EE600" s="2" t="n">
        <v>100</v>
      </c>
      <c r="EF600" s="2" t="n">
        <v>100</v>
      </c>
      <c r="EG600" s="2" t="n">
        <v>0</v>
      </c>
      <c r="EH600" s="2" t="n">
        <v>100</v>
      </c>
      <c r="EI600" s="2" t="n">
        <v>100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</row>
    <row r="601">
      <c r="A601" s="2" t="n">
        <v>3</v>
      </c>
      <c r="B601" s="2" t="inlineStr">
        <is>
          <t>26.07.01</t>
        </is>
      </c>
      <c r="C601" s="2" t="inlineStr">
        <is>
          <t>Canaleta de drenagem com grelha de aço para estacionamento</t>
        </is>
      </c>
      <c r="D601" s="2" t="inlineStr">
        <is>
          <t>02/08/2027</t>
        </is>
      </c>
      <c r="E601" s="2" t="inlineStr">
        <is>
          <t>29/06/2028</t>
        </is>
      </c>
      <c r="F601" s="2" t="n">
        <v>130702.5333201268</v>
      </c>
      <c r="G601" s="2" t="n">
        <v>0</v>
      </c>
      <c r="H601" s="2" t="n">
        <v>130702.5333201268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14.29</v>
      </c>
      <c r="CJ601" s="2" t="n">
        <v>28.57</v>
      </c>
      <c r="CK601" s="2" t="n">
        <v>0</v>
      </c>
      <c r="CL601" s="2" t="n">
        <v>28.57</v>
      </c>
      <c r="CM601" s="2" t="n">
        <v>28.57</v>
      </c>
      <c r="CN601" s="2" t="n">
        <v>0</v>
      </c>
      <c r="CO601" s="2" t="n">
        <v>28.57</v>
      </c>
      <c r="CP601" s="2" t="n">
        <v>42.86</v>
      </c>
      <c r="CQ601" s="2" t="n">
        <v>0</v>
      </c>
      <c r="CR601" s="2" t="n">
        <v>42.86</v>
      </c>
      <c r="CS601" s="2" t="n">
        <v>42.86</v>
      </c>
      <c r="CT601" s="2" t="n">
        <v>0</v>
      </c>
      <c r="CU601" s="2" t="n">
        <v>42.86</v>
      </c>
      <c r="CV601" s="2" t="n">
        <v>51.43</v>
      </c>
      <c r="CW601" s="2" t="n">
        <v>0</v>
      </c>
      <c r="CX601" s="2" t="n">
        <v>52.86</v>
      </c>
      <c r="CY601" s="2" t="n">
        <v>57.14</v>
      </c>
      <c r="CZ601" s="2" t="n">
        <v>0</v>
      </c>
      <c r="DA601" s="2" t="n">
        <v>57.14</v>
      </c>
      <c r="DB601" s="2" t="n">
        <v>62.86</v>
      </c>
      <c r="DC601" s="2" t="n">
        <v>0</v>
      </c>
      <c r="DD601" s="2" t="n">
        <v>67.14</v>
      </c>
      <c r="DE601" s="2" t="n">
        <v>71.43000000000001</v>
      </c>
      <c r="DF601" s="2" t="n">
        <v>0</v>
      </c>
      <c r="DG601" s="2" t="n">
        <v>71.43000000000001</v>
      </c>
      <c r="DH601" s="2" t="n">
        <v>71.43000000000001</v>
      </c>
      <c r="DI601" s="2" t="n">
        <v>0</v>
      </c>
      <c r="DJ601" s="2" t="n">
        <v>71.43000000000001</v>
      </c>
      <c r="DK601" s="2" t="n">
        <v>75.23999999999999</v>
      </c>
      <c r="DL601" s="2" t="n">
        <v>0</v>
      </c>
      <c r="DM601" s="2" t="n">
        <v>98.09999999999999</v>
      </c>
      <c r="DN601" s="2" t="n">
        <v>100</v>
      </c>
      <c r="DO601" s="2" t="n">
        <v>0</v>
      </c>
      <c r="DP601" s="2" t="n">
        <v>100</v>
      </c>
      <c r="DQ601" s="2" t="n">
        <v>100</v>
      </c>
      <c r="DR601" s="2" t="n">
        <v>0</v>
      </c>
      <c r="DS601" s="2" t="n">
        <v>100</v>
      </c>
      <c r="DT601" s="2" t="n">
        <v>100</v>
      </c>
      <c r="DU601" s="2" t="n">
        <v>0</v>
      </c>
      <c r="DV601" s="2" t="n">
        <v>100</v>
      </c>
      <c r="DW601" s="2" t="n">
        <v>100</v>
      </c>
      <c r="DX601" s="2" t="n">
        <v>0</v>
      </c>
      <c r="DY601" s="2" t="n">
        <v>100</v>
      </c>
      <c r="DZ601" s="2" t="n">
        <v>100</v>
      </c>
      <c r="EA601" s="2" t="n">
        <v>0</v>
      </c>
      <c r="EB601" s="2" t="n">
        <v>100</v>
      </c>
      <c r="EC601" s="2" t="n">
        <v>100</v>
      </c>
      <c r="ED601" s="2" t="n">
        <v>0</v>
      </c>
      <c r="EE601" s="2" t="n">
        <v>100</v>
      </c>
      <c r="EF601" s="2" t="n">
        <v>100</v>
      </c>
      <c r="EG601" s="2" t="n">
        <v>0</v>
      </c>
      <c r="EH601" s="2" t="n">
        <v>100</v>
      </c>
      <c r="EI601" s="2" t="n">
        <v>100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</row>
    <row r="602">
      <c r="A602" s="2" t="n">
        <v>3</v>
      </c>
      <c r="B602" s="2" t="inlineStr">
        <is>
          <t>26.07.02</t>
        </is>
      </c>
      <c r="C602" s="2" t="inlineStr">
        <is>
          <t>Grelha praça pavimentada</t>
        </is>
      </c>
      <c r="D602" s="2" t="inlineStr">
        <is>
          <t>02/08/2027</t>
        </is>
      </c>
      <c r="E602" s="2" t="inlineStr">
        <is>
          <t>29/06/2028</t>
        </is>
      </c>
      <c r="F602" s="2" t="n">
        <v>2022.332132767437</v>
      </c>
      <c r="G602" s="2" t="n">
        <v>0</v>
      </c>
      <c r="H602" s="2" t="n">
        <v>2022.332132767437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14.29</v>
      </c>
      <c r="CJ602" s="2" t="n">
        <v>28.57</v>
      </c>
      <c r="CK602" s="2" t="n">
        <v>0</v>
      </c>
      <c r="CL602" s="2" t="n">
        <v>28.57</v>
      </c>
      <c r="CM602" s="2" t="n">
        <v>28.57</v>
      </c>
      <c r="CN602" s="2" t="n">
        <v>0</v>
      </c>
      <c r="CO602" s="2" t="n">
        <v>28.57</v>
      </c>
      <c r="CP602" s="2" t="n">
        <v>42.86</v>
      </c>
      <c r="CQ602" s="2" t="n">
        <v>0</v>
      </c>
      <c r="CR602" s="2" t="n">
        <v>42.86</v>
      </c>
      <c r="CS602" s="2" t="n">
        <v>42.86</v>
      </c>
      <c r="CT602" s="2" t="n">
        <v>0</v>
      </c>
      <c r="CU602" s="2" t="n">
        <v>42.86</v>
      </c>
      <c r="CV602" s="2" t="n">
        <v>51.43</v>
      </c>
      <c r="CW602" s="2" t="n">
        <v>0</v>
      </c>
      <c r="CX602" s="2" t="n">
        <v>52.86</v>
      </c>
      <c r="CY602" s="2" t="n">
        <v>57.14</v>
      </c>
      <c r="CZ602" s="2" t="n">
        <v>0</v>
      </c>
      <c r="DA602" s="2" t="n">
        <v>57.14</v>
      </c>
      <c r="DB602" s="2" t="n">
        <v>62.86</v>
      </c>
      <c r="DC602" s="2" t="n">
        <v>0</v>
      </c>
      <c r="DD602" s="2" t="n">
        <v>67.14</v>
      </c>
      <c r="DE602" s="2" t="n">
        <v>71.43000000000001</v>
      </c>
      <c r="DF602" s="2" t="n">
        <v>0</v>
      </c>
      <c r="DG602" s="2" t="n">
        <v>71.43000000000001</v>
      </c>
      <c r="DH602" s="2" t="n">
        <v>71.43000000000001</v>
      </c>
      <c r="DI602" s="2" t="n">
        <v>0</v>
      </c>
      <c r="DJ602" s="2" t="n">
        <v>71.43000000000001</v>
      </c>
      <c r="DK602" s="2" t="n">
        <v>75.23999999999999</v>
      </c>
      <c r="DL602" s="2" t="n">
        <v>0</v>
      </c>
      <c r="DM602" s="2" t="n">
        <v>98.09999999999999</v>
      </c>
      <c r="DN602" s="2" t="n">
        <v>100</v>
      </c>
      <c r="DO602" s="2" t="n">
        <v>0</v>
      </c>
      <c r="DP602" s="2" t="n">
        <v>100</v>
      </c>
      <c r="DQ602" s="2" t="n">
        <v>100</v>
      </c>
      <c r="DR602" s="2" t="n">
        <v>0</v>
      </c>
      <c r="DS602" s="2" t="n">
        <v>100</v>
      </c>
      <c r="DT602" s="2" t="n">
        <v>100</v>
      </c>
      <c r="DU602" s="2" t="n">
        <v>0</v>
      </c>
      <c r="DV602" s="2" t="n">
        <v>100</v>
      </c>
      <c r="DW602" s="2" t="n">
        <v>100</v>
      </c>
      <c r="DX602" s="2" t="n">
        <v>0</v>
      </c>
      <c r="DY602" s="2" t="n">
        <v>100</v>
      </c>
      <c r="DZ602" s="2" t="n">
        <v>100</v>
      </c>
      <c r="EA602" s="2" t="n">
        <v>0</v>
      </c>
      <c r="EB602" s="2" t="n">
        <v>100</v>
      </c>
      <c r="EC602" s="2" t="n">
        <v>100</v>
      </c>
      <c r="ED602" s="2" t="n">
        <v>0</v>
      </c>
      <c r="EE602" s="2" t="n">
        <v>100</v>
      </c>
      <c r="EF602" s="2" t="n">
        <v>100</v>
      </c>
      <c r="EG602" s="2" t="n">
        <v>0</v>
      </c>
      <c r="EH602" s="2" t="n">
        <v>100</v>
      </c>
      <c r="EI602" s="2" t="n">
        <v>100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</row>
    <row r="603">
      <c r="A603" s="2" t="n">
        <v>1</v>
      </c>
      <c r="B603" s="2" t="inlineStr">
        <is>
          <t>27</t>
        </is>
      </c>
      <c r="C603" s="2" t="inlineStr">
        <is>
          <t>MARCENARIA</t>
        </is>
      </c>
      <c r="D603" s="2" t="inlineStr">
        <is>
          <t>04/02/2028</t>
        </is>
      </c>
      <c r="E603" s="2" t="inlineStr">
        <is>
          <t>16/01/2029</t>
        </is>
      </c>
      <c r="F603" s="2" t="n">
        <v>2977368.360484116</v>
      </c>
      <c r="G603" s="2" t="n">
        <v>0</v>
      </c>
      <c r="H603" s="2" t="n">
        <v>2977368.360484116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0</v>
      </c>
      <c r="CS603" s="2" t="n">
        <v>0</v>
      </c>
      <c r="CT603" s="2" t="n">
        <v>0</v>
      </c>
      <c r="CU603" s="2" t="n">
        <v>0</v>
      </c>
      <c r="CV603" s="2" t="n">
        <v>0</v>
      </c>
      <c r="CW603" s="2" t="n">
        <v>0</v>
      </c>
      <c r="CX603" s="2" t="n">
        <v>0</v>
      </c>
      <c r="CY603" s="2" t="n">
        <v>0</v>
      </c>
      <c r="CZ603" s="2" t="n">
        <v>0</v>
      </c>
      <c r="DA603" s="2" t="n">
        <v>4.71</v>
      </c>
      <c r="DB603" s="2" t="n">
        <v>6.61</v>
      </c>
      <c r="DC603" s="2" t="n">
        <v>0</v>
      </c>
      <c r="DD603" s="2" t="n">
        <v>13.53</v>
      </c>
      <c r="DE603" s="2" t="n">
        <v>15.47</v>
      </c>
      <c r="DF603" s="2" t="n">
        <v>0</v>
      </c>
      <c r="DG603" s="2" t="n">
        <v>21.05</v>
      </c>
      <c r="DH603" s="2" t="n">
        <v>23.01</v>
      </c>
      <c r="DI603" s="2" t="n">
        <v>0</v>
      </c>
      <c r="DJ603" s="2" t="n">
        <v>30.76</v>
      </c>
      <c r="DK603" s="2" t="n">
        <v>32.71</v>
      </c>
      <c r="DL603" s="2" t="n">
        <v>0</v>
      </c>
      <c r="DM603" s="2" t="n">
        <v>39.66</v>
      </c>
      <c r="DN603" s="2" t="n">
        <v>41.61</v>
      </c>
      <c r="DO603" s="2" t="n">
        <v>0</v>
      </c>
      <c r="DP603" s="2" t="n">
        <v>48.54</v>
      </c>
      <c r="DQ603" s="2" t="n">
        <v>50.55</v>
      </c>
      <c r="DR603" s="2" t="n">
        <v>0</v>
      </c>
      <c r="DS603" s="2" t="n">
        <v>57.75</v>
      </c>
      <c r="DT603" s="2" t="n">
        <v>59.64</v>
      </c>
      <c r="DU603" s="2" t="n">
        <v>0</v>
      </c>
      <c r="DV603" s="2" t="n">
        <v>65.34</v>
      </c>
      <c r="DW603" s="2" t="n">
        <v>67.23999999999999</v>
      </c>
      <c r="DX603" s="2" t="n">
        <v>0</v>
      </c>
      <c r="DY603" s="2" t="n">
        <v>73.31</v>
      </c>
      <c r="DZ603" s="2" t="n">
        <v>75.90000000000001</v>
      </c>
      <c r="EA603" s="2" t="n">
        <v>0</v>
      </c>
      <c r="EB603" s="2" t="n">
        <v>81.13</v>
      </c>
      <c r="EC603" s="2" t="n">
        <v>92.18000000000001</v>
      </c>
      <c r="ED603" s="2" t="n">
        <v>0</v>
      </c>
      <c r="EE603" s="2" t="n">
        <v>95.40000000000001</v>
      </c>
      <c r="EF603" s="2" t="n">
        <v>96.14</v>
      </c>
      <c r="EG603" s="2" t="n">
        <v>0</v>
      </c>
      <c r="EH603" s="2" t="n">
        <v>100</v>
      </c>
      <c r="EI603" s="2" t="n">
        <v>100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</row>
    <row r="604">
      <c r="A604" s="2" t="n">
        <v>2</v>
      </c>
      <c r="B604" s="2" t="inlineStr">
        <is>
          <t>27.01</t>
        </is>
      </c>
      <c r="C604" s="2" t="inlineStr">
        <is>
          <t>Esquadrias de madeira</t>
        </is>
      </c>
      <c r="D604" s="2" t="inlineStr">
        <is>
          <t>04/02/2028</t>
        </is>
      </c>
      <c r="E604" s="2" t="inlineStr">
        <is>
          <t>12/01/2029</t>
        </is>
      </c>
      <c r="F604" s="2" t="n">
        <v>2481921.240484116</v>
      </c>
      <c r="G604" s="2" t="n">
        <v>0</v>
      </c>
      <c r="H604" s="2" t="n">
        <v>2481921.240484116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5.34</v>
      </c>
      <c r="DB604" s="2" t="n">
        <v>7.4</v>
      </c>
      <c r="DC604" s="2" t="n">
        <v>0</v>
      </c>
      <c r="DD604" s="2" t="n">
        <v>14.9</v>
      </c>
      <c r="DE604" s="2" t="n">
        <v>17</v>
      </c>
      <c r="DF604" s="2" t="n">
        <v>0</v>
      </c>
      <c r="DG604" s="2" t="n">
        <v>23.12</v>
      </c>
      <c r="DH604" s="2" t="n">
        <v>25.25</v>
      </c>
      <c r="DI604" s="2" t="n">
        <v>0</v>
      </c>
      <c r="DJ604" s="2" t="n">
        <v>33.79</v>
      </c>
      <c r="DK604" s="2" t="n">
        <v>35.91</v>
      </c>
      <c r="DL604" s="2" t="n">
        <v>0</v>
      </c>
      <c r="DM604" s="2" t="n">
        <v>43.54</v>
      </c>
      <c r="DN604" s="2" t="n">
        <v>45.66</v>
      </c>
      <c r="DO604" s="2" t="n">
        <v>0</v>
      </c>
      <c r="DP604" s="2" t="n">
        <v>53.26</v>
      </c>
      <c r="DQ604" s="2" t="n">
        <v>55.45</v>
      </c>
      <c r="DR604" s="2" t="n">
        <v>0</v>
      </c>
      <c r="DS604" s="2" t="n">
        <v>63.33</v>
      </c>
      <c r="DT604" s="2" t="n">
        <v>65.38</v>
      </c>
      <c r="DU604" s="2" t="n">
        <v>0</v>
      </c>
      <c r="DV604" s="2" t="n">
        <v>71.55</v>
      </c>
      <c r="DW604" s="2" t="n">
        <v>73.61</v>
      </c>
      <c r="DX604" s="2" t="n">
        <v>0</v>
      </c>
      <c r="DY604" s="2" t="n">
        <v>80.18000000000001</v>
      </c>
      <c r="DZ604" s="2" t="n">
        <v>83.06999999999999</v>
      </c>
      <c r="EA604" s="2" t="n">
        <v>0</v>
      </c>
      <c r="EB604" s="2" t="n">
        <v>88.72</v>
      </c>
      <c r="EC604" s="2" t="n">
        <v>91.78</v>
      </c>
      <c r="ED604" s="2" t="n">
        <v>0</v>
      </c>
      <c r="EE604" s="2" t="n">
        <v>95.19</v>
      </c>
      <c r="EF604" s="2" t="n">
        <v>95.86</v>
      </c>
      <c r="EG604" s="2" t="n">
        <v>0</v>
      </c>
      <c r="EH604" s="2" t="n">
        <v>100</v>
      </c>
      <c r="EI604" s="2" t="n">
        <v>100</v>
      </c>
      <c r="EJ604" s="2" t="n">
        <v>0</v>
      </c>
      <c r="EK604" s="2" t="n">
        <v>100</v>
      </c>
      <c r="EL604" s="2" t="n">
        <v>100</v>
      </c>
      <c r="EM604" s="2" t="n">
        <v>0</v>
      </c>
      <c r="EN604" s="2" t="n">
        <v>100</v>
      </c>
      <c r="EO604" s="2" t="n">
        <v>100</v>
      </c>
      <c r="EP604" s="2" t="n">
        <v>0</v>
      </c>
      <c r="EQ604" s="2" t="n">
        <v>100</v>
      </c>
      <c r="ER604" s="2" t="n">
        <v>100</v>
      </c>
      <c r="ES604" s="2" t="n">
        <v>0</v>
      </c>
    </row>
    <row r="605">
      <c r="A605" s="2" t="n">
        <v>3</v>
      </c>
      <c r="B605" s="2" t="inlineStr">
        <is>
          <t>27.01.01</t>
        </is>
      </c>
      <c r="C605" s="2" t="inlineStr">
        <is>
          <t>Portas</t>
        </is>
      </c>
      <c r="D605" s="2" t="inlineStr">
        <is>
          <t>04/02/2028</t>
        </is>
      </c>
      <c r="E605" s="2" t="inlineStr">
        <is>
          <t>12/01/2029</t>
        </is>
      </c>
      <c r="F605" s="2" t="n">
        <v>1867817.226884116</v>
      </c>
      <c r="G605" s="2" t="n">
        <v>0</v>
      </c>
      <c r="H605" s="2" t="n">
        <v>1867817.226884116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5.34</v>
      </c>
      <c r="DB605" s="2" t="n">
        <v>7.4</v>
      </c>
      <c r="DC605" s="2" t="n">
        <v>0</v>
      </c>
      <c r="DD605" s="2" t="n">
        <v>14.9</v>
      </c>
      <c r="DE605" s="2" t="n">
        <v>17</v>
      </c>
      <c r="DF605" s="2" t="n">
        <v>0</v>
      </c>
      <c r="DG605" s="2" t="n">
        <v>23.12</v>
      </c>
      <c r="DH605" s="2" t="n">
        <v>25.25</v>
      </c>
      <c r="DI605" s="2" t="n">
        <v>0</v>
      </c>
      <c r="DJ605" s="2" t="n">
        <v>33.79</v>
      </c>
      <c r="DK605" s="2" t="n">
        <v>35.91</v>
      </c>
      <c r="DL605" s="2" t="n">
        <v>0</v>
      </c>
      <c r="DM605" s="2" t="n">
        <v>43.54</v>
      </c>
      <c r="DN605" s="2" t="n">
        <v>45.66</v>
      </c>
      <c r="DO605" s="2" t="n">
        <v>0</v>
      </c>
      <c r="DP605" s="2" t="n">
        <v>53.26</v>
      </c>
      <c r="DQ605" s="2" t="n">
        <v>55.45</v>
      </c>
      <c r="DR605" s="2" t="n">
        <v>0</v>
      </c>
      <c r="DS605" s="2" t="n">
        <v>63.33</v>
      </c>
      <c r="DT605" s="2" t="n">
        <v>65.38</v>
      </c>
      <c r="DU605" s="2" t="n">
        <v>0</v>
      </c>
      <c r="DV605" s="2" t="n">
        <v>71.55</v>
      </c>
      <c r="DW605" s="2" t="n">
        <v>73.61</v>
      </c>
      <c r="DX605" s="2" t="n">
        <v>0</v>
      </c>
      <c r="DY605" s="2" t="n">
        <v>80.18000000000001</v>
      </c>
      <c r="DZ605" s="2" t="n">
        <v>83.06999999999999</v>
      </c>
      <c r="EA605" s="2" t="n">
        <v>0</v>
      </c>
      <c r="EB605" s="2" t="n">
        <v>88.72</v>
      </c>
      <c r="EC605" s="2" t="n">
        <v>91.78</v>
      </c>
      <c r="ED605" s="2" t="n">
        <v>0</v>
      </c>
      <c r="EE605" s="2" t="n">
        <v>95.19</v>
      </c>
      <c r="EF605" s="2" t="n">
        <v>95.86</v>
      </c>
      <c r="EG605" s="2" t="n">
        <v>0</v>
      </c>
      <c r="EH605" s="2" t="n">
        <v>100</v>
      </c>
      <c r="EI605" s="2" t="n">
        <v>100</v>
      </c>
      <c r="EJ605" s="2" t="n">
        <v>0</v>
      </c>
      <c r="EK605" s="2" t="n">
        <v>100</v>
      </c>
      <c r="EL605" s="2" t="n">
        <v>100</v>
      </c>
      <c r="EM605" s="2" t="n">
        <v>0</v>
      </c>
      <c r="EN605" s="2" t="n">
        <v>100</v>
      </c>
      <c r="EO605" s="2" t="n">
        <v>100</v>
      </c>
      <c r="EP605" s="2" t="n">
        <v>0</v>
      </c>
      <c r="EQ605" s="2" t="n">
        <v>100</v>
      </c>
      <c r="ER605" s="2" t="n">
        <v>100</v>
      </c>
      <c r="ES605" s="2" t="n">
        <v>0</v>
      </c>
    </row>
    <row r="606">
      <c r="A606" s="2" t="n">
        <v>4</v>
      </c>
      <c r="B606" s="2" t="inlineStr">
        <is>
          <t>27.01.01.01</t>
        </is>
      </c>
      <c r="C606" s="2" t="inlineStr">
        <is>
          <t>P01 - Porta de madeira, 1fl de abrir, 60x210cm</t>
        </is>
      </c>
      <c r="D606" s="2" t="inlineStr">
        <is>
          <t>04/02/2028</t>
        </is>
      </c>
      <c r="E606" s="2" t="inlineStr">
        <is>
          <t>12/01/2029</t>
        </is>
      </c>
      <c r="F606" s="2" t="n">
        <v>56304</v>
      </c>
      <c r="G606" s="2" t="n">
        <v>0</v>
      </c>
      <c r="H606" s="2" t="n">
        <v>56304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5.34</v>
      </c>
      <c r="DB606" s="2" t="n">
        <v>7.4</v>
      </c>
      <c r="DC606" s="2" t="n">
        <v>0</v>
      </c>
      <c r="DD606" s="2" t="n">
        <v>14.9</v>
      </c>
      <c r="DE606" s="2" t="n">
        <v>17</v>
      </c>
      <c r="DF606" s="2" t="n">
        <v>0</v>
      </c>
      <c r="DG606" s="2" t="n">
        <v>23.12</v>
      </c>
      <c r="DH606" s="2" t="n">
        <v>25.25</v>
      </c>
      <c r="DI606" s="2" t="n">
        <v>0</v>
      </c>
      <c r="DJ606" s="2" t="n">
        <v>33.79</v>
      </c>
      <c r="DK606" s="2" t="n">
        <v>35.91</v>
      </c>
      <c r="DL606" s="2" t="n">
        <v>0</v>
      </c>
      <c r="DM606" s="2" t="n">
        <v>43.54</v>
      </c>
      <c r="DN606" s="2" t="n">
        <v>45.66</v>
      </c>
      <c r="DO606" s="2" t="n">
        <v>0</v>
      </c>
      <c r="DP606" s="2" t="n">
        <v>53.26</v>
      </c>
      <c r="DQ606" s="2" t="n">
        <v>55.45</v>
      </c>
      <c r="DR606" s="2" t="n">
        <v>0</v>
      </c>
      <c r="DS606" s="2" t="n">
        <v>63.33</v>
      </c>
      <c r="DT606" s="2" t="n">
        <v>65.38</v>
      </c>
      <c r="DU606" s="2" t="n">
        <v>0</v>
      </c>
      <c r="DV606" s="2" t="n">
        <v>71.55</v>
      </c>
      <c r="DW606" s="2" t="n">
        <v>73.61</v>
      </c>
      <c r="DX606" s="2" t="n">
        <v>0</v>
      </c>
      <c r="DY606" s="2" t="n">
        <v>80.18000000000001</v>
      </c>
      <c r="DZ606" s="2" t="n">
        <v>83.06999999999999</v>
      </c>
      <c r="EA606" s="2" t="n">
        <v>0</v>
      </c>
      <c r="EB606" s="2" t="n">
        <v>88.72</v>
      </c>
      <c r="EC606" s="2" t="n">
        <v>91.78</v>
      </c>
      <c r="ED606" s="2" t="n">
        <v>0</v>
      </c>
      <c r="EE606" s="2" t="n">
        <v>95.19</v>
      </c>
      <c r="EF606" s="2" t="n">
        <v>95.86</v>
      </c>
      <c r="EG606" s="2" t="n">
        <v>0</v>
      </c>
      <c r="EH606" s="2" t="n">
        <v>100</v>
      </c>
      <c r="EI606" s="2" t="n">
        <v>100</v>
      </c>
      <c r="EJ606" s="2" t="n">
        <v>0</v>
      </c>
      <c r="EK606" s="2" t="n">
        <v>100</v>
      </c>
      <c r="EL606" s="2" t="n">
        <v>100</v>
      </c>
      <c r="EM606" s="2" t="n">
        <v>0</v>
      </c>
      <c r="EN606" s="2" t="n">
        <v>100</v>
      </c>
      <c r="EO606" s="2" t="n">
        <v>100</v>
      </c>
      <c r="EP606" s="2" t="n">
        <v>0</v>
      </c>
      <c r="EQ606" s="2" t="n">
        <v>100</v>
      </c>
      <c r="ER606" s="2" t="n">
        <v>100</v>
      </c>
      <c r="ES606" s="2" t="n">
        <v>0</v>
      </c>
    </row>
    <row r="607">
      <c r="A607" s="2" t="n">
        <v>4</v>
      </c>
      <c r="B607" s="2" t="inlineStr">
        <is>
          <t>27.01.01.02</t>
        </is>
      </c>
      <c r="C607" s="2" t="inlineStr">
        <is>
          <t>P02 - Porta de madeira, correr 1fl, 60x210cm</t>
        </is>
      </c>
      <c r="D607" s="2" t="inlineStr">
        <is>
          <t>04/02/2028</t>
        </is>
      </c>
      <c r="E607" s="2" t="inlineStr">
        <is>
          <t>12/01/2029</t>
        </is>
      </c>
      <c r="F607" s="2" t="n">
        <v>113781</v>
      </c>
      <c r="G607" s="2" t="n">
        <v>0</v>
      </c>
      <c r="H607" s="2" t="n">
        <v>113781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5.34</v>
      </c>
      <c r="DB607" s="2" t="n">
        <v>7.4</v>
      </c>
      <c r="DC607" s="2" t="n">
        <v>0</v>
      </c>
      <c r="DD607" s="2" t="n">
        <v>14.9</v>
      </c>
      <c r="DE607" s="2" t="n">
        <v>17</v>
      </c>
      <c r="DF607" s="2" t="n">
        <v>0</v>
      </c>
      <c r="DG607" s="2" t="n">
        <v>23.12</v>
      </c>
      <c r="DH607" s="2" t="n">
        <v>25.25</v>
      </c>
      <c r="DI607" s="2" t="n">
        <v>0</v>
      </c>
      <c r="DJ607" s="2" t="n">
        <v>33.79</v>
      </c>
      <c r="DK607" s="2" t="n">
        <v>35.91</v>
      </c>
      <c r="DL607" s="2" t="n">
        <v>0</v>
      </c>
      <c r="DM607" s="2" t="n">
        <v>43.54</v>
      </c>
      <c r="DN607" s="2" t="n">
        <v>45.66</v>
      </c>
      <c r="DO607" s="2" t="n">
        <v>0</v>
      </c>
      <c r="DP607" s="2" t="n">
        <v>53.26</v>
      </c>
      <c r="DQ607" s="2" t="n">
        <v>55.45</v>
      </c>
      <c r="DR607" s="2" t="n">
        <v>0</v>
      </c>
      <c r="DS607" s="2" t="n">
        <v>63.33</v>
      </c>
      <c r="DT607" s="2" t="n">
        <v>65.38</v>
      </c>
      <c r="DU607" s="2" t="n">
        <v>0</v>
      </c>
      <c r="DV607" s="2" t="n">
        <v>71.55</v>
      </c>
      <c r="DW607" s="2" t="n">
        <v>73.61</v>
      </c>
      <c r="DX607" s="2" t="n">
        <v>0</v>
      </c>
      <c r="DY607" s="2" t="n">
        <v>80.18000000000001</v>
      </c>
      <c r="DZ607" s="2" t="n">
        <v>83.06999999999999</v>
      </c>
      <c r="EA607" s="2" t="n">
        <v>0</v>
      </c>
      <c r="EB607" s="2" t="n">
        <v>88.72</v>
      </c>
      <c r="EC607" s="2" t="n">
        <v>91.78</v>
      </c>
      <c r="ED607" s="2" t="n">
        <v>0</v>
      </c>
      <c r="EE607" s="2" t="n">
        <v>95.19</v>
      </c>
      <c r="EF607" s="2" t="n">
        <v>95.86</v>
      </c>
      <c r="EG607" s="2" t="n">
        <v>0</v>
      </c>
      <c r="EH607" s="2" t="n">
        <v>100</v>
      </c>
      <c r="EI607" s="2" t="n">
        <v>100</v>
      </c>
      <c r="EJ607" s="2" t="n">
        <v>0</v>
      </c>
      <c r="EK607" s="2" t="n">
        <v>100</v>
      </c>
      <c r="EL607" s="2" t="n">
        <v>100</v>
      </c>
      <c r="EM607" s="2" t="n">
        <v>0</v>
      </c>
      <c r="EN607" s="2" t="n">
        <v>100</v>
      </c>
      <c r="EO607" s="2" t="n">
        <v>100</v>
      </c>
      <c r="EP607" s="2" t="n">
        <v>0</v>
      </c>
      <c r="EQ607" s="2" t="n">
        <v>100</v>
      </c>
      <c r="ER607" s="2" t="n">
        <v>100</v>
      </c>
      <c r="ES607" s="2" t="n">
        <v>0</v>
      </c>
    </row>
    <row r="608">
      <c r="A608" s="2" t="n">
        <v>4</v>
      </c>
      <c r="B608" s="2" t="inlineStr">
        <is>
          <t>27.01.01.03</t>
        </is>
      </c>
      <c r="C608" s="2" t="inlineStr">
        <is>
          <t>P03 - Porta de madeira, 1fl de abrir, 70x210cm</t>
        </is>
      </c>
      <c r="D608" s="2" t="inlineStr">
        <is>
          <t>04/02/2028</t>
        </is>
      </c>
      <c r="E608" s="2" t="inlineStr">
        <is>
          <t>12/01/2029</t>
        </is>
      </c>
      <c r="F608" s="2" t="n">
        <v>377706</v>
      </c>
      <c r="G608" s="2" t="n">
        <v>0</v>
      </c>
      <c r="H608" s="2" t="n">
        <v>377706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5.34</v>
      </c>
      <c r="DB608" s="2" t="n">
        <v>7.4</v>
      </c>
      <c r="DC608" s="2" t="n">
        <v>0</v>
      </c>
      <c r="DD608" s="2" t="n">
        <v>14.9</v>
      </c>
      <c r="DE608" s="2" t="n">
        <v>17</v>
      </c>
      <c r="DF608" s="2" t="n">
        <v>0</v>
      </c>
      <c r="DG608" s="2" t="n">
        <v>23.12</v>
      </c>
      <c r="DH608" s="2" t="n">
        <v>25.25</v>
      </c>
      <c r="DI608" s="2" t="n">
        <v>0</v>
      </c>
      <c r="DJ608" s="2" t="n">
        <v>33.79</v>
      </c>
      <c r="DK608" s="2" t="n">
        <v>35.91</v>
      </c>
      <c r="DL608" s="2" t="n">
        <v>0</v>
      </c>
      <c r="DM608" s="2" t="n">
        <v>43.54</v>
      </c>
      <c r="DN608" s="2" t="n">
        <v>45.66</v>
      </c>
      <c r="DO608" s="2" t="n">
        <v>0</v>
      </c>
      <c r="DP608" s="2" t="n">
        <v>53.26</v>
      </c>
      <c r="DQ608" s="2" t="n">
        <v>55.45</v>
      </c>
      <c r="DR608" s="2" t="n">
        <v>0</v>
      </c>
      <c r="DS608" s="2" t="n">
        <v>63.33</v>
      </c>
      <c r="DT608" s="2" t="n">
        <v>65.38</v>
      </c>
      <c r="DU608" s="2" t="n">
        <v>0</v>
      </c>
      <c r="DV608" s="2" t="n">
        <v>71.55</v>
      </c>
      <c r="DW608" s="2" t="n">
        <v>73.61</v>
      </c>
      <c r="DX608" s="2" t="n">
        <v>0</v>
      </c>
      <c r="DY608" s="2" t="n">
        <v>80.18000000000001</v>
      </c>
      <c r="DZ608" s="2" t="n">
        <v>83.06999999999999</v>
      </c>
      <c r="EA608" s="2" t="n">
        <v>0</v>
      </c>
      <c r="EB608" s="2" t="n">
        <v>88.72</v>
      </c>
      <c r="EC608" s="2" t="n">
        <v>91.78</v>
      </c>
      <c r="ED608" s="2" t="n">
        <v>0</v>
      </c>
      <c r="EE608" s="2" t="n">
        <v>95.19</v>
      </c>
      <c r="EF608" s="2" t="n">
        <v>95.86</v>
      </c>
      <c r="EG608" s="2" t="n">
        <v>0</v>
      </c>
      <c r="EH608" s="2" t="n">
        <v>100</v>
      </c>
      <c r="EI608" s="2" t="n">
        <v>100</v>
      </c>
      <c r="EJ608" s="2" t="n">
        <v>0</v>
      </c>
      <c r="EK608" s="2" t="n">
        <v>100</v>
      </c>
      <c r="EL608" s="2" t="n">
        <v>100</v>
      </c>
      <c r="EM608" s="2" t="n">
        <v>0</v>
      </c>
      <c r="EN608" s="2" t="n">
        <v>100</v>
      </c>
      <c r="EO608" s="2" t="n">
        <v>100</v>
      </c>
      <c r="EP608" s="2" t="n">
        <v>0</v>
      </c>
      <c r="EQ608" s="2" t="n">
        <v>100</v>
      </c>
      <c r="ER608" s="2" t="n">
        <v>100</v>
      </c>
      <c r="ES608" s="2" t="n">
        <v>0</v>
      </c>
    </row>
    <row r="609">
      <c r="A609" s="2" t="n">
        <v>4</v>
      </c>
      <c r="B609" s="2" t="inlineStr">
        <is>
          <t>27.01.01.04</t>
        </is>
      </c>
      <c r="C609" s="2" t="inlineStr">
        <is>
          <t>P04 - Porta de madeira, correr 1fl, 70x210cm</t>
        </is>
      </c>
      <c r="D609" s="2" t="inlineStr">
        <is>
          <t>04/02/2028</t>
        </is>
      </c>
      <c r="E609" s="2" t="inlineStr">
        <is>
          <t>12/01/2029</t>
        </is>
      </c>
      <c r="F609" s="2" t="n">
        <v>258060</v>
      </c>
      <c r="G609" s="2" t="n">
        <v>0</v>
      </c>
      <c r="H609" s="2" t="n">
        <v>258060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5.34</v>
      </c>
      <c r="DB609" s="2" t="n">
        <v>7.4</v>
      </c>
      <c r="DC609" s="2" t="n">
        <v>0</v>
      </c>
      <c r="DD609" s="2" t="n">
        <v>14.9</v>
      </c>
      <c r="DE609" s="2" t="n">
        <v>17</v>
      </c>
      <c r="DF609" s="2" t="n">
        <v>0</v>
      </c>
      <c r="DG609" s="2" t="n">
        <v>23.12</v>
      </c>
      <c r="DH609" s="2" t="n">
        <v>25.25</v>
      </c>
      <c r="DI609" s="2" t="n">
        <v>0</v>
      </c>
      <c r="DJ609" s="2" t="n">
        <v>33.79</v>
      </c>
      <c r="DK609" s="2" t="n">
        <v>35.91</v>
      </c>
      <c r="DL609" s="2" t="n">
        <v>0</v>
      </c>
      <c r="DM609" s="2" t="n">
        <v>43.54</v>
      </c>
      <c r="DN609" s="2" t="n">
        <v>45.66</v>
      </c>
      <c r="DO609" s="2" t="n">
        <v>0</v>
      </c>
      <c r="DP609" s="2" t="n">
        <v>53.26</v>
      </c>
      <c r="DQ609" s="2" t="n">
        <v>55.45</v>
      </c>
      <c r="DR609" s="2" t="n">
        <v>0</v>
      </c>
      <c r="DS609" s="2" t="n">
        <v>63.33</v>
      </c>
      <c r="DT609" s="2" t="n">
        <v>65.38</v>
      </c>
      <c r="DU609" s="2" t="n">
        <v>0</v>
      </c>
      <c r="DV609" s="2" t="n">
        <v>71.55</v>
      </c>
      <c r="DW609" s="2" t="n">
        <v>73.61</v>
      </c>
      <c r="DX609" s="2" t="n">
        <v>0</v>
      </c>
      <c r="DY609" s="2" t="n">
        <v>80.18000000000001</v>
      </c>
      <c r="DZ609" s="2" t="n">
        <v>83.06999999999999</v>
      </c>
      <c r="EA609" s="2" t="n">
        <v>0</v>
      </c>
      <c r="EB609" s="2" t="n">
        <v>88.72</v>
      </c>
      <c r="EC609" s="2" t="n">
        <v>91.78</v>
      </c>
      <c r="ED609" s="2" t="n">
        <v>0</v>
      </c>
      <c r="EE609" s="2" t="n">
        <v>95.19</v>
      </c>
      <c r="EF609" s="2" t="n">
        <v>95.86</v>
      </c>
      <c r="EG609" s="2" t="n">
        <v>0</v>
      </c>
      <c r="EH609" s="2" t="n">
        <v>100</v>
      </c>
      <c r="EI609" s="2" t="n">
        <v>100</v>
      </c>
      <c r="EJ609" s="2" t="n">
        <v>0</v>
      </c>
      <c r="EK609" s="2" t="n">
        <v>100</v>
      </c>
      <c r="EL609" s="2" t="n">
        <v>100</v>
      </c>
      <c r="EM609" s="2" t="n">
        <v>0</v>
      </c>
      <c r="EN609" s="2" t="n">
        <v>100</v>
      </c>
      <c r="EO609" s="2" t="n">
        <v>100</v>
      </c>
      <c r="EP609" s="2" t="n">
        <v>0</v>
      </c>
      <c r="EQ609" s="2" t="n">
        <v>100</v>
      </c>
      <c r="ER609" s="2" t="n">
        <v>100</v>
      </c>
      <c r="ES609" s="2" t="n">
        <v>0</v>
      </c>
    </row>
    <row r="610">
      <c r="A610" s="2" t="n">
        <v>4</v>
      </c>
      <c r="B610" s="2" t="inlineStr">
        <is>
          <t>27.01.01.05</t>
        </is>
      </c>
      <c r="C610" s="2" t="inlineStr">
        <is>
          <t>P03 - Porta de madeira, 1fl de abrir, 80x210cm</t>
        </is>
      </c>
      <c r="D610" s="2" t="inlineStr">
        <is>
          <t>04/02/2028</t>
        </is>
      </c>
      <c r="E610" s="2" t="inlineStr">
        <is>
          <t>12/01/2029</t>
        </is>
      </c>
      <c r="F610" s="2" t="n">
        <v>26979</v>
      </c>
      <c r="G610" s="2" t="n">
        <v>0</v>
      </c>
      <c r="H610" s="2" t="n">
        <v>26979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5.34</v>
      </c>
      <c r="DB610" s="2" t="n">
        <v>7.4</v>
      </c>
      <c r="DC610" s="2" t="n">
        <v>0</v>
      </c>
      <c r="DD610" s="2" t="n">
        <v>14.9</v>
      </c>
      <c r="DE610" s="2" t="n">
        <v>17</v>
      </c>
      <c r="DF610" s="2" t="n">
        <v>0</v>
      </c>
      <c r="DG610" s="2" t="n">
        <v>23.12</v>
      </c>
      <c r="DH610" s="2" t="n">
        <v>25.25</v>
      </c>
      <c r="DI610" s="2" t="n">
        <v>0</v>
      </c>
      <c r="DJ610" s="2" t="n">
        <v>33.79</v>
      </c>
      <c r="DK610" s="2" t="n">
        <v>35.91</v>
      </c>
      <c r="DL610" s="2" t="n">
        <v>0</v>
      </c>
      <c r="DM610" s="2" t="n">
        <v>43.54</v>
      </c>
      <c r="DN610" s="2" t="n">
        <v>45.66</v>
      </c>
      <c r="DO610" s="2" t="n">
        <v>0</v>
      </c>
      <c r="DP610" s="2" t="n">
        <v>53.26</v>
      </c>
      <c r="DQ610" s="2" t="n">
        <v>55.45</v>
      </c>
      <c r="DR610" s="2" t="n">
        <v>0</v>
      </c>
      <c r="DS610" s="2" t="n">
        <v>63.33</v>
      </c>
      <c r="DT610" s="2" t="n">
        <v>65.38</v>
      </c>
      <c r="DU610" s="2" t="n">
        <v>0</v>
      </c>
      <c r="DV610" s="2" t="n">
        <v>71.55</v>
      </c>
      <c r="DW610" s="2" t="n">
        <v>73.61</v>
      </c>
      <c r="DX610" s="2" t="n">
        <v>0</v>
      </c>
      <c r="DY610" s="2" t="n">
        <v>80.18000000000001</v>
      </c>
      <c r="DZ610" s="2" t="n">
        <v>83.06999999999999</v>
      </c>
      <c r="EA610" s="2" t="n">
        <v>0</v>
      </c>
      <c r="EB610" s="2" t="n">
        <v>88.72</v>
      </c>
      <c r="EC610" s="2" t="n">
        <v>91.78</v>
      </c>
      <c r="ED610" s="2" t="n">
        <v>0</v>
      </c>
      <c r="EE610" s="2" t="n">
        <v>95.19</v>
      </c>
      <c r="EF610" s="2" t="n">
        <v>95.86</v>
      </c>
      <c r="EG610" s="2" t="n">
        <v>0</v>
      </c>
      <c r="EH610" s="2" t="n">
        <v>100</v>
      </c>
      <c r="EI610" s="2" t="n">
        <v>100</v>
      </c>
      <c r="EJ610" s="2" t="n">
        <v>0</v>
      </c>
      <c r="EK610" s="2" t="n">
        <v>100</v>
      </c>
      <c r="EL610" s="2" t="n">
        <v>100</v>
      </c>
      <c r="EM610" s="2" t="n">
        <v>0</v>
      </c>
      <c r="EN610" s="2" t="n">
        <v>100</v>
      </c>
      <c r="EO610" s="2" t="n">
        <v>100</v>
      </c>
      <c r="EP610" s="2" t="n">
        <v>0</v>
      </c>
      <c r="EQ610" s="2" t="n">
        <v>100</v>
      </c>
      <c r="ER610" s="2" t="n">
        <v>100</v>
      </c>
      <c r="ES610" s="2" t="n">
        <v>0</v>
      </c>
    </row>
    <row r="611">
      <c r="A611" s="2" t="n">
        <v>4</v>
      </c>
      <c r="B611" s="2" t="inlineStr">
        <is>
          <t>27.01.01.06</t>
        </is>
      </c>
      <c r="C611" s="2" t="inlineStr">
        <is>
          <t>P05 - Porta de madeira, 1fl de abrir, 80x210cm</t>
        </is>
      </c>
      <c r="D611" s="2" t="inlineStr">
        <is>
          <t>04/02/2028</t>
        </is>
      </c>
      <c r="E611" s="2" t="inlineStr">
        <is>
          <t>12/01/2029</t>
        </is>
      </c>
      <c r="F611" s="2" t="n">
        <v>746028</v>
      </c>
      <c r="G611" s="2" t="n">
        <v>0</v>
      </c>
      <c r="H611" s="2" t="n">
        <v>746028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5.34</v>
      </c>
      <c r="DB611" s="2" t="n">
        <v>7.4</v>
      </c>
      <c r="DC611" s="2" t="n">
        <v>0</v>
      </c>
      <c r="DD611" s="2" t="n">
        <v>14.9</v>
      </c>
      <c r="DE611" s="2" t="n">
        <v>17</v>
      </c>
      <c r="DF611" s="2" t="n">
        <v>0</v>
      </c>
      <c r="DG611" s="2" t="n">
        <v>23.12</v>
      </c>
      <c r="DH611" s="2" t="n">
        <v>25.25</v>
      </c>
      <c r="DI611" s="2" t="n">
        <v>0</v>
      </c>
      <c r="DJ611" s="2" t="n">
        <v>33.79</v>
      </c>
      <c r="DK611" s="2" t="n">
        <v>35.91</v>
      </c>
      <c r="DL611" s="2" t="n">
        <v>0</v>
      </c>
      <c r="DM611" s="2" t="n">
        <v>43.54</v>
      </c>
      <c r="DN611" s="2" t="n">
        <v>45.66</v>
      </c>
      <c r="DO611" s="2" t="n">
        <v>0</v>
      </c>
      <c r="DP611" s="2" t="n">
        <v>53.26</v>
      </c>
      <c r="DQ611" s="2" t="n">
        <v>55.45</v>
      </c>
      <c r="DR611" s="2" t="n">
        <v>0</v>
      </c>
      <c r="DS611" s="2" t="n">
        <v>63.33</v>
      </c>
      <c r="DT611" s="2" t="n">
        <v>65.38</v>
      </c>
      <c r="DU611" s="2" t="n">
        <v>0</v>
      </c>
      <c r="DV611" s="2" t="n">
        <v>71.55</v>
      </c>
      <c r="DW611" s="2" t="n">
        <v>73.61</v>
      </c>
      <c r="DX611" s="2" t="n">
        <v>0</v>
      </c>
      <c r="DY611" s="2" t="n">
        <v>80.18000000000001</v>
      </c>
      <c r="DZ611" s="2" t="n">
        <v>83.06999999999999</v>
      </c>
      <c r="EA611" s="2" t="n">
        <v>0</v>
      </c>
      <c r="EB611" s="2" t="n">
        <v>88.72</v>
      </c>
      <c r="EC611" s="2" t="n">
        <v>91.78</v>
      </c>
      <c r="ED611" s="2" t="n">
        <v>0</v>
      </c>
      <c r="EE611" s="2" t="n">
        <v>95.19</v>
      </c>
      <c r="EF611" s="2" t="n">
        <v>95.86</v>
      </c>
      <c r="EG611" s="2" t="n">
        <v>0</v>
      </c>
      <c r="EH611" s="2" t="n">
        <v>100</v>
      </c>
      <c r="EI611" s="2" t="n">
        <v>100</v>
      </c>
      <c r="EJ611" s="2" t="n">
        <v>0</v>
      </c>
      <c r="EK611" s="2" t="n">
        <v>100</v>
      </c>
      <c r="EL611" s="2" t="n">
        <v>100</v>
      </c>
      <c r="EM611" s="2" t="n">
        <v>0</v>
      </c>
      <c r="EN611" s="2" t="n">
        <v>100</v>
      </c>
      <c r="EO611" s="2" t="n">
        <v>100</v>
      </c>
      <c r="EP611" s="2" t="n">
        <v>0</v>
      </c>
      <c r="EQ611" s="2" t="n">
        <v>100</v>
      </c>
      <c r="ER611" s="2" t="n">
        <v>100</v>
      </c>
      <c r="ES611" s="2" t="n">
        <v>0</v>
      </c>
    </row>
    <row r="612">
      <c r="A612" s="2" t="n">
        <v>4</v>
      </c>
      <c r="B612" s="2" t="inlineStr">
        <is>
          <t>27.01.01.07</t>
        </is>
      </c>
      <c r="C612" s="2" t="inlineStr">
        <is>
          <t>P06 - Porta de madeira, 1fl de abrir, 90x210cm</t>
        </is>
      </c>
      <c r="D612" s="2" t="inlineStr">
        <is>
          <t>04/02/2028</t>
        </is>
      </c>
      <c r="E612" s="2" t="inlineStr">
        <is>
          <t>12/01/2029</t>
        </is>
      </c>
      <c r="F612" s="2" t="n">
        <v>233427</v>
      </c>
      <c r="G612" s="2" t="n">
        <v>0</v>
      </c>
      <c r="H612" s="2" t="n">
        <v>233427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5.34</v>
      </c>
      <c r="DB612" s="2" t="n">
        <v>7.4</v>
      </c>
      <c r="DC612" s="2" t="n">
        <v>0</v>
      </c>
      <c r="DD612" s="2" t="n">
        <v>14.9</v>
      </c>
      <c r="DE612" s="2" t="n">
        <v>17</v>
      </c>
      <c r="DF612" s="2" t="n">
        <v>0</v>
      </c>
      <c r="DG612" s="2" t="n">
        <v>23.12</v>
      </c>
      <c r="DH612" s="2" t="n">
        <v>25.25</v>
      </c>
      <c r="DI612" s="2" t="n">
        <v>0</v>
      </c>
      <c r="DJ612" s="2" t="n">
        <v>33.79</v>
      </c>
      <c r="DK612" s="2" t="n">
        <v>35.91</v>
      </c>
      <c r="DL612" s="2" t="n">
        <v>0</v>
      </c>
      <c r="DM612" s="2" t="n">
        <v>43.54</v>
      </c>
      <c r="DN612" s="2" t="n">
        <v>45.66</v>
      </c>
      <c r="DO612" s="2" t="n">
        <v>0</v>
      </c>
      <c r="DP612" s="2" t="n">
        <v>53.26</v>
      </c>
      <c r="DQ612" s="2" t="n">
        <v>55.45</v>
      </c>
      <c r="DR612" s="2" t="n">
        <v>0</v>
      </c>
      <c r="DS612" s="2" t="n">
        <v>63.33</v>
      </c>
      <c r="DT612" s="2" t="n">
        <v>65.38</v>
      </c>
      <c r="DU612" s="2" t="n">
        <v>0</v>
      </c>
      <c r="DV612" s="2" t="n">
        <v>71.55</v>
      </c>
      <c r="DW612" s="2" t="n">
        <v>73.61</v>
      </c>
      <c r="DX612" s="2" t="n">
        <v>0</v>
      </c>
      <c r="DY612" s="2" t="n">
        <v>80.18000000000001</v>
      </c>
      <c r="DZ612" s="2" t="n">
        <v>83.06999999999999</v>
      </c>
      <c r="EA612" s="2" t="n">
        <v>0</v>
      </c>
      <c r="EB612" s="2" t="n">
        <v>88.72</v>
      </c>
      <c r="EC612" s="2" t="n">
        <v>91.78</v>
      </c>
      <c r="ED612" s="2" t="n">
        <v>0</v>
      </c>
      <c r="EE612" s="2" t="n">
        <v>95.19</v>
      </c>
      <c r="EF612" s="2" t="n">
        <v>95.86</v>
      </c>
      <c r="EG612" s="2" t="n">
        <v>0</v>
      </c>
      <c r="EH612" s="2" t="n">
        <v>100</v>
      </c>
      <c r="EI612" s="2" t="n">
        <v>100</v>
      </c>
      <c r="EJ612" s="2" t="n">
        <v>0</v>
      </c>
      <c r="EK612" s="2" t="n">
        <v>100</v>
      </c>
      <c r="EL612" s="2" t="n">
        <v>100</v>
      </c>
      <c r="EM612" s="2" t="n">
        <v>0</v>
      </c>
      <c r="EN612" s="2" t="n">
        <v>100</v>
      </c>
      <c r="EO612" s="2" t="n">
        <v>100</v>
      </c>
      <c r="EP612" s="2" t="n">
        <v>0</v>
      </c>
      <c r="EQ612" s="2" t="n">
        <v>100</v>
      </c>
      <c r="ER612" s="2" t="n">
        <v>100</v>
      </c>
      <c r="ES612" s="2" t="n">
        <v>0</v>
      </c>
    </row>
    <row r="613">
      <c r="A613" s="2" t="n">
        <v>4</v>
      </c>
      <c r="B613" s="2" t="inlineStr">
        <is>
          <t>27.01.01.08</t>
        </is>
      </c>
      <c r="C613" s="2" t="inlineStr">
        <is>
          <t>P08 - Porta de madeira, correr 1fl, 120x210cm</t>
        </is>
      </c>
      <c r="D613" s="2" t="inlineStr">
        <is>
          <t>04/02/2028</t>
        </is>
      </c>
      <c r="E613" s="2" t="inlineStr">
        <is>
          <t>12/01/2029</t>
        </is>
      </c>
      <c r="F613" s="2" t="n">
        <v>1759.5</v>
      </c>
      <c r="G613" s="2" t="n">
        <v>0</v>
      </c>
      <c r="H613" s="2" t="n">
        <v>1759.5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5.34</v>
      </c>
      <c r="DB613" s="2" t="n">
        <v>7.4</v>
      </c>
      <c r="DC613" s="2" t="n">
        <v>0</v>
      </c>
      <c r="DD613" s="2" t="n">
        <v>14.9</v>
      </c>
      <c r="DE613" s="2" t="n">
        <v>17</v>
      </c>
      <c r="DF613" s="2" t="n">
        <v>0</v>
      </c>
      <c r="DG613" s="2" t="n">
        <v>23.12</v>
      </c>
      <c r="DH613" s="2" t="n">
        <v>25.25</v>
      </c>
      <c r="DI613" s="2" t="n">
        <v>0</v>
      </c>
      <c r="DJ613" s="2" t="n">
        <v>33.79</v>
      </c>
      <c r="DK613" s="2" t="n">
        <v>35.91</v>
      </c>
      <c r="DL613" s="2" t="n">
        <v>0</v>
      </c>
      <c r="DM613" s="2" t="n">
        <v>43.54</v>
      </c>
      <c r="DN613" s="2" t="n">
        <v>45.66</v>
      </c>
      <c r="DO613" s="2" t="n">
        <v>0</v>
      </c>
      <c r="DP613" s="2" t="n">
        <v>53.26</v>
      </c>
      <c r="DQ613" s="2" t="n">
        <v>55.45</v>
      </c>
      <c r="DR613" s="2" t="n">
        <v>0</v>
      </c>
      <c r="DS613" s="2" t="n">
        <v>63.33</v>
      </c>
      <c r="DT613" s="2" t="n">
        <v>65.38</v>
      </c>
      <c r="DU613" s="2" t="n">
        <v>0</v>
      </c>
      <c r="DV613" s="2" t="n">
        <v>71.55</v>
      </c>
      <c r="DW613" s="2" t="n">
        <v>73.61</v>
      </c>
      <c r="DX613" s="2" t="n">
        <v>0</v>
      </c>
      <c r="DY613" s="2" t="n">
        <v>80.18000000000001</v>
      </c>
      <c r="DZ613" s="2" t="n">
        <v>83.06999999999999</v>
      </c>
      <c r="EA613" s="2" t="n">
        <v>0</v>
      </c>
      <c r="EB613" s="2" t="n">
        <v>88.72</v>
      </c>
      <c r="EC613" s="2" t="n">
        <v>91.78</v>
      </c>
      <c r="ED613" s="2" t="n">
        <v>0</v>
      </c>
      <c r="EE613" s="2" t="n">
        <v>95.19</v>
      </c>
      <c r="EF613" s="2" t="n">
        <v>95.86</v>
      </c>
      <c r="EG613" s="2" t="n">
        <v>0</v>
      </c>
      <c r="EH613" s="2" t="n">
        <v>100</v>
      </c>
      <c r="EI613" s="2" t="n">
        <v>100</v>
      </c>
      <c r="EJ613" s="2" t="n">
        <v>0</v>
      </c>
      <c r="EK613" s="2" t="n">
        <v>100</v>
      </c>
      <c r="EL613" s="2" t="n">
        <v>100</v>
      </c>
      <c r="EM613" s="2" t="n">
        <v>0</v>
      </c>
      <c r="EN613" s="2" t="n">
        <v>100</v>
      </c>
      <c r="EO613" s="2" t="n">
        <v>100</v>
      </c>
      <c r="EP613" s="2" t="n">
        <v>0</v>
      </c>
      <c r="EQ613" s="2" t="n">
        <v>100</v>
      </c>
      <c r="ER613" s="2" t="n">
        <v>100</v>
      </c>
      <c r="ES613" s="2" t="n">
        <v>0</v>
      </c>
    </row>
    <row r="614">
      <c r="A614" s="2" t="n">
        <v>4</v>
      </c>
      <c r="B614" s="2" t="inlineStr">
        <is>
          <t>27.01.01.09</t>
        </is>
      </c>
      <c r="C614" s="2" t="inlineStr">
        <is>
          <t>Preenchimento lateral para portas com espuma expansiva de poliuretano</t>
        </is>
      </c>
      <c r="D614" s="2" t="inlineStr">
        <is>
          <t>04/02/2028</t>
        </is>
      </c>
      <c r="E614" s="2" t="inlineStr">
        <is>
          <t>12/01/2029</t>
        </is>
      </c>
      <c r="F614" s="2" t="n">
        <v>53772.72688411609</v>
      </c>
      <c r="G614" s="2" t="n">
        <v>0</v>
      </c>
      <c r="H614" s="2" t="n">
        <v>53772.72688411609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5.34</v>
      </c>
      <c r="DB614" s="2" t="n">
        <v>7.4</v>
      </c>
      <c r="DC614" s="2" t="n">
        <v>0</v>
      </c>
      <c r="DD614" s="2" t="n">
        <v>14.9</v>
      </c>
      <c r="DE614" s="2" t="n">
        <v>17</v>
      </c>
      <c r="DF614" s="2" t="n">
        <v>0</v>
      </c>
      <c r="DG614" s="2" t="n">
        <v>23.12</v>
      </c>
      <c r="DH614" s="2" t="n">
        <v>25.25</v>
      </c>
      <c r="DI614" s="2" t="n">
        <v>0</v>
      </c>
      <c r="DJ614" s="2" t="n">
        <v>33.79</v>
      </c>
      <c r="DK614" s="2" t="n">
        <v>35.91</v>
      </c>
      <c r="DL614" s="2" t="n">
        <v>0</v>
      </c>
      <c r="DM614" s="2" t="n">
        <v>43.54</v>
      </c>
      <c r="DN614" s="2" t="n">
        <v>45.66</v>
      </c>
      <c r="DO614" s="2" t="n">
        <v>0</v>
      </c>
      <c r="DP614" s="2" t="n">
        <v>53.26</v>
      </c>
      <c r="DQ614" s="2" t="n">
        <v>55.45</v>
      </c>
      <c r="DR614" s="2" t="n">
        <v>0</v>
      </c>
      <c r="DS614" s="2" t="n">
        <v>63.33</v>
      </c>
      <c r="DT614" s="2" t="n">
        <v>65.38</v>
      </c>
      <c r="DU614" s="2" t="n">
        <v>0</v>
      </c>
      <c r="DV614" s="2" t="n">
        <v>71.55</v>
      </c>
      <c r="DW614" s="2" t="n">
        <v>73.61</v>
      </c>
      <c r="DX614" s="2" t="n">
        <v>0</v>
      </c>
      <c r="DY614" s="2" t="n">
        <v>80.18000000000001</v>
      </c>
      <c r="DZ614" s="2" t="n">
        <v>83.06999999999999</v>
      </c>
      <c r="EA614" s="2" t="n">
        <v>0</v>
      </c>
      <c r="EB614" s="2" t="n">
        <v>88.72</v>
      </c>
      <c r="EC614" s="2" t="n">
        <v>91.78</v>
      </c>
      <c r="ED614" s="2" t="n">
        <v>0</v>
      </c>
      <c r="EE614" s="2" t="n">
        <v>95.19</v>
      </c>
      <c r="EF614" s="2" t="n">
        <v>95.86</v>
      </c>
      <c r="EG614" s="2" t="n">
        <v>0</v>
      </c>
      <c r="EH614" s="2" t="n">
        <v>100</v>
      </c>
      <c r="EI614" s="2" t="n">
        <v>100</v>
      </c>
      <c r="EJ614" s="2" t="n">
        <v>0</v>
      </c>
      <c r="EK614" s="2" t="n">
        <v>100</v>
      </c>
      <c r="EL614" s="2" t="n">
        <v>100</v>
      </c>
      <c r="EM614" s="2" t="n">
        <v>0</v>
      </c>
      <c r="EN614" s="2" t="n">
        <v>100</v>
      </c>
      <c r="EO614" s="2" t="n">
        <v>100</v>
      </c>
      <c r="EP614" s="2" t="n">
        <v>0</v>
      </c>
      <c r="EQ614" s="2" t="n">
        <v>100</v>
      </c>
      <c r="ER614" s="2" t="n">
        <v>100</v>
      </c>
      <c r="ES614" s="2" t="n">
        <v>0</v>
      </c>
    </row>
    <row r="615">
      <c r="A615" s="2" t="n">
        <v>3</v>
      </c>
      <c r="B615" s="2" t="inlineStr">
        <is>
          <t>27.01.02</t>
        </is>
      </c>
      <c r="C615" s="2" t="inlineStr">
        <is>
          <t>Ferragens</t>
        </is>
      </c>
      <c r="D615" s="2" t="inlineStr">
        <is>
          <t>04/02/2028</t>
        </is>
      </c>
      <c r="E615" s="2" t="inlineStr">
        <is>
          <t>12/01/2029</t>
        </is>
      </c>
      <c r="F615" s="2" t="n">
        <v>614104.0135999999</v>
      </c>
      <c r="G615" s="2" t="n">
        <v>0</v>
      </c>
      <c r="H615" s="2" t="n">
        <v>614104.0135999999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5.34</v>
      </c>
      <c r="DB615" s="2" t="n">
        <v>7.4</v>
      </c>
      <c r="DC615" s="2" t="n">
        <v>0</v>
      </c>
      <c r="DD615" s="2" t="n">
        <v>14.9</v>
      </c>
      <c r="DE615" s="2" t="n">
        <v>17</v>
      </c>
      <c r="DF615" s="2" t="n">
        <v>0</v>
      </c>
      <c r="DG615" s="2" t="n">
        <v>23.12</v>
      </c>
      <c r="DH615" s="2" t="n">
        <v>25.25</v>
      </c>
      <c r="DI615" s="2" t="n">
        <v>0</v>
      </c>
      <c r="DJ615" s="2" t="n">
        <v>33.79</v>
      </c>
      <c r="DK615" s="2" t="n">
        <v>35.91</v>
      </c>
      <c r="DL615" s="2" t="n">
        <v>0</v>
      </c>
      <c r="DM615" s="2" t="n">
        <v>43.54</v>
      </c>
      <c r="DN615" s="2" t="n">
        <v>45.66</v>
      </c>
      <c r="DO615" s="2" t="n">
        <v>0</v>
      </c>
      <c r="DP615" s="2" t="n">
        <v>53.26</v>
      </c>
      <c r="DQ615" s="2" t="n">
        <v>55.45</v>
      </c>
      <c r="DR615" s="2" t="n">
        <v>0</v>
      </c>
      <c r="DS615" s="2" t="n">
        <v>63.33</v>
      </c>
      <c r="DT615" s="2" t="n">
        <v>65.38</v>
      </c>
      <c r="DU615" s="2" t="n">
        <v>0</v>
      </c>
      <c r="DV615" s="2" t="n">
        <v>71.55</v>
      </c>
      <c r="DW615" s="2" t="n">
        <v>73.61</v>
      </c>
      <c r="DX615" s="2" t="n">
        <v>0</v>
      </c>
      <c r="DY615" s="2" t="n">
        <v>80.18000000000001</v>
      </c>
      <c r="DZ615" s="2" t="n">
        <v>83.06999999999999</v>
      </c>
      <c r="EA615" s="2" t="n">
        <v>0</v>
      </c>
      <c r="EB615" s="2" t="n">
        <v>88.72</v>
      </c>
      <c r="EC615" s="2" t="n">
        <v>91.78</v>
      </c>
      <c r="ED615" s="2" t="n">
        <v>0</v>
      </c>
      <c r="EE615" s="2" t="n">
        <v>95.19</v>
      </c>
      <c r="EF615" s="2" t="n">
        <v>95.86</v>
      </c>
      <c r="EG615" s="2" t="n">
        <v>0</v>
      </c>
      <c r="EH615" s="2" t="n">
        <v>100</v>
      </c>
      <c r="EI615" s="2" t="n">
        <v>100</v>
      </c>
      <c r="EJ615" s="2" t="n">
        <v>0</v>
      </c>
      <c r="EK615" s="2" t="n">
        <v>100</v>
      </c>
      <c r="EL615" s="2" t="n">
        <v>100</v>
      </c>
      <c r="EM615" s="2" t="n">
        <v>0</v>
      </c>
      <c r="EN615" s="2" t="n">
        <v>100</v>
      </c>
      <c r="EO615" s="2" t="n">
        <v>100</v>
      </c>
      <c r="EP615" s="2" t="n">
        <v>0</v>
      </c>
      <c r="EQ615" s="2" t="n">
        <v>100</v>
      </c>
      <c r="ER615" s="2" t="n">
        <v>100</v>
      </c>
      <c r="ES615" s="2" t="n">
        <v>0</v>
      </c>
    </row>
    <row r="616">
      <c r="A616" s="2" t="n">
        <v>4</v>
      </c>
      <c r="B616" s="2" t="inlineStr">
        <is>
          <t>27.01.02.01</t>
        </is>
      </c>
      <c r="C616" s="2" t="inlineStr">
        <is>
          <t>Dobradiça cromada 3"</t>
        </is>
      </c>
      <c r="D616" s="2" t="inlineStr">
        <is>
          <t>04/02/2028</t>
        </is>
      </c>
      <c r="E616" s="2" t="inlineStr">
        <is>
          <t>12/01/2029</t>
        </is>
      </c>
      <c r="F616" s="2" t="n">
        <v>128940</v>
      </c>
      <c r="G616" s="2" t="n">
        <v>0</v>
      </c>
      <c r="H616" s="2" t="n">
        <v>128940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5.34</v>
      </c>
      <c r="DB616" s="2" t="n">
        <v>7.4</v>
      </c>
      <c r="DC616" s="2" t="n">
        <v>0</v>
      </c>
      <c r="DD616" s="2" t="n">
        <v>14.9</v>
      </c>
      <c r="DE616" s="2" t="n">
        <v>17</v>
      </c>
      <c r="DF616" s="2" t="n">
        <v>0</v>
      </c>
      <c r="DG616" s="2" t="n">
        <v>23.12</v>
      </c>
      <c r="DH616" s="2" t="n">
        <v>25.25</v>
      </c>
      <c r="DI616" s="2" t="n">
        <v>0</v>
      </c>
      <c r="DJ616" s="2" t="n">
        <v>33.79</v>
      </c>
      <c r="DK616" s="2" t="n">
        <v>35.91</v>
      </c>
      <c r="DL616" s="2" t="n">
        <v>0</v>
      </c>
      <c r="DM616" s="2" t="n">
        <v>43.54</v>
      </c>
      <c r="DN616" s="2" t="n">
        <v>45.66</v>
      </c>
      <c r="DO616" s="2" t="n">
        <v>0</v>
      </c>
      <c r="DP616" s="2" t="n">
        <v>53.26</v>
      </c>
      <c r="DQ616" s="2" t="n">
        <v>55.45</v>
      </c>
      <c r="DR616" s="2" t="n">
        <v>0</v>
      </c>
      <c r="DS616" s="2" t="n">
        <v>63.33</v>
      </c>
      <c r="DT616" s="2" t="n">
        <v>65.38</v>
      </c>
      <c r="DU616" s="2" t="n">
        <v>0</v>
      </c>
      <c r="DV616" s="2" t="n">
        <v>71.55</v>
      </c>
      <c r="DW616" s="2" t="n">
        <v>73.61</v>
      </c>
      <c r="DX616" s="2" t="n">
        <v>0</v>
      </c>
      <c r="DY616" s="2" t="n">
        <v>80.18000000000001</v>
      </c>
      <c r="DZ616" s="2" t="n">
        <v>83.06999999999999</v>
      </c>
      <c r="EA616" s="2" t="n">
        <v>0</v>
      </c>
      <c r="EB616" s="2" t="n">
        <v>88.72</v>
      </c>
      <c r="EC616" s="2" t="n">
        <v>91.78</v>
      </c>
      <c r="ED616" s="2" t="n">
        <v>0</v>
      </c>
      <c r="EE616" s="2" t="n">
        <v>95.19</v>
      </c>
      <c r="EF616" s="2" t="n">
        <v>95.86</v>
      </c>
      <c r="EG616" s="2" t="n">
        <v>0</v>
      </c>
      <c r="EH616" s="2" t="n">
        <v>100</v>
      </c>
      <c r="EI616" s="2" t="n">
        <v>100</v>
      </c>
      <c r="EJ616" s="2" t="n">
        <v>0</v>
      </c>
      <c r="EK616" s="2" t="n">
        <v>100</v>
      </c>
      <c r="EL616" s="2" t="n">
        <v>100</v>
      </c>
      <c r="EM616" s="2" t="n">
        <v>0</v>
      </c>
      <c r="EN616" s="2" t="n">
        <v>100</v>
      </c>
      <c r="EO616" s="2" t="n">
        <v>100</v>
      </c>
      <c r="EP616" s="2" t="n">
        <v>0</v>
      </c>
      <c r="EQ616" s="2" t="n">
        <v>100</v>
      </c>
      <c r="ER616" s="2" t="n">
        <v>100</v>
      </c>
      <c r="ES616" s="2" t="n">
        <v>0</v>
      </c>
    </row>
    <row r="617">
      <c r="A617" s="2" t="n">
        <v>4</v>
      </c>
      <c r="B617" s="2" t="inlineStr">
        <is>
          <t>27.01.02.02</t>
        </is>
      </c>
      <c r="C617" s="2" t="inlineStr">
        <is>
          <t>Fechadura multiponto com lingueta (4 bolts em aço maciço no sistema de travamento central e 3 em cada sistema auxiliar (mul-T-lock)| Cilindro perfil euro com chaves  codificadas e cópias controladas mediante autorização (ref.: Mul-T-Lock)</t>
        </is>
      </c>
      <c r="D617" s="2" t="inlineStr">
        <is>
          <t>04/02/2028</t>
        </is>
      </c>
      <c r="E617" s="2" t="inlineStr">
        <is>
          <t>12/01/2029</t>
        </is>
      </c>
      <c r="F617" s="2" t="n">
        <v>256840.0136</v>
      </c>
      <c r="G617" s="2" t="n">
        <v>0</v>
      </c>
      <c r="H617" s="2" t="n">
        <v>256840.0136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5.34</v>
      </c>
      <c r="DB617" s="2" t="n">
        <v>7.4</v>
      </c>
      <c r="DC617" s="2" t="n">
        <v>0</v>
      </c>
      <c r="DD617" s="2" t="n">
        <v>14.9</v>
      </c>
      <c r="DE617" s="2" t="n">
        <v>17</v>
      </c>
      <c r="DF617" s="2" t="n">
        <v>0</v>
      </c>
      <c r="DG617" s="2" t="n">
        <v>23.12</v>
      </c>
      <c r="DH617" s="2" t="n">
        <v>25.25</v>
      </c>
      <c r="DI617" s="2" t="n">
        <v>0</v>
      </c>
      <c r="DJ617" s="2" t="n">
        <v>33.79</v>
      </c>
      <c r="DK617" s="2" t="n">
        <v>35.91</v>
      </c>
      <c r="DL617" s="2" t="n">
        <v>0</v>
      </c>
      <c r="DM617" s="2" t="n">
        <v>43.54</v>
      </c>
      <c r="DN617" s="2" t="n">
        <v>45.66</v>
      </c>
      <c r="DO617" s="2" t="n">
        <v>0</v>
      </c>
      <c r="DP617" s="2" t="n">
        <v>53.26</v>
      </c>
      <c r="DQ617" s="2" t="n">
        <v>55.45</v>
      </c>
      <c r="DR617" s="2" t="n">
        <v>0</v>
      </c>
      <c r="DS617" s="2" t="n">
        <v>63.33</v>
      </c>
      <c r="DT617" s="2" t="n">
        <v>65.38</v>
      </c>
      <c r="DU617" s="2" t="n">
        <v>0</v>
      </c>
      <c r="DV617" s="2" t="n">
        <v>71.55</v>
      </c>
      <c r="DW617" s="2" t="n">
        <v>73.61</v>
      </c>
      <c r="DX617" s="2" t="n">
        <v>0</v>
      </c>
      <c r="DY617" s="2" t="n">
        <v>80.18000000000001</v>
      </c>
      <c r="DZ617" s="2" t="n">
        <v>83.06999999999999</v>
      </c>
      <c r="EA617" s="2" t="n">
        <v>0</v>
      </c>
      <c r="EB617" s="2" t="n">
        <v>88.72</v>
      </c>
      <c r="EC617" s="2" t="n">
        <v>91.78</v>
      </c>
      <c r="ED617" s="2" t="n">
        <v>0</v>
      </c>
      <c r="EE617" s="2" t="n">
        <v>95.19</v>
      </c>
      <c r="EF617" s="2" t="n">
        <v>95.86</v>
      </c>
      <c r="EG617" s="2" t="n">
        <v>0</v>
      </c>
      <c r="EH617" s="2" t="n">
        <v>100</v>
      </c>
      <c r="EI617" s="2" t="n">
        <v>100</v>
      </c>
      <c r="EJ617" s="2" t="n">
        <v>0</v>
      </c>
      <c r="EK617" s="2" t="n">
        <v>100</v>
      </c>
      <c r="EL617" s="2" t="n">
        <v>100</v>
      </c>
      <c r="EM617" s="2" t="n">
        <v>0</v>
      </c>
      <c r="EN617" s="2" t="n">
        <v>100</v>
      </c>
      <c r="EO617" s="2" t="n">
        <v>100</v>
      </c>
      <c r="EP617" s="2" t="n">
        <v>0</v>
      </c>
      <c r="EQ617" s="2" t="n">
        <v>100</v>
      </c>
      <c r="ER617" s="2" t="n">
        <v>100</v>
      </c>
      <c r="ES617" s="2" t="n">
        <v>0</v>
      </c>
    </row>
    <row r="618">
      <c r="A618" s="2" t="n">
        <v>4</v>
      </c>
      <c r="B618" s="2" t="inlineStr">
        <is>
          <t>27.01.02.03</t>
        </is>
      </c>
      <c r="C618" s="2" t="inlineStr">
        <is>
          <t>Fechadura biométrica</t>
        </is>
      </c>
      <c r="D618" s="2" t="inlineStr">
        <is>
          <t>04/02/2028</t>
        </is>
      </c>
      <c r="E618" s="2" t="inlineStr">
        <is>
          <t>12/01/2029</t>
        </is>
      </c>
      <c r="F618" s="2" t="n">
        <v>112700</v>
      </c>
      <c r="G618" s="2" t="n">
        <v>0</v>
      </c>
      <c r="H618" s="2" t="n">
        <v>112700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5.34</v>
      </c>
      <c r="DB618" s="2" t="n">
        <v>7.4</v>
      </c>
      <c r="DC618" s="2" t="n">
        <v>0</v>
      </c>
      <c r="DD618" s="2" t="n">
        <v>14.9</v>
      </c>
      <c r="DE618" s="2" t="n">
        <v>17</v>
      </c>
      <c r="DF618" s="2" t="n">
        <v>0</v>
      </c>
      <c r="DG618" s="2" t="n">
        <v>23.12</v>
      </c>
      <c r="DH618" s="2" t="n">
        <v>25.25</v>
      </c>
      <c r="DI618" s="2" t="n">
        <v>0</v>
      </c>
      <c r="DJ618" s="2" t="n">
        <v>33.79</v>
      </c>
      <c r="DK618" s="2" t="n">
        <v>35.91</v>
      </c>
      <c r="DL618" s="2" t="n">
        <v>0</v>
      </c>
      <c r="DM618" s="2" t="n">
        <v>43.54</v>
      </c>
      <c r="DN618" s="2" t="n">
        <v>45.66</v>
      </c>
      <c r="DO618" s="2" t="n">
        <v>0</v>
      </c>
      <c r="DP618" s="2" t="n">
        <v>53.26</v>
      </c>
      <c r="DQ618" s="2" t="n">
        <v>55.45</v>
      </c>
      <c r="DR618" s="2" t="n">
        <v>0</v>
      </c>
      <c r="DS618" s="2" t="n">
        <v>63.33</v>
      </c>
      <c r="DT618" s="2" t="n">
        <v>65.38</v>
      </c>
      <c r="DU618" s="2" t="n">
        <v>0</v>
      </c>
      <c r="DV618" s="2" t="n">
        <v>71.55</v>
      </c>
      <c r="DW618" s="2" t="n">
        <v>73.61</v>
      </c>
      <c r="DX618" s="2" t="n">
        <v>0</v>
      </c>
      <c r="DY618" s="2" t="n">
        <v>80.18000000000001</v>
      </c>
      <c r="DZ618" s="2" t="n">
        <v>83.06999999999999</v>
      </c>
      <c r="EA618" s="2" t="n">
        <v>0</v>
      </c>
      <c r="EB618" s="2" t="n">
        <v>88.72</v>
      </c>
      <c r="EC618" s="2" t="n">
        <v>91.78</v>
      </c>
      <c r="ED618" s="2" t="n">
        <v>0</v>
      </c>
      <c r="EE618" s="2" t="n">
        <v>95.19</v>
      </c>
      <c r="EF618" s="2" t="n">
        <v>95.86</v>
      </c>
      <c r="EG618" s="2" t="n">
        <v>0</v>
      </c>
      <c r="EH618" s="2" t="n">
        <v>100</v>
      </c>
      <c r="EI618" s="2" t="n">
        <v>100</v>
      </c>
      <c r="EJ618" s="2" t="n">
        <v>0</v>
      </c>
      <c r="EK618" s="2" t="n">
        <v>100</v>
      </c>
      <c r="EL618" s="2" t="n">
        <v>100</v>
      </c>
      <c r="EM618" s="2" t="n">
        <v>0</v>
      </c>
      <c r="EN618" s="2" t="n">
        <v>100</v>
      </c>
      <c r="EO618" s="2" t="n">
        <v>100</v>
      </c>
      <c r="EP618" s="2" t="n">
        <v>0</v>
      </c>
      <c r="EQ618" s="2" t="n">
        <v>100</v>
      </c>
      <c r="ER618" s="2" t="n">
        <v>100</v>
      </c>
      <c r="ES618" s="2" t="n">
        <v>0</v>
      </c>
    </row>
    <row r="619">
      <c r="A619" s="2" t="n">
        <v>4</v>
      </c>
      <c r="B619" s="2" t="inlineStr">
        <is>
          <t>27.01.02.04</t>
        </is>
      </c>
      <c r="C619" s="2" t="inlineStr">
        <is>
          <t>Conjunto de ferragens para porta de correr com montagem por fora da alvenaria</t>
        </is>
      </c>
      <c r="D619" s="2" t="inlineStr">
        <is>
          <t>04/02/2028</t>
        </is>
      </c>
      <c r="E619" s="2" t="inlineStr">
        <is>
          <t>12/01/2029</t>
        </is>
      </c>
      <c r="F619" s="2" t="n">
        <v>109900</v>
      </c>
      <c r="G619" s="2" t="n">
        <v>0</v>
      </c>
      <c r="H619" s="2" t="n">
        <v>109900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5.34</v>
      </c>
      <c r="DB619" s="2" t="n">
        <v>7.4</v>
      </c>
      <c r="DC619" s="2" t="n">
        <v>0</v>
      </c>
      <c r="DD619" s="2" t="n">
        <v>14.9</v>
      </c>
      <c r="DE619" s="2" t="n">
        <v>17</v>
      </c>
      <c r="DF619" s="2" t="n">
        <v>0</v>
      </c>
      <c r="DG619" s="2" t="n">
        <v>23.12</v>
      </c>
      <c r="DH619" s="2" t="n">
        <v>25.25</v>
      </c>
      <c r="DI619" s="2" t="n">
        <v>0</v>
      </c>
      <c r="DJ619" s="2" t="n">
        <v>33.79</v>
      </c>
      <c r="DK619" s="2" t="n">
        <v>35.91</v>
      </c>
      <c r="DL619" s="2" t="n">
        <v>0</v>
      </c>
      <c r="DM619" s="2" t="n">
        <v>43.54</v>
      </c>
      <c r="DN619" s="2" t="n">
        <v>45.66</v>
      </c>
      <c r="DO619" s="2" t="n">
        <v>0</v>
      </c>
      <c r="DP619" s="2" t="n">
        <v>53.26</v>
      </c>
      <c r="DQ619" s="2" t="n">
        <v>55.45</v>
      </c>
      <c r="DR619" s="2" t="n">
        <v>0</v>
      </c>
      <c r="DS619" s="2" t="n">
        <v>63.33</v>
      </c>
      <c r="DT619" s="2" t="n">
        <v>65.38</v>
      </c>
      <c r="DU619" s="2" t="n">
        <v>0</v>
      </c>
      <c r="DV619" s="2" t="n">
        <v>71.55</v>
      </c>
      <c r="DW619" s="2" t="n">
        <v>73.61</v>
      </c>
      <c r="DX619" s="2" t="n">
        <v>0</v>
      </c>
      <c r="DY619" s="2" t="n">
        <v>80.18000000000001</v>
      </c>
      <c r="DZ619" s="2" t="n">
        <v>83.06999999999999</v>
      </c>
      <c r="EA619" s="2" t="n">
        <v>0</v>
      </c>
      <c r="EB619" s="2" t="n">
        <v>88.72</v>
      </c>
      <c r="EC619" s="2" t="n">
        <v>91.78</v>
      </c>
      <c r="ED619" s="2" t="n">
        <v>0</v>
      </c>
      <c r="EE619" s="2" t="n">
        <v>95.19</v>
      </c>
      <c r="EF619" s="2" t="n">
        <v>95.86</v>
      </c>
      <c r="EG619" s="2" t="n">
        <v>0</v>
      </c>
      <c r="EH619" s="2" t="n">
        <v>100</v>
      </c>
      <c r="EI619" s="2" t="n">
        <v>100</v>
      </c>
      <c r="EJ619" s="2" t="n">
        <v>0</v>
      </c>
      <c r="EK619" s="2" t="n">
        <v>100</v>
      </c>
      <c r="EL619" s="2" t="n">
        <v>100</v>
      </c>
      <c r="EM619" s="2" t="n">
        <v>0</v>
      </c>
      <c r="EN619" s="2" t="n">
        <v>100</v>
      </c>
      <c r="EO619" s="2" t="n">
        <v>100</v>
      </c>
      <c r="EP619" s="2" t="n">
        <v>0</v>
      </c>
      <c r="EQ619" s="2" t="n">
        <v>100</v>
      </c>
      <c r="ER619" s="2" t="n">
        <v>100</v>
      </c>
      <c r="ES619" s="2" t="n">
        <v>0</v>
      </c>
    </row>
    <row r="620">
      <c r="A620" s="2" t="n">
        <v>4</v>
      </c>
      <c r="B620" s="2" t="inlineStr">
        <is>
          <t>27.01.02.05</t>
        </is>
      </c>
      <c r="C620" s="2" t="inlineStr">
        <is>
          <t>Conjunto de ferragens para porta de correr com montagem por dentro da alvenaria (porta concha)</t>
        </is>
      </c>
      <c r="D620" s="2" t="inlineStr">
        <is>
          <t>04/02/2028</t>
        </is>
      </c>
      <c r="E620" s="2" t="inlineStr">
        <is>
          <t>12/01/2029</t>
        </is>
      </c>
      <c r="F620" s="2" t="n">
        <v>5400</v>
      </c>
      <c r="G620" s="2" t="n">
        <v>0</v>
      </c>
      <c r="H620" s="2" t="n">
        <v>5400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5.34</v>
      </c>
      <c r="DB620" s="2" t="n">
        <v>7.4</v>
      </c>
      <c r="DC620" s="2" t="n">
        <v>0</v>
      </c>
      <c r="DD620" s="2" t="n">
        <v>14.9</v>
      </c>
      <c r="DE620" s="2" t="n">
        <v>17</v>
      </c>
      <c r="DF620" s="2" t="n">
        <v>0</v>
      </c>
      <c r="DG620" s="2" t="n">
        <v>23.12</v>
      </c>
      <c r="DH620" s="2" t="n">
        <v>25.25</v>
      </c>
      <c r="DI620" s="2" t="n">
        <v>0</v>
      </c>
      <c r="DJ620" s="2" t="n">
        <v>33.79</v>
      </c>
      <c r="DK620" s="2" t="n">
        <v>35.91</v>
      </c>
      <c r="DL620" s="2" t="n">
        <v>0</v>
      </c>
      <c r="DM620" s="2" t="n">
        <v>43.54</v>
      </c>
      <c r="DN620" s="2" t="n">
        <v>45.66</v>
      </c>
      <c r="DO620" s="2" t="n">
        <v>0</v>
      </c>
      <c r="DP620" s="2" t="n">
        <v>53.26</v>
      </c>
      <c r="DQ620" s="2" t="n">
        <v>55.45</v>
      </c>
      <c r="DR620" s="2" t="n">
        <v>0</v>
      </c>
      <c r="DS620" s="2" t="n">
        <v>63.33</v>
      </c>
      <c r="DT620" s="2" t="n">
        <v>65.38</v>
      </c>
      <c r="DU620" s="2" t="n">
        <v>0</v>
      </c>
      <c r="DV620" s="2" t="n">
        <v>71.55</v>
      </c>
      <c r="DW620" s="2" t="n">
        <v>73.61</v>
      </c>
      <c r="DX620" s="2" t="n">
        <v>0</v>
      </c>
      <c r="DY620" s="2" t="n">
        <v>80.18000000000001</v>
      </c>
      <c r="DZ620" s="2" t="n">
        <v>83.06999999999999</v>
      </c>
      <c r="EA620" s="2" t="n">
        <v>0</v>
      </c>
      <c r="EB620" s="2" t="n">
        <v>88.72</v>
      </c>
      <c r="EC620" s="2" t="n">
        <v>91.78</v>
      </c>
      <c r="ED620" s="2" t="n">
        <v>0</v>
      </c>
      <c r="EE620" s="2" t="n">
        <v>95.19</v>
      </c>
      <c r="EF620" s="2" t="n">
        <v>95.86</v>
      </c>
      <c r="EG620" s="2" t="n">
        <v>0</v>
      </c>
      <c r="EH620" s="2" t="n">
        <v>100</v>
      </c>
      <c r="EI620" s="2" t="n">
        <v>100</v>
      </c>
      <c r="EJ620" s="2" t="n">
        <v>0</v>
      </c>
      <c r="EK620" s="2" t="n">
        <v>100</v>
      </c>
      <c r="EL620" s="2" t="n">
        <v>100</v>
      </c>
      <c r="EM620" s="2" t="n">
        <v>0</v>
      </c>
      <c r="EN620" s="2" t="n">
        <v>100</v>
      </c>
      <c r="EO620" s="2" t="n">
        <v>100</v>
      </c>
      <c r="EP620" s="2" t="n">
        <v>0</v>
      </c>
      <c r="EQ620" s="2" t="n">
        <v>100</v>
      </c>
      <c r="ER620" s="2" t="n">
        <v>100</v>
      </c>
      <c r="ES620" s="2" t="n">
        <v>0</v>
      </c>
    </row>
    <row r="621">
      <c r="A621" s="2" t="n">
        <v>4</v>
      </c>
      <c r="B621" s="2" t="inlineStr">
        <is>
          <t>27.01.02.06</t>
        </is>
      </c>
      <c r="C621" s="2" t="inlineStr">
        <is>
          <t>Cadeado PADO para alçapões</t>
        </is>
      </c>
      <c r="D621" s="2" t="inlineStr">
        <is>
          <t>04/02/2028</t>
        </is>
      </c>
      <c r="E621" s="2" t="inlineStr">
        <is>
          <t>12/01/2029</t>
        </is>
      </c>
      <c r="F621" s="2" t="n">
        <v>324</v>
      </c>
      <c r="G621" s="2" t="n">
        <v>0</v>
      </c>
      <c r="H621" s="2" t="n">
        <v>324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5.34</v>
      </c>
      <c r="DB621" s="2" t="n">
        <v>7.4</v>
      </c>
      <c r="DC621" s="2" t="n">
        <v>0</v>
      </c>
      <c r="DD621" s="2" t="n">
        <v>14.9</v>
      </c>
      <c r="DE621" s="2" t="n">
        <v>17</v>
      </c>
      <c r="DF621" s="2" t="n">
        <v>0</v>
      </c>
      <c r="DG621" s="2" t="n">
        <v>23.12</v>
      </c>
      <c r="DH621" s="2" t="n">
        <v>25.25</v>
      </c>
      <c r="DI621" s="2" t="n">
        <v>0</v>
      </c>
      <c r="DJ621" s="2" t="n">
        <v>33.79</v>
      </c>
      <c r="DK621" s="2" t="n">
        <v>35.91</v>
      </c>
      <c r="DL621" s="2" t="n">
        <v>0</v>
      </c>
      <c r="DM621" s="2" t="n">
        <v>43.54</v>
      </c>
      <c r="DN621" s="2" t="n">
        <v>45.66</v>
      </c>
      <c r="DO621" s="2" t="n">
        <v>0</v>
      </c>
      <c r="DP621" s="2" t="n">
        <v>53.26</v>
      </c>
      <c r="DQ621" s="2" t="n">
        <v>55.45</v>
      </c>
      <c r="DR621" s="2" t="n">
        <v>0</v>
      </c>
      <c r="DS621" s="2" t="n">
        <v>63.33</v>
      </c>
      <c r="DT621" s="2" t="n">
        <v>65.38</v>
      </c>
      <c r="DU621" s="2" t="n">
        <v>0</v>
      </c>
      <c r="DV621" s="2" t="n">
        <v>71.55</v>
      </c>
      <c r="DW621" s="2" t="n">
        <v>73.61</v>
      </c>
      <c r="DX621" s="2" t="n">
        <v>0</v>
      </c>
      <c r="DY621" s="2" t="n">
        <v>80.18000000000001</v>
      </c>
      <c r="DZ621" s="2" t="n">
        <v>83.06999999999999</v>
      </c>
      <c r="EA621" s="2" t="n">
        <v>0</v>
      </c>
      <c r="EB621" s="2" t="n">
        <v>88.72</v>
      </c>
      <c r="EC621" s="2" t="n">
        <v>91.78</v>
      </c>
      <c r="ED621" s="2" t="n">
        <v>0</v>
      </c>
      <c r="EE621" s="2" t="n">
        <v>95.19</v>
      </c>
      <c r="EF621" s="2" t="n">
        <v>95.86</v>
      </c>
      <c r="EG621" s="2" t="n">
        <v>0</v>
      </c>
      <c r="EH621" s="2" t="n">
        <v>100</v>
      </c>
      <c r="EI621" s="2" t="n">
        <v>100</v>
      </c>
      <c r="EJ621" s="2" t="n">
        <v>0</v>
      </c>
      <c r="EK621" s="2" t="n">
        <v>100</v>
      </c>
      <c r="EL621" s="2" t="n">
        <v>100</v>
      </c>
      <c r="EM621" s="2" t="n">
        <v>0</v>
      </c>
      <c r="EN621" s="2" t="n">
        <v>100</v>
      </c>
      <c r="EO621" s="2" t="n">
        <v>100</v>
      </c>
      <c r="EP621" s="2" t="n">
        <v>0</v>
      </c>
      <c r="EQ621" s="2" t="n">
        <v>100</v>
      </c>
      <c r="ER621" s="2" t="n">
        <v>100</v>
      </c>
      <c r="ES621" s="2" t="n">
        <v>0</v>
      </c>
    </row>
    <row r="622">
      <c r="A622" s="2" t="n">
        <v>2</v>
      </c>
      <c r="B622" s="2" t="inlineStr">
        <is>
          <t>27.02</t>
        </is>
      </c>
      <c r="C622" s="2" t="inlineStr">
        <is>
          <t>Paineis</t>
        </is>
      </c>
      <c r="D622" s="2" t="inlineStr">
        <is>
          <t>14/02/2028</t>
        </is>
      </c>
      <c r="E622" s="2" t="inlineStr">
        <is>
          <t>16/01/2029</t>
        </is>
      </c>
      <c r="F622" s="2" t="n">
        <v>495447.12</v>
      </c>
      <c r="G622" s="2" t="n">
        <v>0</v>
      </c>
      <c r="H622" s="2" t="n">
        <v>495447.12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1.56</v>
      </c>
      <c r="DB622" s="2" t="n">
        <v>2.67</v>
      </c>
      <c r="DC622" s="2" t="n">
        <v>0</v>
      </c>
      <c r="DD622" s="2" t="n">
        <v>6.67</v>
      </c>
      <c r="DE622" s="2" t="n">
        <v>7.78</v>
      </c>
      <c r="DF622" s="2" t="n">
        <v>0</v>
      </c>
      <c r="DG622" s="2" t="n">
        <v>10.67</v>
      </c>
      <c r="DH622" s="2" t="n">
        <v>11.78</v>
      </c>
      <c r="DI622" s="2" t="n">
        <v>0</v>
      </c>
      <c r="DJ622" s="2" t="n">
        <v>15.56</v>
      </c>
      <c r="DK622" s="2" t="n">
        <v>16.67</v>
      </c>
      <c r="DL622" s="2" t="n">
        <v>0</v>
      </c>
      <c r="DM622" s="2" t="n">
        <v>20.22</v>
      </c>
      <c r="DN622" s="2" t="n">
        <v>21.33</v>
      </c>
      <c r="DO622" s="2" t="n">
        <v>0</v>
      </c>
      <c r="DP622" s="2" t="n">
        <v>24.89</v>
      </c>
      <c r="DQ622" s="2" t="n">
        <v>26</v>
      </c>
      <c r="DR622" s="2" t="n">
        <v>0</v>
      </c>
      <c r="DS622" s="2" t="n">
        <v>29.78</v>
      </c>
      <c r="DT622" s="2" t="n">
        <v>30.89</v>
      </c>
      <c r="DU622" s="2" t="n">
        <v>0</v>
      </c>
      <c r="DV622" s="2" t="n">
        <v>34.22</v>
      </c>
      <c r="DW622" s="2" t="n">
        <v>35.33</v>
      </c>
      <c r="DX622" s="2" t="n">
        <v>0</v>
      </c>
      <c r="DY622" s="2" t="n">
        <v>38.89</v>
      </c>
      <c r="DZ622" s="2" t="n">
        <v>40</v>
      </c>
      <c r="EA622" s="2" t="n">
        <v>0</v>
      </c>
      <c r="EB622" s="2" t="n">
        <v>43.11</v>
      </c>
      <c r="EC622" s="2" t="n">
        <v>94.22</v>
      </c>
      <c r="ED622" s="2" t="n">
        <v>0</v>
      </c>
      <c r="EE622" s="2" t="n">
        <v>96.44</v>
      </c>
      <c r="EF622" s="2" t="n">
        <v>97.56</v>
      </c>
      <c r="EG622" s="2" t="n">
        <v>0</v>
      </c>
      <c r="EH622" s="2" t="n">
        <v>100</v>
      </c>
      <c r="EI622" s="2" t="n">
        <v>100</v>
      </c>
      <c r="EJ622" s="2" t="n">
        <v>0</v>
      </c>
      <c r="EK622" s="2" t="n">
        <v>100</v>
      </c>
      <c r="EL622" s="2" t="n">
        <v>100</v>
      </c>
      <c r="EM622" s="2" t="n">
        <v>0</v>
      </c>
      <c r="EN622" s="2" t="n">
        <v>100</v>
      </c>
      <c r="EO622" s="2" t="n">
        <v>100</v>
      </c>
      <c r="EP622" s="2" t="n">
        <v>0</v>
      </c>
      <c r="EQ622" s="2" t="n">
        <v>100</v>
      </c>
      <c r="ER622" s="2" t="n">
        <v>100</v>
      </c>
      <c r="ES622" s="2" t="n">
        <v>0</v>
      </c>
    </row>
    <row r="623">
      <c r="A623" s="2" t="n">
        <v>3</v>
      </c>
      <c r="B623" s="2" t="inlineStr">
        <is>
          <t>27.02.01</t>
        </is>
      </c>
      <c r="C623" s="2" t="inlineStr">
        <is>
          <t>Paines de MDF para fechamento de shafts</t>
        </is>
      </c>
      <c r="D623" s="2" t="inlineStr">
        <is>
          <t>14/02/2028</t>
        </is>
      </c>
      <c r="E623" s="2" t="inlineStr">
        <is>
          <t>16/01/2029</t>
        </is>
      </c>
      <c r="F623" s="2" t="n">
        <v>495447.12</v>
      </c>
      <c r="G623" s="2" t="n">
        <v>0</v>
      </c>
      <c r="H623" s="2" t="n">
        <v>495447.12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1.56</v>
      </c>
      <c r="DB623" s="2" t="n">
        <v>2.67</v>
      </c>
      <c r="DC623" s="2" t="n">
        <v>0</v>
      </c>
      <c r="DD623" s="2" t="n">
        <v>6.67</v>
      </c>
      <c r="DE623" s="2" t="n">
        <v>7.78</v>
      </c>
      <c r="DF623" s="2" t="n">
        <v>0</v>
      </c>
      <c r="DG623" s="2" t="n">
        <v>10.67</v>
      </c>
      <c r="DH623" s="2" t="n">
        <v>11.78</v>
      </c>
      <c r="DI623" s="2" t="n">
        <v>0</v>
      </c>
      <c r="DJ623" s="2" t="n">
        <v>15.56</v>
      </c>
      <c r="DK623" s="2" t="n">
        <v>16.67</v>
      </c>
      <c r="DL623" s="2" t="n">
        <v>0</v>
      </c>
      <c r="DM623" s="2" t="n">
        <v>20.22</v>
      </c>
      <c r="DN623" s="2" t="n">
        <v>21.33</v>
      </c>
      <c r="DO623" s="2" t="n">
        <v>0</v>
      </c>
      <c r="DP623" s="2" t="n">
        <v>24.89</v>
      </c>
      <c r="DQ623" s="2" t="n">
        <v>26</v>
      </c>
      <c r="DR623" s="2" t="n">
        <v>0</v>
      </c>
      <c r="DS623" s="2" t="n">
        <v>29.78</v>
      </c>
      <c r="DT623" s="2" t="n">
        <v>30.89</v>
      </c>
      <c r="DU623" s="2" t="n">
        <v>0</v>
      </c>
      <c r="DV623" s="2" t="n">
        <v>34.22</v>
      </c>
      <c r="DW623" s="2" t="n">
        <v>35.33</v>
      </c>
      <c r="DX623" s="2" t="n">
        <v>0</v>
      </c>
      <c r="DY623" s="2" t="n">
        <v>38.89</v>
      </c>
      <c r="DZ623" s="2" t="n">
        <v>40</v>
      </c>
      <c r="EA623" s="2" t="n">
        <v>0</v>
      </c>
      <c r="EB623" s="2" t="n">
        <v>43.11</v>
      </c>
      <c r="EC623" s="2" t="n">
        <v>94.22</v>
      </c>
      <c r="ED623" s="2" t="n">
        <v>0</v>
      </c>
      <c r="EE623" s="2" t="n">
        <v>96.44</v>
      </c>
      <c r="EF623" s="2" t="n">
        <v>97.56</v>
      </c>
      <c r="EG623" s="2" t="n">
        <v>0</v>
      </c>
      <c r="EH623" s="2" t="n">
        <v>100</v>
      </c>
      <c r="EI623" s="2" t="n">
        <v>100</v>
      </c>
      <c r="EJ623" s="2" t="n">
        <v>0</v>
      </c>
      <c r="EK623" s="2" t="n">
        <v>100</v>
      </c>
      <c r="EL623" s="2" t="n">
        <v>100</v>
      </c>
      <c r="EM623" s="2" t="n">
        <v>0</v>
      </c>
      <c r="EN623" s="2" t="n">
        <v>100</v>
      </c>
      <c r="EO623" s="2" t="n">
        <v>100</v>
      </c>
      <c r="EP623" s="2" t="n">
        <v>0</v>
      </c>
      <c r="EQ623" s="2" t="n">
        <v>100</v>
      </c>
      <c r="ER623" s="2" t="n">
        <v>100</v>
      </c>
      <c r="ES623" s="2" t="n">
        <v>0</v>
      </c>
    </row>
    <row r="624">
      <c r="A624" s="2" t="n">
        <v>1</v>
      </c>
      <c r="B624" s="2" t="inlineStr">
        <is>
          <t>28</t>
        </is>
      </c>
      <c r="C624" s="2" t="inlineStr">
        <is>
          <t>REVESTIMENTOS DE MASSA EM PISOS</t>
        </is>
      </c>
      <c r="D624" s="2" t="inlineStr">
        <is>
          <t>16/04/2027</t>
        </is>
      </c>
      <c r="E624" s="2" t="inlineStr">
        <is>
          <t>07/08/2028</t>
        </is>
      </c>
      <c r="F624" s="2" t="n">
        <v>1096073.332080485</v>
      </c>
      <c r="G624" s="2" t="n">
        <v>0</v>
      </c>
      <c r="H624" s="2" t="n">
        <v>1096073.332080485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0.08</v>
      </c>
      <c r="BX624" s="2" t="n">
        <v>0.16</v>
      </c>
      <c r="BY624" s="2" t="n">
        <v>0</v>
      </c>
      <c r="BZ624" s="2" t="n">
        <v>0.41</v>
      </c>
      <c r="CA624" s="2" t="n">
        <v>0.49</v>
      </c>
      <c r="CB624" s="2" t="n">
        <v>0</v>
      </c>
      <c r="CC624" s="2" t="n">
        <v>1.95</v>
      </c>
      <c r="CD624" s="2" t="n">
        <v>4.11</v>
      </c>
      <c r="CE624" s="2" t="n">
        <v>0</v>
      </c>
      <c r="CF624" s="2" t="n">
        <v>9.970000000000001</v>
      </c>
      <c r="CG624" s="2" t="n">
        <v>11.69</v>
      </c>
      <c r="CH624" s="2" t="n">
        <v>0</v>
      </c>
      <c r="CI624" s="2" t="n">
        <v>17.69</v>
      </c>
      <c r="CJ624" s="2" t="n">
        <v>19.84</v>
      </c>
      <c r="CK624" s="2" t="n">
        <v>0</v>
      </c>
      <c r="CL624" s="2" t="n">
        <v>26.2</v>
      </c>
      <c r="CM624" s="2" t="n">
        <v>27.98</v>
      </c>
      <c r="CN624" s="2" t="n">
        <v>0</v>
      </c>
      <c r="CO624" s="2" t="n">
        <v>34.24</v>
      </c>
      <c r="CP624" s="2" t="n">
        <v>36.39</v>
      </c>
      <c r="CQ624" s="2" t="n">
        <v>0</v>
      </c>
      <c r="CR624" s="2" t="n">
        <v>51.67</v>
      </c>
      <c r="CS624" s="2" t="n">
        <v>54.58</v>
      </c>
      <c r="CT624" s="2" t="n">
        <v>0</v>
      </c>
      <c r="CU624" s="2" t="n">
        <v>59.72</v>
      </c>
      <c r="CV624" s="2" t="n">
        <v>61.51</v>
      </c>
      <c r="CW624" s="2" t="n">
        <v>0</v>
      </c>
      <c r="CX624" s="2" t="n">
        <v>67.41</v>
      </c>
      <c r="CY624" s="2" t="n">
        <v>69.43000000000001</v>
      </c>
      <c r="CZ624" s="2" t="n">
        <v>0</v>
      </c>
      <c r="DA624" s="2" t="n">
        <v>76.02</v>
      </c>
      <c r="DB624" s="2" t="n">
        <v>77.73999999999999</v>
      </c>
      <c r="DC624" s="2" t="n">
        <v>0</v>
      </c>
      <c r="DD624" s="2" t="n">
        <v>83.67</v>
      </c>
      <c r="DE624" s="2" t="n">
        <v>85.33</v>
      </c>
      <c r="DF624" s="2" t="n">
        <v>0</v>
      </c>
      <c r="DG624" s="2" t="n">
        <v>89.58</v>
      </c>
      <c r="DH624" s="2" t="n">
        <v>91.33</v>
      </c>
      <c r="DI624" s="2" t="n">
        <v>0</v>
      </c>
      <c r="DJ624" s="2" t="n">
        <v>94.18000000000001</v>
      </c>
      <c r="DK624" s="2" t="n">
        <v>94.29000000000001</v>
      </c>
      <c r="DL624" s="2" t="n">
        <v>0</v>
      </c>
      <c r="DM624" s="2" t="n">
        <v>94.38</v>
      </c>
      <c r="DN624" s="2" t="n">
        <v>95.90000000000001</v>
      </c>
      <c r="DO624" s="2" t="n">
        <v>0</v>
      </c>
      <c r="DP624" s="2" t="n">
        <v>98.97</v>
      </c>
      <c r="DQ624" s="2" t="n">
        <v>99.92</v>
      </c>
      <c r="DR624" s="2" t="n">
        <v>0</v>
      </c>
      <c r="DS624" s="2" t="n">
        <v>99.95</v>
      </c>
      <c r="DT624" s="2" t="n">
        <v>100</v>
      </c>
      <c r="DU624" s="2" t="n">
        <v>0</v>
      </c>
      <c r="DV624" s="2" t="n">
        <v>100</v>
      </c>
      <c r="DW624" s="2" t="n">
        <v>100</v>
      </c>
      <c r="DX624" s="2" t="n">
        <v>0</v>
      </c>
      <c r="DY624" s="2" t="n">
        <v>100</v>
      </c>
      <c r="DZ624" s="2" t="n">
        <v>100</v>
      </c>
      <c r="EA624" s="2" t="n">
        <v>0</v>
      </c>
      <c r="EB624" s="2" t="n">
        <v>100</v>
      </c>
      <c r="EC624" s="2" t="n">
        <v>100</v>
      </c>
      <c r="ED624" s="2" t="n">
        <v>0</v>
      </c>
      <c r="EE624" s="2" t="n">
        <v>100</v>
      </c>
      <c r="EF624" s="2" t="n">
        <v>100</v>
      </c>
      <c r="EG624" s="2" t="n">
        <v>0</v>
      </c>
      <c r="EH624" s="2" t="n">
        <v>100</v>
      </c>
      <c r="EI624" s="2" t="n">
        <v>100</v>
      </c>
      <c r="EJ624" s="2" t="n">
        <v>0</v>
      </c>
      <c r="EK624" s="2" t="n">
        <v>100</v>
      </c>
      <c r="EL624" s="2" t="n">
        <v>100</v>
      </c>
      <c r="EM624" s="2" t="n">
        <v>0</v>
      </c>
      <c r="EN624" s="2" t="n">
        <v>100</v>
      </c>
      <c r="EO624" s="2" t="n">
        <v>100</v>
      </c>
      <c r="EP624" s="2" t="n">
        <v>0</v>
      </c>
      <c r="EQ624" s="2" t="n">
        <v>100</v>
      </c>
      <c r="ER624" s="2" t="n">
        <v>100</v>
      </c>
      <c r="ES624" s="2" t="n">
        <v>0</v>
      </c>
    </row>
    <row r="625">
      <c r="A625" s="2" t="n">
        <v>2</v>
      </c>
      <c r="B625" s="2" t="inlineStr">
        <is>
          <t>28.01</t>
        </is>
      </c>
      <c r="C625" s="2" t="inlineStr">
        <is>
          <t>Serviços complentares ao piso internos</t>
        </is>
      </c>
      <c r="D625" s="2" t="inlineStr">
        <is>
          <t>16/04/2027</t>
        </is>
      </c>
      <c r="E625" s="2" t="inlineStr">
        <is>
          <t>07/08/2028</t>
        </is>
      </c>
      <c r="F625" s="2" t="n">
        <v>987444.6301995977</v>
      </c>
      <c r="G625" s="2" t="n">
        <v>0</v>
      </c>
      <c r="H625" s="2" t="n">
        <v>987444.6301995977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0.09</v>
      </c>
      <c r="BX625" s="2" t="n">
        <v>0.18</v>
      </c>
      <c r="BY625" s="2" t="n">
        <v>0</v>
      </c>
      <c r="BZ625" s="2" t="n">
        <v>0.45</v>
      </c>
      <c r="CA625" s="2" t="n">
        <v>0.55</v>
      </c>
      <c r="CB625" s="2" t="n">
        <v>0</v>
      </c>
      <c r="CC625" s="2" t="n">
        <v>2.09</v>
      </c>
      <c r="CD625" s="2" t="n">
        <v>4.29</v>
      </c>
      <c r="CE625" s="2" t="n">
        <v>0</v>
      </c>
      <c r="CF625" s="2" t="n">
        <v>10.14</v>
      </c>
      <c r="CG625" s="2" t="n">
        <v>11.86</v>
      </c>
      <c r="CH625" s="2" t="n">
        <v>0</v>
      </c>
      <c r="CI625" s="2" t="n">
        <v>17.86</v>
      </c>
      <c r="CJ625" s="2" t="n">
        <v>20.05</v>
      </c>
      <c r="CK625" s="2" t="n">
        <v>0</v>
      </c>
      <c r="CL625" s="2" t="n">
        <v>26.4</v>
      </c>
      <c r="CM625" s="2" t="n">
        <v>28.18</v>
      </c>
      <c r="CN625" s="2" t="n">
        <v>0</v>
      </c>
      <c r="CO625" s="2" t="n">
        <v>34.43</v>
      </c>
      <c r="CP625" s="2" t="n">
        <v>36.62</v>
      </c>
      <c r="CQ625" s="2" t="n">
        <v>0</v>
      </c>
      <c r="CR625" s="2" t="n">
        <v>51.81</v>
      </c>
      <c r="CS625" s="2" t="n">
        <v>54.71</v>
      </c>
      <c r="CT625" s="2" t="n">
        <v>0</v>
      </c>
      <c r="CU625" s="2" t="n">
        <v>59.84</v>
      </c>
      <c r="CV625" s="2" t="n">
        <v>61.64</v>
      </c>
      <c r="CW625" s="2" t="n">
        <v>0</v>
      </c>
      <c r="CX625" s="2" t="n">
        <v>67.54000000000001</v>
      </c>
      <c r="CY625" s="2" t="n">
        <v>69.58</v>
      </c>
      <c r="CZ625" s="2" t="n">
        <v>0</v>
      </c>
      <c r="DA625" s="2" t="n">
        <v>76.15000000000001</v>
      </c>
      <c r="DB625" s="2" t="n">
        <v>77.87</v>
      </c>
      <c r="DC625" s="2" t="n">
        <v>0</v>
      </c>
      <c r="DD625" s="2" t="n">
        <v>83.76000000000001</v>
      </c>
      <c r="DE625" s="2" t="n">
        <v>85.41</v>
      </c>
      <c r="DF625" s="2" t="n">
        <v>0</v>
      </c>
      <c r="DG625" s="2" t="n">
        <v>89.63</v>
      </c>
      <c r="DH625" s="2" t="n">
        <v>91.38</v>
      </c>
      <c r="DI625" s="2" t="n">
        <v>0</v>
      </c>
      <c r="DJ625" s="2" t="n">
        <v>94.22</v>
      </c>
      <c r="DK625" s="2" t="n">
        <v>94.33</v>
      </c>
      <c r="DL625" s="2" t="n">
        <v>0</v>
      </c>
      <c r="DM625" s="2" t="n">
        <v>94.42</v>
      </c>
      <c r="DN625" s="2" t="n">
        <v>95.93000000000001</v>
      </c>
      <c r="DO625" s="2" t="n">
        <v>0</v>
      </c>
      <c r="DP625" s="2" t="n">
        <v>98.98</v>
      </c>
      <c r="DQ625" s="2" t="n">
        <v>99.92</v>
      </c>
      <c r="DR625" s="2" t="n">
        <v>0</v>
      </c>
      <c r="DS625" s="2" t="n">
        <v>99.95</v>
      </c>
      <c r="DT625" s="2" t="n">
        <v>100</v>
      </c>
      <c r="DU625" s="2" t="n">
        <v>0</v>
      </c>
      <c r="DV625" s="2" t="n">
        <v>100</v>
      </c>
      <c r="DW625" s="2" t="n">
        <v>100</v>
      </c>
      <c r="DX625" s="2" t="n">
        <v>0</v>
      </c>
      <c r="DY625" s="2" t="n">
        <v>100</v>
      </c>
      <c r="DZ625" s="2" t="n">
        <v>100</v>
      </c>
      <c r="EA625" s="2" t="n">
        <v>0</v>
      </c>
      <c r="EB625" s="2" t="n">
        <v>100</v>
      </c>
      <c r="EC625" s="2" t="n">
        <v>100</v>
      </c>
      <c r="ED625" s="2" t="n">
        <v>0</v>
      </c>
      <c r="EE625" s="2" t="n">
        <v>100</v>
      </c>
      <c r="EF625" s="2" t="n">
        <v>100</v>
      </c>
      <c r="EG625" s="2" t="n">
        <v>0</v>
      </c>
      <c r="EH625" s="2" t="n">
        <v>100</v>
      </c>
      <c r="EI625" s="2" t="n">
        <v>100</v>
      </c>
      <c r="EJ625" s="2" t="n">
        <v>0</v>
      </c>
      <c r="EK625" s="2" t="n">
        <v>100</v>
      </c>
      <c r="EL625" s="2" t="n">
        <v>100</v>
      </c>
      <c r="EM625" s="2" t="n">
        <v>0</v>
      </c>
      <c r="EN625" s="2" t="n">
        <v>100</v>
      </c>
      <c r="EO625" s="2" t="n">
        <v>100</v>
      </c>
      <c r="EP625" s="2" t="n">
        <v>0</v>
      </c>
      <c r="EQ625" s="2" t="n">
        <v>100</v>
      </c>
      <c r="ER625" s="2" t="n">
        <v>100</v>
      </c>
      <c r="ES625" s="2" t="n">
        <v>0</v>
      </c>
    </row>
    <row r="626">
      <c r="A626" s="2" t="n">
        <v>3</v>
      </c>
      <c r="B626" s="2" t="inlineStr">
        <is>
          <t>28.01.01</t>
        </is>
      </c>
      <c r="C626" s="2" t="inlineStr">
        <is>
          <t>Taliscamento de Pisos</t>
        </is>
      </c>
      <c r="D626" s="2" t="inlineStr">
        <is>
          <t>16/04/2027</t>
        </is>
      </c>
      <c r="E626" s="2" t="inlineStr">
        <is>
          <t>09/05/2028</t>
        </is>
      </c>
      <c r="F626" s="2" t="n">
        <v>67238.69579459999</v>
      </c>
      <c r="G626" s="2" t="n">
        <v>0</v>
      </c>
      <c r="H626" s="2" t="n">
        <v>67238.69579459999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1.33</v>
      </c>
      <c r="BX626" s="2" t="n">
        <v>2.67</v>
      </c>
      <c r="BY626" s="2" t="n">
        <v>0</v>
      </c>
      <c r="BZ626" s="2" t="n">
        <v>6.67</v>
      </c>
      <c r="CA626" s="2" t="n">
        <v>8.01</v>
      </c>
      <c r="CB626" s="2" t="n">
        <v>0</v>
      </c>
      <c r="CC626" s="2" t="n">
        <v>21.14</v>
      </c>
      <c r="CD626" s="2" t="n">
        <v>29.72</v>
      </c>
      <c r="CE626" s="2" t="n">
        <v>0</v>
      </c>
      <c r="CF626" s="2" t="n">
        <v>34.6</v>
      </c>
      <c r="CG626" s="2" t="n">
        <v>35.96</v>
      </c>
      <c r="CH626" s="2" t="n">
        <v>0</v>
      </c>
      <c r="CI626" s="2" t="n">
        <v>41.37</v>
      </c>
      <c r="CJ626" s="2" t="n">
        <v>49.05</v>
      </c>
      <c r="CK626" s="2" t="n">
        <v>0</v>
      </c>
      <c r="CL626" s="2" t="n">
        <v>54.13</v>
      </c>
      <c r="CM626" s="2" t="n">
        <v>55.5</v>
      </c>
      <c r="CN626" s="2" t="n">
        <v>0</v>
      </c>
      <c r="CO626" s="2" t="n">
        <v>59.89</v>
      </c>
      <c r="CP626" s="2" t="n">
        <v>67.52</v>
      </c>
      <c r="CQ626" s="2" t="n">
        <v>0</v>
      </c>
      <c r="CR626" s="2" t="n">
        <v>71.90000000000001</v>
      </c>
      <c r="CS626" s="2" t="n">
        <v>73.26000000000001</v>
      </c>
      <c r="CT626" s="2" t="n">
        <v>0</v>
      </c>
      <c r="CU626" s="2" t="n">
        <v>77.02</v>
      </c>
      <c r="CV626" s="2" t="n">
        <v>79.62</v>
      </c>
      <c r="CW626" s="2" t="n">
        <v>0</v>
      </c>
      <c r="CX626" s="2" t="n">
        <v>84.52</v>
      </c>
      <c r="CY626" s="2" t="n">
        <v>90.26000000000001</v>
      </c>
      <c r="CZ626" s="2" t="n">
        <v>0</v>
      </c>
      <c r="DA626" s="2" t="n">
        <v>94.36</v>
      </c>
      <c r="DB626" s="2" t="n">
        <v>95.72</v>
      </c>
      <c r="DC626" s="2" t="n">
        <v>0</v>
      </c>
      <c r="DD626" s="2" t="n">
        <v>96.45999999999999</v>
      </c>
      <c r="DE626" s="2" t="n">
        <v>96.84999999999999</v>
      </c>
      <c r="DF626" s="2" t="n">
        <v>0</v>
      </c>
      <c r="DG626" s="2" t="n">
        <v>96.79000000000001</v>
      </c>
      <c r="DH626" s="2" t="n">
        <v>98.40000000000001</v>
      </c>
      <c r="DI626" s="2" t="n">
        <v>0</v>
      </c>
      <c r="DJ626" s="2" t="n">
        <v>100</v>
      </c>
      <c r="DK626" s="2" t="n">
        <v>100</v>
      </c>
      <c r="DL626" s="2" t="n">
        <v>0</v>
      </c>
      <c r="DM626" s="2" t="n">
        <v>100</v>
      </c>
      <c r="DN626" s="2" t="n">
        <v>100</v>
      </c>
      <c r="DO626" s="2" t="n">
        <v>0</v>
      </c>
      <c r="DP626" s="2" t="n">
        <v>100</v>
      </c>
      <c r="DQ626" s="2" t="n">
        <v>100</v>
      </c>
      <c r="DR626" s="2" t="n">
        <v>0</v>
      </c>
      <c r="DS626" s="2" t="n">
        <v>100</v>
      </c>
      <c r="DT626" s="2" t="n">
        <v>100</v>
      </c>
      <c r="DU626" s="2" t="n">
        <v>0</v>
      </c>
      <c r="DV626" s="2" t="n">
        <v>100</v>
      </c>
      <c r="DW626" s="2" t="n">
        <v>100</v>
      </c>
      <c r="DX626" s="2" t="n">
        <v>0</v>
      </c>
      <c r="DY626" s="2" t="n">
        <v>100</v>
      </c>
      <c r="DZ626" s="2" t="n">
        <v>100</v>
      </c>
      <c r="EA626" s="2" t="n">
        <v>0</v>
      </c>
      <c r="EB626" s="2" t="n">
        <v>100</v>
      </c>
      <c r="EC626" s="2" t="n">
        <v>100</v>
      </c>
      <c r="ED626" s="2" t="n">
        <v>0</v>
      </c>
      <c r="EE626" s="2" t="n">
        <v>100</v>
      </c>
      <c r="EF626" s="2" t="n">
        <v>100</v>
      </c>
      <c r="EG626" s="2" t="n">
        <v>0</v>
      </c>
      <c r="EH626" s="2" t="n">
        <v>100</v>
      </c>
      <c r="EI626" s="2" t="n">
        <v>100</v>
      </c>
      <c r="EJ626" s="2" t="n">
        <v>0</v>
      </c>
      <c r="EK626" s="2" t="n">
        <v>100</v>
      </c>
      <c r="EL626" s="2" t="n">
        <v>100</v>
      </c>
      <c r="EM626" s="2" t="n">
        <v>0</v>
      </c>
      <c r="EN626" s="2" t="n">
        <v>100</v>
      </c>
      <c r="EO626" s="2" t="n">
        <v>100</v>
      </c>
      <c r="EP626" s="2" t="n">
        <v>0</v>
      </c>
      <c r="EQ626" s="2" t="n">
        <v>100</v>
      </c>
      <c r="ER626" s="2" t="n">
        <v>100</v>
      </c>
      <c r="ES626" s="2" t="n">
        <v>0</v>
      </c>
    </row>
    <row r="627">
      <c r="A627" s="2" t="n">
        <v>3</v>
      </c>
      <c r="B627" s="2" t="inlineStr">
        <is>
          <t>28.01.02</t>
        </is>
      </c>
      <c r="C627" s="2" t="inlineStr">
        <is>
          <t>Camada de regularização com argamassa de cimento e areia</t>
        </is>
      </c>
      <c r="D627" s="2" t="inlineStr">
        <is>
          <t>22/06/2027</t>
        </is>
      </c>
      <c r="E627" s="2" t="inlineStr">
        <is>
          <t>07/08/2028</t>
        </is>
      </c>
      <c r="F627" s="2" t="n">
        <v>636572.969336979</v>
      </c>
      <c r="G627" s="2" t="n">
        <v>0</v>
      </c>
      <c r="H627" s="2" t="n">
        <v>636572.969336979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0.7</v>
      </c>
      <c r="CD627" s="2" t="n">
        <v>2.44</v>
      </c>
      <c r="CE627" s="2" t="n">
        <v>0</v>
      </c>
      <c r="CF627" s="2" t="n">
        <v>8.359999999999999</v>
      </c>
      <c r="CG627" s="2" t="n">
        <v>10.1</v>
      </c>
      <c r="CH627" s="2" t="n">
        <v>0</v>
      </c>
      <c r="CI627" s="2" t="n">
        <v>16.15</v>
      </c>
      <c r="CJ627" s="2" t="n">
        <v>17.93</v>
      </c>
      <c r="CK627" s="2" t="n">
        <v>0</v>
      </c>
      <c r="CL627" s="2" t="n">
        <v>24.38</v>
      </c>
      <c r="CM627" s="2" t="n">
        <v>26.18</v>
      </c>
      <c r="CN627" s="2" t="n">
        <v>0</v>
      </c>
      <c r="CO627" s="2" t="n">
        <v>32.57</v>
      </c>
      <c r="CP627" s="2" t="n">
        <v>34.36</v>
      </c>
      <c r="CQ627" s="2" t="n">
        <v>0</v>
      </c>
      <c r="CR627" s="2" t="n">
        <v>50.34</v>
      </c>
      <c r="CS627" s="2" t="n">
        <v>53.36</v>
      </c>
      <c r="CT627" s="2" t="n">
        <v>0</v>
      </c>
      <c r="CU627" s="2" t="n">
        <v>58.59</v>
      </c>
      <c r="CV627" s="2" t="n">
        <v>60.33</v>
      </c>
      <c r="CW627" s="2" t="n">
        <v>0</v>
      </c>
      <c r="CX627" s="2" t="n">
        <v>66.3</v>
      </c>
      <c r="CY627" s="2" t="n">
        <v>68.06999999999999</v>
      </c>
      <c r="CZ627" s="2" t="n">
        <v>0</v>
      </c>
      <c r="DA627" s="2" t="n">
        <v>74.81999999999999</v>
      </c>
      <c r="DB627" s="2" t="n">
        <v>76.56</v>
      </c>
      <c r="DC627" s="2" t="n">
        <v>0</v>
      </c>
      <c r="DD627" s="2" t="n">
        <v>82.83</v>
      </c>
      <c r="DE627" s="2" t="n">
        <v>84.56999999999999</v>
      </c>
      <c r="DF627" s="2" t="n">
        <v>0</v>
      </c>
      <c r="DG627" s="2" t="n">
        <v>89.09999999999999</v>
      </c>
      <c r="DH627" s="2" t="n">
        <v>90.87</v>
      </c>
      <c r="DI627" s="2" t="n">
        <v>0</v>
      </c>
      <c r="DJ627" s="2" t="n">
        <v>93.8</v>
      </c>
      <c r="DK627" s="2" t="n">
        <v>93.92</v>
      </c>
      <c r="DL627" s="2" t="n">
        <v>0</v>
      </c>
      <c r="DM627" s="2" t="n">
        <v>94.01000000000001</v>
      </c>
      <c r="DN627" s="2" t="n">
        <v>95.63</v>
      </c>
      <c r="DO627" s="2" t="n">
        <v>0</v>
      </c>
      <c r="DP627" s="2" t="n">
        <v>98.90000000000001</v>
      </c>
      <c r="DQ627" s="2" t="n">
        <v>99.91</v>
      </c>
      <c r="DR627" s="2" t="n">
        <v>0</v>
      </c>
      <c r="DS627" s="2" t="n">
        <v>99.95</v>
      </c>
      <c r="DT627" s="2" t="n">
        <v>100</v>
      </c>
      <c r="DU627" s="2" t="n">
        <v>0</v>
      </c>
      <c r="DV627" s="2" t="n">
        <v>100</v>
      </c>
      <c r="DW627" s="2" t="n">
        <v>100</v>
      </c>
      <c r="DX627" s="2" t="n">
        <v>0</v>
      </c>
      <c r="DY627" s="2" t="n">
        <v>100</v>
      </c>
      <c r="DZ627" s="2" t="n">
        <v>100</v>
      </c>
      <c r="EA627" s="2" t="n">
        <v>0</v>
      </c>
      <c r="EB627" s="2" t="n">
        <v>100</v>
      </c>
      <c r="EC627" s="2" t="n">
        <v>100</v>
      </c>
      <c r="ED627" s="2" t="n">
        <v>0</v>
      </c>
      <c r="EE627" s="2" t="n">
        <v>100</v>
      </c>
      <c r="EF627" s="2" t="n">
        <v>100</v>
      </c>
      <c r="EG627" s="2" t="n">
        <v>0</v>
      </c>
      <c r="EH627" s="2" t="n">
        <v>100</v>
      </c>
      <c r="EI627" s="2" t="n">
        <v>100</v>
      </c>
      <c r="EJ627" s="2" t="n">
        <v>0</v>
      </c>
      <c r="EK627" s="2" t="n">
        <v>100</v>
      </c>
      <c r="EL627" s="2" t="n">
        <v>100</v>
      </c>
      <c r="EM627" s="2" t="n">
        <v>0</v>
      </c>
      <c r="EN627" s="2" t="n">
        <v>100</v>
      </c>
      <c r="EO627" s="2" t="n">
        <v>100</v>
      </c>
      <c r="EP627" s="2" t="n">
        <v>0</v>
      </c>
      <c r="EQ627" s="2" t="n">
        <v>100</v>
      </c>
      <c r="ER627" s="2" t="n">
        <v>100</v>
      </c>
      <c r="ES627" s="2" t="n">
        <v>0</v>
      </c>
    </row>
    <row r="628">
      <c r="A628" s="2" t="n">
        <v>3</v>
      </c>
      <c r="B628" s="2" t="inlineStr">
        <is>
          <t>28.01.03</t>
        </is>
      </c>
      <c r="C628" s="2" t="inlineStr">
        <is>
          <t>(Lojas) Camada de regularização com argamassa de cimento e areia</t>
        </is>
      </c>
      <c r="D628" s="2" t="inlineStr">
        <is>
          <t>22/06/2027</t>
        </is>
      </c>
      <c r="E628" s="2" t="inlineStr">
        <is>
          <t>07/08/2028</t>
        </is>
      </c>
      <c r="F628" s="2" t="n">
        <v>32719.40141021828</v>
      </c>
      <c r="G628" s="2" t="n">
        <v>0</v>
      </c>
      <c r="H628" s="2" t="n">
        <v>32719.40141021828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0.7</v>
      </c>
      <c r="CD628" s="2" t="n">
        <v>2.44</v>
      </c>
      <c r="CE628" s="2" t="n">
        <v>0</v>
      </c>
      <c r="CF628" s="2" t="n">
        <v>8.359999999999999</v>
      </c>
      <c r="CG628" s="2" t="n">
        <v>10.1</v>
      </c>
      <c r="CH628" s="2" t="n">
        <v>0</v>
      </c>
      <c r="CI628" s="2" t="n">
        <v>16.15</v>
      </c>
      <c r="CJ628" s="2" t="n">
        <v>17.93</v>
      </c>
      <c r="CK628" s="2" t="n">
        <v>0</v>
      </c>
      <c r="CL628" s="2" t="n">
        <v>24.38</v>
      </c>
      <c r="CM628" s="2" t="n">
        <v>26.18</v>
      </c>
      <c r="CN628" s="2" t="n">
        <v>0</v>
      </c>
      <c r="CO628" s="2" t="n">
        <v>32.57</v>
      </c>
      <c r="CP628" s="2" t="n">
        <v>34.36</v>
      </c>
      <c r="CQ628" s="2" t="n">
        <v>0</v>
      </c>
      <c r="CR628" s="2" t="n">
        <v>50.34</v>
      </c>
      <c r="CS628" s="2" t="n">
        <v>53.36</v>
      </c>
      <c r="CT628" s="2" t="n">
        <v>0</v>
      </c>
      <c r="CU628" s="2" t="n">
        <v>58.59</v>
      </c>
      <c r="CV628" s="2" t="n">
        <v>60.33</v>
      </c>
      <c r="CW628" s="2" t="n">
        <v>0</v>
      </c>
      <c r="CX628" s="2" t="n">
        <v>66.3</v>
      </c>
      <c r="CY628" s="2" t="n">
        <v>68.06999999999999</v>
      </c>
      <c r="CZ628" s="2" t="n">
        <v>0</v>
      </c>
      <c r="DA628" s="2" t="n">
        <v>74.81999999999999</v>
      </c>
      <c r="DB628" s="2" t="n">
        <v>76.56</v>
      </c>
      <c r="DC628" s="2" t="n">
        <v>0</v>
      </c>
      <c r="DD628" s="2" t="n">
        <v>82.83</v>
      </c>
      <c r="DE628" s="2" t="n">
        <v>84.56999999999999</v>
      </c>
      <c r="DF628" s="2" t="n">
        <v>0</v>
      </c>
      <c r="DG628" s="2" t="n">
        <v>89.09999999999999</v>
      </c>
      <c r="DH628" s="2" t="n">
        <v>90.87</v>
      </c>
      <c r="DI628" s="2" t="n">
        <v>0</v>
      </c>
      <c r="DJ628" s="2" t="n">
        <v>93.8</v>
      </c>
      <c r="DK628" s="2" t="n">
        <v>93.92</v>
      </c>
      <c r="DL628" s="2" t="n">
        <v>0</v>
      </c>
      <c r="DM628" s="2" t="n">
        <v>94.01000000000001</v>
      </c>
      <c r="DN628" s="2" t="n">
        <v>95.63</v>
      </c>
      <c r="DO628" s="2" t="n">
        <v>0</v>
      </c>
      <c r="DP628" s="2" t="n">
        <v>98.90000000000001</v>
      </c>
      <c r="DQ628" s="2" t="n">
        <v>99.91</v>
      </c>
      <c r="DR628" s="2" t="n">
        <v>0</v>
      </c>
      <c r="DS628" s="2" t="n">
        <v>99.95</v>
      </c>
      <c r="DT628" s="2" t="n">
        <v>100</v>
      </c>
      <c r="DU628" s="2" t="n">
        <v>0</v>
      </c>
      <c r="DV628" s="2" t="n">
        <v>100</v>
      </c>
      <c r="DW628" s="2" t="n">
        <v>100</v>
      </c>
      <c r="DX628" s="2" t="n">
        <v>0</v>
      </c>
      <c r="DY628" s="2" t="n">
        <v>100</v>
      </c>
      <c r="DZ628" s="2" t="n">
        <v>100</v>
      </c>
      <c r="EA628" s="2" t="n">
        <v>0</v>
      </c>
      <c r="EB628" s="2" t="n">
        <v>100</v>
      </c>
      <c r="EC628" s="2" t="n">
        <v>100</v>
      </c>
      <c r="ED628" s="2" t="n">
        <v>0</v>
      </c>
      <c r="EE628" s="2" t="n">
        <v>100</v>
      </c>
      <c r="EF628" s="2" t="n">
        <v>100</v>
      </c>
      <c r="EG628" s="2" t="n">
        <v>0</v>
      </c>
      <c r="EH628" s="2" t="n">
        <v>100</v>
      </c>
      <c r="EI628" s="2" t="n">
        <v>100</v>
      </c>
      <c r="EJ628" s="2" t="n">
        <v>0</v>
      </c>
      <c r="EK628" s="2" t="n">
        <v>100</v>
      </c>
      <c r="EL628" s="2" t="n">
        <v>100</v>
      </c>
      <c r="EM628" s="2" t="n">
        <v>0</v>
      </c>
      <c r="EN628" s="2" t="n">
        <v>100</v>
      </c>
      <c r="EO628" s="2" t="n">
        <v>100</v>
      </c>
      <c r="EP628" s="2" t="n">
        <v>0</v>
      </c>
      <c r="EQ628" s="2" t="n">
        <v>100</v>
      </c>
      <c r="ER628" s="2" t="n">
        <v>100</v>
      </c>
      <c r="ES628" s="2" t="n">
        <v>0</v>
      </c>
    </row>
    <row r="629">
      <c r="A629" s="2" t="n">
        <v>3</v>
      </c>
      <c r="B629" s="2" t="inlineStr">
        <is>
          <t>28.01.04</t>
        </is>
      </c>
      <c r="C629" s="2" t="inlineStr">
        <is>
          <t>Proteção de pisos contra tráfego de obra</t>
        </is>
      </c>
      <c r="D629" s="2" t="inlineStr">
        <is>
          <t>22/06/2027</t>
        </is>
      </c>
      <c r="E629" s="2" t="inlineStr">
        <is>
          <t>07/08/2028</t>
        </is>
      </c>
      <c r="F629" s="2" t="n">
        <v>250913.5636578005</v>
      </c>
      <c r="G629" s="2" t="n">
        <v>0</v>
      </c>
      <c r="H629" s="2" t="n">
        <v>250913.5636578005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0.7</v>
      </c>
      <c r="CD629" s="2" t="n">
        <v>2.44</v>
      </c>
      <c r="CE629" s="2" t="n">
        <v>0</v>
      </c>
      <c r="CF629" s="2" t="n">
        <v>8.359999999999999</v>
      </c>
      <c r="CG629" s="2" t="n">
        <v>10.1</v>
      </c>
      <c r="CH629" s="2" t="n">
        <v>0</v>
      </c>
      <c r="CI629" s="2" t="n">
        <v>16.15</v>
      </c>
      <c r="CJ629" s="2" t="n">
        <v>17.93</v>
      </c>
      <c r="CK629" s="2" t="n">
        <v>0</v>
      </c>
      <c r="CL629" s="2" t="n">
        <v>24.38</v>
      </c>
      <c r="CM629" s="2" t="n">
        <v>26.18</v>
      </c>
      <c r="CN629" s="2" t="n">
        <v>0</v>
      </c>
      <c r="CO629" s="2" t="n">
        <v>32.57</v>
      </c>
      <c r="CP629" s="2" t="n">
        <v>34.36</v>
      </c>
      <c r="CQ629" s="2" t="n">
        <v>0</v>
      </c>
      <c r="CR629" s="2" t="n">
        <v>50.34</v>
      </c>
      <c r="CS629" s="2" t="n">
        <v>53.36</v>
      </c>
      <c r="CT629" s="2" t="n">
        <v>0</v>
      </c>
      <c r="CU629" s="2" t="n">
        <v>58.59</v>
      </c>
      <c r="CV629" s="2" t="n">
        <v>60.33</v>
      </c>
      <c r="CW629" s="2" t="n">
        <v>0</v>
      </c>
      <c r="CX629" s="2" t="n">
        <v>66.3</v>
      </c>
      <c r="CY629" s="2" t="n">
        <v>68.06999999999999</v>
      </c>
      <c r="CZ629" s="2" t="n">
        <v>0</v>
      </c>
      <c r="DA629" s="2" t="n">
        <v>74.81999999999999</v>
      </c>
      <c r="DB629" s="2" t="n">
        <v>76.56</v>
      </c>
      <c r="DC629" s="2" t="n">
        <v>0</v>
      </c>
      <c r="DD629" s="2" t="n">
        <v>82.83</v>
      </c>
      <c r="DE629" s="2" t="n">
        <v>84.56999999999999</v>
      </c>
      <c r="DF629" s="2" t="n">
        <v>0</v>
      </c>
      <c r="DG629" s="2" t="n">
        <v>89.09999999999999</v>
      </c>
      <c r="DH629" s="2" t="n">
        <v>90.87</v>
      </c>
      <c r="DI629" s="2" t="n">
        <v>0</v>
      </c>
      <c r="DJ629" s="2" t="n">
        <v>93.8</v>
      </c>
      <c r="DK629" s="2" t="n">
        <v>93.92</v>
      </c>
      <c r="DL629" s="2" t="n">
        <v>0</v>
      </c>
      <c r="DM629" s="2" t="n">
        <v>94.01000000000001</v>
      </c>
      <c r="DN629" s="2" t="n">
        <v>95.63</v>
      </c>
      <c r="DO629" s="2" t="n">
        <v>0</v>
      </c>
      <c r="DP629" s="2" t="n">
        <v>98.90000000000001</v>
      </c>
      <c r="DQ629" s="2" t="n">
        <v>99.91</v>
      </c>
      <c r="DR629" s="2" t="n">
        <v>0</v>
      </c>
      <c r="DS629" s="2" t="n">
        <v>99.95</v>
      </c>
      <c r="DT629" s="2" t="n">
        <v>100</v>
      </c>
      <c r="DU629" s="2" t="n">
        <v>0</v>
      </c>
      <c r="DV629" s="2" t="n">
        <v>100</v>
      </c>
      <c r="DW629" s="2" t="n">
        <v>100</v>
      </c>
      <c r="DX629" s="2" t="n">
        <v>0</v>
      </c>
      <c r="DY629" s="2" t="n">
        <v>100</v>
      </c>
      <c r="DZ629" s="2" t="n">
        <v>100</v>
      </c>
      <c r="EA629" s="2" t="n">
        <v>0</v>
      </c>
      <c r="EB629" s="2" t="n">
        <v>100</v>
      </c>
      <c r="EC629" s="2" t="n">
        <v>100</v>
      </c>
      <c r="ED629" s="2" t="n">
        <v>0</v>
      </c>
      <c r="EE629" s="2" t="n">
        <v>100</v>
      </c>
      <c r="EF629" s="2" t="n">
        <v>100</v>
      </c>
      <c r="EG629" s="2" t="n">
        <v>0</v>
      </c>
      <c r="EH629" s="2" t="n">
        <v>100</v>
      </c>
      <c r="EI629" s="2" t="n">
        <v>100</v>
      </c>
      <c r="EJ629" s="2" t="n">
        <v>0</v>
      </c>
      <c r="EK629" s="2" t="n">
        <v>100</v>
      </c>
      <c r="EL629" s="2" t="n">
        <v>100</v>
      </c>
      <c r="EM629" s="2" t="n">
        <v>0</v>
      </c>
      <c r="EN629" s="2" t="n">
        <v>100</v>
      </c>
      <c r="EO629" s="2" t="n">
        <v>100</v>
      </c>
      <c r="EP629" s="2" t="n">
        <v>0</v>
      </c>
      <c r="EQ629" s="2" t="n">
        <v>100</v>
      </c>
      <c r="ER629" s="2" t="n">
        <v>100</v>
      </c>
      <c r="ES629" s="2" t="n">
        <v>0</v>
      </c>
    </row>
    <row r="630">
      <c r="A630" s="2" t="n">
        <v>2</v>
      </c>
      <c r="B630" s="2" t="inlineStr">
        <is>
          <t>28.02</t>
        </is>
      </c>
      <c r="C630" s="2" t="inlineStr">
        <is>
          <t>Serviços complentares ao piso externos</t>
        </is>
      </c>
      <c r="D630" s="2" t="inlineStr">
        <is>
          <t>22/06/2027</t>
        </is>
      </c>
      <c r="E630" s="2" t="inlineStr">
        <is>
          <t>07/08/2028</t>
        </is>
      </c>
      <c r="F630" s="2" t="n">
        <v>108628.7018808873</v>
      </c>
      <c r="G630" s="2" t="n">
        <v>0</v>
      </c>
      <c r="H630" s="2" t="n">
        <v>108628.7018808873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0.7</v>
      </c>
      <c r="CD630" s="2" t="n">
        <v>2.44</v>
      </c>
      <c r="CE630" s="2" t="n">
        <v>0</v>
      </c>
      <c r="CF630" s="2" t="n">
        <v>8.359999999999999</v>
      </c>
      <c r="CG630" s="2" t="n">
        <v>10.1</v>
      </c>
      <c r="CH630" s="2" t="n">
        <v>0</v>
      </c>
      <c r="CI630" s="2" t="n">
        <v>16.15</v>
      </c>
      <c r="CJ630" s="2" t="n">
        <v>17.93</v>
      </c>
      <c r="CK630" s="2" t="n">
        <v>0</v>
      </c>
      <c r="CL630" s="2" t="n">
        <v>24.38</v>
      </c>
      <c r="CM630" s="2" t="n">
        <v>26.18</v>
      </c>
      <c r="CN630" s="2" t="n">
        <v>0</v>
      </c>
      <c r="CO630" s="2" t="n">
        <v>32.57</v>
      </c>
      <c r="CP630" s="2" t="n">
        <v>34.36</v>
      </c>
      <c r="CQ630" s="2" t="n">
        <v>0</v>
      </c>
      <c r="CR630" s="2" t="n">
        <v>50.34</v>
      </c>
      <c r="CS630" s="2" t="n">
        <v>53.36</v>
      </c>
      <c r="CT630" s="2" t="n">
        <v>0</v>
      </c>
      <c r="CU630" s="2" t="n">
        <v>58.59</v>
      </c>
      <c r="CV630" s="2" t="n">
        <v>60.33</v>
      </c>
      <c r="CW630" s="2" t="n">
        <v>0</v>
      </c>
      <c r="CX630" s="2" t="n">
        <v>66.3</v>
      </c>
      <c r="CY630" s="2" t="n">
        <v>68.06999999999999</v>
      </c>
      <c r="CZ630" s="2" t="n">
        <v>0</v>
      </c>
      <c r="DA630" s="2" t="n">
        <v>74.81999999999999</v>
      </c>
      <c r="DB630" s="2" t="n">
        <v>76.56</v>
      </c>
      <c r="DC630" s="2" t="n">
        <v>0</v>
      </c>
      <c r="DD630" s="2" t="n">
        <v>82.83</v>
      </c>
      <c r="DE630" s="2" t="n">
        <v>84.56999999999999</v>
      </c>
      <c r="DF630" s="2" t="n">
        <v>0</v>
      </c>
      <c r="DG630" s="2" t="n">
        <v>89.09999999999999</v>
      </c>
      <c r="DH630" s="2" t="n">
        <v>90.87</v>
      </c>
      <c r="DI630" s="2" t="n">
        <v>0</v>
      </c>
      <c r="DJ630" s="2" t="n">
        <v>93.8</v>
      </c>
      <c r="DK630" s="2" t="n">
        <v>93.92</v>
      </c>
      <c r="DL630" s="2" t="n">
        <v>0</v>
      </c>
      <c r="DM630" s="2" t="n">
        <v>94.01000000000001</v>
      </c>
      <c r="DN630" s="2" t="n">
        <v>95.63</v>
      </c>
      <c r="DO630" s="2" t="n">
        <v>0</v>
      </c>
      <c r="DP630" s="2" t="n">
        <v>98.90000000000001</v>
      </c>
      <c r="DQ630" s="2" t="n">
        <v>99.91</v>
      </c>
      <c r="DR630" s="2" t="n">
        <v>0</v>
      </c>
      <c r="DS630" s="2" t="n">
        <v>99.95</v>
      </c>
      <c r="DT630" s="2" t="n">
        <v>100</v>
      </c>
      <c r="DU630" s="2" t="n">
        <v>0</v>
      </c>
      <c r="DV630" s="2" t="n">
        <v>100</v>
      </c>
      <c r="DW630" s="2" t="n">
        <v>100</v>
      </c>
      <c r="DX630" s="2" t="n">
        <v>0</v>
      </c>
      <c r="DY630" s="2" t="n">
        <v>100</v>
      </c>
      <c r="DZ630" s="2" t="n">
        <v>100</v>
      </c>
      <c r="EA630" s="2" t="n">
        <v>0</v>
      </c>
      <c r="EB630" s="2" t="n">
        <v>100</v>
      </c>
      <c r="EC630" s="2" t="n">
        <v>100</v>
      </c>
      <c r="ED630" s="2" t="n">
        <v>0</v>
      </c>
      <c r="EE630" s="2" t="n">
        <v>100</v>
      </c>
      <c r="EF630" s="2" t="n">
        <v>100</v>
      </c>
      <c r="EG630" s="2" t="n">
        <v>0</v>
      </c>
      <c r="EH630" s="2" t="n">
        <v>100</v>
      </c>
      <c r="EI630" s="2" t="n">
        <v>100</v>
      </c>
      <c r="EJ630" s="2" t="n">
        <v>0</v>
      </c>
      <c r="EK630" s="2" t="n">
        <v>100</v>
      </c>
      <c r="EL630" s="2" t="n">
        <v>100</v>
      </c>
      <c r="EM630" s="2" t="n">
        <v>0</v>
      </c>
      <c r="EN630" s="2" t="n">
        <v>100</v>
      </c>
      <c r="EO630" s="2" t="n">
        <v>100</v>
      </c>
      <c r="EP630" s="2" t="n">
        <v>0</v>
      </c>
      <c r="EQ630" s="2" t="n">
        <v>100</v>
      </c>
      <c r="ER630" s="2" t="n">
        <v>100</v>
      </c>
      <c r="ES630" s="2" t="n">
        <v>0</v>
      </c>
    </row>
    <row r="631">
      <c r="A631" s="2" t="n">
        <v>3</v>
      </c>
      <c r="B631" s="2" t="inlineStr">
        <is>
          <t>28.02.01</t>
        </is>
      </c>
      <c r="C631" s="2" t="inlineStr">
        <is>
          <t>Taliscamento de Pisos</t>
        </is>
      </c>
      <c r="D631" s="2" t="inlineStr">
        <is>
          <t>22/06/2027</t>
        </is>
      </c>
      <c r="E631" s="2" t="inlineStr">
        <is>
          <t>07/08/2028</t>
        </is>
      </c>
      <c r="F631" s="2" t="n">
        <v>9916.8284572512</v>
      </c>
      <c r="G631" s="2" t="n">
        <v>0</v>
      </c>
      <c r="H631" s="2" t="n">
        <v>9916.8284572512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0.7</v>
      </c>
      <c r="CD631" s="2" t="n">
        <v>2.44</v>
      </c>
      <c r="CE631" s="2" t="n">
        <v>0</v>
      </c>
      <c r="CF631" s="2" t="n">
        <v>8.359999999999999</v>
      </c>
      <c r="CG631" s="2" t="n">
        <v>10.1</v>
      </c>
      <c r="CH631" s="2" t="n">
        <v>0</v>
      </c>
      <c r="CI631" s="2" t="n">
        <v>16.15</v>
      </c>
      <c r="CJ631" s="2" t="n">
        <v>17.93</v>
      </c>
      <c r="CK631" s="2" t="n">
        <v>0</v>
      </c>
      <c r="CL631" s="2" t="n">
        <v>24.38</v>
      </c>
      <c r="CM631" s="2" t="n">
        <v>26.18</v>
      </c>
      <c r="CN631" s="2" t="n">
        <v>0</v>
      </c>
      <c r="CO631" s="2" t="n">
        <v>32.57</v>
      </c>
      <c r="CP631" s="2" t="n">
        <v>34.36</v>
      </c>
      <c r="CQ631" s="2" t="n">
        <v>0</v>
      </c>
      <c r="CR631" s="2" t="n">
        <v>50.34</v>
      </c>
      <c r="CS631" s="2" t="n">
        <v>53.36</v>
      </c>
      <c r="CT631" s="2" t="n">
        <v>0</v>
      </c>
      <c r="CU631" s="2" t="n">
        <v>58.59</v>
      </c>
      <c r="CV631" s="2" t="n">
        <v>60.33</v>
      </c>
      <c r="CW631" s="2" t="n">
        <v>0</v>
      </c>
      <c r="CX631" s="2" t="n">
        <v>66.3</v>
      </c>
      <c r="CY631" s="2" t="n">
        <v>68.06999999999999</v>
      </c>
      <c r="CZ631" s="2" t="n">
        <v>0</v>
      </c>
      <c r="DA631" s="2" t="n">
        <v>74.81999999999999</v>
      </c>
      <c r="DB631" s="2" t="n">
        <v>76.56</v>
      </c>
      <c r="DC631" s="2" t="n">
        <v>0</v>
      </c>
      <c r="DD631" s="2" t="n">
        <v>82.83</v>
      </c>
      <c r="DE631" s="2" t="n">
        <v>84.56999999999999</v>
      </c>
      <c r="DF631" s="2" t="n">
        <v>0</v>
      </c>
      <c r="DG631" s="2" t="n">
        <v>89.09999999999999</v>
      </c>
      <c r="DH631" s="2" t="n">
        <v>90.87</v>
      </c>
      <c r="DI631" s="2" t="n">
        <v>0</v>
      </c>
      <c r="DJ631" s="2" t="n">
        <v>93.8</v>
      </c>
      <c r="DK631" s="2" t="n">
        <v>93.92</v>
      </c>
      <c r="DL631" s="2" t="n">
        <v>0</v>
      </c>
      <c r="DM631" s="2" t="n">
        <v>94.01000000000001</v>
      </c>
      <c r="DN631" s="2" t="n">
        <v>95.63</v>
      </c>
      <c r="DO631" s="2" t="n">
        <v>0</v>
      </c>
      <c r="DP631" s="2" t="n">
        <v>98.90000000000001</v>
      </c>
      <c r="DQ631" s="2" t="n">
        <v>99.91</v>
      </c>
      <c r="DR631" s="2" t="n">
        <v>0</v>
      </c>
      <c r="DS631" s="2" t="n">
        <v>99.95</v>
      </c>
      <c r="DT631" s="2" t="n">
        <v>100</v>
      </c>
      <c r="DU631" s="2" t="n">
        <v>0</v>
      </c>
      <c r="DV631" s="2" t="n">
        <v>100</v>
      </c>
      <c r="DW631" s="2" t="n">
        <v>100</v>
      </c>
      <c r="DX631" s="2" t="n">
        <v>0</v>
      </c>
      <c r="DY631" s="2" t="n">
        <v>100</v>
      </c>
      <c r="DZ631" s="2" t="n">
        <v>100</v>
      </c>
      <c r="EA631" s="2" t="n">
        <v>0</v>
      </c>
      <c r="EB631" s="2" t="n">
        <v>100</v>
      </c>
      <c r="EC631" s="2" t="n">
        <v>100</v>
      </c>
      <c r="ED631" s="2" t="n">
        <v>0</v>
      </c>
      <c r="EE631" s="2" t="n">
        <v>100</v>
      </c>
      <c r="EF631" s="2" t="n">
        <v>100</v>
      </c>
      <c r="EG631" s="2" t="n">
        <v>0</v>
      </c>
      <c r="EH631" s="2" t="n">
        <v>100</v>
      </c>
      <c r="EI631" s="2" t="n">
        <v>100</v>
      </c>
      <c r="EJ631" s="2" t="n">
        <v>0</v>
      </c>
      <c r="EK631" s="2" t="n">
        <v>100</v>
      </c>
      <c r="EL631" s="2" t="n">
        <v>100</v>
      </c>
      <c r="EM631" s="2" t="n">
        <v>0</v>
      </c>
      <c r="EN631" s="2" t="n">
        <v>100</v>
      </c>
      <c r="EO631" s="2" t="n">
        <v>100</v>
      </c>
      <c r="EP631" s="2" t="n">
        <v>0</v>
      </c>
      <c r="EQ631" s="2" t="n">
        <v>100</v>
      </c>
      <c r="ER631" s="2" t="n">
        <v>100</v>
      </c>
      <c r="ES631" s="2" t="n">
        <v>0</v>
      </c>
    </row>
    <row r="632">
      <c r="A632" s="2" t="n">
        <v>3</v>
      </c>
      <c r="B632" s="2" t="inlineStr">
        <is>
          <t>28.02.02</t>
        </is>
      </c>
      <c r="C632" s="2" t="inlineStr">
        <is>
          <t>Camada de regularização com argamassa de cimento e areia</t>
        </is>
      </c>
      <c r="D632" s="2" t="inlineStr">
        <is>
          <t>22/06/2027</t>
        </is>
      </c>
      <c r="E632" s="2" t="inlineStr">
        <is>
          <t>07/08/2028</t>
        </is>
      </c>
      <c r="F632" s="2" t="n">
        <v>98711.87342363609</v>
      </c>
      <c r="G632" s="2" t="n">
        <v>0</v>
      </c>
      <c r="H632" s="2" t="n">
        <v>98711.87342363609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0.7</v>
      </c>
      <c r="CD632" s="2" t="n">
        <v>2.44</v>
      </c>
      <c r="CE632" s="2" t="n">
        <v>0</v>
      </c>
      <c r="CF632" s="2" t="n">
        <v>8.359999999999999</v>
      </c>
      <c r="CG632" s="2" t="n">
        <v>10.1</v>
      </c>
      <c r="CH632" s="2" t="n">
        <v>0</v>
      </c>
      <c r="CI632" s="2" t="n">
        <v>16.15</v>
      </c>
      <c r="CJ632" s="2" t="n">
        <v>17.93</v>
      </c>
      <c r="CK632" s="2" t="n">
        <v>0</v>
      </c>
      <c r="CL632" s="2" t="n">
        <v>24.38</v>
      </c>
      <c r="CM632" s="2" t="n">
        <v>26.18</v>
      </c>
      <c r="CN632" s="2" t="n">
        <v>0</v>
      </c>
      <c r="CO632" s="2" t="n">
        <v>32.57</v>
      </c>
      <c r="CP632" s="2" t="n">
        <v>34.36</v>
      </c>
      <c r="CQ632" s="2" t="n">
        <v>0</v>
      </c>
      <c r="CR632" s="2" t="n">
        <v>50.34</v>
      </c>
      <c r="CS632" s="2" t="n">
        <v>53.36</v>
      </c>
      <c r="CT632" s="2" t="n">
        <v>0</v>
      </c>
      <c r="CU632" s="2" t="n">
        <v>58.59</v>
      </c>
      <c r="CV632" s="2" t="n">
        <v>60.33</v>
      </c>
      <c r="CW632" s="2" t="n">
        <v>0</v>
      </c>
      <c r="CX632" s="2" t="n">
        <v>66.3</v>
      </c>
      <c r="CY632" s="2" t="n">
        <v>68.06999999999999</v>
      </c>
      <c r="CZ632" s="2" t="n">
        <v>0</v>
      </c>
      <c r="DA632" s="2" t="n">
        <v>74.81999999999999</v>
      </c>
      <c r="DB632" s="2" t="n">
        <v>76.56</v>
      </c>
      <c r="DC632" s="2" t="n">
        <v>0</v>
      </c>
      <c r="DD632" s="2" t="n">
        <v>82.83</v>
      </c>
      <c r="DE632" s="2" t="n">
        <v>84.56999999999999</v>
      </c>
      <c r="DF632" s="2" t="n">
        <v>0</v>
      </c>
      <c r="DG632" s="2" t="n">
        <v>89.09999999999999</v>
      </c>
      <c r="DH632" s="2" t="n">
        <v>90.87</v>
      </c>
      <c r="DI632" s="2" t="n">
        <v>0</v>
      </c>
      <c r="DJ632" s="2" t="n">
        <v>93.8</v>
      </c>
      <c r="DK632" s="2" t="n">
        <v>93.92</v>
      </c>
      <c r="DL632" s="2" t="n">
        <v>0</v>
      </c>
      <c r="DM632" s="2" t="n">
        <v>94.01000000000001</v>
      </c>
      <c r="DN632" s="2" t="n">
        <v>95.63</v>
      </c>
      <c r="DO632" s="2" t="n">
        <v>0</v>
      </c>
      <c r="DP632" s="2" t="n">
        <v>98.90000000000001</v>
      </c>
      <c r="DQ632" s="2" t="n">
        <v>99.91</v>
      </c>
      <c r="DR632" s="2" t="n">
        <v>0</v>
      </c>
      <c r="DS632" s="2" t="n">
        <v>99.95</v>
      </c>
      <c r="DT632" s="2" t="n">
        <v>100</v>
      </c>
      <c r="DU632" s="2" t="n">
        <v>0</v>
      </c>
      <c r="DV632" s="2" t="n">
        <v>100</v>
      </c>
      <c r="DW632" s="2" t="n">
        <v>100</v>
      </c>
      <c r="DX632" s="2" t="n">
        <v>0</v>
      </c>
      <c r="DY632" s="2" t="n">
        <v>100</v>
      </c>
      <c r="DZ632" s="2" t="n">
        <v>100</v>
      </c>
      <c r="EA632" s="2" t="n">
        <v>0</v>
      </c>
      <c r="EB632" s="2" t="n">
        <v>100</v>
      </c>
      <c r="EC632" s="2" t="n">
        <v>100</v>
      </c>
      <c r="ED632" s="2" t="n">
        <v>0</v>
      </c>
      <c r="EE632" s="2" t="n">
        <v>100</v>
      </c>
      <c r="EF632" s="2" t="n">
        <v>100</v>
      </c>
      <c r="EG632" s="2" t="n">
        <v>0</v>
      </c>
      <c r="EH632" s="2" t="n">
        <v>100</v>
      </c>
      <c r="EI632" s="2" t="n">
        <v>100</v>
      </c>
      <c r="EJ632" s="2" t="n">
        <v>0</v>
      </c>
      <c r="EK632" s="2" t="n">
        <v>100</v>
      </c>
      <c r="EL632" s="2" t="n">
        <v>100</v>
      </c>
      <c r="EM632" s="2" t="n">
        <v>0</v>
      </c>
      <c r="EN632" s="2" t="n">
        <v>100</v>
      </c>
      <c r="EO632" s="2" t="n">
        <v>100</v>
      </c>
      <c r="EP632" s="2" t="n">
        <v>0</v>
      </c>
      <c r="EQ632" s="2" t="n">
        <v>100</v>
      </c>
      <c r="ER632" s="2" t="n">
        <v>100</v>
      </c>
      <c r="ES632" s="2" t="n">
        <v>0</v>
      </c>
    </row>
    <row r="633">
      <c r="A633" s="2" t="n">
        <v>1</v>
      </c>
      <c r="B633" s="2" t="inlineStr">
        <is>
          <t>29</t>
        </is>
      </c>
      <c r="C633" s="2" t="inlineStr">
        <is>
          <t>REVESTIMENTOS DE MASSA EM PAREDES</t>
        </is>
      </c>
      <c r="D633" s="2" t="inlineStr">
        <is>
          <t>16/04/2027</t>
        </is>
      </c>
      <c r="E633" s="2" t="inlineStr">
        <is>
          <t>21/06/2028</t>
        </is>
      </c>
      <c r="F633" s="2" t="n">
        <v>2518191.191567985</v>
      </c>
      <c r="G633" s="2" t="n">
        <v>0</v>
      </c>
      <c r="H633" s="2" t="n">
        <v>2518191.191567985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0.12</v>
      </c>
      <c r="BX633" s="2" t="n">
        <v>0.23</v>
      </c>
      <c r="BY633" s="2" t="n">
        <v>0</v>
      </c>
      <c r="BZ633" s="2" t="n">
        <v>0.58</v>
      </c>
      <c r="CA633" s="2" t="n">
        <v>1.42</v>
      </c>
      <c r="CB633" s="2" t="n">
        <v>0</v>
      </c>
      <c r="CC633" s="2" t="n">
        <v>6.67</v>
      </c>
      <c r="CD633" s="2" t="n">
        <v>8.619999999999999</v>
      </c>
      <c r="CE633" s="2" t="n">
        <v>0</v>
      </c>
      <c r="CF633" s="2" t="n">
        <v>13.16</v>
      </c>
      <c r="CG633" s="2" t="n">
        <v>14.49</v>
      </c>
      <c r="CH633" s="2" t="n">
        <v>0</v>
      </c>
      <c r="CI633" s="2" t="n">
        <v>19.43</v>
      </c>
      <c r="CJ633" s="2" t="n">
        <v>23.54</v>
      </c>
      <c r="CK633" s="2" t="n">
        <v>0</v>
      </c>
      <c r="CL633" s="2" t="n">
        <v>36.62</v>
      </c>
      <c r="CM633" s="2" t="n">
        <v>40.97</v>
      </c>
      <c r="CN633" s="2" t="n">
        <v>0</v>
      </c>
      <c r="CO633" s="2" t="n">
        <v>46.07</v>
      </c>
      <c r="CP633" s="2" t="n">
        <v>50.56</v>
      </c>
      <c r="CQ633" s="2" t="n">
        <v>0</v>
      </c>
      <c r="CR633" s="2" t="n">
        <v>54.93</v>
      </c>
      <c r="CS633" s="2" t="n">
        <v>58.85</v>
      </c>
      <c r="CT633" s="2" t="n">
        <v>0</v>
      </c>
      <c r="CU633" s="2" t="n">
        <v>61.41</v>
      </c>
      <c r="CV633" s="2" t="n">
        <v>65.45</v>
      </c>
      <c r="CW633" s="2" t="n">
        <v>0</v>
      </c>
      <c r="CX633" s="2" t="n">
        <v>70.68000000000001</v>
      </c>
      <c r="CY633" s="2" t="n">
        <v>75.03</v>
      </c>
      <c r="CZ633" s="2" t="n">
        <v>0</v>
      </c>
      <c r="DA633" s="2" t="n">
        <v>79.54000000000001</v>
      </c>
      <c r="DB633" s="2" t="n">
        <v>83.45999999999999</v>
      </c>
      <c r="DC633" s="2" t="n">
        <v>0</v>
      </c>
      <c r="DD633" s="2" t="n">
        <v>88.27</v>
      </c>
      <c r="DE633" s="2" t="n">
        <v>92.18000000000001</v>
      </c>
      <c r="DF633" s="2" t="n">
        <v>0</v>
      </c>
      <c r="DG633" s="2" t="n">
        <v>93.23</v>
      </c>
      <c r="DH633" s="2" t="n">
        <v>96.15000000000001</v>
      </c>
      <c r="DI633" s="2" t="n">
        <v>0</v>
      </c>
      <c r="DJ633" s="2" t="n">
        <v>96.37</v>
      </c>
      <c r="DK633" s="2" t="n">
        <v>97.59999999999999</v>
      </c>
      <c r="DL633" s="2" t="n">
        <v>0</v>
      </c>
      <c r="DM633" s="2" t="n">
        <v>99.92</v>
      </c>
      <c r="DN633" s="2" t="n">
        <v>100</v>
      </c>
      <c r="DO633" s="2" t="n">
        <v>0</v>
      </c>
      <c r="DP633" s="2" t="n">
        <v>100</v>
      </c>
      <c r="DQ633" s="2" t="n">
        <v>100</v>
      </c>
      <c r="DR633" s="2" t="n">
        <v>0</v>
      </c>
      <c r="DS633" s="2" t="n">
        <v>100</v>
      </c>
      <c r="DT633" s="2" t="n">
        <v>100</v>
      </c>
      <c r="DU633" s="2" t="n">
        <v>0</v>
      </c>
      <c r="DV633" s="2" t="n">
        <v>100</v>
      </c>
      <c r="DW633" s="2" t="n">
        <v>100</v>
      </c>
      <c r="DX633" s="2" t="n">
        <v>0</v>
      </c>
      <c r="DY633" s="2" t="n">
        <v>100</v>
      </c>
      <c r="DZ633" s="2" t="n">
        <v>100</v>
      </c>
      <c r="EA633" s="2" t="n">
        <v>0</v>
      </c>
      <c r="EB633" s="2" t="n">
        <v>100</v>
      </c>
      <c r="EC633" s="2" t="n">
        <v>100</v>
      </c>
      <c r="ED633" s="2" t="n">
        <v>0</v>
      </c>
      <c r="EE633" s="2" t="n">
        <v>100</v>
      </c>
      <c r="EF633" s="2" t="n">
        <v>100</v>
      </c>
      <c r="EG633" s="2" t="n">
        <v>0</v>
      </c>
      <c r="EH633" s="2" t="n">
        <v>100</v>
      </c>
      <c r="EI633" s="2" t="n">
        <v>100</v>
      </c>
      <c r="EJ633" s="2" t="n">
        <v>0</v>
      </c>
      <c r="EK633" s="2" t="n">
        <v>100</v>
      </c>
      <c r="EL633" s="2" t="n">
        <v>100</v>
      </c>
      <c r="EM633" s="2" t="n">
        <v>0</v>
      </c>
      <c r="EN633" s="2" t="n">
        <v>100</v>
      </c>
      <c r="EO633" s="2" t="n">
        <v>100</v>
      </c>
      <c r="EP633" s="2" t="n">
        <v>0</v>
      </c>
      <c r="EQ633" s="2" t="n">
        <v>100</v>
      </c>
      <c r="ER633" s="2" t="n">
        <v>100</v>
      </c>
      <c r="ES633" s="2" t="n">
        <v>0</v>
      </c>
    </row>
    <row r="634">
      <c r="A634" s="2" t="n">
        <v>2</v>
      </c>
      <c r="B634" s="2" t="inlineStr">
        <is>
          <t>29.01</t>
        </is>
      </c>
      <c r="C634" s="2" t="inlineStr">
        <is>
          <t>Revestimentos Internos</t>
        </is>
      </c>
      <c r="D634" s="2" t="inlineStr">
        <is>
          <t>16/04/2027</t>
        </is>
      </c>
      <c r="E634" s="2" t="inlineStr">
        <is>
          <t>21/06/2028</t>
        </is>
      </c>
      <c r="F634" s="2" t="n">
        <v>2518191.191567985</v>
      </c>
      <c r="G634" s="2" t="n">
        <v>0</v>
      </c>
      <c r="H634" s="2" t="n">
        <v>2518191.191567985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0.12</v>
      </c>
      <c r="BX634" s="2" t="n">
        <v>0.23</v>
      </c>
      <c r="BY634" s="2" t="n">
        <v>0</v>
      </c>
      <c r="BZ634" s="2" t="n">
        <v>0.58</v>
      </c>
      <c r="CA634" s="2" t="n">
        <v>1.42</v>
      </c>
      <c r="CB634" s="2" t="n">
        <v>0</v>
      </c>
      <c r="CC634" s="2" t="n">
        <v>6.67</v>
      </c>
      <c r="CD634" s="2" t="n">
        <v>8.619999999999999</v>
      </c>
      <c r="CE634" s="2" t="n">
        <v>0</v>
      </c>
      <c r="CF634" s="2" t="n">
        <v>13.16</v>
      </c>
      <c r="CG634" s="2" t="n">
        <v>14.49</v>
      </c>
      <c r="CH634" s="2" t="n">
        <v>0</v>
      </c>
      <c r="CI634" s="2" t="n">
        <v>19.43</v>
      </c>
      <c r="CJ634" s="2" t="n">
        <v>23.54</v>
      </c>
      <c r="CK634" s="2" t="n">
        <v>0</v>
      </c>
      <c r="CL634" s="2" t="n">
        <v>36.62</v>
      </c>
      <c r="CM634" s="2" t="n">
        <v>40.97</v>
      </c>
      <c r="CN634" s="2" t="n">
        <v>0</v>
      </c>
      <c r="CO634" s="2" t="n">
        <v>46.07</v>
      </c>
      <c r="CP634" s="2" t="n">
        <v>50.56</v>
      </c>
      <c r="CQ634" s="2" t="n">
        <v>0</v>
      </c>
      <c r="CR634" s="2" t="n">
        <v>54.93</v>
      </c>
      <c r="CS634" s="2" t="n">
        <v>58.85</v>
      </c>
      <c r="CT634" s="2" t="n">
        <v>0</v>
      </c>
      <c r="CU634" s="2" t="n">
        <v>61.41</v>
      </c>
      <c r="CV634" s="2" t="n">
        <v>65.45</v>
      </c>
      <c r="CW634" s="2" t="n">
        <v>0</v>
      </c>
      <c r="CX634" s="2" t="n">
        <v>70.68000000000001</v>
      </c>
      <c r="CY634" s="2" t="n">
        <v>75.03</v>
      </c>
      <c r="CZ634" s="2" t="n">
        <v>0</v>
      </c>
      <c r="DA634" s="2" t="n">
        <v>79.54000000000001</v>
      </c>
      <c r="DB634" s="2" t="n">
        <v>83.45999999999999</v>
      </c>
      <c r="DC634" s="2" t="n">
        <v>0</v>
      </c>
      <c r="DD634" s="2" t="n">
        <v>88.27</v>
      </c>
      <c r="DE634" s="2" t="n">
        <v>92.18000000000001</v>
      </c>
      <c r="DF634" s="2" t="n">
        <v>0</v>
      </c>
      <c r="DG634" s="2" t="n">
        <v>93.23</v>
      </c>
      <c r="DH634" s="2" t="n">
        <v>96.15000000000001</v>
      </c>
      <c r="DI634" s="2" t="n">
        <v>0</v>
      </c>
      <c r="DJ634" s="2" t="n">
        <v>96.37</v>
      </c>
      <c r="DK634" s="2" t="n">
        <v>97.59999999999999</v>
      </c>
      <c r="DL634" s="2" t="n">
        <v>0</v>
      </c>
      <c r="DM634" s="2" t="n">
        <v>99.92</v>
      </c>
      <c r="DN634" s="2" t="n">
        <v>100</v>
      </c>
      <c r="DO634" s="2" t="n">
        <v>0</v>
      </c>
      <c r="DP634" s="2" t="n">
        <v>100</v>
      </c>
      <c r="DQ634" s="2" t="n">
        <v>100</v>
      </c>
      <c r="DR634" s="2" t="n">
        <v>0</v>
      </c>
      <c r="DS634" s="2" t="n">
        <v>100</v>
      </c>
      <c r="DT634" s="2" t="n">
        <v>100</v>
      </c>
      <c r="DU634" s="2" t="n">
        <v>0</v>
      </c>
      <c r="DV634" s="2" t="n">
        <v>100</v>
      </c>
      <c r="DW634" s="2" t="n">
        <v>100</v>
      </c>
      <c r="DX634" s="2" t="n">
        <v>0</v>
      </c>
      <c r="DY634" s="2" t="n">
        <v>100</v>
      </c>
      <c r="DZ634" s="2" t="n">
        <v>100</v>
      </c>
      <c r="EA634" s="2" t="n">
        <v>0</v>
      </c>
      <c r="EB634" s="2" t="n">
        <v>100</v>
      </c>
      <c r="EC634" s="2" t="n">
        <v>100</v>
      </c>
      <c r="ED634" s="2" t="n">
        <v>0</v>
      </c>
      <c r="EE634" s="2" t="n">
        <v>100</v>
      </c>
      <c r="EF634" s="2" t="n">
        <v>100</v>
      </c>
      <c r="EG634" s="2" t="n">
        <v>0</v>
      </c>
      <c r="EH634" s="2" t="n">
        <v>100</v>
      </c>
      <c r="EI634" s="2" t="n">
        <v>100</v>
      </c>
      <c r="EJ634" s="2" t="n">
        <v>0</v>
      </c>
      <c r="EK634" s="2" t="n">
        <v>100</v>
      </c>
      <c r="EL634" s="2" t="n">
        <v>100</v>
      </c>
      <c r="EM634" s="2" t="n">
        <v>0</v>
      </c>
      <c r="EN634" s="2" t="n">
        <v>100</v>
      </c>
      <c r="EO634" s="2" t="n">
        <v>100</v>
      </c>
      <c r="EP634" s="2" t="n">
        <v>0</v>
      </c>
      <c r="EQ634" s="2" t="n">
        <v>100</v>
      </c>
      <c r="ER634" s="2" t="n">
        <v>100</v>
      </c>
      <c r="ES634" s="2" t="n">
        <v>0</v>
      </c>
    </row>
    <row r="635">
      <c r="A635" s="2" t="n">
        <v>3</v>
      </c>
      <c r="B635" s="2" t="inlineStr">
        <is>
          <t>29.01.01</t>
        </is>
      </c>
      <c r="C635" s="2" t="inlineStr">
        <is>
          <t>Taliscamento de Parede</t>
        </is>
      </c>
      <c r="D635" s="2" t="inlineStr">
        <is>
          <t>16/04/2027</t>
        </is>
      </c>
      <c r="E635" s="2" t="inlineStr">
        <is>
          <t>09/05/2028</t>
        </is>
      </c>
      <c r="F635" s="2" t="n">
        <v>217501.6993709106</v>
      </c>
      <c r="G635" s="2" t="n">
        <v>0</v>
      </c>
      <c r="H635" s="2" t="n">
        <v>217501.6993709106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1.33</v>
      </c>
      <c r="BX635" s="2" t="n">
        <v>2.67</v>
      </c>
      <c r="BY635" s="2" t="n">
        <v>0</v>
      </c>
      <c r="BZ635" s="2" t="n">
        <v>6.67</v>
      </c>
      <c r="CA635" s="2" t="n">
        <v>8.01</v>
      </c>
      <c r="CB635" s="2" t="n">
        <v>0</v>
      </c>
      <c r="CC635" s="2" t="n">
        <v>21.14</v>
      </c>
      <c r="CD635" s="2" t="n">
        <v>29.72</v>
      </c>
      <c r="CE635" s="2" t="n">
        <v>0</v>
      </c>
      <c r="CF635" s="2" t="n">
        <v>34.6</v>
      </c>
      <c r="CG635" s="2" t="n">
        <v>35.96</v>
      </c>
      <c r="CH635" s="2" t="n">
        <v>0</v>
      </c>
      <c r="CI635" s="2" t="n">
        <v>41.37</v>
      </c>
      <c r="CJ635" s="2" t="n">
        <v>49.05</v>
      </c>
      <c r="CK635" s="2" t="n">
        <v>0</v>
      </c>
      <c r="CL635" s="2" t="n">
        <v>54.13</v>
      </c>
      <c r="CM635" s="2" t="n">
        <v>55.5</v>
      </c>
      <c r="CN635" s="2" t="n">
        <v>0</v>
      </c>
      <c r="CO635" s="2" t="n">
        <v>59.89</v>
      </c>
      <c r="CP635" s="2" t="n">
        <v>67.52</v>
      </c>
      <c r="CQ635" s="2" t="n">
        <v>0</v>
      </c>
      <c r="CR635" s="2" t="n">
        <v>71.90000000000001</v>
      </c>
      <c r="CS635" s="2" t="n">
        <v>73.26000000000001</v>
      </c>
      <c r="CT635" s="2" t="n">
        <v>0</v>
      </c>
      <c r="CU635" s="2" t="n">
        <v>77.02</v>
      </c>
      <c r="CV635" s="2" t="n">
        <v>79.62</v>
      </c>
      <c r="CW635" s="2" t="n">
        <v>0</v>
      </c>
      <c r="CX635" s="2" t="n">
        <v>84.52</v>
      </c>
      <c r="CY635" s="2" t="n">
        <v>90.26000000000001</v>
      </c>
      <c r="CZ635" s="2" t="n">
        <v>0</v>
      </c>
      <c r="DA635" s="2" t="n">
        <v>94.36</v>
      </c>
      <c r="DB635" s="2" t="n">
        <v>95.72</v>
      </c>
      <c r="DC635" s="2" t="n">
        <v>0</v>
      </c>
      <c r="DD635" s="2" t="n">
        <v>96.45999999999999</v>
      </c>
      <c r="DE635" s="2" t="n">
        <v>96.84999999999999</v>
      </c>
      <c r="DF635" s="2" t="n">
        <v>0</v>
      </c>
      <c r="DG635" s="2" t="n">
        <v>96.79000000000001</v>
      </c>
      <c r="DH635" s="2" t="n">
        <v>98.40000000000001</v>
      </c>
      <c r="DI635" s="2" t="n">
        <v>0</v>
      </c>
      <c r="DJ635" s="2" t="n">
        <v>100</v>
      </c>
      <c r="DK635" s="2" t="n">
        <v>100</v>
      </c>
      <c r="DL635" s="2" t="n">
        <v>0</v>
      </c>
      <c r="DM635" s="2" t="n">
        <v>100</v>
      </c>
      <c r="DN635" s="2" t="n">
        <v>100</v>
      </c>
      <c r="DO635" s="2" t="n">
        <v>0</v>
      </c>
      <c r="DP635" s="2" t="n">
        <v>100</v>
      </c>
      <c r="DQ635" s="2" t="n">
        <v>100</v>
      </c>
      <c r="DR635" s="2" t="n">
        <v>0</v>
      </c>
      <c r="DS635" s="2" t="n">
        <v>100</v>
      </c>
      <c r="DT635" s="2" t="n">
        <v>100</v>
      </c>
      <c r="DU635" s="2" t="n">
        <v>0</v>
      </c>
      <c r="DV635" s="2" t="n">
        <v>100</v>
      </c>
      <c r="DW635" s="2" t="n">
        <v>100</v>
      </c>
      <c r="DX635" s="2" t="n">
        <v>0</v>
      </c>
      <c r="DY635" s="2" t="n">
        <v>100</v>
      </c>
      <c r="DZ635" s="2" t="n">
        <v>100</v>
      </c>
      <c r="EA635" s="2" t="n">
        <v>0</v>
      </c>
      <c r="EB635" s="2" t="n">
        <v>100</v>
      </c>
      <c r="EC635" s="2" t="n">
        <v>100</v>
      </c>
      <c r="ED635" s="2" t="n">
        <v>0</v>
      </c>
      <c r="EE635" s="2" t="n">
        <v>100</v>
      </c>
      <c r="EF635" s="2" t="n">
        <v>100</v>
      </c>
      <c r="EG635" s="2" t="n">
        <v>0</v>
      </c>
      <c r="EH635" s="2" t="n">
        <v>100</v>
      </c>
      <c r="EI635" s="2" t="n">
        <v>100</v>
      </c>
      <c r="EJ635" s="2" t="n">
        <v>0</v>
      </c>
      <c r="EK635" s="2" t="n">
        <v>100</v>
      </c>
      <c r="EL635" s="2" t="n">
        <v>100</v>
      </c>
      <c r="EM635" s="2" t="n">
        <v>0</v>
      </c>
      <c r="EN635" s="2" t="n">
        <v>100</v>
      </c>
      <c r="EO635" s="2" t="n">
        <v>100</v>
      </c>
      <c r="EP635" s="2" t="n">
        <v>0</v>
      </c>
      <c r="EQ635" s="2" t="n">
        <v>100</v>
      </c>
      <c r="ER635" s="2" t="n">
        <v>100</v>
      </c>
      <c r="ES635" s="2" t="n">
        <v>0</v>
      </c>
    </row>
    <row r="636">
      <c r="A636" s="2" t="n">
        <v>3</v>
      </c>
      <c r="B636" s="2" t="inlineStr">
        <is>
          <t>29.01.02</t>
        </is>
      </c>
      <c r="C636" s="2" t="inlineStr">
        <is>
          <t>Chapisco</t>
        </is>
      </c>
      <c r="D636" s="2" t="inlineStr">
        <is>
          <t>26/05/2027</t>
        </is>
      </c>
      <c r="E636" s="2" t="inlineStr">
        <is>
          <t>21/06/2028</t>
        </is>
      </c>
      <c r="F636" s="2" t="n">
        <v>314651.9661635658</v>
      </c>
      <c r="G636" s="2" t="n">
        <v>0</v>
      </c>
      <c r="H636" s="2" t="n">
        <v>314651.9661635658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0.79</v>
      </c>
      <c r="CB636" s="2" t="n">
        <v>0</v>
      </c>
      <c r="CC636" s="2" t="n">
        <v>5.3</v>
      </c>
      <c r="CD636" s="2" t="n">
        <v>6.63</v>
      </c>
      <c r="CE636" s="2" t="n">
        <v>0</v>
      </c>
      <c r="CF636" s="2" t="n">
        <v>11.13</v>
      </c>
      <c r="CG636" s="2" t="n">
        <v>12.46</v>
      </c>
      <c r="CH636" s="2" t="n">
        <v>0</v>
      </c>
      <c r="CI636" s="2" t="n">
        <v>17.36</v>
      </c>
      <c r="CJ636" s="2" t="n">
        <v>21.12</v>
      </c>
      <c r="CK636" s="2" t="n">
        <v>0</v>
      </c>
      <c r="CL636" s="2" t="n">
        <v>34.96</v>
      </c>
      <c r="CM636" s="2" t="n">
        <v>39.6</v>
      </c>
      <c r="CN636" s="2" t="n">
        <v>0</v>
      </c>
      <c r="CO636" s="2" t="n">
        <v>44.76</v>
      </c>
      <c r="CP636" s="2" t="n">
        <v>48.96</v>
      </c>
      <c r="CQ636" s="2" t="n">
        <v>0</v>
      </c>
      <c r="CR636" s="2" t="n">
        <v>53.32</v>
      </c>
      <c r="CS636" s="2" t="n">
        <v>57.48</v>
      </c>
      <c r="CT636" s="2" t="n">
        <v>0</v>
      </c>
      <c r="CU636" s="2" t="n">
        <v>59.94</v>
      </c>
      <c r="CV636" s="2" t="n">
        <v>64.11</v>
      </c>
      <c r="CW636" s="2" t="n">
        <v>0</v>
      </c>
      <c r="CX636" s="2" t="n">
        <v>69.38</v>
      </c>
      <c r="CY636" s="2" t="n">
        <v>73.59</v>
      </c>
      <c r="CZ636" s="2" t="n">
        <v>0</v>
      </c>
      <c r="DA636" s="2" t="n">
        <v>78.14</v>
      </c>
      <c r="DB636" s="2" t="n">
        <v>82.3</v>
      </c>
      <c r="DC636" s="2" t="n">
        <v>0</v>
      </c>
      <c r="DD636" s="2" t="n">
        <v>87.5</v>
      </c>
      <c r="DE636" s="2" t="n">
        <v>91.73999999999999</v>
      </c>
      <c r="DF636" s="2" t="n">
        <v>0</v>
      </c>
      <c r="DG636" s="2" t="n">
        <v>92.89</v>
      </c>
      <c r="DH636" s="2" t="n">
        <v>95.94</v>
      </c>
      <c r="DI636" s="2" t="n">
        <v>0</v>
      </c>
      <c r="DJ636" s="2" t="n">
        <v>96.03</v>
      </c>
      <c r="DK636" s="2" t="n">
        <v>97.37</v>
      </c>
      <c r="DL636" s="2" t="n">
        <v>0</v>
      </c>
      <c r="DM636" s="2" t="n">
        <v>99.91</v>
      </c>
      <c r="DN636" s="2" t="n">
        <v>100</v>
      </c>
      <c r="DO636" s="2" t="n">
        <v>0</v>
      </c>
      <c r="DP636" s="2" t="n">
        <v>100</v>
      </c>
      <c r="DQ636" s="2" t="n">
        <v>100</v>
      </c>
      <c r="DR636" s="2" t="n">
        <v>0</v>
      </c>
      <c r="DS636" s="2" t="n">
        <v>100</v>
      </c>
      <c r="DT636" s="2" t="n">
        <v>100</v>
      </c>
      <c r="DU636" s="2" t="n">
        <v>0</v>
      </c>
      <c r="DV636" s="2" t="n">
        <v>100</v>
      </c>
      <c r="DW636" s="2" t="n">
        <v>100</v>
      </c>
      <c r="DX636" s="2" t="n">
        <v>0</v>
      </c>
      <c r="DY636" s="2" t="n">
        <v>100</v>
      </c>
      <c r="DZ636" s="2" t="n">
        <v>100</v>
      </c>
      <c r="EA636" s="2" t="n">
        <v>0</v>
      </c>
      <c r="EB636" s="2" t="n">
        <v>100</v>
      </c>
      <c r="EC636" s="2" t="n">
        <v>100</v>
      </c>
      <c r="ED636" s="2" t="n">
        <v>0</v>
      </c>
      <c r="EE636" s="2" t="n">
        <v>100</v>
      </c>
      <c r="EF636" s="2" t="n">
        <v>100</v>
      </c>
      <c r="EG636" s="2" t="n">
        <v>0</v>
      </c>
      <c r="EH636" s="2" t="n">
        <v>100</v>
      </c>
      <c r="EI636" s="2" t="n">
        <v>100</v>
      </c>
      <c r="EJ636" s="2" t="n">
        <v>0</v>
      </c>
      <c r="EK636" s="2" t="n">
        <v>100</v>
      </c>
      <c r="EL636" s="2" t="n">
        <v>100</v>
      </c>
      <c r="EM636" s="2" t="n">
        <v>0</v>
      </c>
      <c r="EN636" s="2" t="n">
        <v>100</v>
      </c>
      <c r="EO636" s="2" t="n">
        <v>100</v>
      </c>
      <c r="EP636" s="2" t="n">
        <v>0</v>
      </c>
      <c r="EQ636" s="2" t="n">
        <v>100</v>
      </c>
      <c r="ER636" s="2" t="n">
        <v>100</v>
      </c>
      <c r="ES636" s="2" t="n">
        <v>0</v>
      </c>
    </row>
    <row r="637">
      <c r="A637" s="2" t="n">
        <v>3</v>
      </c>
      <c r="B637" s="2" t="inlineStr">
        <is>
          <t>29.01.03</t>
        </is>
      </c>
      <c r="C637" s="2" t="inlineStr">
        <is>
          <t>Emboço esp. 25mm</t>
        </is>
      </c>
      <c r="D637" s="2" t="inlineStr">
        <is>
          <t>26/05/2027</t>
        </is>
      </c>
      <c r="E637" s="2" t="inlineStr">
        <is>
          <t>21/06/2028</t>
        </is>
      </c>
      <c r="F637" s="2" t="n">
        <v>251862.3929226378</v>
      </c>
      <c r="G637" s="2" t="n">
        <v>0</v>
      </c>
      <c r="H637" s="2" t="n">
        <v>251862.3929226378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0.79</v>
      </c>
      <c r="CB637" s="2" t="n">
        <v>0</v>
      </c>
      <c r="CC637" s="2" t="n">
        <v>5.3</v>
      </c>
      <c r="CD637" s="2" t="n">
        <v>6.63</v>
      </c>
      <c r="CE637" s="2" t="n">
        <v>0</v>
      </c>
      <c r="CF637" s="2" t="n">
        <v>11.13</v>
      </c>
      <c r="CG637" s="2" t="n">
        <v>12.46</v>
      </c>
      <c r="CH637" s="2" t="n">
        <v>0</v>
      </c>
      <c r="CI637" s="2" t="n">
        <v>17.36</v>
      </c>
      <c r="CJ637" s="2" t="n">
        <v>21.12</v>
      </c>
      <c r="CK637" s="2" t="n">
        <v>0</v>
      </c>
      <c r="CL637" s="2" t="n">
        <v>34.96</v>
      </c>
      <c r="CM637" s="2" t="n">
        <v>39.6</v>
      </c>
      <c r="CN637" s="2" t="n">
        <v>0</v>
      </c>
      <c r="CO637" s="2" t="n">
        <v>44.76</v>
      </c>
      <c r="CP637" s="2" t="n">
        <v>48.96</v>
      </c>
      <c r="CQ637" s="2" t="n">
        <v>0</v>
      </c>
      <c r="CR637" s="2" t="n">
        <v>53.32</v>
      </c>
      <c r="CS637" s="2" t="n">
        <v>57.48</v>
      </c>
      <c r="CT637" s="2" t="n">
        <v>0</v>
      </c>
      <c r="CU637" s="2" t="n">
        <v>59.94</v>
      </c>
      <c r="CV637" s="2" t="n">
        <v>64.11</v>
      </c>
      <c r="CW637" s="2" t="n">
        <v>0</v>
      </c>
      <c r="CX637" s="2" t="n">
        <v>69.38</v>
      </c>
      <c r="CY637" s="2" t="n">
        <v>73.59</v>
      </c>
      <c r="CZ637" s="2" t="n">
        <v>0</v>
      </c>
      <c r="DA637" s="2" t="n">
        <v>78.14</v>
      </c>
      <c r="DB637" s="2" t="n">
        <v>82.3</v>
      </c>
      <c r="DC637" s="2" t="n">
        <v>0</v>
      </c>
      <c r="DD637" s="2" t="n">
        <v>87.5</v>
      </c>
      <c r="DE637" s="2" t="n">
        <v>91.73999999999999</v>
      </c>
      <c r="DF637" s="2" t="n">
        <v>0</v>
      </c>
      <c r="DG637" s="2" t="n">
        <v>92.89</v>
      </c>
      <c r="DH637" s="2" t="n">
        <v>95.94</v>
      </c>
      <c r="DI637" s="2" t="n">
        <v>0</v>
      </c>
      <c r="DJ637" s="2" t="n">
        <v>96.03</v>
      </c>
      <c r="DK637" s="2" t="n">
        <v>97.37</v>
      </c>
      <c r="DL637" s="2" t="n">
        <v>0</v>
      </c>
      <c r="DM637" s="2" t="n">
        <v>99.91</v>
      </c>
      <c r="DN637" s="2" t="n">
        <v>100</v>
      </c>
      <c r="DO637" s="2" t="n">
        <v>0</v>
      </c>
      <c r="DP637" s="2" t="n">
        <v>100</v>
      </c>
      <c r="DQ637" s="2" t="n">
        <v>100</v>
      </c>
      <c r="DR637" s="2" t="n">
        <v>0</v>
      </c>
      <c r="DS637" s="2" t="n">
        <v>100</v>
      </c>
      <c r="DT637" s="2" t="n">
        <v>100</v>
      </c>
      <c r="DU637" s="2" t="n">
        <v>0</v>
      </c>
      <c r="DV637" s="2" t="n">
        <v>100</v>
      </c>
      <c r="DW637" s="2" t="n">
        <v>100</v>
      </c>
      <c r="DX637" s="2" t="n">
        <v>0</v>
      </c>
      <c r="DY637" s="2" t="n">
        <v>100</v>
      </c>
      <c r="DZ637" s="2" t="n">
        <v>100</v>
      </c>
      <c r="EA637" s="2" t="n">
        <v>0</v>
      </c>
      <c r="EB637" s="2" t="n">
        <v>100</v>
      </c>
      <c r="EC637" s="2" t="n">
        <v>100</v>
      </c>
      <c r="ED637" s="2" t="n">
        <v>0</v>
      </c>
      <c r="EE637" s="2" t="n">
        <v>100</v>
      </c>
      <c r="EF637" s="2" t="n">
        <v>100</v>
      </c>
      <c r="EG637" s="2" t="n">
        <v>0</v>
      </c>
      <c r="EH637" s="2" t="n">
        <v>100</v>
      </c>
      <c r="EI637" s="2" t="n">
        <v>100</v>
      </c>
      <c r="EJ637" s="2" t="n">
        <v>0</v>
      </c>
      <c r="EK637" s="2" t="n">
        <v>100</v>
      </c>
      <c r="EL637" s="2" t="n">
        <v>100</v>
      </c>
      <c r="EM637" s="2" t="n">
        <v>0</v>
      </c>
      <c r="EN637" s="2" t="n">
        <v>100</v>
      </c>
      <c r="EO637" s="2" t="n">
        <v>100</v>
      </c>
      <c r="EP637" s="2" t="n">
        <v>0</v>
      </c>
      <c r="EQ637" s="2" t="n">
        <v>100</v>
      </c>
      <c r="ER637" s="2" t="n">
        <v>100</v>
      </c>
      <c r="ES637" s="2" t="n">
        <v>0</v>
      </c>
    </row>
    <row r="638">
      <c r="A638" s="2" t="n">
        <v>3</v>
      </c>
      <c r="B638" s="2" t="inlineStr">
        <is>
          <t>29.01.04</t>
        </is>
      </c>
      <c r="C638" s="2" t="inlineStr">
        <is>
          <t>Reboco esp. 25mm</t>
        </is>
      </c>
      <c r="D638" s="2" t="inlineStr">
        <is>
          <t>26/05/2027</t>
        </is>
      </c>
      <c r="E638" s="2" t="inlineStr">
        <is>
          <t>21/06/2028</t>
        </is>
      </c>
      <c r="F638" s="2" t="n">
        <v>1344547.556056695</v>
      </c>
      <c r="G638" s="2" t="n">
        <v>0</v>
      </c>
      <c r="H638" s="2" t="n">
        <v>1344547.556056695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0.79</v>
      </c>
      <c r="CB638" s="2" t="n">
        <v>0</v>
      </c>
      <c r="CC638" s="2" t="n">
        <v>5.3</v>
      </c>
      <c r="CD638" s="2" t="n">
        <v>6.63</v>
      </c>
      <c r="CE638" s="2" t="n">
        <v>0</v>
      </c>
      <c r="CF638" s="2" t="n">
        <v>11.13</v>
      </c>
      <c r="CG638" s="2" t="n">
        <v>12.46</v>
      </c>
      <c r="CH638" s="2" t="n">
        <v>0</v>
      </c>
      <c r="CI638" s="2" t="n">
        <v>17.36</v>
      </c>
      <c r="CJ638" s="2" t="n">
        <v>21.12</v>
      </c>
      <c r="CK638" s="2" t="n">
        <v>0</v>
      </c>
      <c r="CL638" s="2" t="n">
        <v>34.96</v>
      </c>
      <c r="CM638" s="2" t="n">
        <v>39.6</v>
      </c>
      <c r="CN638" s="2" t="n">
        <v>0</v>
      </c>
      <c r="CO638" s="2" t="n">
        <v>44.76</v>
      </c>
      <c r="CP638" s="2" t="n">
        <v>48.96</v>
      </c>
      <c r="CQ638" s="2" t="n">
        <v>0</v>
      </c>
      <c r="CR638" s="2" t="n">
        <v>53.32</v>
      </c>
      <c r="CS638" s="2" t="n">
        <v>57.48</v>
      </c>
      <c r="CT638" s="2" t="n">
        <v>0</v>
      </c>
      <c r="CU638" s="2" t="n">
        <v>59.94</v>
      </c>
      <c r="CV638" s="2" t="n">
        <v>64.11</v>
      </c>
      <c r="CW638" s="2" t="n">
        <v>0</v>
      </c>
      <c r="CX638" s="2" t="n">
        <v>69.38</v>
      </c>
      <c r="CY638" s="2" t="n">
        <v>73.59</v>
      </c>
      <c r="CZ638" s="2" t="n">
        <v>0</v>
      </c>
      <c r="DA638" s="2" t="n">
        <v>78.14</v>
      </c>
      <c r="DB638" s="2" t="n">
        <v>82.3</v>
      </c>
      <c r="DC638" s="2" t="n">
        <v>0</v>
      </c>
      <c r="DD638" s="2" t="n">
        <v>87.5</v>
      </c>
      <c r="DE638" s="2" t="n">
        <v>91.73999999999999</v>
      </c>
      <c r="DF638" s="2" t="n">
        <v>0</v>
      </c>
      <c r="DG638" s="2" t="n">
        <v>92.89</v>
      </c>
      <c r="DH638" s="2" t="n">
        <v>95.94</v>
      </c>
      <c r="DI638" s="2" t="n">
        <v>0</v>
      </c>
      <c r="DJ638" s="2" t="n">
        <v>96.03</v>
      </c>
      <c r="DK638" s="2" t="n">
        <v>97.37</v>
      </c>
      <c r="DL638" s="2" t="n">
        <v>0</v>
      </c>
      <c r="DM638" s="2" t="n">
        <v>99.91</v>
      </c>
      <c r="DN638" s="2" t="n">
        <v>100</v>
      </c>
      <c r="DO638" s="2" t="n">
        <v>0</v>
      </c>
      <c r="DP638" s="2" t="n">
        <v>100</v>
      </c>
      <c r="DQ638" s="2" t="n">
        <v>100</v>
      </c>
      <c r="DR638" s="2" t="n">
        <v>0</v>
      </c>
      <c r="DS638" s="2" t="n">
        <v>100</v>
      </c>
      <c r="DT638" s="2" t="n">
        <v>100</v>
      </c>
      <c r="DU638" s="2" t="n">
        <v>0</v>
      </c>
      <c r="DV638" s="2" t="n">
        <v>100</v>
      </c>
      <c r="DW638" s="2" t="n">
        <v>100</v>
      </c>
      <c r="DX638" s="2" t="n">
        <v>0</v>
      </c>
      <c r="DY638" s="2" t="n">
        <v>100</v>
      </c>
      <c r="DZ638" s="2" t="n">
        <v>100</v>
      </c>
      <c r="EA638" s="2" t="n">
        <v>0</v>
      </c>
      <c r="EB638" s="2" t="n">
        <v>100</v>
      </c>
      <c r="EC638" s="2" t="n">
        <v>100</v>
      </c>
      <c r="ED638" s="2" t="n">
        <v>0</v>
      </c>
      <c r="EE638" s="2" t="n">
        <v>100</v>
      </c>
      <c r="EF638" s="2" t="n">
        <v>100</v>
      </c>
      <c r="EG638" s="2" t="n">
        <v>0</v>
      </c>
      <c r="EH638" s="2" t="n">
        <v>100</v>
      </c>
      <c r="EI638" s="2" t="n">
        <v>100</v>
      </c>
      <c r="EJ638" s="2" t="n">
        <v>0</v>
      </c>
      <c r="EK638" s="2" t="n">
        <v>100</v>
      </c>
      <c r="EL638" s="2" t="n">
        <v>100</v>
      </c>
      <c r="EM638" s="2" t="n">
        <v>0</v>
      </c>
      <c r="EN638" s="2" t="n">
        <v>100</v>
      </c>
      <c r="EO638" s="2" t="n">
        <v>100</v>
      </c>
      <c r="EP638" s="2" t="n">
        <v>0</v>
      </c>
      <c r="EQ638" s="2" t="n">
        <v>100</v>
      </c>
      <c r="ER638" s="2" t="n">
        <v>100</v>
      </c>
      <c r="ES638" s="2" t="n">
        <v>0</v>
      </c>
    </row>
    <row r="639">
      <c r="A639" s="2" t="n">
        <v>3</v>
      </c>
      <c r="B639" s="2" t="inlineStr">
        <is>
          <t>29.01.05</t>
        </is>
      </c>
      <c r="C639" s="2" t="inlineStr">
        <is>
          <t>Espalas para esquadrias (até 40cm)</t>
        </is>
      </c>
      <c r="D639" s="2" t="inlineStr">
        <is>
          <t>26/05/2027</t>
        </is>
      </c>
      <c r="E639" s="2" t="inlineStr">
        <is>
          <t>21/06/2028</t>
        </is>
      </c>
      <c r="F639" s="2" t="n">
        <v>389627.5770541759</v>
      </c>
      <c r="G639" s="2" t="n">
        <v>0</v>
      </c>
      <c r="H639" s="2" t="n">
        <v>389627.5770541759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0.79</v>
      </c>
      <c r="CB639" s="2" t="n">
        <v>0</v>
      </c>
      <c r="CC639" s="2" t="n">
        <v>5.3</v>
      </c>
      <c r="CD639" s="2" t="n">
        <v>6.63</v>
      </c>
      <c r="CE639" s="2" t="n">
        <v>0</v>
      </c>
      <c r="CF639" s="2" t="n">
        <v>11.13</v>
      </c>
      <c r="CG639" s="2" t="n">
        <v>12.46</v>
      </c>
      <c r="CH639" s="2" t="n">
        <v>0</v>
      </c>
      <c r="CI639" s="2" t="n">
        <v>17.36</v>
      </c>
      <c r="CJ639" s="2" t="n">
        <v>21.12</v>
      </c>
      <c r="CK639" s="2" t="n">
        <v>0</v>
      </c>
      <c r="CL639" s="2" t="n">
        <v>34.96</v>
      </c>
      <c r="CM639" s="2" t="n">
        <v>39.6</v>
      </c>
      <c r="CN639" s="2" t="n">
        <v>0</v>
      </c>
      <c r="CO639" s="2" t="n">
        <v>44.76</v>
      </c>
      <c r="CP639" s="2" t="n">
        <v>48.96</v>
      </c>
      <c r="CQ639" s="2" t="n">
        <v>0</v>
      </c>
      <c r="CR639" s="2" t="n">
        <v>53.32</v>
      </c>
      <c r="CS639" s="2" t="n">
        <v>57.48</v>
      </c>
      <c r="CT639" s="2" t="n">
        <v>0</v>
      </c>
      <c r="CU639" s="2" t="n">
        <v>59.94</v>
      </c>
      <c r="CV639" s="2" t="n">
        <v>64.11</v>
      </c>
      <c r="CW639" s="2" t="n">
        <v>0</v>
      </c>
      <c r="CX639" s="2" t="n">
        <v>69.38</v>
      </c>
      <c r="CY639" s="2" t="n">
        <v>73.59</v>
      </c>
      <c r="CZ639" s="2" t="n">
        <v>0</v>
      </c>
      <c r="DA639" s="2" t="n">
        <v>78.14</v>
      </c>
      <c r="DB639" s="2" t="n">
        <v>82.3</v>
      </c>
      <c r="DC639" s="2" t="n">
        <v>0</v>
      </c>
      <c r="DD639" s="2" t="n">
        <v>87.5</v>
      </c>
      <c r="DE639" s="2" t="n">
        <v>91.73999999999999</v>
      </c>
      <c r="DF639" s="2" t="n">
        <v>0</v>
      </c>
      <c r="DG639" s="2" t="n">
        <v>92.89</v>
      </c>
      <c r="DH639" s="2" t="n">
        <v>95.94</v>
      </c>
      <c r="DI639" s="2" t="n">
        <v>0</v>
      </c>
      <c r="DJ639" s="2" t="n">
        <v>96.03</v>
      </c>
      <c r="DK639" s="2" t="n">
        <v>97.37</v>
      </c>
      <c r="DL639" s="2" t="n">
        <v>0</v>
      </c>
      <c r="DM639" s="2" t="n">
        <v>99.91</v>
      </c>
      <c r="DN639" s="2" t="n">
        <v>100</v>
      </c>
      <c r="DO639" s="2" t="n">
        <v>0</v>
      </c>
      <c r="DP639" s="2" t="n">
        <v>100</v>
      </c>
      <c r="DQ639" s="2" t="n">
        <v>100</v>
      </c>
      <c r="DR639" s="2" t="n">
        <v>0</v>
      </c>
      <c r="DS639" s="2" t="n">
        <v>100</v>
      </c>
      <c r="DT639" s="2" t="n">
        <v>100</v>
      </c>
      <c r="DU639" s="2" t="n">
        <v>0</v>
      </c>
      <c r="DV639" s="2" t="n">
        <v>100</v>
      </c>
      <c r="DW639" s="2" t="n">
        <v>100</v>
      </c>
      <c r="DX639" s="2" t="n">
        <v>0</v>
      </c>
      <c r="DY639" s="2" t="n">
        <v>100</v>
      </c>
      <c r="DZ639" s="2" t="n">
        <v>100</v>
      </c>
      <c r="EA639" s="2" t="n">
        <v>0</v>
      </c>
      <c r="EB639" s="2" t="n">
        <v>100</v>
      </c>
      <c r="EC639" s="2" t="n">
        <v>100</v>
      </c>
      <c r="ED639" s="2" t="n">
        <v>0</v>
      </c>
      <c r="EE639" s="2" t="n">
        <v>100</v>
      </c>
      <c r="EF639" s="2" t="n">
        <v>100</v>
      </c>
      <c r="EG639" s="2" t="n">
        <v>0</v>
      </c>
      <c r="EH639" s="2" t="n">
        <v>100</v>
      </c>
      <c r="EI639" s="2" t="n">
        <v>100</v>
      </c>
      <c r="EJ639" s="2" t="n">
        <v>0</v>
      </c>
      <c r="EK639" s="2" t="n">
        <v>100</v>
      </c>
      <c r="EL639" s="2" t="n">
        <v>100</v>
      </c>
      <c r="EM639" s="2" t="n">
        <v>0</v>
      </c>
      <c r="EN639" s="2" t="n">
        <v>100</v>
      </c>
      <c r="EO639" s="2" t="n">
        <v>100</v>
      </c>
      <c r="EP639" s="2" t="n">
        <v>0</v>
      </c>
      <c r="EQ639" s="2" t="n">
        <v>100</v>
      </c>
      <c r="ER639" s="2" t="n">
        <v>100</v>
      </c>
      <c r="ES639" s="2" t="n">
        <v>0</v>
      </c>
    </row>
    <row r="640">
      <c r="A640" s="2" t="n">
        <v>1</v>
      </c>
      <c r="B640" s="2" t="inlineStr">
        <is>
          <t>30</t>
        </is>
      </c>
      <c r="C640" s="2" t="inlineStr">
        <is>
          <t>REVESTIMENTOS DE ACABAMENTO</t>
        </is>
      </c>
      <c r="D640" s="2" t="inlineStr">
        <is>
          <t>24/08/2027</t>
        </is>
      </c>
      <c r="E640" s="2" t="inlineStr">
        <is>
          <t>15/02/2029</t>
        </is>
      </c>
      <c r="F640" s="2" t="n">
        <v>10402356.24608444</v>
      </c>
      <c r="G640" s="2" t="n">
        <v>0</v>
      </c>
      <c r="H640" s="2" t="n">
        <v>10402356.24608444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0.08</v>
      </c>
      <c r="CJ640" s="2" t="n">
        <v>0.48</v>
      </c>
      <c r="CK640" s="2" t="n">
        <v>0</v>
      </c>
      <c r="CL640" s="2" t="n">
        <v>3.2</v>
      </c>
      <c r="CM640" s="2" t="n">
        <v>4.53</v>
      </c>
      <c r="CN640" s="2" t="n">
        <v>0</v>
      </c>
      <c r="CO640" s="2" t="n">
        <v>8.699999999999999</v>
      </c>
      <c r="CP640" s="2" t="n">
        <v>10.04</v>
      </c>
      <c r="CQ640" s="2" t="n">
        <v>0</v>
      </c>
      <c r="CR640" s="2" t="n">
        <v>14.45</v>
      </c>
      <c r="CS640" s="2" t="n">
        <v>15.79</v>
      </c>
      <c r="CT640" s="2" t="n">
        <v>0</v>
      </c>
      <c r="CU640" s="2" t="n">
        <v>21.96</v>
      </c>
      <c r="CV640" s="2" t="n">
        <v>23.29</v>
      </c>
      <c r="CW640" s="2" t="n">
        <v>0</v>
      </c>
      <c r="CX640" s="2" t="n">
        <v>30.98</v>
      </c>
      <c r="CY640" s="2" t="n">
        <v>32.46</v>
      </c>
      <c r="CZ640" s="2" t="n">
        <v>0</v>
      </c>
      <c r="DA640" s="2" t="n">
        <v>37.48</v>
      </c>
      <c r="DB640" s="2" t="n">
        <v>39.16</v>
      </c>
      <c r="DC640" s="2" t="n">
        <v>0</v>
      </c>
      <c r="DD640" s="2" t="n">
        <v>45.94</v>
      </c>
      <c r="DE640" s="2" t="n">
        <v>47.69</v>
      </c>
      <c r="DF640" s="2" t="n">
        <v>0</v>
      </c>
      <c r="DG640" s="2" t="n">
        <v>52.94</v>
      </c>
      <c r="DH640" s="2" t="n">
        <v>54.65</v>
      </c>
      <c r="DI640" s="2" t="n">
        <v>0</v>
      </c>
      <c r="DJ640" s="2" t="n">
        <v>60.38</v>
      </c>
      <c r="DK640" s="2" t="n">
        <v>62.47</v>
      </c>
      <c r="DL640" s="2" t="n">
        <v>0</v>
      </c>
      <c r="DM640" s="2" t="n">
        <v>68.66</v>
      </c>
      <c r="DN640" s="2" t="n">
        <v>70.44</v>
      </c>
      <c r="DO640" s="2" t="n">
        <v>0</v>
      </c>
      <c r="DP640" s="2" t="n">
        <v>75.81</v>
      </c>
      <c r="DQ640" s="2" t="n">
        <v>77.42</v>
      </c>
      <c r="DR640" s="2" t="n">
        <v>0</v>
      </c>
      <c r="DS640" s="2" t="n">
        <v>80.09999999999999</v>
      </c>
      <c r="DT640" s="2" t="n">
        <v>81.29000000000001</v>
      </c>
      <c r="DU640" s="2" t="n">
        <v>0</v>
      </c>
      <c r="DV640" s="2" t="n">
        <v>85.06</v>
      </c>
      <c r="DW640" s="2" t="n">
        <v>86.33</v>
      </c>
      <c r="DX640" s="2" t="n">
        <v>0</v>
      </c>
      <c r="DY640" s="2" t="n">
        <v>89.40000000000001</v>
      </c>
      <c r="DZ640" s="2" t="n">
        <v>90.42</v>
      </c>
      <c r="EA640" s="2" t="n">
        <v>0</v>
      </c>
      <c r="EB640" s="2" t="n">
        <v>91.33</v>
      </c>
      <c r="EC640" s="2" t="n">
        <v>93.64</v>
      </c>
      <c r="ED640" s="2" t="n">
        <v>0</v>
      </c>
      <c r="EE640" s="2" t="n">
        <v>94.48999999999999</v>
      </c>
      <c r="EF640" s="2" t="n">
        <v>96.52</v>
      </c>
      <c r="EG640" s="2" t="n">
        <v>0</v>
      </c>
      <c r="EH640" s="2" t="n">
        <v>98.95999999999999</v>
      </c>
      <c r="EI640" s="2" t="n">
        <v>99.05</v>
      </c>
      <c r="EJ640" s="2" t="n">
        <v>0</v>
      </c>
      <c r="EK640" s="2" t="n">
        <v>99.97</v>
      </c>
      <c r="EL640" s="2" t="n">
        <v>99.97</v>
      </c>
      <c r="EM640" s="2" t="n">
        <v>0</v>
      </c>
      <c r="EN640" s="2" t="n">
        <v>99.97</v>
      </c>
      <c r="EO640" s="2" t="n">
        <v>99.97</v>
      </c>
      <c r="EP640" s="2" t="n">
        <v>0</v>
      </c>
      <c r="EQ640" s="2" t="n">
        <v>99.97</v>
      </c>
      <c r="ER640" s="2" t="n">
        <v>99.97</v>
      </c>
      <c r="ES640" s="2" t="n">
        <v>0</v>
      </c>
    </row>
    <row r="641">
      <c r="A641" s="2" t="n">
        <v>2</v>
      </c>
      <c r="B641" s="2" t="inlineStr">
        <is>
          <t>30.01</t>
        </is>
      </c>
      <c r="C641" s="2" t="inlineStr">
        <is>
          <t>Pisos internos</t>
        </is>
      </c>
      <c r="D641" s="2" t="inlineStr">
        <is>
          <t>06/09/2027</t>
        </is>
      </c>
      <c r="E641" s="2" t="inlineStr">
        <is>
          <t>03/01/2029</t>
        </is>
      </c>
      <c r="F641" s="2" t="n">
        <v>3355985.310816925</v>
      </c>
      <c r="G641" s="2" t="n">
        <v>0</v>
      </c>
      <c r="H641" s="2" t="n">
        <v>3355985.310816925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3.23</v>
      </c>
      <c r="CM641" s="2" t="n">
        <v>4.69</v>
      </c>
      <c r="CN641" s="2" t="n">
        <v>0</v>
      </c>
      <c r="CO641" s="2" t="n">
        <v>9.06</v>
      </c>
      <c r="CP641" s="2" t="n">
        <v>10.51</v>
      </c>
      <c r="CQ641" s="2" t="n">
        <v>0</v>
      </c>
      <c r="CR641" s="2" t="n">
        <v>14.88</v>
      </c>
      <c r="CS641" s="2" t="n">
        <v>16.33</v>
      </c>
      <c r="CT641" s="2" t="n">
        <v>0</v>
      </c>
      <c r="CU641" s="2" t="n">
        <v>19.53</v>
      </c>
      <c r="CV641" s="2" t="n">
        <v>20.99</v>
      </c>
      <c r="CW641" s="2" t="n">
        <v>0</v>
      </c>
      <c r="CX641" s="2" t="n">
        <v>25.75</v>
      </c>
      <c r="CY641" s="2" t="n">
        <v>27.72</v>
      </c>
      <c r="CZ641" s="2" t="n">
        <v>0</v>
      </c>
      <c r="DA641" s="2" t="n">
        <v>34.09</v>
      </c>
      <c r="DB641" s="2" t="n">
        <v>36.07</v>
      </c>
      <c r="DC641" s="2" t="n">
        <v>0</v>
      </c>
      <c r="DD641" s="2" t="n">
        <v>44.31</v>
      </c>
      <c r="DE641" s="2" t="n">
        <v>46.5</v>
      </c>
      <c r="DF641" s="2" t="n">
        <v>0</v>
      </c>
      <c r="DG641" s="2" t="n">
        <v>53.47</v>
      </c>
      <c r="DH641" s="2" t="n">
        <v>55.44</v>
      </c>
      <c r="DI641" s="2" t="n">
        <v>0</v>
      </c>
      <c r="DJ641" s="2" t="n">
        <v>62.14</v>
      </c>
      <c r="DK641" s="2" t="n">
        <v>65.29000000000001</v>
      </c>
      <c r="DL641" s="2" t="n">
        <v>0</v>
      </c>
      <c r="DM641" s="2" t="n">
        <v>71.59999999999999</v>
      </c>
      <c r="DN641" s="2" t="n">
        <v>73.62</v>
      </c>
      <c r="DO641" s="2" t="n">
        <v>0</v>
      </c>
      <c r="DP641" s="2" t="n">
        <v>79.5</v>
      </c>
      <c r="DQ641" s="2" t="n">
        <v>81.53</v>
      </c>
      <c r="DR641" s="2" t="n">
        <v>0</v>
      </c>
      <c r="DS641" s="2" t="n">
        <v>83.81999999999999</v>
      </c>
      <c r="DT641" s="2" t="n">
        <v>85.81999999999999</v>
      </c>
      <c r="DU641" s="2" t="n">
        <v>0</v>
      </c>
      <c r="DV641" s="2" t="n">
        <v>88.51000000000001</v>
      </c>
      <c r="DW641" s="2" t="n">
        <v>91.31</v>
      </c>
      <c r="DX641" s="2" t="n">
        <v>0</v>
      </c>
      <c r="DY641" s="2" t="n">
        <v>93.03</v>
      </c>
      <c r="DZ641" s="2" t="n">
        <v>94.88</v>
      </c>
      <c r="EA641" s="2" t="n">
        <v>0</v>
      </c>
      <c r="EB641" s="2" t="n">
        <v>96.20999999999999</v>
      </c>
      <c r="EC641" s="2" t="n">
        <v>97.95999999999999</v>
      </c>
      <c r="ED641" s="2" t="n">
        <v>0</v>
      </c>
      <c r="EE641" s="2" t="n">
        <v>97.95999999999999</v>
      </c>
      <c r="EF641" s="2" t="n">
        <v>99.65000000000001</v>
      </c>
      <c r="EG641" s="2" t="n">
        <v>0</v>
      </c>
      <c r="EH641" s="2" t="n">
        <v>99.92</v>
      </c>
      <c r="EI641" s="2" t="n">
        <v>99.92</v>
      </c>
      <c r="EJ641" s="2" t="n">
        <v>0</v>
      </c>
      <c r="EK641" s="2" t="n">
        <v>99.92</v>
      </c>
      <c r="EL641" s="2" t="n">
        <v>99.92</v>
      </c>
      <c r="EM641" s="2" t="n">
        <v>0</v>
      </c>
      <c r="EN641" s="2" t="n">
        <v>99.92</v>
      </c>
      <c r="EO641" s="2" t="n">
        <v>99.92</v>
      </c>
      <c r="EP641" s="2" t="n">
        <v>0</v>
      </c>
      <c r="EQ641" s="2" t="n">
        <v>99.92</v>
      </c>
      <c r="ER641" s="2" t="n">
        <v>99.92</v>
      </c>
      <c r="ES641" s="2" t="n">
        <v>0</v>
      </c>
    </row>
    <row r="642">
      <c r="A642" s="2" t="n">
        <v>3</v>
      </c>
      <c r="B642" s="2" t="inlineStr">
        <is>
          <t>30.01.01</t>
        </is>
      </c>
      <c r="C642" s="2" t="inlineStr">
        <is>
          <t>Porcelanato</t>
        </is>
      </c>
      <c r="D642" s="2" t="inlineStr">
        <is>
          <t>06/09/2027</t>
        </is>
      </c>
      <c r="E642" s="2" t="inlineStr">
        <is>
          <t>28/09/2028</t>
        </is>
      </c>
      <c r="F642" s="2" t="n">
        <v>1822942.203467994</v>
      </c>
      <c r="G642" s="2" t="n">
        <v>0</v>
      </c>
      <c r="H642" s="2" t="n">
        <v>1822942.203467994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5.5</v>
      </c>
      <c r="CM642" s="2" t="n">
        <v>7.62</v>
      </c>
      <c r="CN642" s="2" t="n">
        <v>0</v>
      </c>
      <c r="CO642" s="2" t="n">
        <v>13.97</v>
      </c>
      <c r="CP642" s="2" t="n">
        <v>16.09</v>
      </c>
      <c r="CQ642" s="2" t="n">
        <v>0</v>
      </c>
      <c r="CR642" s="2" t="n">
        <v>22.44</v>
      </c>
      <c r="CS642" s="2" t="n">
        <v>24.56</v>
      </c>
      <c r="CT642" s="2" t="n">
        <v>0</v>
      </c>
      <c r="CU642" s="2" t="n">
        <v>29.21</v>
      </c>
      <c r="CV642" s="2" t="n">
        <v>31.33</v>
      </c>
      <c r="CW642" s="2" t="n">
        <v>0</v>
      </c>
      <c r="CX642" s="2" t="n">
        <v>38.11</v>
      </c>
      <c r="CY642" s="2" t="n">
        <v>40.22</v>
      </c>
      <c r="CZ642" s="2" t="n">
        <v>0</v>
      </c>
      <c r="DA642" s="2" t="n">
        <v>47.12</v>
      </c>
      <c r="DB642" s="2" t="n">
        <v>49.25</v>
      </c>
      <c r="DC642" s="2" t="n">
        <v>0</v>
      </c>
      <c r="DD642" s="2" t="n">
        <v>57.62</v>
      </c>
      <c r="DE642" s="2" t="n">
        <v>59.86</v>
      </c>
      <c r="DF642" s="2" t="n">
        <v>0</v>
      </c>
      <c r="DG642" s="2" t="n">
        <v>66.3</v>
      </c>
      <c r="DH642" s="2" t="n">
        <v>68.42</v>
      </c>
      <c r="DI642" s="2" t="n">
        <v>0</v>
      </c>
      <c r="DJ642" s="2" t="n">
        <v>75.62</v>
      </c>
      <c r="DK642" s="2" t="n">
        <v>77.73</v>
      </c>
      <c r="DL642" s="2" t="n">
        <v>0</v>
      </c>
      <c r="DM642" s="2" t="n">
        <v>84.51000000000001</v>
      </c>
      <c r="DN642" s="2" t="n">
        <v>86.73</v>
      </c>
      <c r="DO642" s="2" t="n">
        <v>0</v>
      </c>
      <c r="DP642" s="2" t="n">
        <v>92.72</v>
      </c>
      <c r="DQ642" s="2" t="n">
        <v>94.94</v>
      </c>
      <c r="DR642" s="2" t="n">
        <v>0</v>
      </c>
      <c r="DS642" s="2" t="n">
        <v>95.48</v>
      </c>
      <c r="DT642" s="2" t="n">
        <v>96.04000000000001</v>
      </c>
      <c r="DU642" s="2" t="n">
        <v>0</v>
      </c>
      <c r="DV642" s="2" t="n">
        <v>98.16</v>
      </c>
      <c r="DW642" s="2" t="n">
        <v>99.84999999999999</v>
      </c>
      <c r="DX642" s="2" t="n">
        <v>0</v>
      </c>
      <c r="DY642" s="2" t="n">
        <v>99.84999999999999</v>
      </c>
      <c r="DZ642" s="2" t="n">
        <v>99.84999999999999</v>
      </c>
      <c r="EA642" s="2" t="n">
        <v>0</v>
      </c>
      <c r="EB642" s="2" t="n">
        <v>99.84999999999999</v>
      </c>
      <c r="EC642" s="2" t="n">
        <v>99.84999999999999</v>
      </c>
      <c r="ED642" s="2" t="n">
        <v>0</v>
      </c>
      <c r="EE642" s="2" t="n">
        <v>99.84999999999999</v>
      </c>
      <c r="EF642" s="2" t="n">
        <v>99.84999999999999</v>
      </c>
      <c r="EG642" s="2" t="n">
        <v>0</v>
      </c>
      <c r="EH642" s="2" t="n">
        <v>99.84999999999999</v>
      </c>
      <c r="EI642" s="2" t="n">
        <v>99.84999999999999</v>
      </c>
      <c r="EJ642" s="2" t="n">
        <v>0</v>
      </c>
      <c r="EK642" s="2" t="n">
        <v>99.84999999999999</v>
      </c>
      <c r="EL642" s="2" t="n">
        <v>99.84999999999999</v>
      </c>
      <c r="EM642" s="2" t="n">
        <v>0</v>
      </c>
      <c r="EN642" s="2" t="n">
        <v>99.84999999999999</v>
      </c>
      <c r="EO642" s="2" t="n">
        <v>99.84999999999999</v>
      </c>
      <c r="EP642" s="2" t="n">
        <v>0</v>
      </c>
      <c r="EQ642" s="2" t="n">
        <v>99.84999999999999</v>
      </c>
      <c r="ER642" s="2" t="n">
        <v>99.84999999999999</v>
      </c>
      <c r="ES642" s="2" t="n">
        <v>0</v>
      </c>
    </row>
    <row r="643">
      <c r="A643" s="2" t="n">
        <v>4</v>
      </c>
      <c r="B643" s="2" t="inlineStr">
        <is>
          <t>30.01.01.01</t>
        </is>
      </c>
      <c r="C643" s="2" t="inlineStr">
        <is>
          <t>Piso Porcelanato, 120x120cm, com acabamento acetinado. Ref.: Eliane, Khali OffWhite AC, assentado com argamassa colante em pó ACIII</t>
        </is>
      </c>
      <c r="D643" s="2" t="inlineStr">
        <is>
          <t>06/09/2027</t>
        </is>
      </c>
      <c r="E643" s="2" t="inlineStr">
        <is>
          <t>28/09/2028</t>
        </is>
      </c>
      <c r="F643" s="2" t="n">
        <v>1626387.356618633</v>
      </c>
      <c r="G643" s="2" t="n">
        <v>0</v>
      </c>
      <c r="H643" s="2" t="n">
        <v>1626387.356618633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5.5</v>
      </c>
      <c r="CM643" s="2" t="n">
        <v>7.62</v>
      </c>
      <c r="CN643" s="2" t="n">
        <v>0</v>
      </c>
      <c r="CO643" s="2" t="n">
        <v>13.97</v>
      </c>
      <c r="CP643" s="2" t="n">
        <v>16.09</v>
      </c>
      <c r="CQ643" s="2" t="n">
        <v>0</v>
      </c>
      <c r="CR643" s="2" t="n">
        <v>22.44</v>
      </c>
      <c r="CS643" s="2" t="n">
        <v>24.56</v>
      </c>
      <c r="CT643" s="2" t="n">
        <v>0</v>
      </c>
      <c r="CU643" s="2" t="n">
        <v>29.21</v>
      </c>
      <c r="CV643" s="2" t="n">
        <v>31.33</v>
      </c>
      <c r="CW643" s="2" t="n">
        <v>0</v>
      </c>
      <c r="CX643" s="2" t="n">
        <v>38.11</v>
      </c>
      <c r="CY643" s="2" t="n">
        <v>40.22</v>
      </c>
      <c r="CZ643" s="2" t="n">
        <v>0</v>
      </c>
      <c r="DA643" s="2" t="n">
        <v>47.12</v>
      </c>
      <c r="DB643" s="2" t="n">
        <v>49.25</v>
      </c>
      <c r="DC643" s="2" t="n">
        <v>0</v>
      </c>
      <c r="DD643" s="2" t="n">
        <v>57.62</v>
      </c>
      <c r="DE643" s="2" t="n">
        <v>59.86</v>
      </c>
      <c r="DF643" s="2" t="n">
        <v>0</v>
      </c>
      <c r="DG643" s="2" t="n">
        <v>66.3</v>
      </c>
      <c r="DH643" s="2" t="n">
        <v>68.42</v>
      </c>
      <c r="DI643" s="2" t="n">
        <v>0</v>
      </c>
      <c r="DJ643" s="2" t="n">
        <v>75.62</v>
      </c>
      <c r="DK643" s="2" t="n">
        <v>77.73</v>
      </c>
      <c r="DL643" s="2" t="n">
        <v>0</v>
      </c>
      <c r="DM643" s="2" t="n">
        <v>84.51000000000001</v>
      </c>
      <c r="DN643" s="2" t="n">
        <v>86.73</v>
      </c>
      <c r="DO643" s="2" t="n">
        <v>0</v>
      </c>
      <c r="DP643" s="2" t="n">
        <v>92.72</v>
      </c>
      <c r="DQ643" s="2" t="n">
        <v>94.94</v>
      </c>
      <c r="DR643" s="2" t="n">
        <v>0</v>
      </c>
      <c r="DS643" s="2" t="n">
        <v>95.48</v>
      </c>
      <c r="DT643" s="2" t="n">
        <v>96.04000000000001</v>
      </c>
      <c r="DU643" s="2" t="n">
        <v>0</v>
      </c>
      <c r="DV643" s="2" t="n">
        <v>98.16</v>
      </c>
      <c r="DW643" s="2" t="n">
        <v>99.84999999999999</v>
      </c>
      <c r="DX643" s="2" t="n">
        <v>0</v>
      </c>
      <c r="DY643" s="2" t="n">
        <v>99.84999999999999</v>
      </c>
      <c r="DZ643" s="2" t="n">
        <v>99.84999999999999</v>
      </c>
      <c r="EA643" s="2" t="n">
        <v>0</v>
      </c>
      <c r="EB643" s="2" t="n">
        <v>99.84999999999999</v>
      </c>
      <c r="EC643" s="2" t="n">
        <v>99.84999999999999</v>
      </c>
      <c r="ED643" s="2" t="n">
        <v>0</v>
      </c>
      <c r="EE643" s="2" t="n">
        <v>99.84999999999999</v>
      </c>
      <c r="EF643" s="2" t="n">
        <v>99.84999999999999</v>
      </c>
      <c r="EG643" s="2" t="n">
        <v>0</v>
      </c>
      <c r="EH643" s="2" t="n">
        <v>99.84999999999999</v>
      </c>
      <c r="EI643" s="2" t="n">
        <v>99.84999999999999</v>
      </c>
      <c r="EJ643" s="2" t="n">
        <v>0</v>
      </c>
      <c r="EK643" s="2" t="n">
        <v>99.84999999999999</v>
      </c>
      <c r="EL643" s="2" t="n">
        <v>99.84999999999999</v>
      </c>
      <c r="EM643" s="2" t="n">
        <v>0</v>
      </c>
      <c r="EN643" s="2" t="n">
        <v>99.84999999999999</v>
      </c>
      <c r="EO643" s="2" t="n">
        <v>99.84999999999999</v>
      </c>
      <c r="EP643" s="2" t="n">
        <v>0</v>
      </c>
      <c r="EQ643" s="2" t="n">
        <v>99.84999999999999</v>
      </c>
      <c r="ER643" s="2" t="n">
        <v>99.84999999999999</v>
      </c>
      <c r="ES643" s="2" t="n">
        <v>0</v>
      </c>
    </row>
    <row r="644">
      <c r="A644" s="2" t="n">
        <v>4</v>
      </c>
      <c r="B644" s="2" t="inlineStr">
        <is>
          <t>30.01.01.02</t>
        </is>
      </c>
      <c r="C644" s="2" t="inlineStr">
        <is>
          <t>Piso Porcelanato, 90x90cm, com acabamento acetinado. Ref.: Eliane, Khali OffWhite AC, assentado com argamassa colante em pó ACIII</t>
        </is>
      </c>
      <c r="D644" s="2" t="inlineStr">
        <is>
          <t>06/09/2027</t>
        </is>
      </c>
      <c r="E644" s="2" t="inlineStr">
        <is>
          <t>28/09/2028</t>
        </is>
      </c>
      <c r="F644" s="2" t="n">
        <v>109859.4855055257</v>
      </c>
      <c r="G644" s="2" t="n">
        <v>0</v>
      </c>
      <c r="H644" s="2" t="n">
        <v>109859.4855055257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5.5</v>
      </c>
      <c r="CM644" s="2" t="n">
        <v>7.62</v>
      </c>
      <c r="CN644" s="2" t="n">
        <v>0</v>
      </c>
      <c r="CO644" s="2" t="n">
        <v>13.97</v>
      </c>
      <c r="CP644" s="2" t="n">
        <v>16.09</v>
      </c>
      <c r="CQ644" s="2" t="n">
        <v>0</v>
      </c>
      <c r="CR644" s="2" t="n">
        <v>22.44</v>
      </c>
      <c r="CS644" s="2" t="n">
        <v>24.56</v>
      </c>
      <c r="CT644" s="2" t="n">
        <v>0</v>
      </c>
      <c r="CU644" s="2" t="n">
        <v>29.21</v>
      </c>
      <c r="CV644" s="2" t="n">
        <v>31.33</v>
      </c>
      <c r="CW644" s="2" t="n">
        <v>0</v>
      </c>
      <c r="CX644" s="2" t="n">
        <v>38.11</v>
      </c>
      <c r="CY644" s="2" t="n">
        <v>40.22</v>
      </c>
      <c r="CZ644" s="2" t="n">
        <v>0</v>
      </c>
      <c r="DA644" s="2" t="n">
        <v>47.12</v>
      </c>
      <c r="DB644" s="2" t="n">
        <v>49.25</v>
      </c>
      <c r="DC644" s="2" t="n">
        <v>0</v>
      </c>
      <c r="DD644" s="2" t="n">
        <v>57.62</v>
      </c>
      <c r="DE644" s="2" t="n">
        <v>59.86</v>
      </c>
      <c r="DF644" s="2" t="n">
        <v>0</v>
      </c>
      <c r="DG644" s="2" t="n">
        <v>66.3</v>
      </c>
      <c r="DH644" s="2" t="n">
        <v>68.42</v>
      </c>
      <c r="DI644" s="2" t="n">
        <v>0</v>
      </c>
      <c r="DJ644" s="2" t="n">
        <v>75.62</v>
      </c>
      <c r="DK644" s="2" t="n">
        <v>77.73</v>
      </c>
      <c r="DL644" s="2" t="n">
        <v>0</v>
      </c>
      <c r="DM644" s="2" t="n">
        <v>84.51000000000001</v>
      </c>
      <c r="DN644" s="2" t="n">
        <v>86.73</v>
      </c>
      <c r="DO644" s="2" t="n">
        <v>0</v>
      </c>
      <c r="DP644" s="2" t="n">
        <v>92.72</v>
      </c>
      <c r="DQ644" s="2" t="n">
        <v>94.94</v>
      </c>
      <c r="DR644" s="2" t="n">
        <v>0</v>
      </c>
      <c r="DS644" s="2" t="n">
        <v>95.48</v>
      </c>
      <c r="DT644" s="2" t="n">
        <v>96.04000000000001</v>
      </c>
      <c r="DU644" s="2" t="n">
        <v>0</v>
      </c>
      <c r="DV644" s="2" t="n">
        <v>98.16</v>
      </c>
      <c r="DW644" s="2" t="n">
        <v>99.84999999999999</v>
      </c>
      <c r="DX644" s="2" t="n">
        <v>0</v>
      </c>
      <c r="DY644" s="2" t="n">
        <v>99.84999999999999</v>
      </c>
      <c r="DZ644" s="2" t="n">
        <v>99.84999999999999</v>
      </c>
      <c r="EA644" s="2" t="n">
        <v>0</v>
      </c>
      <c r="EB644" s="2" t="n">
        <v>99.84999999999999</v>
      </c>
      <c r="EC644" s="2" t="n">
        <v>99.84999999999999</v>
      </c>
      <c r="ED644" s="2" t="n">
        <v>0</v>
      </c>
      <c r="EE644" s="2" t="n">
        <v>99.84999999999999</v>
      </c>
      <c r="EF644" s="2" t="n">
        <v>99.84999999999999</v>
      </c>
      <c r="EG644" s="2" t="n">
        <v>0</v>
      </c>
      <c r="EH644" s="2" t="n">
        <v>99.84999999999999</v>
      </c>
      <c r="EI644" s="2" t="n">
        <v>99.84999999999999</v>
      </c>
      <c r="EJ644" s="2" t="n">
        <v>0</v>
      </c>
      <c r="EK644" s="2" t="n">
        <v>99.84999999999999</v>
      </c>
      <c r="EL644" s="2" t="n">
        <v>99.84999999999999</v>
      </c>
      <c r="EM644" s="2" t="n">
        <v>0</v>
      </c>
      <c r="EN644" s="2" t="n">
        <v>99.84999999999999</v>
      </c>
      <c r="EO644" s="2" t="n">
        <v>99.84999999999999</v>
      </c>
      <c r="EP644" s="2" t="n">
        <v>0</v>
      </c>
      <c r="EQ644" s="2" t="n">
        <v>99.84999999999999</v>
      </c>
      <c r="ER644" s="2" t="n">
        <v>99.84999999999999</v>
      </c>
      <c r="ES644" s="2" t="n">
        <v>0</v>
      </c>
    </row>
    <row r="645">
      <c r="A645" s="2" t="n">
        <v>4</v>
      </c>
      <c r="B645" s="2" t="inlineStr">
        <is>
          <t>30.01.01.03</t>
        </is>
      </c>
      <c r="C645" s="2" t="inlineStr">
        <is>
          <t>Piso Porcelanato, 120x120cm, com acabamento resistente ao escorregamento. Ref.: Eliane, Khali OffWhite EXT, assentado com argamassa colante em pó ACIII</t>
        </is>
      </c>
      <c r="D645" s="2" t="inlineStr">
        <is>
          <t>06/09/2027</t>
        </is>
      </c>
      <c r="E645" s="2" t="inlineStr">
        <is>
          <t>28/09/2028</t>
        </is>
      </c>
      <c r="F645" s="2" t="n">
        <v>37762.23243934309</v>
      </c>
      <c r="G645" s="2" t="n">
        <v>0</v>
      </c>
      <c r="H645" s="2" t="n">
        <v>37762.23243934309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5.5</v>
      </c>
      <c r="CM645" s="2" t="n">
        <v>7.62</v>
      </c>
      <c r="CN645" s="2" t="n">
        <v>0</v>
      </c>
      <c r="CO645" s="2" t="n">
        <v>13.97</v>
      </c>
      <c r="CP645" s="2" t="n">
        <v>16.09</v>
      </c>
      <c r="CQ645" s="2" t="n">
        <v>0</v>
      </c>
      <c r="CR645" s="2" t="n">
        <v>22.44</v>
      </c>
      <c r="CS645" s="2" t="n">
        <v>24.56</v>
      </c>
      <c r="CT645" s="2" t="n">
        <v>0</v>
      </c>
      <c r="CU645" s="2" t="n">
        <v>29.21</v>
      </c>
      <c r="CV645" s="2" t="n">
        <v>31.33</v>
      </c>
      <c r="CW645" s="2" t="n">
        <v>0</v>
      </c>
      <c r="CX645" s="2" t="n">
        <v>38.11</v>
      </c>
      <c r="CY645" s="2" t="n">
        <v>40.22</v>
      </c>
      <c r="CZ645" s="2" t="n">
        <v>0</v>
      </c>
      <c r="DA645" s="2" t="n">
        <v>47.12</v>
      </c>
      <c r="DB645" s="2" t="n">
        <v>49.25</v>
      </c>
      <c r="DC645" s="2" t="n">
        <v>0</v>
      </c>
      <c r="DD645" s="2" t="n">
        <v>57.62</v>
      </c>
      <c r="DE645" s="2" t="n">
        <v>59.86</v>
      </c>
      <c r="DF645" s="2" t="n">
        <v>0</v>
      </c>
      <c r="DG645" s="2" t="n">
        <v>66.3</v>
      </c>
      <c r="DH645" s="2" t="n">
        <v>68.42</v>
      </c>
      <c r="DI645" s="2" t="n">
        <v>0</v>
      </c>
      <c r="DJ645" s="2" t="n">
        <v>75.62</v>
      </c>
      <c r="DK645" s="2" t="n">
        <v>77.73</v>
      </c>
      <c r="DL645" s="2" t="n">
        <v>0</v>
      </c>
      <c r="DM645" s="2" t="n">
        <v>84.51000000000001</v>
      </c>
      <c r="DN645" s="2" t="n">
        <v>86.73</v>
      </c>
      <c r="DO645" s="2" t="n">
        <v>0</v>
      </c>
      <c r="DP645" s="2" t="n">
        <v>92.72</v>
      </c>
      <c r="DQ645" s="2" t="n">
        <v>94.94</v>
      </c>
      <c r="DR645" s="2" t="n">
        <v>0</v>
      </c>
      <c r="DS645" s="2" t="n">
        <v>95.48</v>
      </c>
      <c r="DT645" s="2" t="n">
        <v>96.04000000000001</v>
      </c>
      <c r="DU645" s="2" t="n">
        <v>0</v>
      </c>
      <c r="DV645" s="2" t="n">
        <v>98.16</v>
      </c>
      <c r="DW645" s="2" t="n">
        <v>99.84999999999999</v>
      </c>
      <c r="DX645" s="2" t="n">
        <v>0</v>
      </c>
      <c r="DY645" s="2" t="n">
        <v>99.84999999999999</v>
      </c>
      <c r="DZ645" s="2" t="n">
        <v>99.84999999999999</v>
      </c>
      <c r="EA645" s="2" t="n">
        <v>0</v>
      </c>
      <c r="EB645" s="2" t="n">
        <v>99.84999999999999</v>
      </c>
      <c r="EC645" s="2" t="n">
        <v>99.84999999999999</v>
      </c>
      <c r="ED645" s="2" t="n">
        <v>0</v>
      </c>
      <c r="EE645" s="2" t="n">
        <v>99.84999999999999</v>
      </c>
      <c r="EF645" s="2" t="n">
        <v>99.84999999999999</v>
      </c>
      <c r="EG645" s="2" t="n">
        <v>0</v>
      </c>
      <c r="EH645" s="2" t="n">
        <v>99.84999999999999</v>
      </c>
      <c r="EI645" s="2" t="n">
        <v>99.84999999999999</v>
      </c>
      <c r="EJ645" s="2" t="n">
        <v>0</v>
      </c>
      <c r="EK645" s="2" t="n">
        <v>99.84999999999999</v>
      </c>
      <c r="EL645" s="2" t="n">
        <v>99.84999999999999</v>
      </c>
      <c r="EM645" s="2" t="n">
        <v>0</v>
      </c>
      <c r="EN645" s="2" t="n">
        <v>99.84999999999999</v>
      </c>
      <c r="EO645" s="2" t="n">
        <v>99.84999999999999</v>
      </c>
      <c r="EP645" s="2" t="n">
        <v>0</v>
      </c>
      <c r="EQ645" s="2" t="n">
        <v>99.84999999999999</v>
      </c>
      <c r="ER645" s="2" t="n">
        <v>99.84999999999999</v>
      </c>
      <c r="ES645" s="2" t="n">
        <v>0</v>
      </c>
    </row>
    <row r="646">
      <c r="A646" s="2" t="n">
        <v>4</v>
      </c>
      <c r="B646" s="2" t="inlineStr">
        <is>
          <t>30.01.01.04</t>
        </is>
      </c>
      <c r="C646" s="2" t="inlineStr">
        <is>
          <t>Piso Porcelanato 90x90cm, com acabamento acetinado. Ref.: Eliane, Munari Branco AC, assentado com argamassa colante em pó ACIII</t>
        </is>
      </c>
      <c r="D646" s="2" t="inlineStr">
        <is>
          <t>06/09/2027</t>
        </is>
      </c>
      <c r="E646" s="2" t="inlineStr">
        <is>
          <t>28/09/2028</t>
        </is>
      </c>
      <c r="F646" s="2" t="n">
        <v>3833.522855622626</v>
      </c>
      <c r="G646" s="2" t="n">
        <v>0</v>
      </c>
      <c r="H646" s="2" t="n">
        <v>3833.522855622626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5.5</v>
      </c>
      <c r="CM646" s="2" t="n">
        <v>7.62</v>
      </c>
      <c r="CN646" s="2" t="n">
        <v>0</v>
      </c>
      <c r="CO646" s="2" t="n">
        <v>13.97</v>
      </c>
      <c r="CP646" s="2" t="n">
        <v>16.09</v>
      </c>
      <c r="CQ646" s="2" t="n">
        <v>0</v>
      </c>
      <c r="CR646" s="2" t="n">
        <v>22.44</v>
      </c>
      <c r="CS646" s="2" t="n">
        <v>24.56</v>
      </c>
      <c r="CT646" s="2" t="n">
        <v>0</v>
      </c>
      <c r="CU646" s="2" t="n">
        <v>29.21</v>
      </c>
      <c r="CV646" s="2" t="n">
        <v>31.33</v>
      </c>
      <c r="CW646" s="2" t="n">
        <v>0</v>
      </c>
      <c r="CX646" s="2" t="n">
        <v>38.11</v>
      </c>
      <c r="CY646" s="2" t="n">
        <v>40.22</v>
      </c>
      <c r="CZ646" s="2" t="n">
        <v>0</v>
      </c>
      <c r="DA646" s="2" t="n">
        <v>47.12</v>
      </c>
      <c r="DB646" s="2" t="n">
        <v>49.25</v>
      </c>
      <c r="DC646" s="2" t="n">
        <v>0</v>
      </c>
      <c r="DD646" s="2" t="n">
        <v>57.62</v>
      </c>
      <c r="DE646" s="2" t="n">
        <v>59.86</v>
      </c>
      <c r="DF646" s="2" t="n">
        <v>0</v>
      </c>
      <c r="DG646" s="2" t="n">
        <v>66.3</v>
      </c>
      <c r="DH646" s="2" t="n">
        <v>68.42</v>
      </c>
      <c r="DI646" s="2" t="n">
        <v>0</v>
      </c>
      <c r="DJ646" s="2" t="n">
        <v>75.62</v>
      </c>
      <c r="DK646" s="2" t="n">
        <v>77.73</v>
      </c>
      <c r="DL646" s="2" t="n">
        <v>0</v>
      </c>
      <c r="DM646" s="2" t="n">
        <v>84.51000000000001</v>
      </c>
      <c r="DN646" s="2" t="n">
        <v>86.73</v>
      </c>
      <c r="DO646" s="2" t="n">
        <v>0</v>
      </c>
      <c r="DP646" s="2" t="n">
        <v>92.72</v>
      </c>
      <c r="DQ646" s="2" t="n">
        <v>94.94</v>
      </c>
      <c r="DR646" s="2" t="n">
        <v>0</v>
      </c>
      <c r="DS646" s="2" t="n">
        <v>95.48</v>
      </c>
      <c r="DT646" s="2" t="n">
        <v>96.04000000000001</v>
      </c>
      <c r="DU646" s="2" t="n">
        <v>0</v>
      </c>
      <c r="DV646" s="2" t="n">
        <v>98.16</v>
      </c>
      <c r="DW646" s="2" t="n">
        <v>99.84999999999999</v>
      </c>
      <c r="DX646" s="2" t="n">
        <v>0</v>
      </c>
      <c r="DY646" s="2" t="n">
        <v>99.84999999999999</v>
      </c>
      <c r="DZ646" s="2" t="n">
        <v>99.84999999999999</v>
      </c>
      <c r="EA646" s="2" t="n">
        <v>0</v>
      </c>
      <c r="EB646" s="2" t="n">
        <v>99.84999999999999</v>
      </c>
      <c r="EC646" s="2" t="n">
        <v>99.84999999999999</v>
      </c>
      <c r="ED646" s="2" t="n">
        <v>0</v>
      </c>
      <c r="EE646" s="2" t="n">
        <v>99.84999999999999</v>
      </c>
      <c r="EF646" s="2" t="n">
        <v>99.84999999999999</v>
      </c>
      <c r="EG646" s="2" t="n">
        <v>0</v>
      </c>
      <c r="EH646" s="2" t="n">
        <v>99.84999999999999</v>
      </c>
      <c r="EI646" s="2" t="n">
        <v>99.84999999999999</v>
      </c>
      <c r="EJ646" s="2" t="n">
        <v>0</v>
      </c>
      <c r="EK646" s="2" t="n">
        <v>99.84999999999999</v>
      </c>
      <c r="EL646" s="2" t="n">
        <v>99.84999999999999</v>
      </c>
      <c r="EM646" s="2" t="n">
        <v>0</v>
      </c>
      <c r="EN646" s="2" t="n">
        <v>99.84999999999999</v>
      </c>
      <c r="EO646" s="2" t="n">
        <v>99.84999999999999</v>
      </c>
      <c r="EP646" s="2" t="n">
        <v>0</v>
      </c>
      <c r="EQ646" s="2" t="n">
        <v>99.84999999999999</v>
      </c>
      <c r="ER646" s="2" t="n">
        <v>99.84999999999999</v>
      </c>
      <c r="ES646" s="2" t="n">
        <v>0</v>
      </c>
    </row>
    <row r="647">
      <c r="A647" s="2" t="n">
        <v>4</v>
      </c>
      <c r="B647" s="2" t="inlineStr">
        <is>
          <t>30.01.01.05</t>
        </is>
      </c>
      <c r="C647" s="2" t="inlineStr">
        <is>
          <t>Piso Porcelanato 60x60cm, com acabamento acetinado. Ref.: Eliane, Munari Branco AC assentado com argamassa colante em pó ACIII</t>
        </is>
      </c>
      <c r="D647" s="2" t="inlineStr">
        <is>
          <t>06/09/2027</t>
        </is>
      </c>
      <c r="E647" s="2" t="inlineStr">
        <is>
          <t>28/09/2028</t>
        </is>
      </c>
      <c r="F647" s="2" t="n">
        <v>26853.370096</v>
      </c>
      <c r="G647" s="2" t="n">
        <v>0</v>
      </c>
      <c r="H647" s="2" t="n">
        <v>26853.370096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5.5</v>
      </c>
      <c r="CM647" s="2" t="n">
        <v>7.62</v>
      </c>
      <c r="CN647" s="2" t="n">
        <v>0</v>
      </c>
      <c r="CO647" s="2" t="n">
        <v>13.97</v>
      </c>
      <c r="CP647" s="2" t="n">
        <v>16.09</v>
      </c>
      <c r="CQ647" s="2" t="n">
        <v>0</v>
      </c>
      <c r="CR647" s="2" t="n">
        <v>22.44</v>
      </c>
      <c r="CS647" s="2" t="n">
        <v>24.56</v>
      </c>
      <c r="CT647" s="2" t="n">
        <v>0</v>
      </c>
      <c r="CU647" s="2" t="n">
        <v>29.21</v>
      </c>
      <c r="CV647" s="2" t="n">
        <v>31.33</v>
      </c>
      <c r="CW647" s="2" t="n">
        <v>0</v>
      </c>
      <c r="CX647" s="2" t="n">
        <v>38.11</v>
      </c>
      <c r="CY647" s="2" t="n">
        <v>40.22</v>
      </c>
      <c r="CZ647" s="2" t="n">
        <v>0</v>
      </c>
      <c r="DA647" s="2" t="n">
        <v>47.12</v>
      </c>
      <c r="DB647" s="2" t="n">
        <v>49.25</v>
      </c>
      <c r="DC647" s="2" t="n">
        <v>0</v>
      </c>
      <c r="DD647" s="2" t="n">
        <v>57.62</v>
      </c>
      <c r="DE647" s="2" t="n">
        <v>59.86</v>
      </c>
      <c r="DF647" s="2" t="n">
        <v>0</v>
      </c>
      <c r="DG647" s="2" t="n">
        <v>66.3</v>
      </c>
      <c r="DH647" s="2" t="n">
        <v>68.42</v>
      </c>
      <c r="DI647" s="2" t="n">
        <v>0</v>
      </c>
      <c r="DJ647" s="2" t="n">
        <v>75.62</v>
      </c>
      <c r="DK647" s="2" t="n">
        <v>77.73</v>
      </c>
      <c r="DL647" s="2" t="n">
        <v>0</v>
      </c>
      <c r="DM647" s="2" t="n">
        <v>84.51000000000001</v>
      </c>
      <c r="DN647" s="2" t="n">
        <v>86.73</v>
      </c>
      <c r="DO647" s="2" t="n">
        <v>0</v>
      </c>
      <c r="DP647" s="2" t="n">
        <v>92.72</v>
      </c>
      <c r="DQ647" s="2" t="n">
        <v>94.94</v>
      </c>
      <c r="DR647" s="2" t="n">
        <v>0</v>
      </c>
      <c r="DS647" s="2" t="n">
        <v>95.48</v>
      </c>
      <c r="DT647" s="2" t="n">
        <v>96.04000000000001</v>
      </c>
      <c r="DU647" s="2" t="n">
        <v>0</v>
      </c>
      <c r="DV647" s="2" t="n">
        <v>98.16</v>
      </c>
      <c r="DW647" s="2" t="n">
        <v>99.84999999999999</v>
      </c>
      <c r="DX647" s="2" t="n">
        <v>0</v>
      </c>
      <c r="DY647" s="2" t="n">
        <v>99.84999999999999</v>
      </c>
      <c r="DZ647" s="2" t="n">
        <v>99.84999999999999</v>
      </c>
      <c r="EA647" s="2" t="n">
        <v>0</v>
      </c>
      <c r="EB647" s="2" t="n">
        <v>99.84999999999999</v>
      </c>
      <c r="EC647" s="2" t="n">
        <v>99.84999999999999</v>
      </c>
      <c r="ED647" s="2" t="n">
        <v>0</v>
      </c>
      <c r="EE647" s="2" t="n">
        <v>99.84999999999999</v>
      </c>
      <c r="EF647" s="2" t="n">
        <v>99.84999999999999</v>
      </c>
      <c r="EG647" s="2" t="n">
        <v>0</v>
      </c>
      <c r="EH647" s="2" t="n">
        <v>99.84999999999999</v>
      </c>
      <c r="EI647" s="2" t="n">
        <v>99.84999999999999</v>
      </c>
      <c r="EJ647" s="2" t="n">
        <v>0</v>
      </c>
      <c r="EK647" s="2" t="n">
        <v>99.84999999999999</v>
      </c>
      <c r="EL647" s="2" t="n">
        <v>99.84999999999999</v>
      </c>
      <c r="EM647" s="2" t="n">
        <v>0</v>
      </c>
      <c r="EN647" s="2" t="n">
        <v>99.84999999999999</v>
      </c>
      <c r="EO647" s="2" t="n">
        <v>99.84999999999999</v>
      </c>
      <c r="EP647" s="2" t="n">
        <v>0</v>
      </c>
      <c r="EQ647" s="2" t="n">
        <v>99.84999999999999</v>
      </c>
      <c r="ER647" s="2" t="n">
        <v>99.84999999999999</v>
      </c>
      <c r="ES647" s="2" t="n">
        <v>0</v>
      </c>
    </row>
    <row r="648">
      <c r="A648" s="2" t="n">
        <v>4</v>
      </c>
      <c r="B648" s="2" t="inlineStr">
        <is>
          <t>30.01.01.06</t>
        </is>
      </c>
      <c r="C648" s="2" t="inlineStr">
        <is>
          <t>Piso Porcelanato Eliane Munari Branco AC 90x90cm, assentado com argamassa colante em pó ACIII</t>
        </is>
      </c>
      <c r="D648" s="2" t="inlineStr">
        <is>
          <t>06/09/2027</t>
        </is>
      </c>
      <c r="E648" s="2" t="inlineStr">
        <is>
          <t>28/09/2028</t>
        </is>
      </c>
      <c r="F648" s="2" t="n">
        <v>1274.945858347828</v>
      </c>
      <c r="G648" s="2" t="n">
        <v>0</v>
      </c>
      <c r="H648" s="2" t="n">
        <v>1274.945858347828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5.5</v>
      </c>
      <c r="CM648" s="2" t="n">
        <v>7.62</v>
      </c>
      <c r="CN648" s="2" t="n">
        <v>0</v>
      </c>
      <c r="CO648" s="2" t="n">
        <v>13.97</v>
      </c>
      <c r="CP648" s="2" t="n">
        <v>16.09</v>
      </c>
      <c r="CQ648" s="2" t="n">
        <v>0</v>
      </c>
      <c r="CR648" s="2" t="n">
        <v>22.44</v>
      </c>
      <c r="CS648" s="2" t="n">
        <v>24.56</v>
      </c>
      <c r="CT648" s="2" t="n">
        <v>0</v>
      </c>
      <c r="CU648" s="2" t="n">
        <v>29.21</v>
      </c>
      <c r="CV648" s="2" t="n">
        <v>31.33</v>
      </c>
      <c r="CW648" s="2" t="n">
        <v>0</v>
      </c>
      <c r="CX648" s="2" t="n">
        <v>38.11</v>
      </c>
      <c r="CY648" s="2" t="n">
        <v>40.22</v>
      </c>
      <c r="CZ648" s="2" t="n">
        <v>0</v>
      </c>
      <c r="DA648" s="2" t="n">
        <v>47.12</v>
      </c>
      <c r="DB648" s="2" t="n">
        <v>49.25</v>
      </c>
      <c r="DC648" s="2" t="n">
        <v>0</v>
      </c>
      <c r="DD648" s="2" t="n">
        <v>57.62</v>
      </c>
      <c r="DE648" s="2" t="n">
        <v>59.86</v>
      </c>
      <c r="DF648" s="2" t="n">
        <v>0</v>
      </c>
      <c r="DG648" s="2" t="n">
        <v>66.3</v>
      </c>
      <c r="DH648" s="2" t="n">
        <v>68.42</v>
      </c>
      <c r="DI648" s="2" t="n">
        <v>0</v>
      </c>
      <c r="DJ648" s="2" t="n">
        <v>75.62</v>
      </c>
      <c r="DK648" s="2" t="n">
        <v>77.73</v>
      </c>
      <c r="DL648" s="2" t="n">
        <v>0</v>
      </c>
      <c r="DM648" s="2" t="n">
        <v>84.51000000000001</v>
      </c>
      <c r="DN648" s="2" t="n">
        <v>86.73</v>
      </c>
      <c r="DO648" s="2" t="n">
        <v>0</v>
      </c>
      <c r="DP648" s="2" t="n">
        <v>92.72</v>
      </c>
      <c r="DQ648" s="2" t="n">
        <v>94.94</v>
      </c>
      <c r="DR648" s="2" t="n">
        <v>0</v>
      </c>
      <c r="DS648" s="2" t="n">
        <v>95.48</v>
      </c>
      <c r="DT648" s="2" t="n">
        <v>96.04000000000001</v>
      </c>
      <c r="DU648" s="2" t="n">
        <v>0</v>
      </c>
      <c r="DV648" s="2" t="n">
        <v>98.16</v>
      </c>
      <c r="DW648" s="2" t="n">
        <v>99.84999999999999</v>
      </c>
      <c r="DX648" s="2" t="n">
        <v>0</v>
      </c>
      <c r="DY648" s="2" t="n">
        <v>99.84999999999999</v>
      </c>
      <c r="DZ648" s="2" t="n">
        <v>99.84999999999999</v>
      </c>
      <c r="EA648" s="2" t="n">
        <v>0</v>
      </c>
      <c r="EB648" s="2" t="n">
        <v>99.84999999999999</v>
      </c>
      <c r="EC648" s="2" t="n">
        <v>99.84999999999999</v>
      </c>
      <c r="ED648" s="2" t="n">
        <v>0</v>
      </c>
      <c r="EE648" s="2" t="n">
        <v>99.84999999999999</v>
      </c>
      <c r="EF648" s="2" t="n">
        <v>99.84999999999999</v>
      </c>
      <c r="EG648" s="2" t="n">
        <v>0</v>
      </c>
      <c r="EH648" s="2" t="n">
        <v>99.84999999999999</v>
      </c>
      <c r="EI648" s="2" t="n">
        <v>99.84999999999999</v>
      </c>
      <c r="EJ648" s="2" t="n">
        <v>0</v>
      </c>
      <c r="EK648" s="2" t="n">
        <v>99.84999999999999</v>
      </c>
      <c r="EL648" s="2" t="n">
        <v>99.84999999999999</v>
      </c>
      <c r="EM648" s="2" t="n">
        <v>0</v>
      </c>
      <c r="EN648" s="2" t="n">
        <v>99.84999999999999</v>
      </c>
      <c r="EO648" s="2" t="n">
        <v>99.84999999999999</v>
      </c>
      <c r="EP648" s="2" t="n">
        <v>0</v>
      </c>
      <c r="EQ648" s="2" t="n">
        <v>99.84999999999999</v>
      </c>
      <c r="ER648" s="2" t="n">
        <v>99.84999999999999</v>
      </c>
      <c r="ES648" s="2" t="n">
        <v>0</v>
      </c>
    </row>
    <row r="649">
      <c r="A649" s="2" t="n">
        <v>4</v>
      </c>
      <c r="B649" s="2" t="inlineStr">
        <is>
          <t>30.01.01.07</t>
        </is>
      </c>
      <c r="C649" s="2" t="inlineStr">
        <is>
          <t>Piso Porcelanato Eliane FGMF Silica Corda MA 120x120cm, assentado com argamassa colante em pó ACIII</t>
        </is>
      </c>
      <c r="D649" s="2" t="inlineStr">
        <is>
          <t>06/09/2027</t>
        </is>
      </c>
      <c r="E649" s="2" t="inlineStr">
        <is>
          <t>28/09/2028</t>
        </is>
      </c>
      <c r="F649" s="2" t="n">
        <v>16971.29009452077</v>
      </c>
      <c r="G649" s="2" t="n">
        <v>0</v>
      </c>
      <c r="H649" s="2" t="n">
        <v>16971.29009452077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5.5</v>
      </c>
      <c r="CM649" s="2" t="n">
        <v>7.62</v>
      </c>
      <c r="CN649" s="2" t="n">
        <v>0</v>
      </c>
      <c r="CO649" s="2" t="n">
        <v>13.97</v>
      </c>
      <c r="CP649" s="2" t="n">
        <v>16.09</v>
      </c>
      <c r="CQ649" s="2" t="n">
        <v>0</v>
      </c>
      <c r="CR649" s="2" t="n">
        <v>22.44</v>
      </c>
      <c r="CS649" s="2" t="n">
        <v>24.56</v>
      </c>
      <c r="CT649" s="2" t="n">
        <v>0</v>
      </c>
      <c r="CU649" s="2" t="n">
        <v>29.21</v>
      </c>
      <c r="CV649" s="2" t="n">
        <v>31.33</v>
      </c>
      <c r="CW649" s="2" t="n">
        <v>0</v>
      </c>
      <c r="CX649" s="2" t="n">
        <v>38.11</v>
      </c>
      <c r="CY649" s="2" t="n">
        <v>40.22</v>
      </c>
      <c r="CZ649" s="2" t="n">
        <v>0</v>
      </c>
      <c r="DA649" s="2" t="n">
        <v>47.12</v>
      </c>
      <c r="DB649" s="2" t="n">
        <v>49.25</v>
      </c>
      <c r="DC649" s="2" t="n">
        <v>0</v>
      </c>
      <c r="DD649" s="2" t="n">
        <v>57.62</v>
      </c>
      <c r="DE649" s="2" t="n">
        <v>59.86</v>
      </c>
      <c r="DF649" s="2" t="n">
        <v>0</v>
      </c>
      <c r="DG649" s="2" t="n">
        <v>66.3</v>
      </c>
      <c r="DH649" s="2" t="n">
        <v>68.42</v>
      </c>
      <c r="DI649" s="2" t="n">
        <v>0</v>
      </c>
      <c r="DJ649" s="2" t="n">
        <v>75.62</v>
      </c>
      <c r="DK649" s="2" t="n">
        <v>77.73</v>
      </c>
      <c r="DL649" s="2" t="n">
        <v>0</v>
      </c>
      <c r="DM649" s="2" t="n">
        <v>84.51000000000001</v>
      </c>
      <c r="DN649" s="2" t="n">
        <v>86.73</v>
      </c>
      <c r="DO649" s="2" t="n">
        <v>0</v>
      </c>
      <c r="DP649" s="2" t="n">
        <v>92.72</v>
      </c>
      <c r="DQ649" s="2" t="n">
        <v>94.94</v>
      </c>
      <c r="DR649" s="2" t="n">
        <v>0</v>
      </c>
      <c r="DS649" s="2" t="n">
        <v>95.48</v>
      </c>
      <c r="DT649" s="2" t="n">
        <v>96.04000000000001</v>
      </c>
      <c r="DU649" s="2" t="n">
        <v>0</v>
      </c>
      <c r="DV649" s="2" t="n">
        <v>98.16</v>
      </c>
      <c r="DW649" s="2" t="n">
        <v>99.84999999999999</v>
      </c>
      <c r="DX649" s="2" t="n">
        <v>0</v>
      </c>
      <c r="DY649" s="2" t="n">
        <v>99.84999999999999</v>
      </c>
      <c r="DZ649" s="2" t="n">
        <v>99.84999999999999</v>
      </c>
      <c r="EA649" s="2" t="n">
        <v>0</v>
      </c>
      <c r="EB649" s="2" t="n">
        <v>99.84999999999999</v>
      </c>
      <c r="EC649" s="2" t="n">
        <v>99.84999999999999</v>
      </c>
      <c r="ED649" s="2" t="n">
        <v>0</v>
      </c>
      <c r="EE649" s="2" t="n">
        <v>99.84999999999999</v>
      </c>
      <c r="EF649" s="2" t="n">
        <v>99.84999999999999</v>
      </c>
      <c r="EG649" s="2" t="n">
        <v>0</v>
      </c>
      <c r="EH649" s="2" t="n">
        <v>99.84999999999999</v>
      </c>
      <c r="EI649" s="2" t="n">
        <v>99.84999999999999</v>
      </c>
      <c r="EJ649" s="2" t="n">
        <v>0</v>
      </c>
      <c r="EK649" s="2" t="n">
        <v>99.84999999999999</v>
      </c>
      <c r="EL649" s="2" t="n">
        <v>99.84999999999999</v>
      </c>
      <c r="EM649" s="2" t="n">
        <v>0</v>
      </c>
      <c r="EN649" s="2" t="n">
        <v>99.84999999999999</v>
      </c>
      <c r="EO649" s="2" t="n">
        <v>99.84999999999999</v>
      </c>
      <c r="EP649" s="2" t="n">
        <v>0</v>
      </c>
      <c r="EQ649" s="2" t="n">
        <v>99.84999999999999</v>
      </c>
      <c r="ER649" s="2" t="n">
        <v>99.84999999999999</v>
      </c>
      <c r="ES649" s="2" t="n">
        <v>0</v>
      </c>
    </row>
    <row r="650">
      <c r="A650" s="2" t="n">
        <v>3</v>
      </c>
      <c r="B650" s="2" t="inlineStr">
        <is>
          <t>30.01.02</t>
        </is>
      </c>
      <c r="C650" s="2" t="inlineStr">
        <is>
          <t>Emborrachados</t>
        </is>
      </c>
      <c r="D650" s="2" t="inlineStr">
        <is>
          <t>18/05/2028</t>
        </is>
      </c>
      <c r="E650" s="2" t="inlineStr">
        <is>
          <t>31/05/2028</t>
        </is>
      </c>
      <c r="F650" s="2" t="n">
        <v>39716.73</v>
      </c>
      <c r="G650" s="2" t="n">
        <v>0</v>
      </c>
      <c r="H650" s="2" t="n">
        <v>39716.73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0</v>
      </c>
      <c r="DH650" s="2" t="n">
        <v>0</v>
      </c>
      <c r="DI650" s="2" t="n">
        <v>0</v>
      </c>
      <c r="DJ650" s="2" t="n">
        <v>0</v>
      </c>
      <c r="DK650" s="2" t="n">
        <v>100</v>
      </c>
      <c r="DL650" s="2" t="n">
        <v>0</v>
      </c>
      <c r="DM650" s="2" t="n">
        <v>100</v>
      </c>
      <c r="DN650" s="2" t="n">
        <v>100</v>
      </c>
      <c r="DO650" s="2" t="n">
        <v>0</v>
      </c>
      <c r="DP650" s="2" t="n">
        <v>100</v>
      </c>
      <c r="DQ650" s="2" t="n">
        <v>100</v>
      </c>
      <c r="DR650" s="2" t="n">
        <v>0</v>
      </c>
      <c r="DS650" s="2" t="n">
        <v>100</v>
      </c>
      <c r="DT650" s="2" t="n">
        <v>100</v>
      </c>
      <c r="DU650" s="2" t="n">
        <v>0</v>
      </c>
      <c r="DV650" s="2" t="n">
        <v>100</v>
      </c>
      <c r="DW650" s="2" t="n">
        <v>100</v>
      </c>
      <c r="DX650" s="2" t="n">
        <v>0</v>
      </c>
      <c r="DY650" s="2" t="n">
        <v>100</v>
      </c>
      <c r="DZ650" s="2" t="n">
        <v>100</v>
      </c>
      <c r="EA650" s="2" t="n">
        <v>0</v>
      </c>
      <c r="EB650" s="2" t="n">
        <v>100</v>
      </c>
      <c r="EC650" s="2" t="n">
        <v>100</v>
      </c>
      <c r="ED650" s="2" t="n">
        <v>0</v>
      </c>
      <c r="EE650" s="2" t="n">
        <v>100</v>
      </c>
      <c r="EF650" s="2" t="n">
        <v>100</v>
      </c>
      <c r="EG650" s="2" t="n">
        <v>0</v>
      </c>
      <c r="EH650" s="2" t="n">
        <v>100</v>
      </c>
      <c r="EI650" s="2" t="n">
        <v>100</v>
      </c>
      <c r="EJ650" s="2" t="n">
        <v>0</v>
      </c>
      <c r="EK650" s="2" t="n">
        <v>100</v>
      </c>
      <c r="EL650" s="2" t="n">
        <v>100</v>
      </c>
      <c r="EM650" s="2" t="n">
        <v>0</v>
      </c>
      <c r="EN650" s="2" t="n">
        <v>100</v>
      </c>
      <c r="EO650" s="2" t="n">
        <v>100</v>
      </c>
      <c r="EP650" s="2" t="n">
        <v>0</v>
      </c>
      <c r="EQ650" s="2" t="n">
        <v>100</v>
      </c>
      <c r="ER650" s="2" t="n">
        <v>100</v>
      </c>
      <c r="ES650" s="2" t="n">
        <v>0</v>
      </c>
    </row>
    <row r="651">
      <c r="A651" s="2" t="n">
        <v>4</v>
      </c>
      <c r="B651" s="2" t="inlineStr">
        <is>
          <t>30.01.02.01</t>
        </is>
      </c>
      <c r="C651" s="2" t="inlineStr">
        <is>
          <t>Piso emborrachado Impact Soft Peso Livre Evolution (1x1m – Preto – Aubicon)</t>
        </is>
      </c>
      <c r="D651" s="2" t="inlineStr">
        <is>
          <t>18/05/2028</t>
        </is>
      </c>
      <c r="E651" s="2" t="inlineStr">
        <is>
          <t>31/05/2028</t>
        </is>
      </c>
      <c r="F651" s="2" t="n">
        <v>39716.73</v>
      </c>
      <c r="G651" s="2" t="n">
        <v>0</v>
      </c>
      <c r="H651" s="2" t="n">
        <v>39716.73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0</v>
      </c>
      <c r="DH651" s="2" t="n">
        <v>0</v>
      </c>
      <c r="DI651" s="2" t="n">
        <v>0</v>
      </c>
      <c r="DJ651" s="2" t="n">
        <v>0</v>
      </c>
      <c r="DK651" s="2" t="n">
        <v>100</v>
      </c>
      <c r="DL651" s="2" t="n">
        <v>0</v>
      </c>
      <c r="DM651" s="2" t="n">
        <v>100</v>
      </c>
      <c r="DN651" s="2" t="n">
        <v>100</v>
      </c>
      <c r="DO651" s="2" t="n">
        <v>0</v>
      </c>
      <c r="DP651" s="2" t="n">
        <v>100</v>
      </c>
      <c r="DQ651" s="2" t="n">
        <v>100</v>
      </c>
      <c r="DR651" s="2" t="n">
        <v>0</v>
      </c>
      <c r="DS651" s="2" t="n">
        <v>100</v>
      </c>
      <c r="DT651" s="2" t="n">
        <v>100</v>
      </c>
      <c r="DU651" s="2" t="n">
        <v>0</v>
      </c>
      <c r="DV651" s="2" t="n">
        <v>100</v>
      </c>
      <c r="DW651" s="2" t="n">
        <v>100</v>
      </c>
      <c r="DX651" s="2" t="n">
        <v>0</v>
      </c>
      <c r="DY651" s="2" t="n">
        <v>100</v>
      </c>
      <c r="DZ651" s="2" t="n">
        <v>100</v>
      </c>
      <c r="EA651" s="2" t="n">
        <v>0</v>
      </c>
      <c r="EB651" s="2" t="n">
        <v>100</v>
      </c>
      <c r="EC651" s="2" t="n">
        <v>100</v>
      </c>
      <c r="ED651" s="2" t="n">
        <v>0</v>
      </c>
      <c r="EE651" s="2" t="n">
        <v>100</v>
      </c>
      <c r="EF651" s="2" t="n">
        <v>100</v>
      </c>
      <c r="EG651" s="2" t="n">
        <v>0</v>
      </c>
      <c r="EH651" s="2" t="n">
        <v>100</v>
      </c>
      <c r="EI651" s="2" t="n">
        <v>100</v>
      </c>
      <c r="EJ651" s="2" t="n">
        <v>0</v>
      </c>
      <c r="EK651" s="2" t="n">
        <v>100</v>
      </c>
      <c r="EL651" s="2" t="n">
        <v>100</v>
      </c>
      <c r="EM651" s="2" t="n">
        <v>0</v>
      </c>
      <c r="EN651" s="2" t="n">
        <v>100</v>
      </c>
      <c r="EO651" s="2" t="n">
        <v>100</v>
      </c>
      <c r="EP651" s="2" t="n">
        <v>0</v>
      </c>
      <c r="EQ651" s="2" t="n">
        <v>100</v>
      </c>
      <c r="ER651" s="2" t="n">
        <v>100</v>
      </c>
      <c r="ES651" s="2" t="n">
        <v>0</v>
      </c>
    </row>
    <row r="652">
      <c r="A652" s="2" t="n">
        <v>3</v>
      </c>
      <c r="B652" s="2" t="inlineStr">
        <is>
          <t>30.01.03</t>
        </is>
      </c>
      <c r="C652" s="2" t="inlineStr">
        <is>
          <t>Pedras</t>
        </is>
      </c>
      <c r="D652" s="2" t="inlineStr">
        <is>
          <t>20/09/2027</t>
        </is>
      </c>
      <c r="E652" s="2" t="inlineStr">
        <is>
          <t>04/08/2028</t>
        </is>
      </c>
      <c r="F652" s="2" t="n">
        <v>442714.7675793841</v>
      </c>
      <c r="G652" s="2" t="n">
        <v>0</v>
      </c>
      <c r="H652" s="2" t="n">
        <v>442714.7675793841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1.85</v>
      </c>
      <c r="CM652" s="2" t="n">
        <v>4.17</v>
      </c>
      <c r="CN652" s="2" t="n">
        <v>0</v>
      </c>
      <c r="CO652" s="2" t="n">
        <v>11.11</v>
      </c>
      <c r="CP652" s="2" t="n">
        <v>13.43</v>
      </c>
      <c r="CQ652" s="2" t="n">
        <v>0</v>
      </c>
      <c r="CR652" s="2" t="n">
        <v>20.37</v>
      </c>
      <c r="CS652" s="2" t="n">
        <v>22.69</v>
      </c>
      <c r="CT652" s="2" t="n">
        <v>0</v>
      </c>
      <c r="CU652" s="2" t="n">
        <v>27.78</v>
      </c>
      <c r="CV652" s="2" t="n">
        <v>30.09</v>
      </c>
      <c r="CW652" s="2" t="n">
        <v>0</v>
      </c>
      <c r="CX652" s="2" t="n">
        <v>37.5</v>
      </c>
      <c r="CY652" s="2" t="n">
        <v>39.81</v>
      </c>
      <c r="CZ652" s="2" t="n">
        <v>0</v>
      </c>
      <c r="DA652" s="2" t="n">
        <v>47.22</v>
      </c>
      <c r="DB652" s="2" t="n">
        <v>49.54</v>
      </c>
      <c r="DC652" s="2" t="n">
        <v>0</v>
      </c>
      <c r="DD652" s="2" t="n">
        <v>57.87</v>
      </c>
      <c r="DE652" s="2" t="n">
        <v>60.19</v>
      </c>
      <c r="DF652" s="2" t="n">
        <v>0</v>
      </c>
      <c r="DG652" s="2" t="n">
        <v>66.2</v>
      </c>
      <c r="DH652" s="2" t="n">
        <v>68.52</v>
      </c>
      <c r="DI652" s="2" t="n">
        <v>0</v>
      </c>
      <c r="DJ652" s="2" t="n">
        <v>76.39</v>
      </c>
      <c r="DK652" s="2" t="n">
        <v>78.7</v>
      </c>
      <c r="DL652" s="2" t="n">
        <v>0</v>
      </c>
      <c r="DM652" s="2" t="n">
        <v>86.11</v>
      </c>
      <c r="DN652" s="2" t="n">
        <v>88.43000000000001</v>
      </c>
      <c r="DO652" s="2" t="n">
        <v>0</v>
      </c>
      <c r="DP652" s="2" t="n">
        <v>95.83</v>
      </c>
      <c r="DQ652" s="2" t="n">
        <v>98.15000000000001</v>
      </c>
      <c r="DR652" s="2" t="n">
        <v>0</v>
      </c>
      <c r="DS652" s="2" t="n">
        <v>100</v>
      </c>
      <c r="DT652" s="2" t="n">
        <v>100</v>
      </c>
      <c r="DU652" s="2" t="n">
        <v>0</v>
      </c>
      <c r="DV652" s="2" t="n">
        <v>100</v>
      </c>
      <c r="DW652" s="2" t="n">
        <v>100</v>
      </c>
      <c r="DX652" s="2" t="n">
        <v>0</v>
      </c>
      <c r="DY652" s="2" t="n">
        <v>100</v>
      </c>
      <c r="DZ652" s="2" t="n">
        <v>100</v>
      </c>
      <c r="EA652" s="2" t="n">
        <v>0</v>
      </c>
      <c r="EB652" s="2" t="n">
        <v>100</v>
      </c>
      <c r="EC652" s="2" t="n">
        <v>100</v>
      </c>
      <c r="ED652" s="2" t="n">
        <v>0</v>
      </c>
      <c r="EE652" s="2" t="n">
        <v>100</v>
      </c>
      <c r="EF652" s="2" t="n">
        <v>100</v>
      </c>
      <c r="EG652" s="2" t="n">
        <v>0</v>
      </c>
      <c r="EH652" s="2" t="n">
        <v>100</v>
      </c>
      <c r="EI652" s="2" t="n">
        <v>100</v>
      </c>
      <c r="EJ652" s="2" t="n">
        <v>0</v>
      </c>
      <c r="EK652" s="2" t="n">
        <v>100</v>
      </c>
      <c r="EL652" s="2" t="n">
        <v>100</v>
      </c>
      <c r="EM652" s="2" t="n">
        <v>0</v>
      </c>
      <c r="EN652" s="2" t="n">
        <v>100</v>
      </c>
      <c r="EO652" s="2" t="n">
        <v>100</v>
      </c>
      <c r="EP652" s="2" t="n">
        <v>0</v>
      </c>
      <c r="EQ652" s="2" t="n">
        <v>100</v>
      </c>
      <c r="ER652" s="2" t="n">
        <v>100</v>
      </c>
      <c r="ES652" s="2" t="n">
        <v>0</v>
      </c>
    </row>
    <row r="653">
      <c r="A653" s="2" t="n">
        <v>4</v>
      </c>
      <c r="B653" s="2" t="inlineStr">
        <is>
          <t>30.01.03.01</t>
        </is>
      </c>
      <c r="C653" s="2" t="inlineStr">
        <is>
          <t>Piso de granito Ornamental White, espessura 2cm, com acabamento levigado, assentado com argamassa colante em pó ACIII</t>
        </is>
      </c>
      <c r="D653" s="2" t="inlineStr">
        <is>
          <t>20/09/2027</t>
        </is>
      </c>
      <c r="E653" s="2" t="inlineStr">
        <is>
          <t>04/08/2028</t>
        </is>
      </c>
      <c r="F653" s="2" t="n">
        <v>348223.4108101546</v>
      </c>
      <c r="G653" s="2" t="n">
        <v>0</v>
      </c>
      <c r="H653" s="2" t="n">
        <v>348223.4108101546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1.85</v>
      </c>
      <c r="CM653" s="2" t="n">
        <v>4.17</v>
      </c>
      <c r="CN653" s="2" t="n">
        <v>0</v>
      </c>
      <c r="CO653" s="2" t="n">
        <v>11.11</v>
      </c>
      <c r="CP653" s="2" t="n">
        <v>13.43</v>
      </c>
      <c r="CQ653" s="2" t="n">
        <v>0</v>
      </c>
      <c r="CR653" s="2" t="n">
        <v>20.37</v>
      </c>
      <c r="CS653" s="2" t="n">
        <v>22.69</v>
      </c>
      <c r="CT653" s="2" t="n">
        <v>0</v>
      </c>
      <c r="CU653" s="2" t="n">
        <v>27.78</v>
      </c>
      <c r="CV653" s="2" t="n">
        <v>30.09</v>
      </c>
      <c r="CW653" s="2" t="n">
        <v>0</v>
      </c>
      <c r="CX653" s="2" t="n">
        <v>37.5</v>
      </c>
      <c r="CY653" s="2" t="n">
        <v>39.81</v>
      </c>
      <c r="CZ653" s="2" t="n">
        <v>0</v>
      </c>
      <c r="DA653" s="2" t="n">
        <v>47.22</v>
      </c>
      <c r="DB653" s="2" t="n">
        <v>49.54</v>
      </c>
      <c r="DC653" s="2" t="n">
        <v>0</v>
      </c>
      <c r="DD653" s="2" t="n">
        <v>57.87</v>
      </c>
      <c r="DE653" s="2" t="n">
        <v>60.19</v>
      </c>
      <c r="DF653" s="2" t="n">
        <v>0</v>
      </c>
      <c r="DG653" s="2" t="n">
        <v>66.2</v>
      </c>
      <c r="DH653" s="2" t="n">
        <v>68.52</v>
      </c>
      <c r="DI653" s="2" t="n">
        <v>0</v>
      </c>
      <c r="DJ653" s="2" t="n">
        <v>76.39</v>
      </c>
      <c r="DK653" s="2" t="n">
        <v>78.7</v>
      </c>
      <c r="DL653" s="2" t="n">
        <v>0</v>
      </c>
      <c r="DM653" s="2" t="n">
        <v>86.11</v>
      </c>
      <c r="DN653" s="2" t="n">
        <v>88.43000000000001</v>
      </c>
      <c r="DO653" s="2" t="n">
        <v>0</v>
      </c>
      <c r="DP653" s="2" t="n">
        <v>95.83</v>
      </c>
      <c r="DQ653" s="2" t="n">
        <v>98.15000000000001</v>
      </c>
      <c r="DR653" s="2" t="n">
        <v>0</v>
      </c>
      <c r="DS653" s="2" t="n">
        <v>100</v>
      </c>
      <c r="DT653" s="2" t="n">
        <v>100</v>
      </c>
      <c r="DU653" s="2" t="n">
        <v>0</v>
      </c>
      <c r="DV653" s="2" t="n">
        <v>100</v>
      </c>
      <c r="DW653" s="2" t="n">
        <v>100</v>
      </c>
      <c r="DX653" s="2" t="n">
        <v>0</v>
      </c>
      <c r="DY653" s="2" t="n">
        <v>100</v>
      </c>
      <c r="DZ653" s="2" t="n">
        <v>100</v>
      </c>
      <c r="EA653" s="2" t="n">
        <v>0</v>
      </c>
      <c r="EB653" s="2" t="n">
        <v>100</v>
      </c>
      <c r="EC653" s="2" t="n">
        <v>100</v>
      </c>
      <c r="ED653" s="2" t="n">
        <v>0</v>
      </c>
      <c r="EE653" s="2" t="n">
        <v>100</v>
      </c>
      <c r="EF653" s="2" t="n">
        <v>100</v>
      </c>
      <c r="EG653" s="2" t="n">
        <v>0</v>
      </c>
      <c r="EH653" s="2" t="n">
        <v>100</v>
      </c>
      <c r="EI653" s="2" t="n">
        <v>100</v>
      </c>
      <c r="EJ653" s="2" t="n">
        <v>0</v>
      </c>
      <c r="EK653" s="2" t="n">
        <v>100</v>
      </c>
      <c r="EL653" s="2" t="n">
        <v>100</v>
      </c>
      <c r="EM653" s="2" t="n">
        <v>0</v>
      </c>
      <c r="EN653" s="2" t="n">
        <v>100</v>
      </c>
      <c r="EO653" s="2" t="n">
        <v>100</v>
      </c>
      <c r="EP653" s="2" t="n">
        <v>0</v>
      </c>
      <c r="EQ653" s="2" t="n">
        <v>100</v>
      </c>
      <c r="ER653" s="2" t="n">
        <v>100</v>
      </c>
      <c r="ES653" s="2" t="n">
        <v>0</v>
      </c>
    </row>
    <row r="654">
      <c r="A654" s="2" t="n">
        <v>4</v>
      </c>
      <c r="B654" s="2" t="inlineStr">
        <is>
          <t>30.01.03.02</t>
        </is>
      </c>
      <c r="C654" s="2" t="inlineStr">
        <is>
          <t>Piso de mármore Branco Paraná Matarazzo escovado assentado com argamassa colante em pó ACIII</t>
        </is>
      </c>
      <c r="D654" s="2" t="inlineStr">
        <is>
          <t>20/09/2027</t>
        </is>
      </c>
      <c r="E654" s="2" t="inlineStr">
        <is>
          <t>04/08/2028</t>
        </is>
      </c>
      <c r="F654" s="2" t="n">
        <v>83690.60047724318</v>
      </c>
      <c r="G654" s="2" t="n">
        <v>0</v>
      </c>
      <c r="H654" s="2" t="n">
        <v>83690.60047724318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1.85</v>
      </c>
      <c r="CM654" s="2" t="n">
        <v>4.17</v>
      </c>
      <c r="CN654" s="2" t="n">
        <v>0</v>
      </c>
      <c r="CO654" s="2" t="n">
        <v>11.11</v>
      </c>
      <c r="CP654" s="2" t="n">
        <v>13.43</v>
      </c>
      <c r="CQ654" s="2" t="n">
        <v>0</v>
      </c>
      <c r="CR654" s="2" t="n">
        <v>20.37</v>
      </c>
      <c r="CS654" s="2" t="n">
        <v>22.69</v>
      </c>
      <c r="CT654" s="2" t="n">
        <v>0</v>
      </c>
      <c r="CU654" s="2" t="n">
        <v>27.78</v>
      </c>
      <c r="CV654" s="2" t="n">
        <v>30.09</v>
      </c>
      <c r="CW654" s="2" t="n">
        <v>0</v>
      </c>
      <c r="CX654" s="2" t="n">
        <v>37.5</v>
      </c>
      <c r="CY654" s="2" t="n">
        <v>39.81</v>
      </c>
      <c r="CZ654" s="2" t="n">
        <v>0</v>
      </c>
      <c r="DA654" s="2" t="n">
        <v>47.22</v>
      </c>
      <c r="DB654" s="2" t="n">
        <v>49.54</v>
      </c>
      <c r="DC654" s="2" t="n">
        <v>0</v>
      </c>
      <c r="DD654" s="2" t="n">
        <v>57.87</v>
      </c>
      <c r="DE654" s="2" t="n">
        <v>60.19</v>
      </c>
      <c r="DF654" s="2" t="n">
        <v>0</v>
      </c>
      <c r="DG654" s="2" t="n">
        <v>66.2</v>
      </c>
      <c r="DH654" s="2" t="n">
        <v>68.52</v>
      </c>
      <c r="DI654" s="2" t="n">
        <v>0</v>
      </c>
      <c r="DJ654" s="2" t="n">
        <v>76.39</v>
      </c>
      <c r="DK654" s="2" t="n">
        <v>78.7</v>
      </c>
      <c r="DL654" s="2" t="n">
        <v>0</v>
      </c>
      <c r="DM654" s="2" t="n">
        <v>86.11</v>
      </c>
      <c r="DN654" s="2" t="n">
        <v>88.43000000000001</v>
      </c>
      <c r="DO654" s="2" t="n">
        <v>0</v>
      </c>
      <c r="DP654" s="2" t="n">
        <v>95.83</v>
      </c>
      <c r="DQ654" s="2" t="n">
        <v>98.15000000000001</v>
      </c>
      <c r="DR654" s="2" t="n">
        <v>0</v>
      </c>
      <c r="DS654" s="2" t="n">
        <v>100</v>
      </c>
      <c r="DT654" s="2" t="n">
        <v>100</v>
      </c>
      <c r="DU654" s="2" t="n">
        <v>0</v>
      </c>
      <c r="DV654" s="2" t="n">
        <v>100</v>
      </c>
      <c r="DW654" s="2" t="n">
        <v>100</v>
      </c>
      <c r="DX654" s="2" t="n">
        <v>0</v>
      </c>
      <c r="DY654" s="2" t="n">
        <v>100</v>
      </c>
      <c r="DZ654" s="2" t="n">
        <v>100</v>
      </c>
      <c r="EA654" s="2" t="n">
        <v>0</v>
      </c>
      <c r="EB654" s="2" t="n">
        <v>100</v>
      </c>
      <c r="EC654" s="2" t="n">
        <v>100</v>
      </c>
      <c r="ED654" s="2" t="n">
        <v>0</v>
      </c>
      <c r="EE654" s="2" t="n">
        <v>100</v>
      </c>
      <c r="EF654" s="2" t="n">
        <v>100</v>
      </c>
      <c r="EG654" s="2" t="n">
        <v>0</v>
      </c>
      <c r="EH654" s="2" t="n">
        <v>100</v>
      </c>
      <c r="EI654" s="2" t="n">
        <v>100</v>
      </c>
      <c r="EJ654" s="2" t="n">
        <v>0</v>
      </c>
      <c r="EK654" s="2" t="n">
        <v>100</v>
      </c>
      <c r="EL654" s="2" t="n">
        <v>100</v>
      </c>
      <c r="EM654" s="2" t="n">
        <v>0</v>
      </c>
      <c r="EN654" s="2" t="n">
        <v>100</v>
      </c>
      <c r="EO654" s="2" t="n">
        <v>100</v>
      </c>
      <c r="EP654" s="2" t="n">
        <v>0</v>
      </c>
      <c r="EQ654" s="2" t="n">
        <v>100</v>
      </c>
      <c r="ER654" s="2" t="n">
        <v>100</v>
      </c>
      <c r="ES654" s="2" t="n">
        <v>0</v>
      </c>
    </row>
    <row r="655">
      <c r="A655" s="2" t="n">
        <v>4</v>
      </c>
      <c r="B655" s="2" t="inlineStr">
        <is>
          <t>30.01.03.03</t>
        </is>
      </c>
      <c r="C655" s="2" t="inlineStr">
        <is>
          <t>Piso de Granito Ornamental White levigado para elevadores  assentado com argamassa colante em pó ACIII</t>
        </is>
      </c>
      <c r="D655" s="2" t="inlineStr">
        <is>
          <t>20/09/2027</t>
        </is>
      </c>
      <c r="E655" s="2" t="inlineStr">
        <is>
          <t>04/08/2028</t>
        </is>
      </c>
      <c r="F655" s="2" t="n">
        <v>10800.75629198626</v>
      </c>
      <c r="G655" s="2" t="n">
        <v>0</v>
      </c>
      <c r="H655" s="2" t="n">
        <v>10800.75629198626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1.85</v>
      </c>
      <c r="CM655" s="2" t="n">
        <v>4.17</v>
      </c>
      <c r="CN655" s="2" t="n">
        <v>0</v>
      </c>
      <c r="CO655" s="2" t="n">
        <v>11.11</v>
      </c>
      <c r="CP655" s="2" t="n">
        <v>13.43</v>
      </c>
      <c r="CQ655" s="2" t="n">
        <v>0</v>
      </c>
      <c r="CR655" s="2" t="n">
        <v>20.37</v>
      </c>
      <c r="CS655" s="2" t="n">
        <v>22.69</v>
      </c>
      <c r="CT655" s="2" t="n">
        <v>0</v>
      </c>
      <c r="CU655" s="2" t="n">
        <v>27.78</v>
      </c>
      <c r="CV655" s="2" t="n">
        <v>30.09</v>
      </c>
      <c r="CW655" s="2" t="n">
        <v>0</v>
      </c>
      <c r="CX655" s="2" t="n">
        <v>37.5</v>
      </c>
      <c r="CY655" s="2" t="n">
        <v>39.81</v>
      </c>
      <c r="CZ655" s="2" t="n">
        <v>0</v>
      </c>
      <c r="DA655" s="2" t="n">
        <v>47.22</v>
      </c>
      <c r="DB655" s="2" t="n">
        <v>49.54</v>
      </c>
      <c r="DC655" s="2" t="n">
        <v>0</v>
      </c>
      <c r="DD655" s="2" t="n">
        <v>57.87</v>
      </c>
      <c r="DE655" s="2" t="n">
        <v>60.19</v>
      </c>
      <c r="DF655" s="2" t="n">
        <v>0</v>
      </c>
      <c r="DG655" s="2" t="n">
        <v>66.2</v>
      </c>
      <c r="DH655" s="2" t="n">
        <v>68.52</v>
      </c>
      <c r="DI655" s="2" t="n">
        <v>0</v>
      </c>
      <c r="DJ655" s="2" t="n">
        <v>76.39</v>
      </c>
      <c r="DK655" s="2" t="n">
        <v>78.7</v>
      </c>
      <c r="DL655" s="2" t="n">
        <v>0</v>
      </c>
      <c r="DM655" s="2" t="n">
        <v>86.11</v>
      </c>
      <c r="DN655" s="2" t="n">
        <v>88.43000000000001</v>
      </c>
      <c r="DO655" s="2" t="n">
        <v>0</v>
      </c>
      <c r="DP655" s="2" t="n">
        <v>95.83</v>
      </c>
      <c r="DQ655" s="2" t="n">
        <v>98.15000000000001</v>
      </c>
      <c r="DR655" s="2" t="n">
        <v>0</v>
      </c>
      <c r="DS655" s="2" t="n">
        <v>100</v>
      </c>
      <c r="DT655" s="2" t="n">
        <v>100</v>
      </c>
      <c r="DU655" s="2" t="n">
        <v>0</v>
      </c>
      <c r="DV655" s="2" t="n">
        <v>100</v>
      </c>
      <c r="DW655" s="2" t="n">
        <v>100</v>
      </c>
      <c r="DX655" s="2" t="n">
        <v>0</v>
      </c>
      <c r="DY655" s="2" t="n">
        <v>100</v>
      </c>
      <c r="DZ655" s="2" t="n">
        <v>100</v>
      </c>
      <c r="EA655" s="2" t="n">
        <v>0</v>
      </c>
      <c r="EB655" s="2" t="n">
        <v>100</v>
      </c>
      <c r="EC655" s="2" t="n">
        <v>100</v>
      </c>
      <c r="ED655" s="2" t="n">
        <v>0</v>
      </c>
      <c r="EE655" s="2" t="n">
        <v>100</v>
      </c>
      <c r="EF655" s="2" t="n">
        <v>100</v>
      </c>
      <c r="EG655" s="2" t="n">
        <v>0</v>
      </c>
      <c r="EH655" s="2" t="n">
        <v>100</v>
      </c>
      <c r="EI655" s="2" t="n">
        <v>100</v>
      </c>
      <c r="EJ655" s="2" t="n">
        <v>0</v>
      </c>
      <c r="EK655" s="2" t="n">
        <v>100</v>
      </c>
      <c r="EL655" s="2" t="n">
        <v>100</v>
      </c>
      <c r="EM655" s="2" t="n">
        <v>0</v>
      </c>
      <c r="EN655" s="2" t="n">
        <v>100</v>
      </c>
      <c r="EO655" s="2" t="n">
        <v>100</v>
      </c>
      <c r="EP655" s="2" t="n">
        <v>0</v>
      </c>
      <c r="EQ655" s="2" t="n">
        <v>100</v>
      </c>
      <c r="ER655" s="2" t="n">
        <v>100</v>
      </c>
      <c r="ES655" s="2" t="n">
        <v>0</v>
      </c>
    </row>
    <row r="656">
      <c r="A656" s="2" t="n">
        <v>3</v>
      </c>
      <c r="B656" s="2" t="inlineStr">
        <is>
          <t>30.01.04</t>
        </is>
      </c>
      <c r="C656" s="2" t="inlineStr">
        <is>
          <t>Sintéticos e Vinílicos</t>
        </is>
      </c>
      <c r="D656" s="2" t="inlineStr">
        <is>
          <t>24/01/2028</t>
        </is>
      </c>
      <c r="E656" s="2" t="inlineStr">
        <is>
          <t>03/01/2029</t>
        </is>
      </c>
      <c r="F656" s="2" t="n">
        <v>777295.3919999999</v>
      </c>
      <c r="G656" s="2" t="n">
        <v>0</v>
      </c>
      <c r="H656" s="2" t="n">
        <v>777295.3919999999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0.44</v>
      </c>
      <c r="CY656" s="2" t="n">
        <v>2.67</v>
      </c>
      <c r="CZ656" s="2" t="n">
        <v>0</v>
      </c>
      <c r="DA656" s="2" t="n">
        <v>9.779999999999999</v>
      </c>
      <c r="DB656" s="2" t="n">
        <v>12</v>
      </c>
      <c r="DC656" s="2" t="n">
        <v>0</v>
      </c>
      <c r="DD656" s="2" t="n">
        <v>20</v>
      </c>
      <c r="DE656" s="2" t="n">
        <v>22.22</v>
      </c>
      <c r="DF656" s="2" t="n">
        <v>0</v>
      </c>
      <c r="DG656" s="2" t="n">
        <v>28</v>
      </c>
      <c r="DH656" s="2" t="n">
        <v>30.22</v>
      </c>
      <c r="DI656" s="2" t="n">
        <v>0</v>
      </c>
      <c r="DJ656" s="2" t="n">
        <v>37.78</v>
      </c>
      <c r="DK656" s="2" t="n">
        <v>40</v>
      </c>
      <c r="DL656" s="2" t="n">
        <v>0</v>
      </c>
      <c r="DM656" s="2" t="n">
        <v>47.11</v>
      </c>
      <c r="DN656" s="2" t="n">
        <v>49.33</v>
      </c>
      <c r="DO656" s="2" t="n">
        <v>0</v>
      </c>
      <c r="DP656" s="2" t="n">
        <v>56.44</v>
      </c>
      <c r="DQ656" s="2" t="n">
        <v>58.67</v>
      </c>
      <c r="DR656" s="2" t="n">
        <v>0</v>
      </c>
      <c r="DS656" s="2" t="n">
        <v>66.22</v>
      </c>
      <c r="DT656" s="2" t="n">
        <v>68.44</v>
      </c>
      <c r="DU656" s="2" t="n">
        <v>0</v>
      </c>
      <c r="DV656" s="2" t="n">
        <v>75.11</v>
      </c>
      <c r="DW656" s="2" t="n">
        <v>77.33</v>
      </c>
      <c r="DX656" s="2" t="n">
        <v>0</v>
      </c>
      <c r="DY656" s="2" t="n">
        <v>84.44</v>
      </c>
      <c r="DZ656" s="2" t="n">
        <v>86.67</v>
      </c>
      <c r="EA656" s="2" t="n">
        <v>0</v>
      </c>
      <c r="EB656" s="2" t="n">
        <v>92.7</v>
      </c>
      <c r="EC656" s="2" t="n">
        <v>94.45</v>
      </c>
      <c r="ED656" s="2" t="n">
        <v>0</v>
      </c>
      <c r="EE656" s="2" t="n">
        <v>95.91</v>
      </c>
      <c r="EF656" s="2" t="n">
        <v>98.86</v>
      </c>
      <c r="EG656" s="2" t="n">
        <v>0</v>
      </c>
      <c r="EH656" s="2" t="n">
        <v>100</v>
      </c>
      <c r="EI656" s="2" t="n">
        <v>100</v>
      </c>
      <c r="EJ656" s="2" t="n">
        <v>0</v>
      </c>
      <c r="EK656" s="2" t="n">
        <v>100</v>
      </c>
      <c r="EL656" s="2" t="n">
        <v>100</v>
      </c>
      <c r="EM656" s="2" t="n">
        <v>0</v>
      </c>
      <c r="EN656" s="2" t="n">
        <v>100</v>
      </c>
      <c r="EO656" s="2" t="n">
        <v>100</v>
      </c>
      <c r="EP656" s="2" t="n">
        <v>0</v>
      </c>
      <c r="EQ656" s="2" t="n">
        <v>100</v>
      </c>
      <c r="ER656" s="2" t="n">
        <v>100</v>
      </c>
      <c r="ES656" s="2" t="n">
        <v>0</v>
      </c>
    </row>
    <row r="657">
      <c r="A657" s="2" t="n">
        <v>4</v>
      </c>
      <c r="B657" s="2" t="inlineStr">
        <is>
          <t>30.01.04.01</t>
        </is>
      </c>
      <c r="C657" s="2" t="inlineStr">
        <is>
          <t>Piso vinílico em réguas, 18,4x121,9cm,  padrão madeirado. Ref.: Durafloor, Austin, llinha Urban.</t>
        </is>
      </c>
      <c r="D657" s="2" t="inlineStr">
        <is>
          <t>24/01/2028</t>
        </is>
      </c>
      <c r="E657" s="2" t="inlineStr">
        <is>
          <t>03/01/2029</t>
        </is>
      </c>
      <c r="F657" s="2" t="n">
        <v>774168.0639999999</v>
      </c>
      <c r="G657" s="2" t="n">
        <v>0</v>
      </c>
      <c r="H657" s="2" t="n">
        <v>774168.0639999999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</v>
      </c>
      <c r="BX657" s="2" t="n">
        <v>0</v>
      </c>
      <c r="BY657" s="2" t="n">
        <v>0</v>
      </c>
      <c r="BZ657" s="2" t="n">
        <v>0</v>
      </c>
      <c r="CA657" s="2" t="n">
        <v>0</v>
      </c>
      <c r="CB657" s="2" t="n">
        <v>0</v>
      </c>
      <c r="CC657" s="2" t="n">
        <v>0</v>
      </c>
      <c r="CD657" s="2" t="n">
        <v>0</v>
      </c>
      <c r="CE657" s="2" t="n">
        <v>0</v>
      </c>
      <c r="CF657" s="2" t="n">
        <v>0</v>
      </c>
      <c r="CG657" s="2" t="n">
        <v>0</v>
      </c>
      <c r="CH657" s="2" t="n">
        <v>0</v>
      </c>
      <c r="CI657" s="2" t="n">
        <v>0</v>
      </c>
      <c r="CJ657" s="2" t="n">
        <v>0</v>
      </c>
      <c r="CK657" s="2" t="n">
        <v>0</v>
      </c>
      <c r="CL657" s="2" t="n">
        <v>0</v>
      </c>
      <c r="CM657" s="2" t="n">
        <v>0</v>
      </c>
      <c r="CN657" s="2" t="n">
        <v>0</v>
      </c>
      <c r="CO657" s="2" t="n">
        <v>0</v>
      </c>
      <c r="CP657" s="2" t="n">
        <v>0</v>
      </c>
      <c r="CQ657" s="2" t="n">
        <v>0</v>
      </c>
      <c r="CR657" s="2" t="n">
        <v>0</v>
      </c>
      <c r="CS657" s="2" t="n">
        <v>0</v>
      </c>
      <c r="CT657" s="2" t="n">
        <v>0</v>
      </c>
      <c r="CU657" s="2" t="n">
        <v>0</v>
      </c>
      <c r="CV657" s="2" t="n">
        <v>0</v>
      </c>
      <c r="CW657" s="2" t="n">
        <v>0</v>
      </c>
      <c r="CX657" s="2" t="n">
        <v>0.44</v>
      </c>
      <c r="CY657" s="2" t="n">
        <v>2.67</v>
      </c>
      <c r="CZ657" s="2" t="n">
        <v>0</v>
      </c>
      <c r="DA657" s="2" t="n">
        <v>9.779999999999999</v>
      </c>
      <c r="DB657" s="2" t="n">
        <v>12</v>
      </c>
      <c r="DC657" s="2" t="n">
        <v>0</v>
      </c>
      <c r="DD657" s="2" t="n">
        <v>20</v>
      </c>
      <c r="DE657" s="2" t="n">
        <v>22.22</v>
      </c>
      <c r="DF657" s="2" t="n">
        <v>0</v>
      </c>
      <c r="DG657" s="2" t="n">
        <v>28</v>
      </c>
      <c r="DH657" s="2" t="n">
        <v>30.22</v>
      </c>
      <c r="DI657" s="2" t="n">
        <v>0</v>
      </c>
      <c r="DJ657" s="2" t="n">
        <v>37.78</v>
      </c>
      <c r="DK657" s="2" t="n">
        <v>40</v>
      </c>
      <c r="DL657" s="2" t="n">
        <v>0</v>
      </c>
      <c r="DM657" s="2" t="n">
        <v>47.11</v>
      </c>
      <c r="DN657" s="2" t="n">
        <v>49.33</v>
      </c>
      <c r="DO657" s="2" t="n">
        <v>0</v>
      </c>
      <c r="DP657" s="2" t="n">
        <v>56.44</v>
      </c>
      <c r="DQ657" s="2" t="n">
        <v>58.67</v>
      </c>
      <c r="DR657" s="2" t="n">
        <v>0</v>
      </c>
      <c r="DS657" s="2" t="n">
        <v>66.22</v>
      </c>
      <c r="DT657" s="2" t="n">
        <v>68.44</v>
      </c>
      <c r="DU657" s="2" t="n">
        <v>0</v>
      </c>
      <c r="DV657" s="2" t="n">
        <v>75.11</v>
      </c>
      <c r="DW657" s="2" t="n">
        <v>77.33</v>
      </c>
      <c r="DX657" s="2" t="n">
        <v>0</v>
      </c>
      <c r="DY657" s="2" t="n">
        <v>84.44</v>
      </c>
      <c r="DZ657" s="2" t="n">
        <v>86.67</v>
      </c>
      <c r="EA657" s="2" t="n">
        <v>0</v>
      </c>
      <c r="EB657" s="2" t="n">
        <v>92.7</v>
      </c>
      <c r="EC657" s="2" t="n">
        <v>94.45</v>
      </c>
      <c r="ED657" s="2" t="n">
        <v>0</v>
      </c>
      <c r="EE657" s="2" t="n">
        <v>95.91</v>
      </c>
      <c r="EF657" s="2" t="n">
        <v>98.86</v>
      </c>
      <c r="EG657" s="2" t="n">
        <v>0</v>
      </c>
      <c r="EH657" s="2" t="n">
        <v>100</v>
      </c>
      <c r="EI657" s="2" t="n">
        <v>100</v>
      </c>
      <c r="EJ657" s="2" t="n">
        <v>0</v>
      </c>
      <c r="EK657" s="2" t="n">
        <v>100</v>
      </c>
      <c r="EL657" s="2" t="n">
        <v>100</v>
      </c>
      <c r="EM657" s="2" t="n">
        <v>0</v>
      </c>
      <c r="EN657" s="2" t="n">
        <v>100</v>
      </c>
      <c r="EO657" s="2" t="n">
        <v>100</v>
      </c>
      <c r="EP657" s="2" t="n">
        <v>0</v>
      </c>
      <c r="EQ657" s="2" t="n">
        <v>100</v>
      </c>
      <c r="ER657" s="2" t="n">
        <v>100</v>
      </c>
      <c r="ES657" s="2" t="n">
        <v>0</v>
      </c>
    </row>
    <row r="658">
      <c r="A658" s="2" t="n">
        <v>4</v>
      </c>
      <c r="B658" s="2" t="inlineStr">
        <is>
          <t>30.01.04.02</t>
        </is>
      </c>
      <c r="C658" s="2" t="inlineStr">
        <is>
          <t>Vinílico Durafloor Austin Liha Urbann (2mm)</t>
        </is>
      </c>
      <c r="D658" s="2" t="inlineStr">
        <is>
          <t>24/01/2028</t>
        </is>
      </c>
      <c r="E658" s="2" t="inlineStr">
        <is>
          <t>03/01/2029</t>
        </is>
      </c>
      <c r="F658" s="2" t="n">
        <v>3127.328</v>
      </c>
      <c r="G658" s="2" t="n">
        <v>0</v>
      </c>
      <c r="H658" s="2" t="n">
        <v>3127.328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</v>
      </c>
      <c r="BX658" s="2" t="n">
        <v>0</v>
      </c>
      <c r="BY658" s="2" t="n">
        <v>0</v>
      </c>
      <c r="BZ658" s="2" t="n">
        <v>0</v>
      </c>
      <c r="CA658" s="2" t="n">
        <v>0</v>
      </c>
      <c r="CB658" s="2" t="n">
        <v>0</v>
      </c>
      <c r="CC658" s="2" t="n">
        <v>0</v>
      </c>
      <c r="CD658" s="2" t="n">
        <v>0</v>
      </c>
      <c r="CE658" s="2" t="n">
        <v>0</v>
      </c>
      <c r="CF658" s="2" t="n">
        <v>0</v>
      </c>
      <c r="CG658" s="2" t="n">
        <v>0</v>
      </c>
      <c r="CH658" s="2" t="n">
        <v>0</v>
      </c>
      <c r="CI658" s="2" t="n">
        <v>0</v>
      </c>
      <c r="CJ658" s="2" t="n">
        <v>0</v>
      </c>
      <c r="CK658" s="2" t="n">
        <v>0</v>
      </c>
      <c r="CL658" s="2" t="n">
        <v>0</v>
      </c>
      <c r="CM658" s="2" t="n">
        <v>0</v>
      </c>
      <c r="CN658" s="2" t="n">
        <v>0</v>
      </c>
      <c r="CO658" s="2" t="n">
        <v>0</v>
      </c>
      <c r="CP658" s="2" t="n">
        <v>0</v>
      </c>
      <c r="CQ658" s="2" t="n">
        <v>0</v>
      </c>
      <c r="CR658" s="2" t="n">
        <v>0</v>
      </c>
      <c r="CS658" s="2" t="n">
        <v>0</v>
      </c>
      <c r="CT658" s="2" t="n">
        <v>0</v>
      </c>
      <c r="CU658" s="2" t="n">
        <v>0</v>
      </c>
      <c r="CV658" s="2" t="n">
        <v>0</v>
      </c>
      <c r="CW658" s="2" t="n">
        <v>0</v>
      </c>
      <c r="CX658" s="2" t="n">
        <v>0.44</v>
      </c>
      <c r="CY658" s="2" t="n">
        <v>2.67</v>
      </c>
      <c r="CZ658" s="2" t="n">
        <v>0</v>
      </c>
      <c r="DA658" s="2" t="n">
        <v>9.779999999999999</v>
      </c>
      <c r="DB658" s="2" t="n">
        <v>12</v>
      </c>
      <c r="DC658" s="2" t="n">
        <v>0</v>
      </c>
      <c r="DD658" s="2" t="n">
        <v>20</v>
      </c>
      <c r="DE658" s="2" t="n">
        <v>22.22</v>
      </c>
      <c r="DF658" s="2" t="n">
        <v>0</v>
      </c>
      <c r="DG658" s="2" t="n">
        <v>28</v>
      </c>
      <c r="DH658" s="2" t="n">
        <v>30.22</v>
      </c>
      <c r="DI658" s="2" t="n">
        <v>0</v>
      </c>
      <c r="DJ658" s="2" t="n">
        <v>37.78</v>
      </c>
      <c r="DK658" s="2" t="n">
        <v>40</v>
      </c>
      <c r="DL658" s="2" t="n">
        <v>0</v>
      </c>
      <c r="DM658" s="2" t="n">
        <v>47.11</v>
      </c>
      <c r="DN658" s="2" t="n">
        <v>49.33</v>
      </c>
      <c r="DO658" s="2" t="n">
        <v>0</v>
      </c>
      <c r="DP658" s="2" t="n">
        <v>56.44</v>
      </c>
      <c r="DQ658" s="2" t="n">
        <v>58.67</v>
      </c>
      <c r="DR658" s="2" t="n">
        <v>0</v>
      </c>
      <c r="DS658" s="2" t="n">
        <v>66.22</v>
      </c>
      <c r="DT658" s="2" t="n">
        <v>68.44</v>
      </c>
      <c r="DU658" s="2" t="n">
        <v>0</v>
      </c>
      <c r="DV658" s="2" t="n">
        <v>75.11</v>
      </c>
      <c r="DW658" s="2" t="n">
        <v>77.33</v>
      </c>
      <c r="DX658" s="2" t="n">
        <v>0</v>
      </c>
      <c r="DY658" s="2" t="n">
        <v>84.44</v>
      </c>
      <c r="DZ658" s="2" t="n">
        <v>86.67</v>
      </c>
      <c r="EA658" s="2" t="n">
        <v>0</v>
      </c>
      <c r="EB658" s="2" t="n">
        <v>92.7</v>
      </c>
      <c r="EC658" s="2" t="n">
        <v>94.45</v>
      </c>
      <c r="ED658" s="2" t="n">
        <v>0</v>
      </c>
      <c r="EE658" s="2" t="n">
        <v>95.91</v>
      </c>
      <c r="EF658" s="2" t="n">
        <v>98.86</v>
      </c>
      <c r="EG658" s="2" t="n">
        <v>0</v>
      </c>
      <c r="EH658" s="2" t="n">
        <v>100</v>
      </c>
      <c r="EI658" s="2" t="n">
        <v>100</v>
      </c>
      <c r="EJ658" s="2" t="n">
        <v>0</v>
      </c>
      <c r="EK658" s="2" t="n">
        <v>100</v>
      </c>
      <c r="EL658" s="2" t="n">
        <v>100</v>
      </c>
      <c r="EM658" s="2" t="n">
        <v>0</v>
      </c>
      <c r="EN658" s="2" t="n">
        <v>100</v>
      </c>
      <c r="EO658" s="2" t="n">
        <v>100</v>
      </c>
      <c r="EP658" s="2" t="n">
        <v>0</v>
      </c>
      <c r="EQ658" s="2" t="n">
        <v>100</v>
      </c>
      <c r="ER658" s="2" t="n">
        <v>100</v>
      </c>
      <c r="ES658" s="2" t="n">
        <v>0</v>
      </c>
    </row>
    <row r="659">
      <c r="A659" s="2" t="n">
        <v>3</v>
      </c>
      <c r="B659" s="2" t="inlineStr">
        <is>
          <t>30.01.05</t>
        </is>
      </c>
      <c r="C659" s="2" t="inlineStr">
        <is>
          <t>Concreto e/ou cimentados</t>
        </is>
      </c>
      <c r="D659" s="2" t="inlineStr">
        <is>
          <t>24/03/2028</t>
        </is>
      </c>
      <c r="E659" s="2" t="inlineStr">
        <is>
          <t>15/12/2028</t>
        </is>
      </c>
      <c r="F659" s="2" t="n">
        <v>273316.2177695479</v>
      </c>
      <c r="G659" s="2" t="n">
        <v>0</v>
      </c>
      <c r="H659" s="2" t="n">
        <v>273316.2177695479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</v>
      </c>
      <c r="BX659" s="2" t="n">
        <v>0</v>
      </c>
      <c r="BY659" s="2" t="n">
        <v>0</v>
      </c>
      <c r="BZ659" s="2" t="n">
        <v>0</v>
      </c>
      <c r="CA659" s="2" t="n">
        <v>0</v>
      </c>
      <c r="CB659" s="2" t="n">
        <v>0</v>
      </c>
      <c r="CC659" s="2" t="n">
        <v>0</v>
      </c>
      <c r="CD659" s="2" t="n">
        <v>0</v>
      </c>
      <c r="CE659" s="2" t="n">
        <v>0</v>
      </c>
      <c r="CF659" s="2" t="n">
        <v>0</v>
      </c>
      <c r="CG659" s="2" t="n">
        <v>0</v>
      </c>
      <c r="CH659" s="2" t="n">
        <v>0</v>
      </c>
      <c r="CI659" s="2" t="n">
        <v>0</v>
      </c>
      <c r="CJ659" s="2" t="n">
        <v>0</v>
      </c>
      <c r="CK659" s="2" t="n">
        <v>0</v>
      </c>
      <c r="CL659" s="2" t="n">
        <v>0</v>
      </c>
      <c r="CM659" s="2" t="n">
        <v>0</v>
      </c>
      <c r="CN659" s="2" t="n">
        <v>0</v>
      </c>
      <c r="CO659" s="2" t="n">
        <v>0</v>
      </c>
      <c r="CP659" s="2" t="n">
        <v>0</v>
      </c>
      <c r="CQ659" s="2" t="n">
        <v>0</v>
      </c>
      <c r="CR659" s="2" t="n">
        <v>0</v>
      </c>
      <c r="CS659" s="2" t="n">
        <v>0</v>
      </c>
      <c r="CT659" s="2" t="n">
        <v>0</v>
      </c>
      <c r="CU659" s="2" t="n">
        <v>0</v>
      </c>
      <c r="CV659" s="2" t="n">
        <v>0</v>
      </c>
      <c r="CW659" s="2" t="n">
        <v>0</v>
      </c>
      <c r="CX659" s="2" t="n">
        <v>0</v>
      </c>
      <c r="CY659" s="2" t="n">
        <v>0</v>
      </c>
      <c r="CZ659" s="2" t="n">
        <v>0</v>
      </c>
      <c r="DA659" s="2" t="n">
        <v>0</v>
      </c>
      <c r="DB659" s="2" t="n">
        <v>0</v>
      </c>
      <c r="DC659" s="2" t="n">
        <v>0</v>
      </c>
      <c r="DD659" s="2" t="n">
        <v>9.16</v>
      </c>
      <c r="DE659" s="2" t="n">
        <v>10.99</v>
      </c>
      <c r="DF659" s="2" t="n">
        <v>0</v>
      </c>
      <c r="DG659" s="2" t="n">
        <v>27.48</v>
      </c>
      <c r="DH659" s="2" t="n">
        <v>27.48</v>
      </c>
      <c r="DI659" s="2" t="n">
        <v>0</v>
      </c>
      <c r="DJ659" s="2" t="n">
        <v>27.48</v>
      </c>
      <c r="DK659" s="2" t="n">
        <v>27.48</v>
      </c>
      <c r="DL659" s="2" t="n">
        <v>0</v>
      </c>
      <c r="DM659" s="2" t="n">
        <v>27.48</v>
      </c>
      <c r="DN659" s="2" t="n">
        <v>27.48</v>
      </c>
      <c r="DO659" s="2" t="n">
        <v>0</v>
      </c>
      <c r="DP659" s="2" t="n">
        <v>27.48</v>
      </c>
      <c r="DQ659" s="2" t="n">
        <v>27.48</v>
      </c>
      <c r="DR659" s="2" t="n">
        <v>0</v>
      </c>
      <c r="DS659" s="2" t="n">
        <v>27.48</v>
      </c>
      <c r="DT659" s="2" t="n">
        <v>41.99</v>
      </c>
      <c r="DU659" s="2" t="n">
        <v>0</v>
      </c>
      <c r="DV659" s="2" t="n">
        <v>41.99</v>
      </c>
      <c r="DW659" s="2" t="n">
        <v>58.8</v>
      </c>
      <c r="DX659" s="2" t="n">
        <v>0</v>
      </c>
      <c r="DY659" s="2" t="n">
        <v>59.62</v>
      </c>
      <c r="DZ659" s="2" t="n">
        <v>76.09999999999999</v>
      </c>
      <c r="EA659" s="2" t="n">
        <v>0</v>
      </c>
      <c r="EB659" s="2" t="n">
        <v>75.28</v>
      </c>
      <c r="EC659" s="2" t="n">
        <v>91.76000000000001</v>
      </c>
      <c r="ED659" s="2" t="n">
        <v>0</v>
      </c>
      <c r="EE659" s="2" t="n">
        <v>87.64</v>
      </c>
      <c r="EF659" s="2" t="n">
        <v>100</v>
      </c>
      <c r="EG659" s="2" t="n">
        <v>0</v>
      </c>
      <c r="EH659" s="2" t="n">
        <v>100</v>
      </c>
      <c r="EI659" s="2" t="n">
        <v>100</v>
      </c>
      <c r="EJ659" s="2" t="n">
        <v>0</v>
      </c>
      <c r="EK659" s="2" t="n">
        <v>100</v>
      </c>
      <c r="EL659" s="2" t="n">
        <v>100</v>
      </c>
      <c r="EM659" s="2" t="n">
        <v>0</v>
      </c>
      <c r="EN659" s="2" t="n">
        <v>100</v>
      </c>
      <c r="EO659" s="2" t="n">
        <v>100</v>
      </c>
      <c r="EP659" s="2" t="n">
        <v>0</v>
      </c>
      <c r="EQ659" s="2" t="n">
        <v>100</v>
      </c>
      <c r="ER659" s="2" t="n">
        <v>100</v>
      </c>
      <c r="ES659" s="2" t="n">
        <v>0</v>
      </c>
    </row>
    <row r="660">
      <c r="A660" s="2" t="n">
        <v>4</v>
      </c>
      <c r="B660" s="2" t="inlineStr">
        <is>
          <t>30.01.05.01</t>
        </is>
      </c>
      <c r="C660" s="2" t="inlineStr">
        <is>
          <t>Concreto mecanizado com acabamento polido, sem camada de regularização</t>
        </is>
      </c>
      <c r="D660" s="2" t="inlineStr">
        <is>
          <t>24/03/2028</t>
        </is>
      </c>
      <c r="E660" s="2" t="inlineStr">
        <is>
          <t>15/12/2028</t>
        </is>
      </c>
      <c r="F660" s="2" t="n">
        <v>124027.76985</v>
      </c>
      <c r="G660" s="2" t="n">
        <v>0</v>
      </c>
      <c r="H660" s="2" t="n">
        <v>124027.76985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</v>
      </c>
      <c r="BX660" s="2" t="n">
        <v>0</v>
      </c>
      <c r="BY660" s="2" t="n">
        <v>0</v>
      </c>
      <c r="BZ660" s="2" t="n">
        <v>0</v>
      </c>
      <c r="CA660" s="2" t="n">
        <v>0</v>
      </c>
      <c r="CB660" s="2" t="n">
        <v>0</v>
      </c>
      <c r="CC660" s="2" t="n">
        <v>0</v>
      </c>
      <c r="CD660" s="2" t="n">
        <v>0</v>
      </c>
      <c r="CE660" s="2" t="n">
        <v>0</v>
      </c>
      <c r="CF660" s="2" t="n">
        <v>0</v>
      </c>
      <c r="CG660" s="2" t="n">
        <v>0</v>
      </c>
      <c r="CH660" s="2" t="n">
        <v>0</v>
      </c>
      <c r="CI660" s="2" t="n">
        <v>0</v>
      </c>
      <c r="CJ660" s="2" t="n">
        <v>0</v>
      </c>
      <c r="CK660" s="2" t="n">
        <v>0</v>
      </c>
      <c r="CL660" s="2" t="n">
        <v>0</v>
      </c>
      <c r="CM660" s="2" t="n">
        <v>0</v>
      </c>
      <c r="CN660" s="2" t="n">
        <v>0</v>
      </c>
      <c r="CO660" s="2" t="n">
        <v>0</v>
      </c>
      <c r="CP660" s="2" t="n">
        <v>0</v>
      </c>
      <c r="CQ660" s="2" t="n">
        <v>0</v>
      </c>
      <c r="CR660" s="2" t="n">
        <v>0</v>
      </c>
      <c r="CS660" s="2" t="n">
        <v>0</v>
      </c>
      <c r="CT660" s="2" t="n">
        <v>0</v>
      </c>
      <c r="CU660" s="2" t="n">
        <v>0</v>
      </c>
      <c r="CV660" s="2" t="n">
        <v>0</v>
      </c>
      <c r="CW660" s="2" t="n">
        <v>0</v>
      </c>
      <c r="CX660" s="2" t="n">
        <v>0</v>
      </c>
      <c r="CY660" s="2" t="n">
        <v>0</v>
      </c>
      <c r="CZ660" s="2" t="n">
        <v>0</v>
      </c>
      <c r="DA660" s="2" t="n">
        <v>0</v>
      </c>
      <c r="DB660" s="2" t="n">
        <v>0</v>
      </c>
      <c r="DC660" s="2" t="n">
        <v>0</v>
      </c>
      <c r="DD660" s="2" t="n">
        <v>9.16</v>
      </c>
      <c r="DE660" s="2" t="n">
        <v>10.99</v>
      </c>
      <c r="DF660" s="2" t="n">
        <v>0</v>
      </c>
      <c r="DG660" s="2" t="n">
        <v>27.48</v>
      </c>
      <c r="DH660" s="2" t="n">
        <v>27.48</v>
      </c>
      <c r="DI660" s="2" t="n">
        <v>0</v>
      </c>
      <c r="DJ660" s="2" t="n">
        <v>27.48</v>
      </c>
      <c r="DK660" s="2" t="n">
        <v>27.48</v>
      </c>
      <c r="DL660" s="2" t="n">
        <v>0</v>
      </c>
      <c r="DM660" s="2" t="n">
        <v>27.48</v>
      </c>
      <c r="DN660" s="2" t="n">
        <v>27.48</v>
      </c>
      <c r="DO660" s="2" t="n">
        <v>0</v>
      </c>
      <c r="DP660" s="2" t="n">
        <v>27.48</v>
      </c>
      <c r="DQ660" s="2" t="n">
        <v>27.48</v>
      </c>
      <c r="DR660" s="2" t="n">
        <v>0</v>
      </c>
      <c r="DS660" s="2" t="n">
        <v>27.48</v>
      </c>
      <c r="DT660" s="2" t="n">
        <v>41.99</v>
      </c>
      <c r="DU660" s="2" t="n">
        <v>0</v>
      </c>
      <c r="DV660" s="2" t="n">
        <v>41.99</v>
      </c>
      <c r="DW660" s="2" t="n">
        <v>58.8</v>
      </c>
      <c r="DX660" s="2" t="n">
        <v>0</v>
      </c>
      <c r="DY660" s="2" t="n">
        <v>59.62</v>
      </c>
      <c r="DZ660" s="2" t="n">
        <v>76.09999999999999</v>
      </c>
      <c r="EA660" s="2" t="n">
        <v>0</v>
      </c>
      <c r="EB660" s="2" t="n">
        <v>75.28</v>
      </c>
      <c r="EC660" s="2" t="n">
        <v>91.76000000000001</v>
      </c>
      <c r="ED660" s="2" t="n">
        <v>0</v>
      </c>
      <c r="EE660" s="2" t="n">
        <v>87.64</v>
      </c>
      <c r="EF660" s="2" t="n">
        <v>100</v>
      </c>
      <c r="EG660" s="2" t="n">
        <v>0</v>
      </c>
      <c r="EH660" s="2" t="n">
        <v>100</v>
      </c>
      <c r="EI660" s="2" t="n">
        <v>100</v>
      </c>
      <c r="EJ660" s="2" t="n">
        <v>0</v>
      </c>
      <c r="EK660" s="2" t="n">
        <v>100</v>
      </c>
      <c r="EL660" s="2" t="n">
        <v>100</v>
      </c>
      <c r="EM660" s="2" t="n">
        <v>0</v>
      </c>
      <c r="EN660" s="2" t="n">
        <v>100</v>
      </c>
      <c r="EO660" s="2" t="n">
        <v>100</v>
      </c>
      <c r="EP660" s="2" t="n">
        <v>0</v>
      </c>
      <c r="EQ660" s="2" t="n">
        <v>100</v>
      </c>
      <c r="ER660" s="2" t="n">
        <v>100</v>
      </c>
      <c r="ES660" s="2" t="n">
        <v>0</v>
      </c>
    </row>
    <row r="661">
      <c r="A661" s="2" t="n">
        <v>4</v>
      </c>
      <c r="B661" s="2" t="inlineStr">
        <is>
          <t>30.01.05.02</t>
        </is>
      </c>
      <c r="C661" s="2" t="inlineStr">
        <is>
          <t>Piso cimentado queimado - panos amplos</t>
        </is>
      </c>
      <c r="D661" s="2" t="inlineStr">
        <is>
          <t>24/03/2028</t>
        </is>
      </c>
      <c r="E661" s="2" t="inlineStr">
        <is>
          <t>15/12/2028</t>
        </is>
      </c>
      <c r="F661" s="2" t="n">
        <v>22357.25393905229</v>
      </c>
      <c r="G661" s="2" t="n">
        <v>0</v>
      </c>
      <c r="H661" s="2" t="n">
        <v>22357.25393905229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</v>
      </c>
      <c r="BX661" s="2" t="n">
        <v>0</v>
      </c>
      <c r="BY661" s="2" t="n">
        <v>0</v>
      </c>
      <c r="BZ661" s="2" t="n">
        <v>0</v>
      </c>
      <c r="CA661" s="2" t="n">
        <v>0</v>
      </c>
      <c r="CB661" s="2" t="n">
        <v>0</v>
      </c>
      <c r="CC661" s="2" t="n">
        <v>0</v>
      </c>
      <c r="CD661" s="2" t="n">
        <v>0</v>
      </c>
      <c r="CE661" s="2" t="n">
        <v>0</v>
      </c>
      <c r="CF661" s="2" t="n">
        <v>0</v>
      </c>
      <c r="CG661" s="2" t="n">
        <v>0</v>
      </c>
      <c r="CH661" s="2" t="n">
        <v>0</v>
      </c>
      <c r="CI661" s="2" t="n">
        <v>0</v>
      </c>
      <c r="CJ661" s="2" t="n">
        <v>0</v>
      </c>
      <c r="CK661" s="2" t="n">
        <v>0</v>
      </c>
      <c r="CL661" s="2" t="n">
        <v>0</v>
      </c>
      <c r="CM661" s="2" t="n">
        <v>0</v>
      </c>
      <c r="CN661" s="2" t="n">
        <v>0</v>
      </c>
      <c r="CO661" s="2" t="n">
        <v>0</v>
      </c>
      <c r="CP661" s="2" t="n">
        <v>0</v>
      </c>
      <c r="CQ661" s="2" t="n">
        <v>0</v>
      </c>
      <c r="CR661" s="2" t="n">
        <v>0</v>
      </c>
      <c r="CS661" s="2" t="n">
        <v>0</v>
      </c>
      <c r="CT661" s="2" t="n">
        <v>0</v>
      </c>
      <c r="CU661" s="2" t="n">
        <v>0</v>
      </c>
      <c r="CV661" s="2" t="n">
        <v>0</v>
      </c>
      <c r="CW661" s="2" t="n">
        <v>0</v>
      </c>
      <c r="CX661" s="2" t="n">
        <v>0</v>
      </c>
      <c r="CY661" s="2" t="n">
        <v>0</v>
      </c>
      <c r="CZ661" s="2" t="n">
        <v>0</v>
      </c>
      <c r="DA661" s="2" t="n">
        <v>0</v>
      </c>
      <c r="DB661" s="2" t="n">
        <v>0</v>
      </c>
      <c r="DC661" s="2" t="n">
        <v>0</v>
      </c>
      <c r="DD661" s="2" t="n">
        <v>9.16</v>
      </c>
      <c r="DE661" s="2" t="n">
        <v>10.99</v>
      </c>
      <c r="DF661" s="2" t="n">
        <v>0</v>
      </c>
      <c r="DG661" s="2" t="n">
        <v>27.48</v>
      </c>
      <c r="DH661" s="2" t="n">
        <v>27.48</v>
      </c>
      <c r="DI661" s="2" t="n">
        <v>0</v>
      </c>
      <c r="DJ661" s="2" t="n">
        <v>27.48</v>
      </c>
      <c r="DK661" s="2" t="n">
        <v>27.48</v>
      </c>
      <c r="DL661" s="2" t="n">
        <v>0</v>
      </c>
      <c r="DM661" s="2" t="n">
        <v>27.48</v>
      </c>
      <c r="DN661" s="2" t="n">
        <v>27.48</v>
      </c>
      <c r="DO661" s="2" t="n">
        <v>0</v>
      </c>
      <c r="DP661" s="2" t="n">
        <v>27.48</v>
      </c>
      <c r="DQ661" s="2" t="n">
        <v>27.48</v>
      </c>
      <c r="DR661" s="2" t="n">
        <v>0</v>
      </c>
      <c r="DS661" s="2" t="n">
        <v>27.48</v>
      </c>
      <c r="DT661" s="2" t="n">
        <v>41.99</v>
      </c>
      <c r="DU661" s="2" t="n">
        <v>0</v>
      </c>
      <c r="DV661" s="2" t="n">
        <v>41.99</v>
      </c>
      <c r="DW661" s="2" t="n">
        <v>58.8</v>
      </c>
      <c r="DX661" s="2" t="n">
        <v>0</v>
      </c>
      <c r="DY661" s="2" t="n">
        <v>59.62</v>
      </c>
      <c r="DZ661" s="2" t="n">
        <v>76.09999999999999</v>
      </c>
      <c r="EA661" s="2" t="n">
        <v>0</v>
      </c>
      <c r="EB661" s="2" t="n">
        <v>75.28</v>
      </c>
      <c r="EC661" s="2" t="n">
        <v>91.76000000000001</v>
      </c>
      <c r="ED661" s="2" t="n">
        <v>0</v>
      </c>
      <c r="EE661" s="2" t="n">
        <v>87.64</v>
      </c>
      <c r="EF661" s="2" t="n">
        <v>100</v>
      </c>
      <c r="EG661" s="2" t="n">
        <v>0</v>
      </c>
      <c r="EH661" s="2" t="n">
        <v>100</v>
      </c>
      <c r="EI661" s="2" t="n">
        <v>100</v>
      </c>
      <c r="EJ661" s="2" t="n">
        <v>0</v>
      </c>
      <c r="EK661" s="2" t="n">
        <v>100</v>
      </c>
      <c r="EL661" s="2" t="n">
        <v>100</v>
      </c>
      <c r="EM661" s="2" t="n">
        <v>0</v>
      </c>
      <c r="EN661" s="2" t="n">
        <v>100</v>
      </c>
      <c r="EO661" s="2" t="n">
        <v>100</v>
      </c>
      <c r="EP661" s="2" t="n">
        <v>0</v>
      </c>
      <c r="EQ661" s="2" t="n">
        <v>100</v>
      </c>
      <c r="ER661" s="2" t="n">
        <v>100</v>
      </c>
      <c r="ES661" s="2" t="n">
        <v>0</v>
      </c>
    </row>
    <row r="662">
      <c r="A662" s="2" t="n">
        <v>4</v>
      </c>
      <c r="B662" s="2" t="inlineStr">
        <is>
          <t>30.01.05.03</t>
        </is>
      </c>
      <c r="C662" s="2" t="inlineStr">
        <is>
          <t>Piso cimentado queimado - escadarias</t>
        </is>
      </c>
      <c r="D662" s="2" t="inlineStr">
        <is>
          <t>24/03/2028</t>
        </is>
      </c>
      <c r="E662" s="2" t="inlineStr">
        <is>
          <t>15/12/2028</t>
        </is>
      </c>
      <c r="F662" s="2" t="n">
        <v>74407.65674434621</v>
      </c>
      <c r="G662" s="2" t="n">
        <v>0</v>
      </c>
      <c r="H662" s="2" t="n">
        <v>74407.65674434621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</v>
      </c>
      <c r="BX662" s="2" t="n">
        <v>0</v>
      </c>
      <c r="BY662" s="2" t="n">
        <v>0</v>
      </c>
      <c r="BZ662" s="2" t="n">
        <v>0</v>
      </c>
      <c r="CA662" s="2" t="n">
        <v>0</v>
      </c>
      <c r="CB662" s="2" t="n">
        <v>0</v>
      </c>
      <c r="CC662" s="2" t="n">
        <v>0</v>
      </c>
      <c r="CD662" s="2" t="n">
        <v>0</v>
      </c>
      <c r="CE662" s="2" t="n">
        <v>0</v>
      </c>
      <c r="CF662" s="2" t="n">
        <v>0</v>
      </c>
      <c r="CG662" s="2" t="n">
        <v>0</v>
      </c>
      <c r="CH662" s="2" t="n">
        <v>0</v>
      </c>
      <c r="CI662" s="2" t="n">
        <v>0</v>
      </c>
      <c r="CJ662" s="2" t="n">
        <v>0</v>
      </c>
      <c r="CK662" s="2" t="n">
        <v>0</v>
      </c>
      <c r="CL662" s="2" t="n">
        <v>0</v>
      </c>
      <c r="CM662" s="2" t="n">
        <v>0</v>
      </c>
      <c r="CN662" s="2" t="n">
        <v>0</v>
      </c>
      <c r="CO662" s="2" t="n">
        <v>0</v>
      </c>
      <c r="CP662" s="2" t="n">
        <v>0</v>
      </c>
      <c r="CQ662" s="2" t="n">
        <v>0</v>
      </c>
      <c r="CR662" s="2" t="n">
        <v>0</v>
      </c>
      <c r="CS662" s="2" t="n">
        <v>0</v>
      </c>
      <c r="CT662" s="2" t="n">
        <v>0</v>
      </c>
      <c r="CU662" s="2" t="n">
        <v>0</v>
      </c>
      <c r="CV662" s="2" t="n">
        <v>0</v>
      </c>
      <c r="CW662" s="2" t="n">
        <v>0</v>
      </c>
      <c r="CX662" s="2" t="n">
        <v>0</v>
      </c>
      <c r="CY662" s="2" t="n">
        <v>0</v>
      </c>
      <c r="CZ662" s="2" t="n">
        <v>0</v>
      </c>
      <c r="DA662" s="2" t="n">
        <v>0</v>
      </c>
      <c r="DB662" s="2" t="n">
        <v>0</v>
      </c>
      <c r="DC662" s="2" t="n">
        <v>0</v>
      </c>
      <c r="DD662" s="2" t="n">
        <v>9.16</v>
      </c>
      <c r="DE662" s="2" t="n">
        <v>10.99</v>
      </c>
      <c r="DF662" s="2" t="n">
        <v>0</v>
      </c>
      <c r="DG662" s="2" t="n">
        <v>27.48</v>
      </c>
      <c r="DH662" s="2" t="n">
        <v>27.48</v>
      </c>
      <c r="DI662" s="2" t="n">
        <v>0</v>
      </c>
      <c r="DJ662" s="2" t="n">
        <v>27.48</v>
      </c>
      <c r="DK662" s="2" t="n">
        <v>27.48</v>
      </c>
      <c r="DL662" s="2" t="n">
        <v>0</v>
      </c>
      <c r="DM662" s="2" t="n">
        <v>27.48</v>
      </c>
      <c r="DN662" s="2" t="n">
        <v>27.48</v>
      </c>
      <c r="DO662" s="2" t="n">
        <v>0</v>
      </c>
      <c r="DP662" s="2" t="n">
        <v>27.48</v>
      </c>
      <c r="DQ662" s="2" t="n">
        <v>27.48</v>
      </c>
      <c r="DR662" s="2" t="n">
        <v>0</v>
      </c>
      <c r="DS662" s="2" t="n">
        <v>27.48</v>
      </c>
      <c r="DT662" s="2" t="n">
        <v>41.99</v>
      </c>
      <c r="DU662" s="2" t="n">
        <v>0</v>
      </c>
      <c r="DV662" s="2" t="n">
        <v>41.99</v>
      </c>
      <c r="DW662" s="2" t="n">
        <v>58.8</v>
      </c>
      <c r="DX662" s="2" t="n">
        <v>0</v>
      </c>
      <c r="DY662" s="2" t="n">
        <v>59.62</v>
      </c>
      <c r="DZ662" s="2" t="n">
        <v>76.09999999999999</v>
      </c>
      <c r="EA662" s="2" t="n">
        <v>0</v>
      </c>
      <c r="EB662" s="2" t="n">
        <v>75.28</v>
      </c>
      <c r="EC662" s="2" t="n">
        <v>91.76000000000001</v>
      </c>
      <c r="ED662" s="2" t="n">
        <v>0</v>
      </c>
      <c r="EE662" s="2" t="n">
        <v>87.64</v>
      </c>
      <c r="EF662" s="2" t="n">
        <v>100</v>
      </c>
      <c r="EG662" s="2" t="n">
        <v>0</v>
      </c>
      <c r="EH662" s="2" t="n">
        <v>100</v>
      </c>
      <c r="EI662" s="2" t="n">
        <v>100</v>
      </c>
      <c r="EJ662" s="2" t="n">
        <v>0</v>
      </c>
      <c r="EK662" s="2" t="n">
        <v>100</v>
      </c>
      <c r="EL662" s="2" t="n">
        <v>100</v>
      </c>
      <c r="EM662" s="2" t="n">
        <v>0</v>
      </c>
      <c r="EN662" s="2" t="n">
        <v>100</v>
      </c>
      <c r="EO662" s="2" t="n">
        <v>100</v>
      </c>
      <c r="EP662" s="2" t="n">
        <v>0</v>
      </c>
      <c r="EQ662" s="2" t="n">
        <v>100</v>
      </c>
      <c r="ER662" s="2" t="n">
        <v>100</v>
      </c>
      <c r="ES662" s="2" t="n">
        <v>0</v>
      </c>
    </row>
    <row r="663">
      <c r="A663" s="2" t="n">
        <v>4</v>
      </c>
      <c r="B663" s="2" t="inlineStr">
        <is>
          <t>30.01.05.04</t>
        </is>
      </c>
      <c r="C663" s="2" t="inlineStr">
        <is>
          <t>Piso em ladrilho hidráulico 20x20cm, modelo rampa, cor cinza.</t>
        </is>
      </c>
      <c r="D663" s="2" t="inlineStr">
        <is>
          <t>24/03/2028</t>
        </is>
      </c>
      <c r="E663" s="2" t="inlineStr">
        <is>
          <t>15/12/2028</t>
        </is>
      </c>
      <c r="F663" s="2" t="n">
        <v>52523.53723614944</v>
      </c>
      <c r="G663" s="2" t="n">
        <v>0</v>
      </c>
      <c r="H663" s="2" t="n">
        <v>52523.53723614944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</v>
      </c>
      <c r="BX663" s="2" t="n">
        <v>0</v>
      </c>
      <c r="BY663" s="2" t="n">
        <v>0</v>
      </c>
      <c r="BZ663" s="2" t="n">
        <v>0</v>
      </c>
      <c r="CA663" s="2" t="n">
        <v>0</v>
      </c>
      <c r="CB663" s="2" t="n">
        <v>0</v>
      </c>
      <c r="CC663" s="2" t="n">
        <v>0</v>
      </c>
      <c r="CD663" s="2" t="n">
        <v>0</v>
      </c>
      <c r="CE663" s="2" t="n">
        <v>0</v>
      </c>
      <c r="CF663" s="2" t="n">
        <v>0</v>
      </c>
      <c r="CG663" s="2" t="n">
        <v>0</v>
      </c>
      <c r="CH663" s="2" t="n">
        <v>0</v>
      </c>
      <c r="CI663" s="2" t="n">
        <v>0</v>
      </c>
      <c r="CJ663" s="2" t="n">
        <v>0</v>
      </c>
      <c r="CK663" s="2" t="n">
        <v>0</v>
      </c>
      <c r="CL663" s="2" t="n">
        <v>0</v>
      </c>
      <c r="CM663" s="2" t="n">
        <v>0</v>
      </c>
      <c r="CN663" s="2" t="n">
        <v>0</v>
      </c>
      <c r="CO663" s="2" t="n">
        <v>0</v>
      </c>
      <c r="CP663" s="2" t="n">
        <v>0</v>
      </c>
      <c r="CQ663" s="2" t="n">
        <v>0</v>
      </c>
      <c r="CR663" s="2" t="n">
        <v>0</v>
      </c>
      <c r="CS663" s="2" t="n">
        <v>0</v>
      </c>
      <c r="CT663" s="2" t="n">
        <v>0</v>
      </c>
      <c r="CU663" s="2" t="n">
        <v>0</v>
      </c>
      <c r="CV663" s="2" t="n">
        <v>0</v>
      </c>
      <c r="CW663" s="2" t="n">
        <v>0</v>
      </c>
      <c r="CX663" s="2" t="n">
        <v>0</v>
      </c>
      <c r="CY663" s="2" t="n">
        <v>0</v>
      </c>
      <c r="CZ663" s="2" t="n">
        <v>0</v>
      </c>
      <c r="DA663" s="2" t="n">
        <v>0</v>
      </c>
      <c r="DB663" s="2" t="n">
        <v>0</v>
      </c>
      <c r="DC663" s="2" t="n">
        <v>0</v>
      </c>
      <c r="DD663" s="2" t="n">
        <v>9.16</v>
      </c>
      <c r="DE663" s="2" t="n">
        <v>10.99</v>
      </c>
      <c r="DF663" s="2" t="n">
        <v>0</v>
      </c>
      <c r="DG663" s="2" t="n">
        <v>27.48</v>
      </c>
      <c r="DH663" s="2" t="n">
        <v>27.48</v>
      </c>
      <c r="DI663" s="2" t="n">
        <v>0</v>
      </c>
      <c r="DJ663" s="2" t="n">
        <v>27.48</v>
      </c>
      <c r="DK663" s="2" t="n">
        <v>27.48</v>
      </c>
      <c r="DL663" s="2" t="n">
        <v>0</v>
      </c>
      <c r="DM663" s="2" t="n">
        <v>27.48</v>
      </c>
      <c r="DN663" s="2" t="n">
        <v>27.48</v>
      </c>
      <c r="DO663" s="2" t="n">
        <v>0</v>
      </c>
      <c r="DP663" s="2" t="n">
        <v>27.48</v>
      </c>
      <c r="DQ663" s="2" t="n">
        <v>27.48</v>
      </c>
      <c r="DR663" s="2" t="n">
        <v>0</v>
      </c>
      <c r="DS663" s="2" t="n">
        <v>27.48</v>
      </c>
      <c r="DT663" s="2" t="n">
        <v>41.99</v>
      </c>
      <c r="DU663" s="2" t="n">
        <v>0</v>
      </c>
      <c r="DV663" s="2" t="n">
        <v>41.99</v>
      </c>
      <c r="DW663" s="2" t="n">
        <v>58.8</v>
      </c>
      <c r="DX663" s="2" t="n">
        <v>0</v>
      </c>
      <c r="DY663" s="2" t="n">
        <v>59.62</v>
      </c>
      <c r="DZ663" s="2" t="n">
        <v>76.09999999999999</v>
      </c>
      <c r="EA663" s="2" t="n">
        <v>0</v>
      </c>
      <c r="EB663" s="2" t="n">
        <v>75.28</v>
      </c>
      <c r="EC663" s="2" t="n">
        <v>91.76000000000001</v>
      </c>
      <c r="ED663" s="2" t="n">
        <v>0</v>
      </c>
      <c r="EE663" s="2" t="n">
        <v>87.64</v>
      </c>
      <c r="EF663" s="2" t="n">
        <v>100</v>
      </c>
      <c r="EG663" s="2" t="n">
        <v>0</v>
      </c>
      <c r="EH663" s="2" t="n">
        <v>100</v>
      </c>
      <c r="EI663" s="2" t="n">
        <v>100</v>
      </c>
      <c r="EJ663" s="2" t="n">
        <v>0</v>
      </c>
      <c r="EK663" s="2" t="n">
        <v>100</v>
      </c>
      <c r="EL663" s="2" t="n">
        <v>100</v>
      </c>
      <c r="EM663" s="2" t="n">
        <v>0</v>
      </c>
      <c r="EN663" s="2" t="n">
        <v>100</v>
      </c>
      <c r="EO663" s="2" t="n">
        <v>100</v>
      </c>
      <c r="EP663" s="2" t="n">
        <v>0</v>
      </c>
      <c r="EQ663" s="2" t="n">
        <v>100</v>
      </c>
      <c r="ER663" s="2" t="n">
        <v>100</v>
      </c>
      <c r="ES663" s="2" t="n">
        <v>0</v>
      </c>
    </row>
    <row r="664">
      <c r="A664" s="2" t="n">
        <v>2</v>
      </c>
      <c r="B664" s="2" t="inlineStr">
        <is>
          <t>30.02</t>
        </is>
      </c>
      <c r="C664" s="2" t="inlineStr">
        <is>
          <t>Rodapés internos</t>
        </is>
      </c>
      <c r="D664" s="2" t="inlineStr">
        <is>
          <t>17/02/2028</t>
        </is>
      </c>
      <c r="E664" s="2" t="inlineStr">
        <is>
          <t>23/01/2029</t>
        </is>
      </c>
      <c r="F664" s="2" t="n">
        <v>925320.0568130966</v>
      </c>
      <c r="G664" s="2" t="n">
        <v>0</v>
      </c>
      <c r="H664" s="2" t="n">
        <v>925320.0568130966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</v>
      </c>
      <c r="BX664" s="2" t="n">
        <v>0</v>
      </c>
      <c r="BY664" s="2" t="n">
        <v>0</v>
      </c>
      <c r="BZ664" s="2" t="n">
        <v>0</v>
      </c>
      <c r="CA664" s="2" t="n">
        <v>0</v>
      </c>
      <c r="CB664" s="2" t="n">
        <v>0</v>
      </c>
      <c r="CC664" s="2" t="n">
        <v>0</v>
      </c>
      <c r="CD664" s="2" t="n">
        <v>0</v>
      </c>
      <c r="CE664" s="2" t="n">
        <v>0</v>
      </c>
      <c r="CF664" s="2" t="n">
        <v>0</v>
      </c>
      <c r="CG664" s="2" t="n">
        <v>0</v>
      </c>
      <c r="CH664" s="2" t="n">
        <v>0</v>
      </c>
      <c r="CI664" s="2" t="n">
        <v>0</v>
      </c>
      <c r="CJ664" s="2" t="n">
        <v>0</v>
      </c>
      <c r="CK664" s="2" t="n">
        <v>0</v>
      </c>
      <c r="CL664" s="2" t="n">
        <v>0</v>
      </c>
      <c r="CM664" s="2" t="n">
        <v>0</v>
      </c>
      <c r="CN664" s="2" t="n">
        <v>0</v>
      </c>
      <c r="CO664" s="2" t="n">
        <v>0</v>
      </c>
      <c r="CP664" s="2" t="n">
        <v>0</v>
      </c>
      <c r="CQ664" s="2" t="n">
        <v>0</v>
      </c>
      <c r="CR664" s="2" t="n">
        <v>0</v>
      </c>
      <c r="CS664" s="2" t="n">
        <v>0</v>
      </c>
      <c r="CT664" s="2" t="n">
        <v>0</v>
      </c>
      <c r="CU664" s="2" t="n">
        <v>0</v>
      </c>
      <c r="CV664" s="2" t="n">
        <v>0</v>
      </c>
      <c r="CW664" s="2" t="n">
        <v>0</v>
      </c>
      <c r="CX664" s="2" t="n">
        <v>0</v>
      </c>
      <c r="CY664" s="2" t="n">
        <v>0</v>
      </c>
      <c r="CZ664" s="2" t="n">
        <v>0</v>
      </c>
      <c r="DA664" s="2" t="n">
        <v>1.78</v>
      </c>
      <c r="DB664" s="2" t="n">
        <v>4</v>
      </c>
      <c r="DC664" s="2" t="n">
        <v>0</v>
      </c>
      <c r="DD664" s="2" t="n">
        <v>12</v>
      </c>
      <c r="DE664" s="2" t="n">
        <v>14.22</v>
      </c>
      <c r="DF664" s="2" t="n">
        <v>0</v>
      </c>
      <c r="DG664" s="2" t="n">
        <v>20</v>
      </c>
      <c r="DH664" s="2" t="n">
        <v>22.22</v>
      </c>
      <c r="DI664" s="2" t="n">
        <v>0</v>
      </c>
      <c r="DJ664" s="2" t="n">
        <v>29.78</v>
      </c>
      <c r="DK664" s="2" t="n">
        <v>32</v>
      </c>
      <c r="DL664" s="2" t="n">
        <v>0</v>
      </c>
      <c r="DM664" s="2" t="n">
        <v>39.11</v>
      </c>
      <c r="DN664" s="2" t="n">
        <v>41.33</v>
      </c>
      <c r="DO664" s="2" t="n">
        <v>0</v>
      </c>
      <c r="DP664" s="2" t="n">
        <v>48.44</v>
      </c>
      <c r="DQ664" s="2" t="n">
        <v>50.67</v>
      </c>
      <c r="DR664" s="2" t="n">
        <v>0</v>
      </c>
      <c r="DS664" s="2" t="n">
        <v>58.22</v>
      </c>
      <c r="DT664" s="2" t="n">
        <v>60.44</v>
      </c>
      <c r="DU664" s="2" t="n">
        <v>0</v>
      </c>
      <c r="DV664" s="2" t="n">
        <v>67.11</v>
      </c>
      <c r="DW664" s="2" t="n">
        <v>69.33</v>
      </c>
      <c r="DX664" s="2" t="n">
        <v>0</v>
      </c>
      <c r="DY664" s="2" t="n">
        <v>76.44</v>
      </c>
      <c r="DZ664" s="2" t="n">
        <v>78.67</v>
      </c>
      <c r="EA664" s="2" t="n">
        <v>0</v>
      </c>
      <c r="EB664" s="2" t="n">
        <v>84.89</v>
      </c>
      <c r="EC664" s="2" t="n">
        <v>87.11</v>
      </c>
      <c r="ED664" s="2" t="n">
        <v>0</v>
      </c>
      <c r="EE664" s="2" t="n">
        <v>91.56</v>
      </c>
      <c r="EF664" s="2" t="n">
        <v>93.40000000000001</v>
      </c>
      <c r="EG664" s="2" t="n">
        <v>0</v>
      </c>
      <c r="EH664" s="2" t="n">
        <v>100</v>
      </c>
      <c r="EI664" s="2" t="n">
        <v>100</v>
      </c>
      <c r="EJ664" s="2" t="n">
        <v>0</v>
      </c>
      <c r="EK664" s="2" t="n">
        <v>100</v>
      </c>
      <c r="EL664" s="2" t="n">
        <v>100</v>
      </c>
      <c r="EM664" s="2" t="n">
        <v>0</v>
      </c>
      <c r="EN664" s="2" t="n">
        <v>100</v>
      </c>
      <c r="EO664" s="2" t="n">
        <v>100</v>
      </c>
      <c r="EP664" s="2" t="n">
        <v>0</v>
      </c>
      <c r="EQ664" s="2" t="n">
        <v>100</v>
      </c>
      <c r="ER664" s="2" t="n">
        <v>100</v>
      </c>
      <c r="ES664" s="2" t="n">
        <v>0</v>
      </c>
    </row>
    <row r="665">
      <c r="A665" s="2" t="n">
        <v>3</v>
      </c>
      <c r="B665" s="2" t="inlineStr">
        <is>
          <t>30.02.01</t>
        </is>
      </c>
      <c r="C665" s="2" t="inlineStr">
        <is>
          <t>Porcelanato</t>
        </is>
      </c>
      <c r="D665" s="2" t="inlineStr">
        <is>
          <t>17/02/2028</t>
        </is>
      </c>
      <c r="E665" s="2" t="inlineStr">
        <is>
          <t>23/01/2029</t>
        </is>
      </c>
      <c r="F665" s="2" t="n">
        <v>340748.4784289562</v>
      </c>
      <c r="G665" s="2" t="n">
        <v>0</v>
      </c>
      <c r="H665" s="2" t="n">
        <v>340748.4784289562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</v>
      </c>
      <c r="BX665" s="2" t="n">
        <v>0</v>
      </c>
      <c r="BY665" s="2" t="n">
        <v>0</v>
      </c>
      <c r="BZ665" s="2" t="n">
        <v>0</v>
      </c>
      <c r="CA665" s="2" t="n">
        <v>0</v>
      </c>
      <c r="CB665" s="2" t="n">
        <v>0</v>
      </c>
      <c r="CC665" s="2" t="n">
        <v>0</v>
      </c>
      <c r="CD665" s="2" t="n">
        <v>0</v>
      </c>
      <c r="CE665" s="2" t="n">
        <v>0</v>
      </c>
      <c r="CF665" s="2" t="n">
        <v>0</v>
      </c>
      <c r="CG665" s="2" t="n">
        <v>0</v>
      </c>
      <c r="CH665" s="2" t="n">
        <v>0</v>
      </c>
      <c r="CI665" s="2" t="n">
        <v>0</v>
      </c>
      <c r="CJ665" s="2" t="n">
        <v>0</v>
      </c>
      <c r="CK665" s="2" t="n">
        <v>0</v>
      </c>
      <c r="CL665" s="2" t="n">
        <v>0</v>
      </c>
      <c r="CM665" s="2" t="n">
        <v>0</v>
      </c>
      <c r="CN665" s="2" t="n">
        <v>0</v>
      </c>
      <c r="CO665" s="2" t="n">
        <v>0</v>
      </c>
      <c r="CP665" s="2" t="n">
        <v>0</v>
      </c>
      <c r="CQ665" s="2" t="n">
        <v>0</v>
      </c>
      <c r="CR665" s="2" t="n">
        <v>0</v>
      </c>
      <c r="CS665" s="2" t="n">
        <v>0</v>
      </c>
      <c r="CT665" s="2" t="n">
        <v>0</v>
      </c>
      <c r="CU665" s="2" t="n">
        <v>0</v>
      </c>
      <c r="CV665" s="2" t="n">
        <v>0</v>
      </c>
      <c r="CW665" s="2" t="n">
        <v>0</v>
      </c>
      <c r="CX665" s="2" t="n">
        <v>0</v>
      </c>
      <c r="CY665" s="2" t="n">
        <v>0</v>
      </c>
      <c r="CZ665" s="2" t="n">
        <v>0</v>
      </c>
      <c r="DA665" s="2" t="n">
        <v>1.78</v>
      </c>
      <c r="DB665" s="2" t="n">
        <v>4</v>
      </c>
      <c r="DC665" s="2" t="n">
        <v>0</v>
      </c>
      <c r="DD665" s="2" t="n">
        <v>12</v>
      </c>
      <c r="DE665" s="2" t="n">
        <v>14.22</v>
      </c>
      <c r="DF665" s="2" t="n">
        <v>0</v>
      </c>
      <c r="DG665" s="2" t="n">
        <v>20</v>
      </c>
      <c r="DH665" s="2" t="n">
        <v>22.22</v>
      </c>
      <c r="DI665" s="2" t="n">
        <v>0</v>
      </c>
      <c r="DJ665" s="2" t="n">
        <v>29.78</v>
      </c>
      <c r="DK665" s="2" t="n">
        <v>32</v>
      </c>
      <c r="DL665" s="2" t="n">
        <v>0</v>
      </c>
      <c r="DM665" s="2" t="n">
        <v>39.11</v>
      </c>
      <c r="DN665" s="2" t="n">
        <v>41.33</v>
      </c>
      <c r="DO665" s="2" t="n">
        <v>0</v>
      </c>
      <c r="DP665" s="2" t="n">
        <v>48.44</v>
      </c>
      <c r="DQ665" s="2" t="n">
        <v>50.67</v>
      </c>
      <c r="DR665" s="2" t="n">
        <v>0</v>
      </c>
      <c r="DS665" s="2" t="n">
        <v>58.22</v>
      </c>
      <c r="DT665" s="2" t="n">
        <v>60.44</v>
      </c>
      <c r="DU665" s="2" t="n">
        <v>0</v>
      </c>
      <c r="DV665" s="2" t="n">
        <v>67.11</v>
      </c>
      <c r="DW665" s="2" t="n">
        <v>69.33</v>
      </c>
      <c r="DX665" s="2" t="n">
        <v>0</v>
      </c>
      <c r="DY665" s="2" t="n">
        <v>76.44</v>
      </c>
      <c r="DZ665" s="2" t="n">
        <v>78.67</v>
      </c>
      <c r="EA665" s="2" t="n">
        <v>0</v>
      </c>
      <c r="EB665" s="2" t="n">
        <v>84.89</v>
      </c>
      <c r="EC665" s="2" t="n">
        <v>87.11</v>
      </c>
      <c r="ED665" s="2" t="n">
        <v>0</v>
      </c>
      <c r="EE665" s="2" t="n">
        <v>91.56</v>
      </c>
      <c r="EF665" s="2" t="n">
        <v>93.40000000000001</v>
      </c>
      <c r="EG665" s="2" t="n">
        <v>0</v>
      </c>
      <c r="EH665" s="2" t="n">
        <v>100</v>
      </c>
      <c r="EI665" s="2" t="n">
        <v>100</v>
      </c>
      <c r="EJ665" s="2" t="n">
        <v>0</v>
      </c>
      <c r="EK665" s="2" t="n">
        <v>100</v>
      </c>
      <c r="EL665" s="2" t="n">
        <v>100</v>
      </c>
      <c r="EM665" s="2" t="n">
        <v>0</v>
      </c>
      <c r="EN665" s="2" t="n">
        <v>100</v>
      </c>
      <c r="EO665" s="2" t="n">
        <v>100</v>
      </c>
      <c r="EP665" s="2" t="n">
        <v>0</v>
      </c>
      <c r="EQ665" s="2" t="n">
        <v>100</v>
      </c>
      <c r="ER665" s="2" t="n">
        <v>100</v>
      </c>
      <c r="ES665" s="2" t="n">
        <v>0</v>
      </c>
    </row>
    <row r="666">
      <c r="A666" s="2" t="n">
        <v>4</v>
      </c>
      <c r="B666" s="2" t="inlineStr">
        <is>
          <t>30.02.01.01</t>
        </is>
      </c>
      <c r="C666" s="2" t="inlineStr">
        <is>
          <t>Rodapé para Piso Porcelanato, com acabamento acetinado. Ref.: Eliane, Khali OffWhite AC 10x120cm, assentado com argamassa colante em pó ACIII</t>
        </is>
      </c>
      <c r="D666" s="2" t="inlineStr">
        <is>
          <t>17/02/2028</t>
        </is>
      </c>
      <c r="E666" s="2" t="inlineStr">
        <is>
          <t>23/01/2029</t>
        </is>
      </c>
      <c r="F666" s="2" t="n">
        <v>269606.8862480847</v>
      </c>
      <c r="G666" s="2" t="n">
        <v>0</v>
      </c>
      <c r="H666" s="2" t="n">
        <v>269606.8862480847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</v>
      </c>
      <c r="BX666" s="2" t="n">
        <v>0</v>
      </c>
      <c r="BY666" s="2" t="n">
        <v>0</v>
      </c>
      <c r="BZ666" s="2" t="n">
        <v>0</v>
      </c>
      <c r="CA666" s="2" t="n">
        <v>0</v>
      </c>
      <c r="CB666" s="2" t="n">
        <v>0</v>
      </c>
      <c r="CC666" s="2" t="n">
        <v>0</v>
      </c>
      <c r="CD666" s="2" t="n">
        <v>0</v>
      </c>
      <c r="CE666" s="2" t="n">
        <v>0</v>
      </c>
      <c r="CF666" s="2" t="n">
        <v>0</v>
      </c>
      <c r="CG666" s="2" t="n">
        <v>0</v>
      </c>
      <c r="CH666" s="2" t="n">
        <v>0</v>
      </c>
      <c r="CI666" s="2" t="n">
        <v>0</v>
      </c>
      <c r="CJ666" s="2" t="n">
        <v>0</v>
      </c>
      <c r="CK666" s="2" t="n">
        <v>0</v>
      </c>
      <c r="CL666" s="2" t="n">
        <v>0</v>
      </c>
      <c r="CM666" s="2" t="n">
        <v>0</v>
      </c>
      <c r="CN666" s="2" t="n">
        <v>0</v>
      </c>
      <c r="CO666" s="2" t="n">
        <v>0</v>
      </c>
      <c r="CP666" s="2" t="n">
        <v>0</v>
      </c>
      <c r="CQ666" s="2" t="n">
        <v>0</v>
      </c>
      <c r="CR666" s="2" t="n">
        <v>0</v>
      </c>
      <c r="CS666" s="2" t="n">
        <v>0</v>
      </c>
      <c r="CT666" s="2" t="n">
        <v>0</v>
      </c>
      <c r="CU666" s="2" t="n">
        <v>0</v>
      </c>
      <c r="CV666" s="2" t="n">
        <v>0</v>
      </c>
      <c r="CW666" s="2" t="n">
        <v>0</v>
      </c>
      <c r="CX666" s="2" t="n">
        <v>0</v>
      </c>
      <c r="CY666" s="2" t="n">
        <v>0</v>
      </c>
      <c r="CZ666" s="2" t="n">
        <v>0</v>
      </c>
      <c r="DA666" s="2" t="n">
        <v>1.78</v>
      </c>
      <c r="DB666" s="2" t="n">
        <v>4</v>
      </c>
      <c r="DC666" s="2" t="n">
        <v>0</v>
      </c>
      <c r="DD666" s="2" t="n">
        <v>12</v>
      </c>
      <c r="DE666" s="2" t="n">
        <v>14.22</v>
      </c>
      <c r="DF666" s="2" t="n">
        <v>0</v>
      </c>
      <c r="DG666" s="2" t="n">
        <v>20</v>
      </c>
      <c r="DH666" s="2" t="n">
        <v>22.22</v>
      </c>
      <c r="DI666" s="2" t="n">
        <v>0</v>
      </c>
      <c r="DJ666" s="2" t="n">
        <v>29.78</v>
      </c>
      <c r="DK666" s="2" t="n">
        <v>32</v>
      </c>
      <c r="DL666" s="2" t="n">
        <v>0</v>
      </c>
      <c r="DM666" s="2" t="n">
        <v>39.11</v>
      </c>
      <c r="DN666" s="2" t="n">
        <v>41.33</v>
      </c>
      <c r="DO666" s="2" t="n">
        <v>0</v>
      </c>
      <c r="DP666" s="2" t="n">
        <v>48.44</v>
      </c>
      <c r="DQ666" s="2" t="n">
        <v>50.67</v>
      </c>
      <c r="DR666" s="2" t="n">
        <v>0</v>
      </c>
      <c r="DS666" s="2" t="n">
        <v>58.22</v>
      </c>
      <c r="DT666" s="2" t="n">
        <v>60.44</v>
      </c>
      <c r="DU666" s="2" t="n">
        <v>0</v>
      </c>
      <c r="DV666" s="2" t="n">
        <v>67.11</v>
      </c>
      <c r="DW666" s="2" t="n">
        <v>69.33</v>
      </c>
      <c r="DX666" s="2" t="n">
        <v>0</v>
      </c>
      <c r="DY666" s="2" t="n">
        <v>76.44</v>
      </c>
      <c r="DZ666" s="2" t="n">
        <v>78.67</v>
      </c>
      <c r="EA666" s="2" t="n">
        <v>0</v>
      </c>
      <c r="EB666" s="2" t="n">
        <v>84.89</v>
      </c>
      <c r="EC666" s="2" t="n">
        <v>87.11</v>
      </c>
      <c r="ED666" s="2" t="n">
        <v>0</v>
      </c>
      <c r="EE666" s="2" t="n">
        <v>91.56</v>
      </c>
      <c r="EF666" s="2" t="n">
        <v>93.40000000000001</v>
      </c>
      <c r="EG666" s="2" t="n">
        <v>0</v>
      </c>
      <c r="EH666" s="2" t="n">
        <v>100</v>
      </c>
      <c r="EI666" s="2" t="n">
        <v>100</v>
      </c>
      <c r="EJ666" s="2" t="n">
        <v>0</v>
      </c>
      <c r="EK666" s="2" t="n">
        <v>100</v>
      </c>
      <c r="EL666" s="2" t="n">
        <v>100</v>
      </c>
      <c r="EM666" s="2" t="n">
        <v>0</v>
      </c>
      <c r="EN666" s="2" t="n">
        <v>100</v>
      </c>
      <c r="EO666" s="2" t="n">
        <v>100</v>
      </c>
      <c r="EP666" s="2" t="n">
        <v>0</v>
      </c>
      <c r="EQ666" s="2" t="n">
        <v>100</v>
      </c>
      <c r="ER666" s="2" t="n">
        <v>100</v>
      </c>
      <c r="ES666" s="2" t="n">
        <v>0</v>
      </c>
    </row>
    <row r="667">
      <c r="A667" s="2" t="n">
        <v>4</v>
      </c>
      <c r="B667" s="2" t="inlineStr">
        <is>
          <t>30.02.01.02</t>
        </is>
      </c>
      <c r="C667" s="2" t="inlineStr">
        <is>
          <t>Rodapé para Piso Porcelanato, com acabamento acetinado. Ref.: Eliane, Khali OffWhite AC 10x120cm, assentado com argamassa colante em pó ACIII</t>
        </is>
      </c>
      <c r="D667" s="2" t="inlineStr">
        <is>
          <t>17/02/2028</t>
        </is>
      </c>
      <c r="E667" s="2" t="inlineStr">
        <is>
          <t>23/01/2029</t>
        </is>
      </c>
      <c r="F667" s="2" t="n">
        <v>61183.90800915172</v>
      </c>
      <c r="G667" s="2" t="n">
        <v>0</v>
      </c>
      <c r="H667" s="2" t="n">
        <v>61183.90800915172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0</v>
      </c>
      <c r="BQ667" s="2" t="n">
        <v>0</v>
      </c>
      <c r="BR667" s="2" t="n">
        <v>0</v>
      </c>
      <c r="BS667" s="2" t="n">
        <v>0</v>
      </c>
      <c r="BT667" s="2" t="n">
        <v>0</v>
      </c>
      <c r="BU667" s="2" t="n">
        <v>0</v>
      </c>
      <c r="BV667" s="2" t="n">
        <v>0</v>
      </c>
      <c r="BW667" s="2" t="n">
        <v>0</v>
      </c>
      <c r="BX667" s="2" t="n">
        <v>0</v>
      </c>
      <c r="BY667" s="2" t="n">
        <v>0</v>
      </c>
      <c r="BZ667" s="2" t="n">
        <v>0</v>
      </c>
      <c r="CA667" s="2" t="n">
        <v>0</v>
      </c>
      <c r="CB667" s="2" t="n">
        <v>0</v>
      </c>
      <c r="CC667" s="2" t="n">
        <v>0</v>
      </c>
      <c r="CD667" s="2" t="n">
        <v>0</v>
      </c>
      <c r="CE667" s="2" t="n">
        <v>0</v>
      </c>
      <c r="CF667" s="2" t="n">
        <v>0</v>
      </c>
      <c r="CG667" s="2" t="n">
        <v>0</v>
      </c>
      <c r="CH667" s="2" t="n">
        <v>0</v>
      </c>
      <c r="CI667" s="2" t="n">
        <v>0</v>
      </c>
      <c r="CJ667" s="2" t="n">
        <v>0</v>
      </c>
      <c r="CK667" s="2" t="n">
        <v>0</v>
      </c>
      <c r="CL667" s="2" t="n">
        <v>0</v>
      </c>
      <c r="CM667" s="2" t="n">
        <v>0</v>
      </c>
      <c r="CN667" s="2" t="n">
        <v>0</v>
      </c>
      <c r="CO667" s="2" t="n">
        <v>0</v>
      </c>
      <c r="CP667" s="2" t="n">
        <v>0</v>
      </c>
      <c r="CQ667" s="2" t="n">
        <v>0</v>
      </c>
      <c r="CR667" s="2" t="n">
        <v>0</v>
      </c>
      <c r="CS667" s="2" t="n">
        <v>0</v>
      </c>
      <c r="CT667" s="2" t="n">
        <v>0</v>
      </c>
      <c r="CU667" s="2" t="n">
        <v>0</v>
      </c>
      <c r="CV667" s="2" t="n">
        <v>0</v>
      </c>
      <c r="CW667" s="2" t="n">
        <v>0</v>
      </c>
      <c r="CX667" s="2" t="n">
        <v>0</v>
      </c>
      <c r="CY667" s="2" t="n">
        <v>0</v>
      </c>
      <c r="CZ667" s="2" t="n">
        <v>0</v>
      </c>
      <c r="DA667" s="2" t="n">
        <v>1.78</v>
      </c>
      <c r="DB667" s="2" t="n">
        <v>4</v>
      </c>
      <c r="DC667" s="2" t="n">
        <v>0</v>
      </c>
      <c r="DD667" s="2" t="n">
        <v>12</v>
      </c>
      <c r="DE667" s="2" t="n">
        <v>14.22</v>
      </c>
      <c r="DF667" s="2" t="n">
        <v>0</v>
      </c>
      <c r="DG667" s="2" t="n">
        <v>20</v>
      </c>
      <c r="DH667" s="2" t="n">
        <v>22.22</v>
      </c>
      <c r="DI667" s="2" t="n">
        <v>0</v>
      </c>
      <c r="DJ667" s="2" t="n">
        <v>29.78</v>
      </c>
      <c r="DK667" s="2" t="n">
        <v>32</v>
      </c>
      <c r="DL667" s="2" t="n">
        <v>0</v>
      </c>
      <c r="DM667" s="2" t="n">
        <v>39.11</v>
      </c>
      <c r="DN667" s="2" t="n">
        <v>41.33</v>
      </c>
      <c r="DO667" s="2" t="n">
        <v>0</v>
      </c>
      <c r="DP667" s="2" t="n">
        <v>48.44</v>
      </c>
      <c r="DQ667" s="2" t="n">
        <v>50.67</v>
      </c>
      <c r="DR667" s="2" t="n">
        <v>0</v>
      </c>
      <c r="DS667" s="2" t="n">
        <v>58.22</v>
      </c>
      <c r="DT667" s="2" t="n">
        <v>60.44</v>
      </c>
      <c r="DU667" s="2" t="n">
        <v>0</v>
      </c>
      <c r="DV667" s="2" t="n">
        <v>67.11</v>
      </c>
      <c r="DW667" s="2" t="n">
        <v>69.33</v>
      </c>
      <c r="DX667" s="2" t="n">
        <v>0</v>
      </c>
      <c r="DY667" s="2" t="n">
        <v>76.44</v>
      </c>
      <c r="DZ667" s="2" t="n">
        <v>78.67</v>
      </c>
      <c r="EA667" s="2" t="n">
        <v>0</v>
      </c>
      <c r="EB667" s="2" t="n">
        <v>84.89</v>
      </c>
      <c r="EC667" s="2" t="n">
        <v>87.11</v>
      </c>
      <c r="ED667" s="2" t="n">
        <v>0</v>
      </c>
      <c r="EE667" s="2" t="n">
        <v>91.56</v>
      </c>
      <c r="EF667" s="2" t="n">
        <v>93.40000000000001</v>
      </c>
      <c r="EG667" s="2" t="n">
        <v>0</v>
      </c>
      <c r="EH667" s="2" t="n">
        <v>100</v>
      </c>
      <c r="EI667" s="2" t="n">
        <v>100</v>
      </c>
      <c r="EJ667" s="2" t="n">
        <v>0</v>
      </c>
      <c r="EK667" s="2" t="n">
        <v>100</v>
      </c>
      <c r="EL667" s="2" t="n">
        <v>100</v>
      </c>
      <c r="EM667" s="2" t="n">
        <v>0</v>
      </c>
      <c r="EN667" s="2" t="n">
        <v>100</v>
      </c>
      <c r="EO667" s="2" t="n">
        <v>100</v>
      </c>
      <c r="EP667" s="2" t="n">
        <v>0</v>
      </c>
      <c r="EQ667" s="2" t="n">
        <v>100</v>
      </c>
      <c r="ER667" s="2" t="n">
        <v>100</v>
      </c>
      <c r="ES667" s="2" t="n">
        <v>0</v>
      </c>
    </row>
    <row r="668">
      <c r="A668" s="2" t="n">
        <v>4</v>
      </c>
      <c r="B668" s="2" t="inlineStr">
        <is>
          <t>30.02.01.03</t>
        </is>
      </c>
      <c r="C668" s="2" t="inlineStr">
        <is>
          <t>Rodapé para Piso Porcelanato, com acabamento resistente ao escorregamento. Ref.: Eliane, Khali OffWhite EXT 10x90cm, assentado com argamassa colante em pó ACIII</t>
        </is>
      </c>
      <c r="D668" s="2" t="inlineStr">
        <is>
          <t>17/02/2028</t>
        </is>
      </c>
      <c r="E668" s="2" t="inlineStr">
        <is>
          <t>23/01/2029</t>
        </is>
      </c>
      <c r="F668" s="2" t="n">
        <v>3705.2574835841</v>
      </c>
      <c r="G668" s="2" t="n">
        <v>0</v>
      </c>
      <c r="H668" s="2" t="n">
        <v>3705.2574835841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0</v>
      </c>
      <c r="BQ668" s="2" t="n">
        <v>0</v>
      </c>
      <c r="BR668" s="2" t="n">
        <v>0</v>
      </c>
      <c r="BS668" s="2" t="n">
        <v>0</v>
      </c>
      <c r="BT668" s="2" t="n">
        <v>0</v>
      </c>
      <c r="BU668" s="2" t="n">
        <v>0</v>
      </c>
      <c r="BV668" s="2" t="n">
        <v>0</v>
      </c>
      <c r="BW668" s="2" t="n">
        <v>0</v>
      </c>
      <c r="BX668" s="2" t="n">
        <v>0</v>
      </c>
      <c r="BY668" s="2" t="n">
        <v>0</v>
      </c>
      <c r="BZ668" s="2" t="n">
        <v>0</v>
      </c>
      <c r="CA668" s="2" t="n">
        <v>0</v>
      </c>
      <c r="CB668" s="2" t="n">
        <v>0</v>
      </c>
      <c r="CC668" s="2" t="n">
        <v>0</v>
      </c>
      <c r="CD668" s="2" t="n">
        <v>0</v>
      </c>
      <c r="CE668" s="2" t="n">
        <v>0</v>
      </c>
      <c r="CF668" s="2" t="n">
        <v>0</v>
      </c>
      <c r="CG668" s="2" t="n">
        <v>0</v>
      </c>
      <c r="CH668" s="2" t="n">
        <v>0</v>
      </c>
      <c r="CI668" s="2" t="n">
        <v>0</v>
      </c>
      <c r="CJ668" s="2" t="n">
        <v>0</v>
      </c>
      <c r="CK668" s="2" t="n">
        <v>0</v>
      </c>
      <c r="CL668" s="2" t="n">
        <v>0</v>
      </c>
      <c r="CM668" s="2" t="n">
        <v>0</v>
      </c>
      <c r="CN668" s="2" t="n">
        <v>0</v>
      </c>
      <c r="CO668" s="2" t="n">
        <v>0</v>
      </c>
      <c r="CP668" s="2" t="n">
        <v>0</v>
      </c>
      <c r="CQ668" s="2" t="n">
        <v>0</v>
      </c>
      <c r="CR668" s="2" t="n">
        <v>0</v>
      </c>
      <c r="CS668" s="2" t="n">
        <v>0</v>
      </c>
      <c r="CT668" s="2" t="n">
        <v>0</v>
      </c>
      <c r="CU668" s="2" t="n">
        <v>0</v>
      </c>
      <c r="CV668" s="2" t="n">
        <v>0</v>
      </c>
      <c r="CW668" s="2" t="n">
        <v>0</v>
      </c>
      <c r="CX668" s="2" t="n">
        <v>0</v>
      </c>
      <c r="CY668" s="2" t="n">
        <v>0</v>
      </c>
      <c r="CZ668" s="2" t="n">
        <v>0</v>
      </c>
      <c r="DA668" s="2" t="n">
        <v>1.78</v>
      </c>
      <c r="DB668" s="2" t="n">
        <v>4</v>
      </c>
      <c r="DC668" s="2" t="n">
        <v>0</v>
      </c>
      <c r="DD668" s="2" t="n">
        <v>12</v>
      </c>
      <c r="DE668" s="2" t="n">
        <v>14.22</v>
      </c>
      <c r="DF668" s="2" t="n">
        <v>0</v>
      </c>
      <c r="DG668" s="2" t="n">
        <v>20</v>
      </c>
      <c r="DH668" s="2" t="n">
        <v>22.22</v>
      </c>
      <c r="DI668" s="2" t="n">
        <v>0</v>
      </c>
      <c r="DJ668" s="2" t="n">
        <v>29.78</v>
      </c>
      <c r="DK668" s="2" t="n">
        <v>32</v>
      </c>
      <c r="DL668" s="2" t="n">
        <v>0</v>
      </c>
      <c r="DM668" s="2" t="n">
        <v>39.11</v>
      </c>
      <c r="DN668" s="2" t="n">
        <v>41.33</v>
      </c>
      <c r="DO668" s="2" t="n">
        <v>0</v>
      </c>
      <c r="DP668" s="2" t="n">
        <v>48.44</v>
      </c>
      <c r="DQ668" s="2" t="n">
        <v>50.67</v>
      </c>
      <c r="DR668" s="2" t="n">
        <v>0</v>
      </c>
      <c r="DS668" s="2" t="n">
        <v>58.22</v>
      </c>
      <c r="DT668" s="2" t="n">
        <v>60.44</v>
      </c>
      <c r="DU668" s="2" t="n">
        <v>0</v>
      </c>
      <c r="DV668" s="2" t="n">
        <v>67.11</v>
      </c>
      <c r="DW668" s="2" t="n">
        <v>69.33</v>
      </c>
      <c r="DX668" s="2" t="n">
        <v>0</v>
      </c>
      <c r="DY668" s="2" t="n">
        <v>76.44</v>
      </c>
      <c r="DZ668" s="2" t="n">
        <v>78.67</v>
      </c>
      <c r="EA668" s="2" t="n">
        <v>0</v>
      </c>
      <c r="EB668" s="2" t="n">
        <v>84.89</v>
      </c>
      <c r="EC668" s="2" t="n">
        <v>87.11</v>
      </c>
      <c r="ED668" s="2" t="n">
        <v>0</v>
      </c>
      <c r="EE668" s="2" t="n">
        <v>91.56</v>
      </c>
      <c r="EF668" s="2" t="n">
        <v>93.40000000000001</v>
      </c>
      <c r="EG668" s="2" t="n">
        <v>0</v>
      </c>
      <c r="EH668" s="2" t="n">
        <v>100</v>
      </c>
      <c r="EI668" s="2" t="n">
        <v>100</v>
      </c>
      <c r="EJ668" s="2" t="n">
        <v>0</v>
      </c>
      <c r="EK668" s="2" t="n">
        <v>100</v>
      </c>
      <c r="EL668" s="2" t="n">
        <v>100</v>
      </c>
      <c r="EM668" s="2" t="n">
        <v>0</v>
      </c>
      <c r="EN668" s="2" t="n">
        <v>100</v>
      </c>
      <c r="EO668" s="2" t="n">
        <v>100</v>
      </c>
      <c r="EP668" s="2" t="n">
        <v>0</v>
      </c>
      <c r="EQ668" s="2" t="n">
        <v>100</v>
      </c>
      <c r="ER668" s="2" t="n">
        <v>100</v>
      </c>
      <c r="ES668" s="2" t="n">
        <v>0</v>
      </c>
    </row>
    <row r="669">
      <c r="A669" s="2" t="n">
        <v>4</v>
      </c>
      <c r="B669" s="2" t="inlineStr">
        <is>
          <t>30.02.01.04</t>
        </is>
      </c>
      <c r="C669" s="2" t="inlineStr">
        <is>
          <t>Rodapé para Piso Porcelanato 90x90cm, com acabamento acetinado. Ref.: Eliane, Munari Branco AC, h=10cm, assentado com argamassa colante em pó ACIII</t>
        </is>
      </c>
      <c r="D669" s="2" t="inlineStr">
        <is>
          <t>17/02/2028</t>
        </is>
      </c>
      <c r="E669" s="2" t="inlineStr">
        <is>
          <t>23/01/2029</t>
        </is>
      </c>
      <c r="F669" s="2" t="n">
        <v>533.980326992763</v>
      </c>
      <c r="G669" s="2" t="n">
        <v>0</v>
      </c>
      <c r="H669" s="2" t="n">
        <v>533.980326992763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0</v>
      </c>
      <c r="BQ669" s="2" t="n">
        <v>0</v>
      </c>
      <c r="BR669" s="2" t="n">
        <v>0</v>
      </c>
      <c r="BS669" s="2" t="n">
        <v>0</v>
      </c>
      <c r="BT669" s="2" t="n">
        <v>0</v>
      </c>
      <c r="BU669" s="2" t="n">
        <v>0</v>
      </c>
      <c r="BV669" s="2" t="n">
        <v>0</v>
      </c>
      <c r="BW669" s="2" t="n">
        <v>0</v>
      </c>
      <c r="BX669" s="2" t="n">
        <v>0</v>
      </c>
      <c r="BY669" s="2" t="n">
        <v>0</v>
      </c>
      <c r="BZ669" s="2" t="n">
        <v>0</v>
      </c>
      <c r="CA669" s="2" t="n">
        <v>0</v>
      </c>
      <c r="CB669" s="2" t="n">
        <v>0</v>
      </c>
      <c r="CC669" s="2" t="n">
        <v>0</v>
      </c>
      <c r="CD669" s="2" t="n">
        <v>0</v>
      </c>
      <c r="CE669" s="2" t="n">
        <v>0</v>
      </c>
      <c r="CF669" s="2" t="n">
        <v>0</v>
      </c>
      <c r="CG669" s="2" t="n">
        <v>0</v>
      </c>
      <c r="CH669" s="2" t="n">
        <v>0</v>
      </c>
      <c r="CI669" s="2" t="n">
        <v>0</v>
      </c>
      <c r="CJ669" s="2" t="n">
        <v>0</v>
      </c>
      <c r="CK669" s="2" t="n">
        <v>0</v>
      </c>
      <c r="CL669" s="2" t="n">
        <v>0</v>
      </c>
      <c r="CM669" s="2" t="n">
        <v>0</v>
      </c>
      <c r="CN669" s="2" t="n">
        <v>0</v>
      </c>
      <c r="CO669" s="2" t="n">
        <v>0</v>
      </c>
      <c r="CP669" s="2" t="n">
        <v>0</v>
      </c>
      <c r="CQ669" s="2" t="n">
        <v>0</v>
      </c>
      <c r="CR669" s="2" t="n">
        <v>0</v>
      </c>
      <c r="CS669" s="2" t="n">
        <v>0</v>
      </c>
      <c r="CT669" s="2" t="n">
        <v>0</v>
      </c>
      <c r="CU669" s="2" t="n">
        <v>0</v>
      </c>
      <c r="CV669" s="2" t="n">
        <v>0</v>
      </c>
      <c r="CW669" s="2" t="n">
        <v>0</v>
      </c>
      <c r="CX669" s="2" t="n">
        <v>0</v>
      </c>
      <c r="CY669" s="2" t="n">
        <v>0</v>
      </c>
      <c r="CZ669" s="2" t="n">
        <v>0</v>
      </c>
      <c r="DA669" s="2" t="n">
        <v>1.78</v>
      </c>
      <c r="DB669" s="2" t="n">
        <v>4</v>
      </c>
      <c r="DC669" s="2" t="n">
        <v>0</v>
      </c>
      <c r="DD669" s="2" t="n">
        <v>12</v>
      </c>
      <c r="DE669" s="2" t="n">
        <v>14.22</v>
      </c>
      <c r="DF669" s="2" t="n">
        <v>0</v>
      </c>
      <c r="DG669" s="2" t="n">
        <v>20</v>
      </c>
      <c r="DH669" s="2" t="n">
        <v>22.22</v>
      </c>
      <c r="DI669" s="2" t="n">
        <v>0</v>
      </c>
      <c r="DJ669" s="2" t="n">
        <v>29.78</v>
      </c>
      <c r="DK669" s="2" t="n">
        <v>32</v>
      </c>
      <c r="DL669" s="2" t="n">
        <v>0</v>
      </c>
      <c r="DM669" s="2" t="n">
        <v>39.11</v>
      </c>
      <c r="DN669" s="2" t="n">
        <v>41.33</v>
      </c>
      <c r="DO669" s="2" t="n">
        <v>0</v>
      </c>
      <c r="DP669" s="2" t="n">
        <v>48.44</v>
      </c>
      <c r="DQ669" s="2" t="n">
        <v>50.67</v>
      </c>
      <c r="DR669" s="2" t="n">
        <v>0</v>
      </c>
      <c r="DS669" s="2" t="n">
        <v>58.22</v>
      </c>
      <c r="DT669" s="2" t="n">
        <v>60.44</v>
      </c>
      <c r="DU669" s="2" t="n">
        <v>0</v>
      </c>
      <c r="DV669" s="2" t="n">
        <v>67.11</v>
      </c>
      <c r="DW669" s="2" t="n">
        <v>69.33</v>
      </c>
      <c r="DX669" s="2" t="n">
        <v>0</v>
      </c>
      <c r="DY669" s="2" t="n">
        <v>76.44</v>
      </c>
      <c r="DZ669" s="2" t="n">
        <v>78.67</v>
      </c>
      <c r="EA669" s="2" t="n">
        <v>0</v>
      </c>
      <c r="EB669" s="2" t="n">
        <v>84.89</v>
      </c>
      <c r="EC669" s="2" t="n">
        <v>87.11</v>
      </c>
      <c r="ED669" s="2" t="n">
        <v>0</v>
      </c>
      <c r="EE669" s="2" t="n">
        <v>91.56</v>
      </c>
      <c r="EF669" s="2" t="n">
        <v>93.40000000000001</v>
      </c>
      <c r="EG669" s="2" t="n">
        <v>0</v>
      </c>
      <c r="EH669" s="2" t="n">
        <v>100</v>
      </c>
      <c r="EI669" s="2" t="n">
        <v>100</v>
      </c>
      <c r="EJ669" s="2" t="n">
        <v>0</v>
      </c>
      <c r="EK669" s="2" t="n">
        <v>100</v>
      </c>
      <c r="EL669" s="2" t="n">
        <v>100</v>
      </c>
      <c r="EM669" s="2" t="n">
        <v>0</v>
      </c>
      <c r="EN669" s="2" t="n">
        <v>100</v>
      </c>
      <c r="EO669" s="2" t="n">
        <v>100</v>
      </c>
      <c r="EP669" s="2" t="n">
        <v>0</v>
      </c>
      <c r="EQ669" s="2" t="n">
        <v>100</v>
      </c>
      <c r="ER669" s="2" t="n">
        <v>100</v>
      </c>
      <c r="ES669" s="2" t="n">
        <v>0</v>
      </c>
    </row>
    <row r="670">
      <c r="A670" s="2" t="n">
        <v>4</v>
      </c>
      <c r="B670" s="2" t="inlineStr">
        <is>
          <t>30.02.01.05</t>
        </is>
      </c>
      <c r="C670" s="2" t="inlineStr">
        <is>
          <t>Rodapé para Piso Porcelanato 10x60cm, com acabamento acetinado. Ref.: Eliane, Munari Branco A, h=10cm, assentado com argamassa colante em pó ACIII</t>
        </is>
      </c>
      <c r="D670" s="2" t="inlineStr">
        <is>
          <t>17/02/2028</t>
        </is>
      </c>
      <c r="E670" s="2" t="inlineStr">
        <is>
          <t>23/01/2029</t>
        </is>
      </c>
      <c r="F670" s="2" t="n">
        <v>5718.446361142968</v>
      </c>
      <c r="G670" s="2" t="n">
        <v>0</v>
      </c>
      <c r="H670" s="2" t="n">
        <v>5718.446361142968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0</v>
      </c>
      <c r="BQ670" s="2" t="n">
        <v>0</v>
      </c>
      <c r="BR670" s="2" t="n">
        <v>0</v>
      </c>
      <c r="BS670" s="2" t="n">
        <v>0</v>
      </c>
      <c r="BT670" s="2" t="n">
        <v>0</v>
      </c>
      <c r="BU670" s="2" t="n">
        <v>0</v>
      </c>
      <c r="BV670" s="2" t="n">
        <v>0</v>
      </c>
      <c r="BW670" s="2" t="n">
        <v>0</v>
      </c>
      <c r="BX670" s="2" t="n">
        <v>0</v>
      </c>
      <c r="BY670" s="2" t="n">
        <v>0</v>
      </c>
      <c r="BZ670" s="2" t="n">
        <v>0</v>
      </c>
      <c r="CA670" s="2" t="n">
        <v>0</v>
      </c>
      <c r="CB670" s="2" t="n">
        <v>0</v>
      </c>
      <c r="CC670" s="2" t="n">
        <v>0</v>
      </c>
      <c r="CD670" s="2" t="n">
        <v>0</v>
      </c>
      <c r="CE670" s="2" t="n">
        <v>0</v>
      </c>
      <c r="CF670" s="2" t="n">
        <v>0</v>
      </c>
      <c r="CG670" s="2" t="n">
        <v>0</v>
      </c>
      <c r="CH670" s="2" t="n">
        <v>0</v>
      </c>
      <c r="CI670" s="2" t="n">
        <v>0</v>
      </c>
      <c r="CJ670" s="2" t="n">
        <v>0</v>
      </c>
      <c r="CK670" s="2" t="n">
        <v>0</v>
      </c>
      <c r="CL670" s="2" t="n">
        <v>0</v>
      </c>
      <c r="CM670" s="2" t="n">
        <v>0</v>
      </c>
      <c r="CN670" s="2" t="n">
        <v>0</v>
      </c>
      <c r="CO670" s="2" t="n">
        <v>0</v>
      </c>
      <c r="CP670" s="2" t="n">
        <v>0</v>
      </c>
      <c r="CQ670" s="2" t="n">
        <v>0</v>
      </c>
      <c r="CR670" s="2" t="n">
        <v>0</v>
      </c>
      <c r="CS670" s="2" t="n">
        <v>0</v>
      </c>
      <c r="CT670" s="2" t="n">
        <v>0</v>
      </c>
      <c r="CU670" s="2" t="n">
        <v>0</v>
      </c>
      <c r="CV670" s="2" t="n">
        <v>0</v>
      </c>
      <c r="CW670" s="2" t="n">
        <v>0</v>
      </c>
      <c r="CX670" s="2" t="n">
        <v>0</v>
      </c>
      <c r="CY670" s="2" t="n">
        <v>0</v>
      </c>
      <c r="CZ670" s="2" t="n">
        <v>0</v>
      </c>
      <c r="DA670" s="2" t="n">
        <v>1.78</v>
      </c>
      <c r="DB670" s="2" t="n">
        <v>4</v>
      </c>
      <c r="DC670" s="2" t="n">
        <v>0</v>
      </c>
      <c r="DD670" s="2" t="n">
        <v>12</v>
      </c>
      <c r="DE670" s="2" t="n">
        <v>14.22</v>
      </c>
      <c r="DF670" s="2" t="n">
        <v>0</v>
      </c>
      <c r="DG670" s="2" t="n">
        <v>20</v>
      </c>
      <c r="DH670" s="2" t="n">
        <v>22.22</v>
      </c>
      <c r="DI670" s="2" t="n">
        <v>0</v>
      </c>
      <c r="DJ670" s="2" t="n">
        <v>29.78</v>
      </c>
      <c r="DK670" s="2" t="n">
        <v>32</v>
      </c>
      <c r="DL670" s="2" t="n">
        <v>0</v>
      </c>
      <c r="DM670" s="2" t="n">
        <v>39.11</v>
      </c>
      <c r="DN670" s="2" t="n">
        <v>41.33</v>
      </c>
      <c r="DO670" s="2" t="n">
        <v>0</v>
      </c>
      <c r="DP670" s="2" t="n">
        <v>48.44</v>
      </c>
      <c r="DQ670" s="2" t="n">
        <v>50.67</v>
      </c>
      <c r="DR670" s="2" t="n">
        <v>0</v>
      </c>
      <c r="DS670" s="2" t="n">
        <v>58.22</v>
      </c>
      <c r="DT670" s="2" t="n">
        <v>60.44</v>
      </c>
      <c r="DU670" s="2" t="n">
        <v>0</v>
      </c>
      <c r="DV670" s="2" t="n">
        <v>67.11</v>
      </c>
      <c r="DW670" s="2" t="n">
        <v>69.33</v>
      </c>
      <c r="DX670" s="2" t="n">
        <v>0</v>
      </c>
      <c r="DY670" s="2" t="n">
        <v>76.44</v>
      </c>
      <c r="DZ670" s="2" t="n">
        <v>78.67</v>
      </c>
      <c r="EA670" s="2" t="n">
        <v>0</v>
      </c>
      <c r="EB670" s="2" t="n">
        <v>84.89</v>
      </c>
      <c r="EC670" s="2" t="n">
        <v>87.11</v>
      </c>
      <c r="ED670" s="2" t="n">
        <v>0</v>
      </c>
      <c r="EE670" s="2" t="n">
        <v>91.56</v>
      </c>
      <c r="EF670" s="2" t="n">
        <v>93.40000000000001</v>
      </c>
      <c r="EG670" s="2" t="n">
        <v>0</v>
      </c>
      <c r="EH670" s="2" t="n">
        <v>100</v>
      </c>
      <c r="EI670" s="2" t="n">
        <v>100</v>
      </c>
      <c r="EJ670" s="2" t="n">
        <v>0</v>
      </c>
      <c r="EK670" s="2" t="n">
        <v>100</v>
      </c>
      <c r="EL670" s="2" t="n">
        <v>100</v>
      </c>
      <c r="EM670" s="2" t="n">
        <v>0</v>
      </c>
      <c r="EN670" s="2" t="n">
        <v>100</v>
      </c>
      <c r="EO670" s="2" t="n">
        <v>100</v>
      </c>
      <c r="EP670" s="2" t="n">
        <v>0</v>
      </c>
      <c r="EQ670" s="2" t="n">
        <v>100</v>
      </c>
      <c r="ER670" s="2" t="n">
        <v>100</v>
      </c>
      <c r="ES670" s="2" t="n">
        <v>0</v>
      </c>
    </row>
    <row r="671">
      <c r="A671" s="2" t="n">
        <v>3</v>
      </c>
      <c r="B671" s="2" t="inlineStr">
        <is>
          <t>30.02.03</t>
        </is>
      </c>
      <c r="C671" s="2" t="inlineStr">
        <is>
          <t>Pedras</t>
        </is>
      </c>
      <c r="D671" s="2" t="inlineStr">
        <is>
          <t>17/02/2028</t>
        </is>
      </c>
      <c r="E671" s="2" t="inlineStr">
        <is>
          <t>23/01/2029</t>
        </is>
      </c>
      <c r="F671" s="2" t="n">
        <v>59075.11601310952</v>
      </c>
      <c r="G671" s="2" t="n">
        <v>0</v>
      </c>
      <c r="H671" s="2" t="n">
        <v>59075.11601310952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0</v>
      </c>
      <c r="BQ671" s="2" t="n">
        <v>0</v>
      </c>
      <c r="BR671" s="2" t="n">
        <v>0</v>
      </c>
      <c r="BS671" s="2" t="n">
        <v>0</v>
      </c>
      <c r="BT671" s="2" t="n">
        <v>0</v>
      </c>
      <c r="BU671" s="2" t="n">
        <v>0</v>
      </c>
      <c r="BV671" s="2" t="n">
        <v>0</v>
      </c>
      <c r="BW671" s="2" t="n">
        <v>0</v>
      </c>
      <c r="BX671" s="2" t="n">
        <v>0</v>
      </c>
      <c r="BY671" s="2" t="n">
        <v>0</v>
      </c>
      <c r="BZ671" s="2" t="n">
        <v>0</v>
      </c>
      <c r="CA671" s="2" t="n">
        <v>0</v>
      </c>
      <c r="CB671" s="2" t="n">
        <v>0</v>
      </c>
      <c r="CC671" s="2" t="n">
        <v>0</v>
      </c>
      <c r="CD671" s="2" t="n">
        <v>0</v>
      </c>
      <c r="CE671" s="2" t="n">
        <v>0</v>
      </c>
      <c r="CF671" s="2" t="n">
        <v>0</v>
      </c>
      <c r="CG671" s="2" t="n">
        <v>0</v>
      </c>
      <c r="CH671" s="2" t="n">
        <v>0</v>
      </c>
      <c r="CI671" s="2" t="n">
        <v>0</v>
      </c>
      <c r="CJ671" s="2" t="n">
        <v>0</v>
      </c>
      <c r="CK671" s="2" t="n">
        <v>0</v>
      </c>
      <c r="CL671" s="2" t="n">
        <v>0</v>
      </c>
      <c r="CM671" s="2" t="n">
        <v>0</v>
      </c>
      <c r="CN671" s="2" t="n">
        <v>0</v>
      </c>
      <c r="CO671" s="2" t="n">
        <v>0</v>
      </c>
      <c r="CP671" s="2" t="n">
        <v>0</v>
      </c>
      <c r="CQ671" s="2" t="n">
        <v>0</v>
      </c>
      <c r="CR671" s="2" t="n">
        <v>0</v>
      </c>
      <c r="CS671" s="2" t="n">
        <v>0</v>
      </c>
      <c r="CT671" s="2" t="n">
        <v>0</v>
      </c>
      <c r="CU671" s="2" t="n">
        <v>0</v>
      </c>
      <c r="CV671" s="2" t="n">
        <v>0</v>
      </c>
      <c r="CW671" s="2" t="n">
        <v>0</v>
      </c>
      <c r="CX671" s="2" t="n">
        <v>0</v>
      </c>
      <c r="CY671" s="2" t="n">
        <v>0</v>
      </c>
      <c r="CZ671" s="2" t="n">
        <v>0</v>
      </c>
      <c r="DA671" s="2" t="n">
        <v>1.78</v>
      </c>
      <c r="DB671" s="2" t="n">
        <v>4</v>
      </c>
      <c r="DC671" s="2" t="n">
        <v>0</v>
      </c>
      <c r="DD671" s="2" t="n">
        <v>12</v>
      </c>
      <c r="DE671" s="2" t="n">
        <v>14.22</v>
      </c>
      <c r="DF671" s="2" t="n">
        <v>0</v>
      </c>
      <c r="DG671" s="2" t="n">
        <v>20</v>
      </c>
      <c r="DH671" s="2" t="n">
        <v>22.22</v>
      </c>
      <c r="DI671" s="2" t="n">
        <v>0</v>
      </c>
      <c r="DJ671" s="2" t="n">
        <v>29.78</v>
      </c>
      <c r="DK671" s="2" t="n">
        <v>32</v>
      </c>
      <c r="DL671" s="2" t="n">
        <v>0</v>
      </c>
      <c r="DM671" s="2" t="n">
        <v>39.11</v>
      </c>
      <c r="DN671" s="2" t="n">
        <v>41.33</v>
      </c>
      <c r="DO671" s="2" t="n">
        <v>0</v>
      </c>
      <c r="DP671" s="2" t="n">
        <v>48.44</v>
      </c>
      <c r="DQ671" s="2" t="n">
        <v>50.67</v>
      </c>
      <c r="DR671" s="2" t="n">
        <v>0</v>
      </c>
      <c r="DS671" s="2" t="n">
        <v>58.22</v>
      </c>
      <c r="DT671" s="2" t="n">
        <v>60.44</v>
      </c>
      <c r="DU671" s="2" t="n">
        <v>0</v>
      </c>
      <c r="DV671" s="2" t="n">
        <v>67.11</v>
      </c>
      <c r="DW671" s="2" t="n">
        <v>69.33</v>
      </c>
      <c r="DX671" s="2" t="n">
        <v>0</v>
      </c>
      <c r="DY671" s="2" t="n">
        <v>76.44</v>
      </c>
      <c r="DZ671" s="2" t="n">
        <v>78.67</v>
      </c>
      <c r="EA671" s="2" t="n">
        <v>0</v>
      </c>
      <c r="EB671" s="2" t="n">
        <v>84.89</v>
      </c>
      <c r="EC671" s="2" t="n">
        <v>87.11</v>
      </c>
      <c r="ED671" s="2" t="n">
        <v>0</v>
      </c>
      <c r="EE671" s="2" t="n">
        <v>91.56</v>
      </c>
      <c r="EF671" s="2" t="n">
        <v>93.40000000000001</v>
      </c>
      <c r="EG671" s="2" t="n">
        <v>0</v>
      </c>
      <c r="EH671" s="2" t="n">
        <v>100</v>
      </c>
      <c r="EI671" s="2" t="n">
        <v>100</v>
      </c>
      <c r="EJ671" s="2" t="n">
        <v>0</v>
      </c>
      <c r="EK671" s="2" t="n">
        <v>100</v>
      </c>
      <c r="EL671" s="2" t="n">
        <v>100</v>
      </c>
      <c r="EM671" s="2" t="n">
        <v>0</v>
      </c>
      <c r="EN671" s="2" t="n">
        <v>100</v>
      </c>
      <c r="EO671" s="2" t="n">
        <v>100</v>
      </c>
      <c r="EP671" s="2" t="n">
        <v>0</v>
      </c>
      <c r="EQ671" s="2" t="n">
        <v>100</v>
      </c>
      <c r="ER671" s="2" t="n">
        <v>100</v>
      </c>
      <c r="ES671" s="2" t="n">
        <v>0</v>
      </c>
    </row>
    <row r="672">
      <c r="A672" s="2" t="n">
        <v>4</v>
      </c>
      <c r="B672" s="2" t="inlineStr">
        <is>
          <t>30.02.03.01</t>
        </is>
      </c>
      <c r="C672" s="2" t="inlineStr">
        <is>
          <t>Rodapé para Piso de granito Branco Ornamental White, acabamento levigado, assentado com argamassa colante em pó ACIII</t>
        </is>
      </c>
      <c r="D672" s="2" t="inlineStr">
        <is>
          <t>17/02/2028</t>
        </is>
      </c>
      <c r="E672" s="2" t="inlineStr">
        <is>
          <t>23/01/2029</t>
        </is>
      </c>
      <c r="F672" s="2" t="n">
        <v>59075.11601310952</v>
      </c>
      <c r="G672" s="2" t="n">
        <v>0</v>
      </c>
      <c r="H672" s="2" t="n">
        <v>59075.11601310952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0</v>
      </c>
      <c r="BQ672" s="2" t="n">
        <v>0</v>
      </c>
      <c r="BR672" s="2" t="n">
        <v>0</v>
      </c>
      <c r="BS672" s="2" t="n">
        <v>0</v>
      </c>
      <c r="BT672" s="2" t="n">
        <v>0</v>
      </c>
      <c r="BU672" s="2" t="n">
        <v>0</v>
      </c>
      <c r="BV672" s="2" t="n">
        <v>0</v>
      </c>
      <c r="BW672" s="2" t="n">
        <v>0</v>
      </c>
      <c r="BX672" s="2" t="n">
        <v>0</v>
      </c>
      <c r="BY672" s="2" t="n">
        <v>0</v>
      </c>
      <c r="BZ672" s="2" t="n">
        <v>0</v>
      </c>
      <c r="CA672" s="2" t="n">
        <v>0</v>
      </c>
      <c r="CB672" s="2" t="n">
        <v>0</v>
      </c>
      <c r="CC672" s="2" t="n">
        <v>0</v>
      </c>
      <c r="CD672" s="2" t="n">
        <v>0</v>
      </c>
      <c r="CE672" s="2" t="n">
        <v>0</v>
      </c>
      <c r="CF672" s="2" t="n">
        <v>0</v>
      </c>
      <c r="CG672" s="2" t="n">
        <v>0</v>
      </c>
      <c r="CH672" s="2" t="n">
        <v>0</v>
      </c>
      <c r="CI672" s="2" t="n">
        <v>0</v>
      </c>
      <c r="CJ672" s="2" t="n">
        <v>0</v>
      </c>
      <c r="CK672" s="2" t="n">
        <v>0</v>
      </c>
      <c r="CL672" s="2" t="n">
        <v>0</v>
      </c>
      <c r="CM672" s="2" t="n">
        <v>0</v>
      </c>
      <c r="CN672" s="2" t="n">
        <v>0</v>
      </c>
      <c r="CO672" s="2" t="n">
        <v>0</v>
      </c>
      <c r="CP672" s="2" t="n">
        <v>0</v>
      </c>
      <c r="CQ672" s="2" t="n">
        <v>0</v>
      </c>
      <c r="CR672" s="2" t="n">
        <v>0</v>
      </c>
      <c r="CS672" s="2" t="n">
        <v>0</v>
      </c>
      <c r="CT672" s="2" t="n">
        <v>0</v>
      </c>
      <c r="CU672" s="2" t="n">
        <v>0</v>
      </c>
      <c r="CV672" s="2" t="n">
        <v>0</v>
      </c>
      <c r="CW672" s="2" t="n">
        <v>0</v>
      </c>
      <c r="CX672" s="2" t="n">
        <v>0</v>
      </c>
      <c r="CY672" s="2" t="n">
        <v>0</v>
      </c>
      <c r="CZ672" s="2" t="n">
        <v>0</v>
      </c>
      <c r="DA672" s="2" t="n">
        <v>1.78</v>
      </c>
      <c r="DB672" s="2" t="n">
        <v>4</v>
      </c>
      <c r="DC672" s="2" t="n">
        <v>0</v>
      </c>
      <c r="DD672" s="2" t="n">
        <v>12</v>
      </c>
      <c r="DE672" s="2" t="n">
        <v>14.22</v>
      </c>
      <c r="DF672" s="2" t="n">
        <v>0</v>
      </c>
      <c r="DG672" s="2" t="n">
        <v>20</v>
      </c>
      <c r="DH672" s="2" t="n">
        <v>22.22</v>
      </c>
      <c r="DI672" s="2" t="n">
        <v>0</v>
      </c>
      <c r="DJ672" s="2" t="n">
        <v>29.78</v>
      </c>
      <c r="DK672" s="2" t="n">
        <v>32</v>
      </c>
      <c r="DL672" s="2" t="n">
        <v>0</v>
      </c>
      <c r="DM672" s="2" t="n">
        <v>39.11</v>
      </c>
      <c r="DN672" s="2" t="n">
        <v>41.33</v>
      </c>
      <c r="DO672" s="2" t="n">
        <v>0</v>
      </c>
      <c r="DP672" s="2" t="n">
        <v>48.44</v>
      </c>
      <c r="DQ672" s="2" t="n">
        <v>50.67</v>
      </c>
      <c r="DR672" s="2" t="n">
        <v>0</v>
      </c>
      <c r="DS672" s="2" t="n">
        <v>58.22</v>
      </c>
      <c r="DT672" s="2" t="n">
        <v>60.44</v>
      </c>
      <c r="DU672" s="2" t="n">
        <v>0</v>
      </c>
      <c r="DV672" s="2" t="n">
        <v>67.11</v>
      </c>
      <c r="DW672" s="2" t="n">
        <v>69.33</v>
      </c>
      <c r="DX672" s="2" t="n">
        <v>0</v>
      </c>
      <c r="DY672" s="2" t="n">
        <v>76.44</v>
      </c>
      <c r="DZ672" s="2" t="n">
        <v>78.67</v>
      </c>
      <c r="EA672" s="2" t="n">
        <v>0</v>
      </c>
      <c r="EB672" s="2" t="n">
        <v>84.89</v>
      </c>
      <c r="EC672" s="2" t="n">
        <v>87.11</v>
      </c>
      <c r="ED672" s="2" t="n">
        <v>0</v>
      </c>
      <c r="EE672" s="2" t="n">
        <v>91.56</v>
      </c>
      <c r="EF672" s="2" t="n">
        <v>93.40000000000001</v>
      </c>
      <c r="EG672" s="2" t="n">
        <v>0</v>
      </c>
      <c r="EH672" s="2" t="n">
        <v>100</v>
      </c>
      <c r="EI672" s="2" t="n">
        <v>100</v>
      </c>
      <c r="EJ672" s="2" t="n">
        <v>0</v>
      </c>
      <c r="EK672" s="2" t="n">
        <v>100</v>
      </c>
      <c r="EL672" s="2" t="n">
        <v>100</v>
      </c>
      <c r="EM672" s="2" t="n">
        <v>0</v>
      </c>
      <c r="EN672" s="2" t="n">
        <v>100</v>
      </c>
      <c r="EO672" s="2" t="n">
        <v>100</v>
      </c>
      <c r="EP672" s="2" t="n">
        <v>0</v>
      </c>
      <c r="EQ672" s="2" t="n">
        <v>100</v>
      </c>
      <c r="ER672" s="2" t="n">
        <v>100</v>
      </c>
      <c r="ES672" s="2" t="n">
        <v>0</v>
      </c>
    </row>
    <row r="673">
      <c r="A673" s="2" t="n">
        <v>3</v>
      </c>
      <c r="B673" s="2" t="inlineStr">
        <is>
          <t>30.02.04</t>
        </is>
      </c>
      <c r="C673" s="2" t="inlineStr">
        <is>
          <t>Sintéticos e Vinílicos</t>
        </is>
      </c>
      <c r="D673" s="2" t="inlineStr">
        <is>
          <t>17/02/2028</t>
        </is>
      </c>
      <c r="E673" s="2" t="inlineStr">
        <is>
          <t>23/01/2029</t>
        </is>
      </c>
      <c r="F673" s="2" t="n">
        <v>525496.4623710309</v>
      </c>
      <c r="G673" s="2" t="n">
        <v>0</v>
      </c>
      <c r="H673" s="2" t="n">
        <v>525496.4623710309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0</v>
      </c>
      <c r="BQ673" s="2" t="n">
        <v>0</v>
      </c>
      <c r="BR673" s="2" t="n">
        <v>0</v>
      </c>
      <c r="BS673" s="2" t="n">
        <v>0</v>
      </c>
      <c r="BT673" s="2" t="n">
        <v>0</v>
      </c>
      <c r="BU673" s="2" t="n">
        <v>0</v>
      </c>
      <c r="BV673" s="2" t="n">
        <v>0</v>
      </c>
      <c r="BW673" s="2" t="n">
        <v>0</v>
      </c>
      <c r="BX673" s="2" t="n">
        <v>0</v>
      </c>
      <c r="BY673" s="2" t="n">
        <v>0</v>
      </c>
      <c r="BZ673" s="2" t="n">
        <v>0</v>
      </c>
      <c r="CA673" s="2" t="n">
        <v>0</v>
      </c>
      <c r="CB673" s="2" t="n">
        <v>0</v>
      </c>
      <c r="CC673" s="2" t="n">
        <v>0</v>
      </c>
      <c r="CD673" s="2" t="n">
        <v>0</v>
      </c>
      <c r="CE673" s="2" t="n">
        <v>0</v>
      </c>
      <c r="CF673" s="2" t="n">
        <v>0</v>
      </c>
      <c r="CG673" s="2" t="n">
        <v>0</v>
      </c>
      <c r="CH673" s="2" t="n">
        <v>0</v>
      </c>
      <c r="CI673" s="2" t="n">
        <v>0</v>
      </c>
      <c r="CJ673" s="2" t="n">
        <v>0</v>
      </c>
      <c r="CK673" s="2" t="n">
        <v>0</v>
      </c>
      <c r="CL673" s="2" t="n">
        <v>0</v>
      </c>
      <c r="CM673" s="2" t="n">
        <v>0</v>
      </c>
      <c r="CN673" s="2" t="n">
        <v>0</v>
      </c>
      <c r="CO673" s="2" t="n">
        <v>0</v>
      </c>
      <c r="CP673" s="2" t="n">
        <v>0</v>
      </c>
      <c r="CQ673" s="2" t="n">
        <v>0</v>
      </c>
      <c r="CR673" s="2" t="n">
        <v>0</v>
      </c>
      <c r="CS673" s="2" t="n">
        <v>0</v>
      </c>
      <c r="CT673" s="2" t="n">
        <v>0</v>
      </c>
      <c r="CU673" s="2" t="n">
        <v>0</v>
      </c>
      <c r="CV673" s="2" t="n">
        <v>0</v>
      </c>
      <c r="CW673" s="2" t="n">
        <v>0</v>
      </c>
      <c r="CX673" s="2" t="n">
        <v>0</v>
      </c>
      <c r="CY673" s="2" t="n">
        <v>0</v>
      </c>
      <c r="CZ673" s="2" t="n">
        <v>0</v>
      </c>
      <c r="DA673" s="2" t="n">
        <v>1.78</v>
      </c>
      <c r="DB673" s="2" t="n">
        <v>4</v>
      </c>
      <c r="DC673" s="2" t="n">
        <v>0</v>
      </c>
      <c r="DD673" s="2" t="n">
        <v>12</v>
      </c>
      <c r="DE673" s="2" t="n">
        <v>14.22</v>
      </c>
      <c r="DF673" s="2" t="n">
        <v>0</v>
      </c>
      <c r="DG673" s="2" t="n">
        <v>20</v>
      </c>
      <c r="DH673" s="2" t="n">
        <v>22.22</v>
      </c>
      <c r="DI673" s="2" t="n">
        <v>0</v>
      </c>
      <c r="DJ673" s="2" t="n">
        <v>29.78</v>
      </c>
      <c r="DK673" s="2" t="n">
        <v>32</v>
      </c>
      <c r="DL673" s="2" t="n">
        <v>0</v>
      </c>
      <c r="DM673" s="2" t="n">
        <v>39.11</v>
      </c>
      <c r="DN673" s="2" t="n">
        <v>41.33</v>
      </c>
      <c r="DO673" s="2" t="n">
        <v>0</v>
      </c>
      <c r="DP673" s="2" t="n">
        <v>48.44</v>
      </c>
      <c r="DQ673" s="2" t="n">
        <v>50.67</v>
      </c>
      <c r="DR673" s="2" t="n">
        <v>0</v>
      </c>
      <c r="DS673" s="2" t="n">
        <v>58.22</v>
      </c>
      <c r="DT673" s="2" t="n">
        <v>60.44</v>
      </c>
      <c r="DU673" s="2" t="n">
        <v>0</v>
      </c>
      <c r="DV673" s="2" t="n">
        <v>67.11</v>
      </c>
      <c r="DW673" s="2" t="n">
        <v>69.33</v>
      </c>
      <c r="DX673" s="2" t="n">
        <v>0</v>
      </c>
      <c r="DY673" s="2" t="n">
        <v>76.44</v>
      </c>
      <c r="DZ673" s="2" t="n">
        <v>78.67</v>
      </c>
      <c r="EA673" s="2" t="n">
        <v>0</v>
      </c>
      <c r="EB673" s="2" t="n">
        <v>84.89</v>
      </c>
      <c r="EC673" s="2" t="n">
        <v>87.11</v>
      </c>
      <c r="ED673" s="2" t="n">
        <v>0</v>
      </c>
      <c r="EE673" s="2" t="n">
        <v>91.56</v>
      </c>
      <c r="EF673" s="2" t="n">
        <v>93.40000000000001</v>
      </c>
      <c r="EG673" s="2" t="n">
        <v>0</v>
      </c>
      <c r="EH673" s="2" t="n">
        <v>100</v>
      </c>
      <c r="EI673" s="2" t="n">
        <v>100</v>
      </c>
      <c r="EJ673" s="2" t="n">
        <v>0</v>
      </c>
      <c r="EK673" s="2" t="n">
        <v>100</v>
      </c>
      <c r="EL673" s="2" t="n">
        <v>100</v>
      </c>
      <c r="EM673" s="2" t="n">
        <v>0</v>
      </c>
      <c r="EN673" s="2" t="n">
        <v>100</v>
      </c>
      <c r="EO673" s="2" t="n">
        <v>100</v>
      </c>
      <c r="EP673" s="2" t="n">
        <v>0</v>
      </c>
      <c r="EQ673" s="2" t="n">
        <v>100</v>
      </c>
      <c r="ER673" s="2" t="n">
        <v>100</v>
      </c>
      <c r="ES673" s="2" t="n">
        <v>0</v>
      </c>
    </row>
    <row r="674">
      <c r="A674" s="2" t="n">
        <v>4</v>
      </c>
      <c r="B674" s="2" t="inlineStr">
        <is>
          <t>30.02.04.01</t>
        </is>
      </c>
      <c r="C674" s="2" t="inlineStr">
        <is>
          <t>Rodapé em madeira reflorestada, cor branca, h=12cm. Ref.: Durafloor Easy Y-01 120.</t>
        </is>
      </c>
      <c r="D674" s="2" t="inlineStr">
        <is>
          <t>17/02/2028</t>
        </is>
      </c>
      <c r="E674" s="2" t="inlineStr">
        <is>
          <t>23/01/2029</t>
        </is>
      </c>
      <c r="F674" s="2" t="n">
        <v>478243.3623</v>
      </c>
      <c r="G674" s="2" t="n">
        <v>0</v>
      </c>
      <c r="H674" s="2" t="n">
        <v>478243.3623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0</v>
      </c>
      <c r="BQ674" s="2" t="n">
        <v>0</v>
      </c>
      <c r="BR674" s="2" t="n">
        <v>0</v>
      </c>
      <c r="BS674" s="2" t="n">
        <v>0</v>
      </c>
      <c r="BT674" s="2" t="n">
        <v>0</v>
      </c>
      <c r="BU674" s="2" t="n">
        <v>0</v>
      </c>
      <c r="BV674" s="2" t="n">
        <v>0</v>
      </c>
      <c r="BW674" s="2" t="n">
        <v>0</v>
      </c>
      <c r="BX674" s="2" t="n">
        <v>0</v>
      </c>
      <c r="BY674" s="2" t="n">
        <v>0</v>
      </c>
      <c r="BZ674" s="2" t="n">
        <v>0</v>
      </c>
      <c r="CA674" s="2" t="n">
        <v>0</v>
      </c>
      <c r="CB674" s="2" t="n">
        <v>0</v>
      </c>
      <c r="CC674" s="2" t="n">
        <v>0</v>
      </c>
      <c r="CD674" s="2" t="n">
        <v>0</v>
      </c>
      <c r="CE674" s="2" t="n">
        <v>0</v>
      </c>
      <c r="CF674" s="2" t="n">
        <v>0</v>
      </c>
      <c r="CG674" s="2" t="n">
        <v>0</v>
      </c>
      <c r="CH674" s="2" t="n">
        <v>0</v>
      </c>
      <c r="CI674" s="2" t="n">
        <v>0</v>
      </c>
      <c r="CJ674" s="2" t="n">
        <v>0</v>
      </c>
      <c r="CK674" s="2" t="n">
        <v>0</v>
      </c>
      <c r="CL674" s="2" t="n">
        <v>0</v>
      </c>
      <c r="CM674" s="2" t="n">
        <v>0</v>
      </c>
      <c r="CN674" s="2" t="n">
        <v>0</v>
      </c>
      <c r="CO674" s="2" t="n">
        <v>0</v>
      </c>
      <c r="CP674" s="2" t="n">
        <v>0</v>
      </c>
      <c r="CQ674" s="2" t="n">
        <v>0</v>
      </c>
      <c r="CR674" s="2" t="n">
        <v>0</v>
      </c>
      <c r="CS674" s="2" t="n">
        <v>0</v>
      </c>
      <c r="CT674" s="2" t="n">
        <v>0</v>
      </c>
      <c r="CU674" s="2" t="n">
        <v>0</v>
      </c>
      <c r="CV674" s="2" t="n">
        <v>0</v>
      </c>
      <c r="CW674" s="2" t="n">
        <v>0</v>
      </c>
      <c r="CX674" s="2" t="n">
        <v>0</v>
      </c>
      <c r="CY674" s="2" t="n">
        <v>0</v>
      </c>
      <c r="CZ674" s="2" t="n">
        <v>0</v>
      </c>
      <c r="DA674" s="2" t="n">
        <v>1.78</v>
      </c>
      <c r="DB674" s="2" t="n">
        <v>4</v>
      </c>
      <c r="DC674" s="2" t="n">
        <v>0</v>
      </c>
      <c r="DD674" s="2" t="n">
        <v>12</v>
      </c>
      <c r="DE674" s="2" t="n">
        <v>14.22</v>
      </c>
      <c r="DF674" s="2" t="n">
        <v>0</v>
      </c>
      <c r="DG674" s="2" t="n">
        <v>20</v>
      </c>
      <c r="DH674" s="2" t="n">
        <v>22.22</v>
      </c>
      <c r="DI674" s="2" t="n">
        <v>0</v>
      </c>
      <c r="DJ674" s="2" t="n">
        <v>29.78</v>
      </c>
      <c r="DK674" s="2" t="n">
        <v>32</v>
      </c>
      <c r="DL674" s="2" t="n">
        <v>0</v>
      </c>
      <c r="DM674" s="2" t="n">
        <v>39.11</v>
      </c>
      <c r="DN674" s="2" t="n">
        <v>41.33</v>
      </c>
      <c r="DO674" s="2" t="n">
        <v>0</v>
      </c>
      <c r="DP674" s="2" t="n">
        <v>48.44</v>
      </c>
      <c r="DQ674" s="2" t="n">
        <v>50.67</v>
      </c>
      <c r="DR674" s="2" t="n">
        <v>0</v>
      </c>
      <c r="DS674" s="2" t="n">
        <v>58.22</v>
      </c>
      <c r="DT674" s="2" t="n">
        <v>60.44</v>
      </c>
      <c r="DU674" s="2" t="n">
        <v>0</v>
      </c>
      <c r="DV674" s="2" t="n">
        <v>67.11</v>
      </c>
      <c r="DW674" s="2" t="n">
        <v>69.33</v>
      </c>
      <c r="DX674" s="2" t="n">
        <v>0</v>
      </c>
      <c r="DY674" s="2" t="n">
        <v>76.44</v>
      </c>
      <c r="DZ674" s="2" t="n">
        <v>78.67</v>
      </c>
      <c r="EA674" s="2" t="n">
        <v>0</v>
      </c>
      <c r="EB674" s="2" t="n">
        <v>84.89</v>
      </c>
      <c r="EC674" s="2" t="n">
        <v>87.11</v>
      </c>
      <c r="ED674" s="2" t="n">
        <v>0</v>
      </c>
      <c r="EE674" s="2" t="n">
        <v>91.56</v>
      </c>
      <c r="EF674" s="2" t="n">
        <v>93.40000000000001</v>
      </c>
      <c r="EG674" s="2" t="n">
        <v>0</v>
      </c>
      <c r="EH674" s="2" t="n">
        <v>100</v>
      </c>
      <c r="EI674" s="2" t="n">
        <v>100</v>
      </c>
      <c r="EJ674" s="2" t="n">
        <v>0</v>
      </c>
      <c r="EK674" s="2" t="n">
        <v>100</v>
      </c>
      <c r="EL674" s="2" t="n">
        <v>100</v>
      </c>
      <c r="EM674" s="2" t="n">
        <v>0</v>
      </c>
      <c r="EN674" s="2" t="n">
        <v>100</v>
      </c>
      <c r="EO674" s="2" t="n">
        <v>100</v>
      </c>
      <c r="EP674" s="2" t="n">
        <v>0</v>
      </c>
      <c r="EQ674" s="2" t="n">
        <v>100</v>
      </c>
      <c r="ER674" s="2" t="n">
        <v>100</v>
      </c>
      <c r="ES674" s="2" t="n">
        <v>0</v>
      </c>
    </row>
    <row r="675">
      <c r="A675" s="2" t="n">
        <v>4</v>
      </c>
      <c r="B675" s="2" t="inlineStr">
        <is>
          <t>30.02.04.02</t>
        </is>
      </c>
      <c r="C675" s="2" t="inlineStr">
        <is>
          <t>Rodapé de poliestireno, ref.: Santa Luzia 480 com 150mm de altura, pintado na cor da parede</t>
        </is>
      </c>
      <c r="D675" s="2" t="inlineStr">
        <is>
          <t>17/02/2028</t>
        </is>
      </c>
      <c r="E675" s="2" t="inlineStr">
        <is>
          <t>23/01/2029</t>
        </is>
      </c>
      <c r="F675" s="2" t="n">
        <v>1169.2797</v>
      </c>
      <c r="G675" s="2" t="n">
        <v>0</v>
      </c>
      <c r="H675" s="2" t="n">
        <v>1169.2797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</v>
      </c>
      <c r="CF675" s="2" t="n">
        <v>0</v>
      </c>
      <c r="CG675" s="2" t="n">
        <v>0</v>
      </c>
      <c r="CH675" s="2" t="n">
        <v>0</v>
      </c>
      <c r="CI675" s="2" t="n">
        <v>0</v>
      </c>
      <c r="CJ675" s="2" t="n">
        <v>0</v>
      </c>
      <c r="CK675" s="2" t="n">
        <v>0</v>
      </c>
      <c r="CL675" s="2" t="n">
        <v>0</v>
      </c>
      <c r="CM675" s="2" t="n">
        <v>0</v>
      </c>
      <c r="CN675" s="2" t="n">
        <v>0</v>
      </c>
      <c r="CO675" s="2" t="n">
        <v>0</v>
      </c>
      <c r="CP675" s="2" t="n">
        <v>0</v>
      </c>
      <c r="CQ675" s="2" t="n">
        <v>0</v>
      </c>
      <c r="CR675" s="2" t="n">
        <v>0</v>
      </c>
      <c r="CS675" s="2" t="n">
        <v>0</v>
      </c>
      <c r="CT675" s="2" t="n">
        <v>0</v>
      </c>
      <c r="CU675" s="2" t="n">
        <v>0</v>
      </c>
      <c r="CV675" s="2" t="n">
        <v>0</v>
      </c>
      <c r="CW675" s="2" t="n">
        <v>0</v>
      </c>
      <c r="CX675" s="2" t="n">
        <v>0</v>
      </c>
      <c r="CY675" s="2" t="n">
        <v>0</v>
      </c>
      <c r="CZ675" s="2" t="n">
        <v>0</v>
      </c>
      <c r="DA675" s="2" t="n">
        <v>1.78</v>
      </c>
      <c r="DB675" s="2" t="n">
        <v>4</v>
      </c>
      <c r="DC675" s="2" t="n">
        <v>0</v>
      </c>
      <c r="DD675" s="2" t="n">
        <v>12</v>
      </c>
      <c r="DE675" s="2" t="n">
        <v>14.22</v>
      </c>
      <c r="DF675" s="2" t="n">
        <v>0</v>
      </c>
      <c r="DG675" s="2" t="n">
        <v>20</v>
      </c>
      <c r="DH675" s="2" t="n">
        <v>22.22</v>
      </c>
      <c r="DI675" s="2" t="n">
        <v>0</v>
      </c>
      <c r="DJ675" s="2" t="n">
        <v>29.78</v>
      </c>
      <c r="DK675" s="2" t="n">
        <v>32</v>
      </c>
      <c r="DL675" s="2" t="n">
        <v>0</v>
      </c>
      <c r="DM675" s="2" t="n">
        <v>39.11</v>
      </c>
      <c r="DN675" s="2" t="n">
        <v>41.33</v>
      </c>
      <c r="DO675" s="2" t="n">
        <v>0</v>
      </c>
      <c r="DP675" s="2" t="n">
        <v>48.44</v>
      </c>
      <c r="DQ675" s="2" t="n">
        <v>50.67</v>
      </c>
      <c r="DR675" s="2" t="n">
        <v>0</v>
      </c>
      <c r="DS675" s="2" t="n">
        <v>58.22</v>
      </c>
      <c r="DT675" s="2" t="n">
        <v>60.44</v>
      </c>
      <c r="DU675" s="2" t="n">
        <v>0</v>
      </c>
      <c r="DV675" s="2" t="n">
        <v>67.11</v>
      </c>
      <c r="DW675" s="2" t="n">
        <v>69.33</v>
      </c>
      <c r="DX675" s="2" t="n">
        <v>0</v>
      </c>
      <c r="DY675" s="2" t="n">
        <v>76.44</v>
      </c>
      <c r="DZ675" s="2" t="n">
        <v>78.67</v>
      </c>
      <c r="EA675" s="2" t="n">
        <v>0</v>
      </c>
      <c r="EB675" s="2" t="n">
        <v>84.89</v>
      </c>
      <c r="EC675" s="2" t="n">
        <v>87.11</v>
      </c>
      <c r="ED675" s="2" t="n">
        <v>0</v>
      </c>
      <c r="EE675" s="2" t="n">
        <v>91.56</v>
      </c>
      <c r="EF675" s="2" t="n">
        <v>93.40000000000001</v>
      </c>
      <c r="EG675" s="2" t="n">
        <v>0</v>
      </c>
      <c r="EH675" s="2" t="n">
        <v>100</v>
      </c>
      <c r="EI675" s="2" t="n">
        <v>100</v>
      </c>
      <c r="EJ675" s="2" t="n">
        <v>0</v>
      </c>
      <c r="EK675" s="2" t="n">
        <v>100</v>
      </c>
      <c r="EL675" s="2" t="n">
        <v>100</v>
      </c>
      <c r="EM675" s="2" t="n">
        <v>0</v>
      </c>
      <c r="EN675" s="2" t="n">
        <v>100</v>
      </c>
      <c r="EO675" s="2" t="n">
        <v>100</v>
      </c>
      <c r="EP675" s="2" t="n">
        <v>0</v>
      </c>
      <c r="EQ675" s="2" t="n">
        <v>100</v>
      </c>
      <c r="ER675" s="2" t="n">
        <v>100</v>
      </c>
      <c r="ES675" s="2" t="n">
        <v>0</v>
      </c>
    </row>
    <row r="676">
      <c r="A676" s="2" t="n">
        <v>4</v>
      </c>
      <c r="B676" s="2" t="inlineStr">
        <is>
          <t>30.02.04.03</t>
        </is>
      </c>
      <c r="C676" s="2" t="inlineStr">
        <is>
          <t>Perfil metálico "L" de transição entre pisos (Vinílico e porcelanato)</t>
        </is>
      </c>
      <c r="D676" s="2" t="inlineStr">
        <is>
          <t>17/02/2028</t>
        </is>
      </c>
      <c r="E676" s="2" t="inlineStr">
        <is>
          <t>23/01/2029</t>
        </is>
      </c>
      <c r="F676" s="2" t="n">
        <v>46083.82037103094</v>
      </c>
      <c r="G676" s="2" t="n">
        <v>0</v>
      </c>
      <c r="H676" s="2" t="n">
        <v>46083.82037103094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</v>
      </c>
      <c r="CS676" s="2" t="n">
        <v>0</v>
      </c>
      <c r="CT676" s="2" t="n">
        <v>0</v>
      </c>
      <c r="CU676" s="2" t="n">
        <v>0</v>
      </c>
      <c r="CV676" s="2" t="n">
        <v>0</v>
      </c>
      <c r="CW676" s="2" t="n">
        <v>0</v>
      </c>
      <c r="CX676" s="2" t="n">
        <v>0</v>
      </c>
      <c r="CY676" s="2" t="n">
        <v>0</v>
      </c>
      <c r="CZ676" s="2" t="n">
        <v>0</v>
      </c>
      <c r="DA676" s="2" t="n">
        <v>1.78</v>
      </c>
      <c r="DB676" s="2" t="n">
        <v>4</v>
      </c>
      <c r="DC676" s="2" t="n">
        <v>0</v>
      </c>
      <c r="DD676" s="2" t="n">
        <v>12</v>
      </c>
      <c r="DE676" s="2" t="n">
        <v>14.22</v>
      </c>
      <c r="DF676" s="2" t="n">
        <v>0</v>
      </c>
      <c r="DG676" s="2" t="n">
        <v>20</v>
      </c>
      <c r="DH676" s="2" t="n">
        <v>22.22</v>
      </c>
      <c r="DI676" s="2" t="n">
        <v>0</v>
      </c>
      <c r="DJ676" s="2" t="n">
        <v>29.78</v>
      </c>
      <c r="DK676" s="2" t="n">
        <v>32</v>
      </c>
      <c r="DL676" s="2" t="n">
        <v>0</v>
      </c>
      <c r="DM676" s="2" t="n">
        <v>39.11</v>
      </c>
      <c r="DN676" s="2" t="n">
        <v>41.33</v>
      </c>
      <c r="DO676" s="2" t="n">
        <v>0</v>
      </c>
      <c r="DP676" s="2" t="n">
        <v>48.44</v>
      </c>
      <c r="DQ676" s="2" t="n">
        <v>50.67</v>
      </c>
      <c r="DR676" s="2" t="n">
        <v>0</v>
      </c>
      <c r="DS676" s="2" t="n">
        <v>58.22</v>
      </c>
      <c r="DT676" s="2" t="n">
        <v>60.44</v>
      </c>
      <c r="DU676" s="2" t="n">
        <v>0</v>
      </c>
      <c r="DV676" s="2" t="n">
        <v>67.11</v>
      </c>
      <c r="DW676" s="2" t="n">
        <v>69.33</v>
      </c>
      <c r="DX676" s="2" t="n">
        <v>0</v>
      </c>
      <c r="DY676" s="2" t="n">
        <v>76.44</v>
      </c>
      <c r="DZ676" s="2" t="n">
        <v>78.67</v>
      </c>
      <c r="EA676" s="2" t="n">
        <v>0</v>
      </c>
      <c r="EB676" s="2" t="n">
        <v>84.89</v>
      </c>
      <c r="EC676" s="2" t="n">
        <v>87.11</v>
      </c>
      <c r="ED676" s="2" t="n">
        <v>0</v>
      </c>
      <c r="EE676" s="2" t="n">
        <v>91.56</v>
      </c>
      <c r="EF676" s="2" t="n">
        <v>93.40000000000001</v>
      </c>
      <c r="EG676" s="2" t="n">
        <v>0</v>
      </c>
      <c r="EH676" s="2" t="n">
        <v>100</v>
      </c>
      <c r="EI676" s="2" t="n">
        <v>100</v>
      </c>
      <c r="EJ676" s="2" t="n">
        <v>0</v>
      </c>
      <c r="EK676" s="2" t="n">
        <v>100</v>
      </c>
      <c r="EL676" s="2" t="n">
        <v>100</v>
      </c>
      <c r="EM676" s="2" t="n">
        <v>0</v>
      </c>
      <c r="EN676" s="2" t="n">
        <v>100</v>
      </c>
      <c r="EO676" s="2" t="n">
        <v>100</v>
      </c>
      <c r="EP676" s="2" t="n">
        <v>0</v>
      </c>
      <c r="EQ676" s="2" t="n">
        <v>100</v>
      </c>
      <c r="ER676" s="2" t="n">
        <v>100</v>
      </c>
      <c r="ES676" s="2" t="n">
        <v>0</v>
      </c>
    </row>
    <row r="677">
      <c r="A677" s="2" t="n">
        <v>2</v>
      </c>
      <c r="B677" s="2" t="inlineStr">
        <is>
          <t>30.03</t>
        </is>
      </c>
      <c r="C677" s="2" t="inlineStr">
        <is>
          <t>Pisos externos</t>
        </is>
      </c>
      <c r="D677" s="2" t="inlineStr">
        <is>
          <t>31/05/2028</t>
        </is>
      </c>
      <c r="E677" s="2" t="inlineStr">
        <is>
          <t>15/02/2029</t>
        </is>
      </c>
      <c r="F677" s="2" t="n">
        <v>1092727.246805057</v>
      </c>
      <c r="G677" s="2" t="n">
        <v>0</v>
      </c>
      <c r="H677" s="2" t="n">
        <v>1092727.246805057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0</v>
      </c>
      <c r="CS677" s="2" t="n">
        <v>0</v>
      </c>
      <c r="CT677" s="2" t="n">
        <v>0</v>
      </c>
      <c r="CU677" s="2" t="n">
        <v>0</v>
      </c>
      <c r="CV677" s="2" t="n">
        <v>0</v>
      </c>
      <c r="CW677" s="2" t="n">
        <v>0</v>
      </c>
      <c r="CX677" s="2" t="n">
        <v>0</v>
      </c>
      <c r="CY677" s="2" t="n">
        <v>0</v>
      </c>
      <c r="CZ677" s="2" t="n">
        <v>0</v>
      </c>
      <c r="DA677" s="2" t="n">
        <v>0</v>
      </c>
      <c r="DB677" s="2" t="n">
        <v>0</v>
      </c>
      <c r="DC677" s="2" t="n">
        <v>0</v>
      </c>
      <c r="DD677" s="2" t="n">
        <v>0</v>
      </c>
      <c r="DE677" s="2" t="n">
        <v>0</v>
      </c>
      <c r="DF677" s="2" t="n">
        <v>0</v>
      </c>
      <c r="DG677" s="2" t="n">
        <v>0</v>
      </c>
      <c r="DH677" s="2" t="n">
        <v>0</v>
      </c>
      <c r="DI677" s="2" t="n">
        <v>0</v>
      </c>
      <c r="DJ677" s="2" t="n">
        <v>0</v>
      </c>
      <c r="DK677" s="2" t="n">
        <v>0.14</v>
      </c>
      <c r="DL677" s="2" t="n">
        <v>0</v>
      </c>
      <c r="DM677" s="2" t="n">
        <v>2.88</v>
      </c>
      <c r="DN677" s="2" t="n">
        <v>3.01</v>
      </c>
      <c r="DO677" s="2" t="n">
        <v>0</v>
      </c>
      <c r="DP677" s="2" t="n">
        <v>5.75</v>
      </c>
      <c r="DQ677" s="2" t="n">
        <v>5.89</v>
      </c>
      <c r="DR677" s="2" t="n">
        <v>0</v>
      </c>
      <c r="DS677" s="2" t="n">
        <v>13.19</v>
      </c>
      <c r="DT677" s="2" t="n">
        <v>13.98</v>
      </c>
      <c r="DU677" s="2" t="n">
        <v>0</v>
      </c>
      <c r="DV677" s="2" t="n">
        <v>29.1</v>
      </c>
      <c r="DW677" s="2" t="n">
        <v>29.9</v>
      </c>
      <c r="DX677" s="2" t="n">
        <v>0</v>
      </c>
      <c r="DY677" s="2" t="n">
        <v>41.04</v>
      </c>
      <c r="DZ677" s="2" t="n">
        <v>43.22</v>
      </c>
      <c r="EA677" s="2" t="n">
        <v>0</v>
      </c>
      <c r="EB677" s="2" t="n">
        <v>42.49</v>
      </c>
      <c r="EC677" s="2" t="n">
        <v>57</v>
      </c>
      <c r="ED677" s="2" t="n">
        <v>0</v>
      </c>
      <c r="EE677" s="2" t="n">
        <v>61.33</v>
      </c>
      <c r="EF677" s="2" t="n">
        <v>73.73999999999999</v>
      </c>
      <c r="EG677" s="2" t="n">
        <v>0</v>
      </c>
      <c r="EH677" s="2" t="n">
        <v>90.45</v>
      </c>
      <c r="EI677" s="2" t="n">
        <v>91.25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</row>
    <row r="678">
      <c r="A678" s="2" t="n">
        <v>3</v>
      </c>
      <c r="B678" s="2" t="inlineStr">
        <is>
          <t>30.03.01</t>
        </is>
      </c>
      <c r="C678" s="2" t="inlineStr">
        <is>
          <t>Pedras</t>
        </is>
      </c>
      <c r="D678" s="2" t="inlineStr">
        <is>
          <t>18/08/2028</t>
        </is>
      </c>
      <c r="E678" s="2" t="inlineStr">
        <is>
          <t>15/02/2029</t>
        </is>
      </c>
      <c r="F678" s="2" t="n">
        <v>765228.9848050568</v>
      </c>
      <c r="G678" s="2" t="n">
        <v>0</v>
      </c>
      <c r="H678" s="2" t="n">
        <v>765228.9848050568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0</v>
      </c>
      <c r="CS678" s="2" t="n">
        <v>0</v>
      </c>
      <c r="CT678" s="2" t="n">
        <v>0</v>
      </c>
      <c r="CU678" s="2" t="n">
        <v>0</v>
      </c>
      <c r="CV678" s="2" t="n">
        <v>0</v>
      </c>
      <c r="CW678" s="2" t="n">
        <v>0</v>
      </c>
      <c r="CX678" s="2" t="n">
        <v>0</v>
      </c>
      <c r="CY678" s="2" t="n">
        <v>0</v>
      </c>
      <c r="CZ678" s="2" t="n">
        <v>0</v>
      </c>
      <c r="DA678" s="2" t="n">
        <v>0</v>
      </c>
      <c r="DB678" s="2" t="n">
        <v>0</v>
      </c>
      <c r="DC678" s="2" t="n">
        <v>0</v>
      </c>
      <c r="DD678" s="2" t="n">
        <v>0</v>
      </c>
      <c r="DE678" s="2" t="n">
        <v>0</v>
      </c>
      <c r="DF678" s="2" t="n">
        <v>0</v>
      </c>
      <c r="DG678" s="2" t="n">
        <v>0</v>
      </c>
      <c r="DH678" s="2" t="n">
        <v>0</v>
      </c>
      <c r="DI678" s="2" t="n">
        <v>0</v>
      </c>
      <c r="DJ678" s="2" t="n">
        <v>0</v>
      </c>
      <c r="DK678" s="2" t="n">
        <v>0</v>
      </c>
      <c r="DL678" s="2" t="n">
        <v>0</v>
      </c>
      <c r="DM678" s="2" t="n">
        <v>0</v>
      </c>
      <c r="DN678" s="2" t="n">
        <v>0</v>
      </c>
      <c r="DO678" s="2" t="n">
        <v>0</v>
      </c>
      <c r="DP678" s="2" t="n">
        <v>0</v>
      </c>
      <c r="DQ678" s="2" t="n">
        <v>0</v>
      </c>
      <c r="DR678" s="2" t="n">
        <v>0</v>
      </c>
      <c r="DS678" s="2" t="n">
        <v>10.23</v>
      </c>
      <c r="DT678" s="2" t="n">
        <v>11.36</v>
      </c>
      <c r="DU678" s="2" t="n">
        <v>0</v>
      </c>
      <c r="DV678" s="2" t="n">
        <v>32.95</v>
      </c>
      <c r="DW678" s="2" t="n">
        <v>34.09</v>
      </c>
      <c r="DX678" s="2" t="n">
        <v>0</v>
      </c>
      <c r="DY678" s="2" t="n">
        <v>50</v>
      </c>
      <c r="DZ678" s="2" t="n">
        <v>50</v>
      </c>
      <c r="EA678" s="2" t="n">
        <v>0</v>
      </c>
      <c r="EB678" s="2" t="n">
        <v>50</v>
      </c>
      <c r="EC678" s="2" t="n">
        <v>50</v>
      </c>
      <c r="ED678" s="2" t="n">
        <v>0</v>
      </c>
      <c r="EE678" s="2" t="n">
        <v>61.36</v>
      </c>
      <c r="EF678" s="2" t="n">
        <v>62.5</v>
      </c>
      <c r="EG678" s="2" t="n">
        <v>0</v>
      </c>
      <c r="EH678" s="2" t="n">
        <v>86.36</v>
      </c>
      <c r="EI678" s="2" t="n">
        <v>87.5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</row>
    <row r="679">
      <c r="A679" s="2" t="n">
        <v>4</v>
      </c>
      <c r="B679" s="2" t="inlineStr">
        <is>
          <t>30.03.01.01</t>
        </is>
      </c>
      <c r="C679" s="2" t="inlineStr">
        <is>
          <t>Piso de granito Ornamental White, espessura 2cm, com acabamento levigado, assentado com argamassa colante em pó ACIII</t>
        </is>
      </c>
      <c r="D679" s="2" t="inlineStr">
        <is>
          <t>18/08/2028</t>
        </is>
      </c>
      <c r="E679" s="2" t="inlineStr">
        <is>
          <t>15/02/2029</t>
        </is>
      </c>
      <c r="F679" s="2" t="n">
        <v>232609.2544185707</v>
      </c>
      <c r="G679" s="2" t="n">
        <v>0</v>
      </c>
      <c r="H679" s="2" t="n">
        <v>232609.2544185707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0</v>
      </c>
      <c r="CS679" s="2" t="n">
        <v>0</v>
      </c>
      <c r="CT679" s="2" t="n">
        <v>0</v>
      </c>
      <c r="CU679" s="2" t="n">
        <v>0</v>
      </c>
      <c r="CV679" s="2" t="n">
        <v>0</v>
      </c>
      <c r="CW679" s="2" t="n">
        <v>0</v>
      </c>
      <c r="CX679" s="2" t="n">
        <v>0</v>
      </c>
      <c r="CY679" s="2" t="n">
        <v>0</v>
      </c>
      <c r="CZ679" s="2" t="n">
        <v>0</v>
      </c>
      <c r="DA679" s="2" t="n">
        <v>0</v>
      </c>
      <c r="DB679" s="2" t="n">
        <v>0</v>
      </c>
      <c r="DC679" s="2" t="n">
        <v>0</v>
      </c>
      <c r="DD679" s="2" t="n">
        <v>0</v>
      </c>
      <c r="DE679" s="2" t="n">
        <v>0</v>
      </c>
      <c r="DF679" s="2" t="n">
        <v>0</v>
      </c>
      <c r="DG679" s="2" t="n">
        <v>0</v>
      </c>
      <c r="DH679" s="2" t="n">
        <v>0</v>
      </c>
      <c r="DI679" s="2" t="n">
        <v>0</v>
      </c>
      <c r="DJ679" s="2" t="n">
        <v>0</v>
      </c>
      <c r="DK679" s="2" t="n">
        <v>0</v>
      </c>
      <c r="DL679" s="2" t="n">
        <v>0</v>
      </c>
      <c r="DM679" s="2" t="n">
        <v>0</v>
      </c>
      <c r="DN679" s="2" t="n">
        <v>0</v>
      </c>
      <c r="DO679" s="2" t="n">
        <v>0</v>
      </c>
      <c r="DP679" s="2" t="n">
        <v>0</v>
      </c>
      <c r="DQ679" s="2" t="n">
        <v>0</v>
      </c>
      <c r="DR679" s="2" t="n">
        <v>0</v>
      </c>
      <c r="DS679" s="2" t="n">
        <v>10.23</v>
      </c>
      <c r="DT679" s="2" t="n">
        <v>11.36</v>
      </c>
      <c r="DU679" s="2" t="n">
        <v>0</v>
      </c>
      <c r="DV679" s="2" t="n">
        <v>32.95</v>
      </c>
      <c r="DW679" s="2" t="n">
        <v>34.09</v>
      </c>
      <c r="DX679" s="2" t="n">
        <v>0</v>
      </c>
      <c r="DY679" s="2" t="n">
        <v>50</v>
      </c>
      <c r="DZ679" s="2" t="n">
        <v>50</v>
      </c>
      <c r="EA679" s="2" t="n">
        <v>0</v>
      </c>
      <c r="EB679" s="2" t="n">
        <v>50</v>
      </c>
      <c r="EC679" s="2" t="n">
        <v>50</v>
      </c>
      <c r="ED679" s="2" t="n">
        <v>0</v>
      </c>
      <c r="EE679" s="2" t="n">
        <v>61.36</v>
      </c>
      <c r="EF679" s="2" t="n">
        <v>62.5</v>
      </c>
      <c r="EG679" s="2" t="n">
        <v>0</v>
      </c>
      <c r="EH679" s="2" t="n">
        <v>86.36</v>
      </c>
      <c r="EI679" s="2" t="n">
        <v>87.5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</row>
    <row r="680">
      <c r="A680" s="2" t="n">
        <v>4</v>
      </c>
      <c r="B680" s="2" t="inlineStr">
        <is>
          <t>30.03.01.02</t>
        </is>
      </c>
      <c r="C680" s="2" t="inlineStr">
        <is>
          <t>Granito Cinza Castelo com acabamento flameado antiderrapante e detalhes em Granito Verde Ubatuba com acabamento flameado antiderrapante, conforme projeto de Paisagismo da Esplanada (equipe JA8</t>
        </is>
      </c>
      <c r="D680" s="2" t="inlineStr">
        <is>
          <t>18/08/2028</t>
        </is>
      </c>
      <c r="E680" s="2" t="inlineStr">
        <is>
          <t>15/02/2029</t>
        </is>
      </c>
      <c r="F680" s="2" t="n">
        <v>532619.730386486</v>
      </c>
      <c r="G680" s="2" t="n">
        <v>0</v>
      </c>
      <c r="H680" s="2" t="n">
        <v>532619.730386486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10.23</v>
      </c>
      <c r="DT680" s="2" t="n">
        <v>11.36</v>
      </c>
      <c r="DU680" s="2" t="n">
        <v>0</v>
      </c>
      <c r="DV680" s="2" t="n">
        <v>32.95</v>
      </c>
      <c r="DW680" s="2" t="n">
        <v>34.09</v>
      </c>
      <c r="DX680" s="2" t="n">
        <v>0</v>
      </c>
      <c r="DY680" s="2" t="n">
        <v>50</v>
      </c>
      <c r="DZ680" s="2" t="n">
        <v>50</v>
      </c>
      <c r="EA680" s="2" t="n">
        <v>0</v>
      </c>
      <c r="EB680" s="2" t="n">
        <v>50</v>
      </c>
      <c r="EC680" s="2" t="n">
        <v>50</v>
      </c>
      <c r="ED680" s="2" t="n">
        <v>0</v>
      </c>
      <c r="EE680" s="2" t="n">
        <v>61.36</v>
      </c>
      <c r="EF680" s="2" t="n">
        <v>62.5</v>
      </c>
      <c r="EG680" s="2" t="n">
        <v>0</v>
      </c>
      <c r="EH680" s="2" t="n">
        <v>86.36</v>
      </c>
      <c r="EI680" s="2" t="n">
        <v>87.5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</row>
    <row r="681">
      <c r="A681" s="2" t="n">
        <v>3</v>
      </c>
      <c r="B681" s="2" t="inlineStr">
        <is>
          <t>30.03.02</t>
        </is>
      </c>
      <c r="C681" s="2" t="inlineStr">
        <is>
          <t>Pisos de Madeira</t>
        </is>
      </c>
      <c r="D681" s="2" t="inlineStr">
        <is>
          <t>31/05/2028</t>
        </is>
      </c>
      <c r="E681" s="2" t="inlineStr">
        <is>
          <t>01/08/2028</t>
        </is>
      </c>
      <c r="F681" s="2" t="n">
        <v>65858.7</v>
      </c>
      <c r="G681" s="2" t="n">
        <v>0</v>
      </c>
      <c r="H681" s="2" t="n">
        <v>65858.7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2.27</v>
      </c>
      <c r="DL681" s="2" t="n">
        <v>0</v>
      </c>
      <c r="DM681" s="2" t="n">
        <v>47.73</v>
      </c>
      <c r="DN681" s="2" t="n">
        <v>50</v>
      </c>
      <c r="DO681" s="2" t="n">
        <v>0</v>
      </c>
      <c r="DP681" s="2" t="n">
        <v>95.45</v>
      </c>
      <c r="DQ681" s="2" t="n">
        <v>97.73</v>
      </c>
      <c r="DR681" s="2" t="n">
        <v>0</v>
      </c>
      <c r="DS681" s="2" t="n">
        <v>100</v>
      </c>
      <c r="DT681" s="2" t="n">
        <v>100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</row>
    <row r="682">
      <c r="A682" s="2" t="n">
        <v>4</v>
      </c>
      <c r="B682" s="2" t="inlineStr">
        <is>
          <t>30.03.02.01</t>
        </is>
      </c>
      <c r="C682" s="2" t="inlineStr">
        <is>
          <t>Deck em madeira Cumaru</t>
        </is>
      </c>
      <c r="D682" s="2" t="inlineStr">
        <is>
          <t>31/05/2028</t>
        </is>
      </c>
      <c r="E682" s="2" t="inlineStr">
        <is>
          <t>01/08/2028</t>
        </is>
      </c>
      <c r="F682" s="2" t="n">
        <v>65858.7</v>
      </c>
      <c r="G682" s="2" t="n">
        <v>0</v>
      </c>
      <c r="H682" s="2" t="n">
        <v>65858.7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0</v>
      </c>
      <c r="CV682" s="2" t="n">
        <v>0</v>
      </c>
      <c r="CW682" s="2" t="n">
        <v>0</v>
      </c>
      <c r="CX682" s="2" t="n">
        <v>0</v>
      </c>
      <c r="CY682" s="2" t="n">
        <v>0</v>
      </c>
      <c r="CZ682" s="2" t="n">
        <v>0</v>
      </c>
      <c r="DA682" s="2" t="n">
        <v>0</v>
      </c>
      <c r="DB682" s="2" t="n">
        <v>0</v>
      </c>
      <c r="DC682" s="2" t="n">
        <v>0</v>
      </c>
      <c r="DD682" s="2" t="n">
        <v>0</v>
      </c>
      <c r="DE682" s="2" t="n">
        <v>0</v>
      </c>
      <c r="DF682" s="2" t="n">
        <v>0</v>
      </c>
      <c r="DG682" s="2" t="n">
        <v>0</v>
      </c>
      <c r="DH682" s="2" t="n">
        <v>0</v>
      </c>
      <c r="DI682" s="2" t="n">
        <v>0</v>
      </c>
      <c r="DJ682" s="2" t="n">
        <v>0</v>
      </c>
      <c r="DK682" s="2" t="n">
        <v>2.27</v>
      </c>
      <c r="DL682" s="2" t="n">
        <v>0</v>
      </c>
      <c r="DM682" s="2" t="n">
        <v>47.73</v>
      </c>
      <c r="DN682" s="2" t="n">
        <v>50</v>
      </c>
      <c r="DO682" s="2" t="n">
        <v>0</v>
      </c>
      <c r="DP682" s="2" t="n">
        <v>95.45</v>
      </c>
      <c r="DQ682" s="2" t="n">
        <v>97.73</v>
      </c>
      <c r="DR682" s="2" t="n">
        <v>0</v>
      </c>
      <c r="DS682" s="2" t="n">
        <v>100</v>
      </c>
      <c r="DT682" s="2" t="n">
        <v>100</v>
      </c>
      <c r="DU682" s="2" t="n">
        <v>0</v>
      </c>
      <c r="DV682" s="2" t="n">
        <v>100</v>
      </c>
      <c r="DW682" s="2" t="n">
        <v>100</v>
      </c>
      <c r="DX682" s="2" t="n">
        <v>0</v>
      </c>
      <c r="DY682" s="2" t="n">
        <v>100</v>
      </c>
      <c r="DZ682" s="2" t="n">
        <v>100</v>
      </c>
      <c r="EA682" s="2" t="n">
        <v>0</v>
      </c>
      <c r="EB682" s="2" t="n">
        <v>100</v>
      </c>
      <c r="EC682" s="2" t="n">
        <v>100</v>
      </c>
      <c r="ED682" s="2" t="n">
        <v>0</v>
      </c>
      <c r="EE682" s="2" t="n">
        <v>100</v>
      </c>
      <c r="EF682" s="2" t="n">
        <v>100</v>
      </c>
      <c r="EG682" s="2" t="n">
        <v>0</v>
      </c>
      <c r="EH682" s="2" t="n">
        <v>100</v>
      </c>
      <c r="EI682" s="2" t="n">
        <v>100</v>
      </c>
      <c r="EJ682" s="2" t="n">
        <v>0</v>
      </c>
      <c r="EK682" s="2" t="n">
        <v>100</v>
      </c>
      <c r="EL682" s="2" t="n">
        <v>100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</row>
    <row r="683">
      <c r="A683" s="2" t="n">
        <v>3</v>
      </c>
      <c r="B683" s="2" t="inlineStr">
        <is>
          <t>30.03.03</t>
        </is>
      </c>
      <c r="C683" s="2" t="inlineStr">
        <is>
          <t>Pisos Especiais</t>
        </is>
      </c>
      <c r="D683" s="2" t="inlineStr">
        <is>
          <t>27/10/2028</t>
        </is>
      </c>
      <c r="E683" s="2" t="inlineStr">
        <is>
          <t>18/12/2028</t>
        </is>
      </c>
      <c r="F683" s="2" t="n">
        <v>261639.562</v>
      </c>
      <c r="G683" s="2" t="n">
        <v>0</v>
      </c>
      <c r="H683" s="2" t="n">
        <v>261639.562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0</v>
      </c>
      <c r="CV683" s="2" t="n">
        <v>0</v>
      </c>
      <c r="CW683" s="2" t="n">
        <v>0</v>
      </c>
      <c r="CX683" s="2" t="n">
        <v>0</v>
      </c>
      <c r="CY683" s="2" t="n">
        <v>0</v>
      </c>
      <c r="CZ683" s="2" t="n">
        <v>0</v>
      </c>
      <c r="DA683" s="2" t="n">
        <v>0</v>
      </c>
      <c r="DB683" s="2" t="n">
        <v>0</v>
      </c>
      <c r="DC683" s="2" t="n">
        <v>0</v>
      </c>
      <c r="DD683" s="2" t="n">
        <v>0</v>
      </c>
      <c r="DE683" s="2" t="n">
        <v>0</v>
      </c>
      <c r="DF683" s="2" t="n">
        <v>0</v>
      </c>
      <c r="DG683" s="2" t="n">
        <v>0</v>
      </c>
      <c r="DH683" s="2" t="n">
        <v>0</v>
      </c>
      <c r="DI683" s="2" t="n">
        <v>0</v>
      </c>
      <c r="DJ683" s="2" t="n">
        <v>0</v>
      </c>
      <c r="DK683" s="2" t="n">
        <v>0</v>
      </c>
      <c r="DL683" s="2" t="n">
        <v>0</v>
      </c>
      <c r="DM683" s="2" t="n">
        <v>0</v>
      </c>
      <c r="DN683" s="2" t="n">
        <v>0</v>
      </c>
      <c r="DO683" s="2" t="n">
        <v>0</v>
      </c>
      <c r="DP683" s="2" t="n">
        <v>0</v>
      </c>
      <c r="DQ683" s="2" t="n">
        <v>0</v>
      </c>
      <c r="DR683" s="2" t="n">
        <v>0</v>
      </c>
      <c r="DS683" s="2" t="n">
        <v>0</v>
      </c>
      <c r="DT683" s="2" t="n">
        <v>0</v>
      </c>
      <c r="DU683" s="2" t="n">
        <v>0</v>
      </c>
      <c r="DV683" s="2" t="n">
        <v>0</v>
      </c>
      <c r="DW683" s="2" t="n">
        <v>0</v>
      </c>
      <c r="DX683" s="2" t="n">
        <v>0</v>
      </c>
      <c r="DY683" s="2" t="n">
        <v>0</v>
      </c>
      <c r="DZ683" s="2" t="n">
        <v>9.09</v>
      </c>
      <c r="EA683" s="2" t="n">
        <v>0</v>
      </c>
      <c r="EB683" s="2" t="n">
        <v>6.06</v>
      </c>
      <c r="EC683" s="2" t="n">
        <v>66.67</v>
      </c>
      <c r="ED683" s="2" t="n">
        <v>0</v>
      </c>
      <c r="EE683" s="2" t="n">
        <v>51.52</v>
      </c>
      <c r="EF683" s="2" t="n">
        <v>100</v>
      </c>
      <c r="EG683" s="2" t="n">
        <v>0</v>
      </c>
      <c r="EH683" s="2" t="n">
        <v>100</v>
      </c>
      <c r="EI683" s="2" t="n">
        <v>100</v>
      </c>
      <c r="EJ683" s="2" t="n">
        <v>0</v>
      </c>
      <c r="EK683" s="2" t="n">
        <v>100</v>
      </c>
      <c r="EL683" s="2" t="n">
        <v>100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</row>
    <row r="684">
      <c r="A684" s="2" t="n">
        <v>4</v>
      </c>
      <c r="B684" s="2" t="inlineStr">
        <is>
          <t>30.03.03.01</t>
        </is>
      </c>
      <c r="C684" s="2" t="inlineStr">
        <is>
          <t>Piso Impact Soft 50 | Placas de 1x1 m | Aubicon</t>
        </is>
      </c>
      <c r="D684" s="2" t="inlineStr">
        <is>
          <t>27/10/2028</t>
        </is>
      </c>
      <c r="E684" s="2" t="inlineStr">
        <is>
          <t>18/12/2028</t>
        </is>
      </c>
      <c r="F684" s="2" t="n">
        <v>30295.89</v>
      </c>
      <c r="G684" s="2" t="n">
        <v>0</v>
      </c>
      <c r="H684" s="2" t="n">
        <v>30295.89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0</v>
      </c>
      <c r="CV684" s="2" t="n">
        <v>0</v>
      </c>
      <c r="CW684" s="2" t="n">
        <v>0</v>
      </c>
      <c r="CX684" s="2" t="n">
        <v>0</v>
      </c>
      <c r="CY684" s="2" t="n">
        <v>0</v>
      </c>
      <c r="CZ684" s="2" t="n">
        <v>0</v>
      </c>
      <c r="DA684" s="2" t="n">
        <v>0</v>
      </c>
      <c r="DB684" s="2" t="n">
        <v>0</v>
      </c>
      <c r="DC684" s="2" t="n">
        <v>0</v>
      </c>
      <c r="DD684" s="2" t="n">
        <v>0</v>
      </c>
      <c r="DE684" s="2" t="n">
        <v>0</v>
      </c>
      <c r="DF684" s="2" t="n">
        <v>0</v>
      </c>
      <c r="DG684" s="2" t="n">
        <v>0</v>
      </c>
      <c r="DH684" s="2" t="n">
        <v>0</v>
      </c>
      <c r="DI684" s="2" t="n">
        <v>0</v>
      </c>
      <c r="DJ684" s="2" t="n">
        <v>0</v>
      </c>
      <c r="DK684" s="2" t="n">
        <v>0</v>
      </c>
      <c r="DL684" s="2" t="n">
        <v>0</v>
      </c>
      <c r="DM684" s="2" t="n">
        <v>0</v>
      </c>
      <c r="DN684" s="2" t="n">
        <v>0</v>
      </c>
      <c r="DO684" s="2" t="n">
        <v>0</v>
      </c>
      <c r="DP684" s="2" t="n">
        <v>0</v>
      </c>
      <c r="DQ684" s="2" t="n">
        <v>0</v>
      </c>
      <c r="DR684" s="2" t="n">
        <v>0</v>
      </c>
      <c r="DS684" s="2" t="n">
        <v>0</v>
      </c>
      <c r="DT684" s="2" t="n">
        <v>0</v>
      </c>
      <c r="DU684" s="2" t="n">
        <v>0</v>
      </c>
      <c r="DV684" s="2" t="n">
        <v>0</v>
      </c>
      <c r="DW684" s="2" t="n">
        <v>0</v>
      </c>
      <c r="DX684" s="2" t="n">
        <v>0</v>
      </c>
      <c r="DY684" s="2" t="n">
        <v>0</v>
      </c>
      <c r="DZ684" s="2" t="n">
        <v>9.09</v>
      </c>
      <c r="EA684" s="2" t="n">
        <v>0</v>
      </c>
      <c r="EB684" s="2" t="n">
        <v>6.06</v>
      </c>
      <c r="EC684" s="2" t="n">
        <v>66.67</v>
      </c>
      <c r="ED684" s="2" t="n">
        <v>0</v>
      </c>
      <c r="EE684" s="2" t="n">
        <v>51.52</v>
      </c>
      <c r="EF684" s="2" t="n">
        <v>100</v>
      </c>
      <c r="EG684" s="2" t="n">
        <v>0</v>
      </c>
      <c r="EH684" s="2" t="n">
        <v>100</v>
      </c>
      <c r="EI684" s="2" t="n">
        <v>100</v>
      </c>
      <c r="EJ684" s="2" t="n">
        <v>0</v>
      </c>
      <c r="EK684" s="2" t="n">
        <v>100</v>
      </c>
      <c r="EL684" s="2" t="n">
        <v>100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</row>
    <row r="685">
      <c r="A685" s="2" t="n">
        <v>4</v>
      </c>
      <c r="B685" s="2" t="inlineStr">
        <is>
          <t>30.03.03.02</t>
        </is>
      </c>
      <c r="C685" s="2" t="inlineStr">
        <is>
          <t>Piso elevado pilotis (Acabamento considerado nos itens específicos)</t>
        </is>
      </c>
      <c r="D685" s="2" t="inlineStr">
        <is>
          <t>27/10/2028</t>
        </is>
      </c>
      <c r="E685" s="2" t="inlineStr">
        <is>
          <t>18/12/2028</t>
        </is>
      </c>
      <c r="F685" s="2" t="n">
        <v>231343.672</v>
      </c>
      <c r="G685" s="2" t="n">
        <v>0</v>
      </c>
      <c r="H685" s="2" t="n">
        <v>231343.672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0</v>
      </c>
      <c r="CV685" s="2" t="n">
        <v>0</v>
      </c>
      <c r="CW685" s="2" t="n">
        <v>0</v>
      </c>
      <c r="CX685" s="2" t="n">
        <v>0</v>
      </c>
      <c r="CY685" s="2" t="n">
        <v>0</v>
      </c>
      <c r="CZ685" s="2" t="n">
        <v>0</v>
      </c>
      <c r="DA685" s="2" t="n">
        <v>0</v>
      </c>
      <c r="DB685" s="2" t="n">
        <v>0</v>
      </c>
      <c r="DC685" s="2" t="n">
        <v>0</v>
      </c>
      <c r="DD685" s="2" t="n">
        <v>0</v>
      </c>
      <c r="DE685" s="2" t="n">
        <v>0</v>
      </c>
      <c r="DF685" s="2" t="n">
        <v>0</v>
      </c>
      <c r="DG685" s="2" t="n">
        <v>0</v>
      </c>
      <c r="DH685" s="2" t="n">
        <v>0</v>
      </c>
      <c r="DI685" s="2" t="n">
        <v>0</v>
      </c>
      <c r="DJ685" s="2" t="n">
        <v>0</v>
      </c>
      <c r="DK685" s="2" t="n">
        <v>0</v>
      </c>
      <c r="DL685" s="2" t="n">
        <v>0</v>
      </c>
      <c r="DM685" s="2" t="n">
        <v>0</v>
      </c>
      <c r="DN685" s="2" t="n">
        <v>0</v>
      </c>
      <c r="DO685" s="2" t="n">
        <v>0</v>
      </c>
      <c r="DP685" s="2" t="n">
        <v>0</v>
      </c>
      <c r="DQ685" s="2" t="n">
        <v>0</v>
      </c>
      <c r="DR685" s="2" t="n">
        <v>0</v>
      </c>
      <c r="DS685" s="2" t="n">
        <v>0</v>
      </c>
      <c r="DT685" s="2" t="n">
        <v>0</v>
      </c>
      <c r="DU685" s="2" t="n">
        <v>0</v>
      </c>
      <c r="DV685" s="2" t="n">
        <v>0</v>
      </c>
      <c r="DW685" s="2" t="n">
        <v>0</v>
      </c>
      <c r="DX685" s="2" t="n">
        <v>0</v>
      </c>
      <c r="DY685" s="2" t="n">
        <v>0</v>
      </c>
      <c r="DZ685" s="2" t="n">
        <v>9.09</v>
      </c>
      <c r="EA685" s="2" t="n">
        <v>0</v>
      </c>
      <c r="EB685" s="2" t="n">
        <v>6.06</v>
      </c>
      <c r="EC685" s="2" t="n">
        <v>66.67</v>
      </c>
      <c r="ED685" s="2" t="n">
        <v>0</v>
      </c>
      <c r="EE685" s="2" t="n">
        <v>51.52</v>
      </c>
      <c r="EF685" s="2" t="n">
        <v>100</v>
      </c>
      <c r="EG685" s="2" t="n">
        <v>0</v>
      </c>
      <c r="EH685" s="2" t="n">
        <v>100</v>
      </c>
      <c r="EI685" s="2" t="n">
        <v>100</v>
      </c>
      <c r="EJ685" s="2" t="n">
        <v>0</v>
      </c>
      <c r="EK685" s="2" t="n">
        <v>100</v>
      </c>
      <c r="EL685" s="2" t="n">
        <v>100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</row>
    <row r="686">
      <c r="A686" s="2" t="n">
        <v>2</v>
      </c>
      <c r="B686" s="2" t="inlineStr">
        <is>
          <t>30.04</t>
        </is>
      </c>
      <c r="C686" s="2" t="inlineStr">
        <is>
          <t>Rodapés externos</t>
        </is>
      </c>
      <c r="D686" s="2" t="inlineStr">
        <is>
          <t>31/05/2028</t>
        </is>
      </c>
      <c r="E686" s="2" t="inlineStr">
        <is>
          <t>15/02/2029</t>
        </is>
      </c>
      <c r="F686" s="2" t="n">
        <v>13890.04916672509</v>
      </c>
      <c r="G686" s="2" t="n">
        <v>0</v>
      </c>
      <c r="H686" s="2" t="n">
        <v>13890.04916672509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0</v>
      </c>
      <c r="CV686" s="2" t="n">
        <v>0</v>
      </c>
      <c r="CW686" s="2" t="n">
        <v>0</v>
      </c>
      <c r="CX686" s="2" t="n">
        <v>0</v>
      </c>
      <c r="CY686" s="2" t="n">
        <v>0</v>
      </c>
      <c r="CZ686" s="2" t="n">
        <v>0</v>
      </c>
      <c r="DA686" s="2" t="n">
        <v>0</v>
      </c>
      <c r="DB686" s="2" t="n">
        <v>0</v>
      </c>
      <c r="DC686" s="2" t="n">
        <v>0</v>
      </c>
      <c r="DD686" s="2" t="n">
        <v>0</v>
      </c>
      <c r="DE686" s="2" t="n">
        <v>0</v>
      </c>
      <c r="DF686" s="2" t="n">
        <v>0</v>
      </c>
      <c r="DG686" s="2" t="n">
        <v>0</v>
      </c>
      <c r="DH686" s="2" t="n">
        <v>0</v>
      </c>
      <c r="DI686" s="2" t="n">
        <v>0</v>
      </c>
      <c r="DJ686" s="2" t="n">
        <v>0</v>
      </c>
      <c r="DK686" s="2" t="n">
        <v>0.57</v>
      </c>
      <c r="DL686" s="2" t="n">
        <v>0</v>
      </c>
      <c r="DM686" s="2" t="n">
        <v>11.93</v>
      </c>
      <c r="DN686" s="2" t="n">
        <v>12.5</v>
      </c>
      <c r="DO686" s="2" t="n">
        <v>0</v>
      </c>
      <c r="DP686" s="2" t="n">
        <v>23.86</v>
      </c>
      <c r="DQ686" s="2" t="n">
        <v>42.77</v>
      </c>
      <c r="DR686" s="2" t="n">
        <v>0</v>
      </c>
      <c r="DS686" s="2" t="n">
        <v>50</v>
      </c>
      <c r="DT686" s="2" t="n">
        <v>50</v>
      </c>
      <c r="DU686" s="2" t="n">
        <v>0</v>
      </c>
      <c r="DV686" s="2" t="n">
        <v>50</v>
      </c>
      <c r="DW686" s="2" t="n">
        <v>50</v>
      </c>
      <c r="DX686" s="2" t="n">
        <v>0</v>
      </c>
      <c r="DY686" s="2" t="n">
        <v>50</v>
      </c>
      <c r="DZ686" s="2" t="n">
        <v>52.27</v>
      </c>
      <c r="EA686" s="2" t="n">
        <v>0</v>
      </c>
      <c r="EB686" s="2" t="n">
        <v>51.52</v>
      </c>
      <c r="EC686" s="2" t="n">
        <v>66.67</v>
      </c>
      <c r="ED686" s="2" t="n">
        <v>0</v>
      </c>
      <c r="EE686" s="2" t="n">
        <v>68.56</v>
      </c>
      <c r="EF686" s="2" t="n">
        <v>81.25</v>
      </c>
      <c r="EG686" s="2" t="n">
        <v>0</v>
      </c>
      <c r="EH686" s="2" t="n">
        <v>93.18000000000001</v>
      </c>
      <c r="EI686" s="2" t="n">
        <v>93.75</v>
      </c>
      <c r="EJ686" s="2" t="n">
        <v>0</v>
      </c>
      <c r="EK686" s="2" t="n">
        <v>100</v>
      </c>
      <c r="EL686" s="2" t="n">
        <v>100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</row>
    <row r="687">
      <c r="A687" s="2" t="n">
        <v>3</v>
      </c>
      <c r="B687" s="2" t="inlineStr">
        <is>
          <t>30.04.01</t>
        </is>
      </c>
      <c r="C687" s="2" t="inlineStr">
        <is>
          <t>Rodapé para Piso de granito Branco Ornamental White, acabamento levigado, h=10cm, assentado com argamassa colante em pó ACIII</t>
        </is>
      </c>
      <c r="D687" s="2" t="inlineStr">
        <is>
          <t>31/05/2028</t>
        </is>
      </c>
      <c r="E687" s="2" t="inlineStr">
        <is>
          <t>15/02/2029</t>
        </is>
      </c>
      <c r="F687" s="2" t="n">
        <v>13890.04916672509</v>
      </c>
      <c r="G687" s="2" t="n">
        <v>0</v>
      </c>
      <c r="H687" s="2" t="n">
        <v>13890.04916672509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0</v>
      </c>
      <c r="CV687" s="2" t="n">
        <v>0</v>
      </c>
      <c r="CW687" s="2" t="n">
        <v>0</v>
      </c>
      <c r="CX687" s="2" t="n">
        <v>0</v>
      </c>
      <c r="CY687" s="2" t="n">
        <v>0</v>
      </c>
      <c r="CZ687" s="2" t="n">
        <v>0</v>
      </c>
      <c r="DA687" s="2" t="n">
        <v>0</v>
      </c>
      <c r="DB687" s="2" t="n">
        <v>0</v>
      </c>
      <c r="DC687" s="2" t="n">
        <v>0</v>
      </c>
      <c r="DD687" s="2" t="n">
        <v>0</v>
      </c>
      <c r="DE687" s="2" t="n">
        <v>0</v>
      </c>
      <c r="DF687" s="2" t="n">
        <v>0</v>
      </c>
      <c r="DG687" s="2" t="n">
        <v>0</v>
      </c>
      <c r="DH687" s="2" t="n">
        <v>0</v>
      </c>
      <c r="DI687" s="2" t="n">
        <v>0</v>
      </c>
      <c r="DJ687" s="2" t="n">
        <v>0</v>
      </c>
      <c r="DK687" s="2" t="n">
        <v>0.57</v>
      </c>
      <c r="DL687" s="2" t="n">
        <v>0</v>
      </c>
      <c r="DM687" s="2" t="n">
        <v>11.93</v>
      </c>
      <c r="DN687" s="2" t="n">
        <v>12.5</v>
      </c>
      <c r="DO687" s="2" t="n">
        <v>0</v>
      </c>
      <c r="DP687" s="2" t="n">
        <v>23.86</v>
      </c>
      <c r="DQ687" s="2" t="n">
        <v>42.77</v>
      </c>
      <c r="DR687" s="2" t="n">
        <v>0</v>
      </c>
      <c r="DS687" s="2" t="n">
        <v>50</v>
      </c>
      <c r="DT687" s="2" t="n">
        <v>50</v>
      </c>
      <c r="DU687" s="2" t="n">
        <v>0</v>
      </c>
      <c r="DV687" s="2" t="n">
        <v>50</v>
      </c>
      <c r="DW687" s="2" t="n">
        <v>50</v>
      </c>
      <c r="DX687" s="2" t="n">
        <v>0</v>
      </c>
      <c r="DY687" s="2" t="n">
        <v>50</v>
      </c>
      <c r="DZ687" s="2" t="n">
        <v>52.27</v>
      </c>
      <c r="EA687" s="2" t="n">
        <v>0</v>
      </c>
      <c r="EB687" s="2" t="n">
        <v>51.52</v>
      </c>
      <c r="EC687" s="2" t="n">
        <v>66.67</v>
      </c>
      <c r="ED687" s="2" t="n">
        <v>0</v>
      </c>
      <c r="EE687" s="2" t="n">
        <v>68.56</v>
      </c>
      <c r="EF687" s="2" t="n">
        <v>81.25</v>
      </c>
      <c r="EG687" s="2" t="n">
        <v>0</v>
      </c>
      <c r="EH687" s="2" t="n">
        <v>93.18000000000001</v>
      </c>
      <c r="EI687" s="2" t="n">
        <v>93.75</v>
      </c>
      <c r="EJ687" s="2" t="n">
        <v>0</v>
      </c>
      <c r="EK687" s="2" t="n">
        <v>100</v>
      </c>
      <c r="EL687" s="2" t="n">
        <v>100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</row>
    <row r="688">
      <c r="A688" s="2" t="n">
        <v>2</v>
      </c>
      <c r="B688" s="2" t="inlineStr">
        <is>
          <t>30.05</t>
        </is>
      </c>
      <c r="C688" s="2" t="inlineStr">
        <is>
          <t>Paredes</t>
        </is>
      </c>
      <c r="D688" s="2" t="inlineStr">
        <is>
          <t>24/08/2027</t>
        </is>
      </c>
      <c r="E688" s="2" t="inlineStr">
        <is>
          <t>15/09/2028</t>
        </is>
      </c>
      <c r="F688" s="2" t="n">
        <v>2335493.609353417</v>
      </c>
      <c r="G688" s="2" t="n">
        <v>0</v>
      </c>
      <c r="H688" s="2" t="n">
        <v>2335493.609353417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0.36</v>
      </c>
      <c r="CJ688" s="2" t="n">
        <v>2.15</v>
      </c>
      <c r="CK688" s="2" t="n">
        <v>0</v>
      </c>
      <c r="CL688" s="2" t="n">
        <v>8.050000000000001</v>
      </c>
      <c r="CM688" s="2" t="n">
        <v>9.880000000000001</v>
      </c>
      <c r="CN688" s="2" t="n">
        <v>0</v>
      </c>
      <c r="CO688" s="2" t="n">
        <v>16.11</v>
      </c>
      <c r="CP688" s="2" t="n">
        <v>17.97</v>
      </c>
      <c r="CQ688" s="2" t="n">
        <v>0</v>
      </c>
      <c r="CR688" s="2" t="n">
        <v>24.53</v>
      </c>
      <c r="CS688" s="2" t="n">
        <v>26.38</v>
      </c>
      <c r="CT688" s="2" t="n">
        <v>0</v>
      </c>
      <c r="CU688" s="2" t="n">
        <v>43.83</v>
      </c>
      <c r="CV688" s="2" t="n">
        <v>45.65</v>
      </c>
      <c r="CW688" s="2" t="n">
        <v>0</v>
      </c>
      <c r="CX688" s="2" t="n">
        <v>51.66</v>
      </c>
      <c r="CY688" s="2" t="n">
        <v>53.45</v>
      </c>
      <c r="CZ688" s="2" t="n">
        <v>0</v>
      </c>
      <c r="DA688" s="2" t="n">
        <v>59.4</v>
      </c>
      <c r="DB688" s="2" t="n">
        <v>61.19</v>
      </c>
      <c r="DC688" s="2" t="n">
        <v>0</v>
      </c>
      <c r="DD688" s="2" t="n">
        <v>69.06999999999999</v>
      </c>
      <c r="DE688" s="2" t="n">
        <v>70.86</v>
      </c>
      <c r="DF688" s="2" t="n">
        <v>0</v>
      </c>
      <c r="DG688" s="2" t="n">
        <v>75.51000000000001</v>
      </c>
      <c r="DH688" s="2" t="n">
        <v>77.31</v>
      </c>
      <c r="DI688" s="2" t="n">
        <v>0</v>
      </c>
      <c r="DJ688" s="2" t="n">
        <v>83.40000000000001</v>
      </c>
      <c r="DK688" s="2" t="n">
        <v>85.19</v>
      </c>
      <c r="DL688" s="2" t="n">
        <v>0</v>
      </c>
      <c r="DM688" s="2" t="n">
        <v>90.92</v>
      </c>
      <c r="DN688" s="2" t="n">
        <v>92.94</v>
      </c>
      <c r="DO688" s="2" t="n">
        <v>0</v>
      </c>
      <c r="DP688" s="2" t="n">
        <v>95.65000000000001</v>
      </c>
      <c r="DQ688" s="2" t="n">
        <v>96.78</v>
      </c>
      <c r="DR688" s="2" t="n">
        <v>0</v>
      </c>
      <c r="DS688" s="2" t="n">
        <v>96.78</v>
      </c>
      <c r="DT688" s="2" t="n">
        <v>96.78</v>
      </c>
      <c r="DU688" s="2" t="n">
        <v>0</v>
      </c>
      <c r="DV688" s="2" t="n">
        <v>100</v>
      </c>
      <c r="DW688" s="2" t="n">
        <v>100</v>
      </c>
      <c r="DX688" s="2" t="n">
        <v>0</v>
      </c>
      <c r="DY688" s="2" t="n">
        <v>100</v>
      </c>
      <c r="DZ688" s="2" t="n">
        <v>100</v>
      </c>
      <c r="EA688" s="2" t="n">
        <v>0</v>
      </c>
      <c r="EB688" s="2" t="n">
        <v>100</v>
      </c>
      <c r="EC688" s="2" t="n">
        <v>100</v>
      </c>
      <c r="ED688" s="2" t="n">
        <v>0</v>
      </c>
      <c r="EE688" s="2" t="n">
        <v>100</v>
      </c>
      <c r="EF688" s="2" t="n">
        <v>100</v>
      </c>
      <c r="EG688" s="2" t="n">
        <v>0</v>
      </c>
      <c r="EH688" s="2" t="n">
        <v>100</v>
      </c>
      <c r="EI688" s="2" t="n">
        <v>100</v>
      </c>
      <c r="EJ688" s="2" t="n">
        <v>0</v>
      </c>
      <c r="EK688" s="2" t="n">
        <v>100</v>
      </c>
      <c r="EL688" s="2" t="n">
        <v>100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</row>
    <row r="689">
      <c r="A689" s="2" t="n">
        <v>3</v>
      </c>
      <c r="B689" s="2" t="inlineStr">
        <is>
          <t>30.05.01</t>
        </is>
      </c>
      <c r="C689" s="2" t="inlineStr">
        <is>
          <t>Porcelanatos</t>
        </is>
      </c>
      <c r="D689" s="2" t="inlineStr">
        <is>
          <t>24/08/2027</t>
        </is>
      </c>
      <c r="E689" s="2" t="inlineStr">
        <is>
          <t>15/09/2028</t>
        </is>
      </c>
      <c r="F689" s="2" t="n">
        <v>2021085.037302193</v>
      </c>
      <c r="G689" s="2" t="n">
        <v>0</v>
      </c>
      <c r="H689" s="2" t="n">
        <v>2021085.037302193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0.36</v>
      </c>
      <c r="CJ689" s="2" t="n">
        <v>2.15</v>
      </c>
      <c r="CK689" s="2" t="n">
        <v>0</v>
      </c>
      <c r="CL689" s="2" t="n">
        <v>8.050000000000001</v>
      </c>
      <c r="CM689" s="2" t="n">
        <v>9.880000000000001</v>
      </c>
      <c r="CN689" s="2" t="n">
        <v>0</v>
      </c>
      <c r="CO689" s="2" t="n">
        <v>16.11</v>
      </c>
      <c r="CP689" s="2" t="n">
        <v>17.97</v>
      </c>
      <c r="CQ689" s="2" t="n">
        <v>0</v>
      </c>
      <c r="CR689" s="2" t="n">
        <v>24.53</v>
      </c>
      <c r="CS689" s="2" t="n">
        <v>26.38</v>
      </c>
      <c r="CT689" s="2" t="n">
        <v>0</v>
      </c>
      <c r="CU689" s="2" t="n">
        <v>43.83</v>
      </c>
      <c r="CV689" s="2" t="n">
        <v>45.65</v>
      </c>
      <c r="CW689" s="2" t="n">
        <v>0</v>
      </c>
      <c r="CX689" s="2" t="n">
        <v>51.66</v>
      </c>
      <c r="CY689" s="2" t="n">
        <v>53.45</v>
      </c>
      <c r="CZ689" s="2" t="n">
        <v>0</v>
      </c>
      <c r="DA689" s="2" t="n">
        <v>59.4</v>
      </c>
      <c r="DB689" s="2" t="n">
        <v>61.19</v>
      </c>
      <c r="DC689" s="2" t="n">
        <v>0</v>
      </c>
      <c r="DD689" s="2" t="n">
        <v>69.06999999999999</v>
      </c>
      <c r="DE689" s="2" t="n">
        <v>70.86</v>
      </c>
      <c r="DF689" s="2" t="n">
        <v>0</v>
      </c>
      <c r="DG689" s="2" t="n">
        <v>75.51000000000001</v>
      </c>
      <c r="DH689" s="2" t="n">
        <v>77.31</v>
      </c>
      <c r="DI689" s="2" t="n">
        <v>0</v>
      </c>
      <c r="DJ689" s="2" t="n">
        <v>83.40000000000001</v>
      </c>
      <c r="DK689" s="2" t="n">
        <v>85.19</v>
      </c>
      <c r="DL689" s="2" t="n">
        <v>0</v>
      </c>
      <c r="DM689" s="2" t="n">
        <v>90.92</v>
      </c>
      <c r="DN689" s="2" t="n">
        <v>92.94</v>
      </c>
      <c r="DO689" s="2" t="n">
        <v>0</v>
      </c>
      <c r="DP689" s="2" t="n">
        <v>95.65000000000001</v>
      </c>
      <c r="DQ689" s="2" t="n">
        <v>96.78</v>
      </c>
      <c r="DR689" s="2" t="n">
        <v>0</v>
      </c>
      <c r="DS689" s="2" t="n">
        <v>96.78</v>
      </c>
      <c r="DT689" s="2" t="n">
        <v>96.78</v>
      </c>
      <c r="DU689" s="2" t="n">
        <v>0</v>
      </c>
      <c r="DV689" s="2" t="n">
        <v>100</v>
      </c>
      <c r="DW689" s="2" t="n">
        <v>100</v>
      </c>
      <c r="DX689" s="2" t="n">
        <v>0</v>
      </c>
      <c r="DY689" s="2" t="n">
        <v>100</v>
      </c>
      <c r="DZ689" s="2" t="n">
        <v>100</v>
      </c>
      <c r="EA689" s="2" t="n">
        <v>0</v>
      </c>
      <c r="EB689" s="2" t="n">
        <v>100</v>
      </c>
      <c r="EC689" s="2" t="n">
        <v>100</v>
      </c>
      <c r="ED689" s="2" t="n">
        <v>0</v>
      </c>
      <c r="EE689" s="2" t="n">
        <v>100</v>
      </c>
      <c r="EF689" s="2" t="n">
        <v>100</v>
      </c>
      <c r="EG689" s="2" t="n">
        <v>0</v>
      </c>
      <c r="EH689" s="2" t="n">
        <v>100</v>
      </c>
      <c r="EI689" s="2" t="n">
        <v>100</v>
      </c>
      <c r="EJ689" s="2" t="n">
        <v>0</v>
      </c>
      <c r="EK689" s="2" t="n">
        <v>100</v>
      </c>
      <c r="EL689" s="2" t="n">
        <v>100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</row>
    <row r="690">
      <c r="A690" s="2" t="n">
        <v>4</v>
      </c>
      <c r="B690" s="2" t="inlineStr">
        <is>
          <t>30.05.01.01</t>
        </is>
      </c>
      <c r="C690" s="2" t="inlineStr">
        <is>
          <t>Revestimento Porcelanato, 60x120cm, com acabamento acetinado. Ref.: Eliane, Khali OffWhite AC, assentado com argamassa colante em pó ACIII</t>
        </is>
      </c>
      <c r="D690" s="2" t="inlineStr">
        <is>
          <t>24/08/2027</t>
        </is>
      </c>
      <c r="E690" s="2" t="inlineStr">
        <is>
          <t>15/09/2028</t>
        </is>
      </c>
      <c r="F690" s="2" t="n">
        <v>601418.3067337605</v>
      </c>
      <c r="G690" s="2" t="n">
        <v>0</v>
      </c>
      <c r="H690" s="2" t="n">
        <v>601418.3067337605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0.36</v>
      </c>
      <c r="CJ690" s="2" t="n">
        <v>2.15</v>
      </c>
      <c r="CK690" s="2" t="n">
        <v>0</v>
      </c>
      <c r="CL690" s="2" t="n">
        <v>8.050000000000001</v>
      </c>
      <c r="CM690" s="2" t="n">
        <v>9.880000000000001</v>
      </c>
      <c r="CN690" s="2" t="n">
        <v>0</v>
      </c>
      <c r="CO690" s="2" t="n">
        <v>16.11</v>
      </c>
      <c r="CP690" s="2" t="n">
        <v>17.97</v>
      </c>
      <c r="CQ690" s="2" t="n">
        <v>0</v>
      </c>
      <c r="CR690" s="2" t="n">
        <v>24.53</v>
      </c>
      <c r="CS690" s="2" t="n">
        <v>26.38</v>
      </c>
      <c r="CT690" s="2" t="n">
        <v>0</v>
      </c>
      <c r="CU690" s="2" t="n">
        <v>43.83</v>
      </c>
      <c r="CV690" s="2" t="n">
        <v>45.65</v>
      </c>
      <c r="CW690" s="2" t="n">
        <v>0</v>
      </c>
      <c r="CX690" s="2" t="n">
        <v>51.66</v>
      </c>
      <c r="CY690" s="2" t="n">
        <v>53.45</v>
      </c>
      <c r="CZ690" s="2" t="n">
        <v>0</v>
      </c>
      <c r="DA690" s="2" t="n">
        <v>59.4</v>
      </c>
      <c r="DB690" s="2" t="n">
        <v>61.19</v>
      </c>
      <c r="DC690" s="2" t="n">
        <v>0</v>
      </c>
      <c r="DD690" s="2" t="n">
        <v>69.06999999999999</v>
      </c>
      <c r="DE690" s="2" t="n">
        <v>70.86</v>
      </c>
      <c r="DF690" s="2" t="n">
        <v>0</v>
      </c>
      <c r="DG690" s="2" t="n">
        <v>75.51000000000001</v>
      </c>
      <c r="DH690" s="2" t="n">
        <v>77.31</v>
      </c>
      <c r="DI690" s="2" t="n">
        <v>0</v>
      </c>
      <c r="DJ690" s="2" t="n">
        <v>83.40000000000001</v>
      </c>
      <c r="DK690" s="2" t="n">
        <v>85.19</v>
      </c>
      <c r="DL690" s="2" t="n">
        <v>0</v>
      </c>
      <c r="DM690" s="2" t="n">
        <v>90.92</v>
      </c>
      <c r="DN690" s="2" t="n">
        <v>92.94</v>
      </c>
      <c r="DO690" s="2" t="n">
        <v>0</v>
      </c>
      <c r="DP690" s="2" t="n">
        <v>95.65000000000001</v>
      </c>
      <c r="DQ690" s="2" t="n">
        <v>96.78</v>
      </c>
      <c r="DR690" s="2" t="n">
        <v>0</v>
      </c>
      <c r="DS690" s="2" t="n">
        <v>96.78</v>
      </c>
      <c r="DT690" s="2" t="n">
        <v>96.78</v>
      </c>
      <c r="DU690" s="2" t="n">
        <v>0</v>
      </c>
      <c r="DV690" s="2" t="n">
        <v>100</v>
      </c>
      <c r="DW690" s="2" t="n">
        <v>100</v>
      </c>
      <c r="DX690" s="2" t="n">
        <v>0</v>
      </c>
      <c r="DY690" s="2" t="n">
        <v>100</v>
      </c>
      <c r="DZ690" s="2" t="n">
        <v>100</v>
      </c>
      <c r="EA690" s="2" t="n">
        <v>0</v>
      </c>
      <c r="EB690" s="2" t="n">
        <v>100</v>
      </c>
      <c r="EC690" s="2" t="n">
        <v>100</v>
      </c>
      <c r="ED690" s="2" t="n">
        <v>0</v>
      </c>
      <c r="EE690" s="2" t="n">
        <v>100</v>
      </c>
      <c r="EF690" s="2" t="n">
        <v>100</v>
      </c>
      <c r="EG690" s="2" t="n">
        <v>0</v>
      </c>
      <c r="EH690" s="2" t="n">
        <v>100</v>
      </c>
      <c r="EI690" s="2" t="n">
        <v>100</v>
      </c>
      <c r="EJ690" s="2" t="n">
        <v>0</v>
      </c>
      <c r="EK690" s="2" t="n">
        <v>100</v>
      </c>
      <c r="EL690" s="2" t="n">
        <v>100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</row>
    <row r="691">
      <c r="A691" s="2" t="n">
        <v>4</v>
      </c>
      <c r="B691" s="2" t="inlineStr">
        <is>
          <t>30.05.01.02</t>
        </is>
      </c>
      <c r="C691" s="2" t="inlineStr">
        <is>
          <t>Drywall - Revestimento Porcelanato, 60x120cm, com acabamento acetinado. Ref.: Eliane, Khali OffWhite AC, assentado com argamassa colante em pó ACIII</t>
        </is>
      </c>
      <c r="D691" s="2" t="inlineStr">
        <is>
          <t>24/08/2027</t>
        </is>
      </c>
      <c r="E691" s="2" t="inlineStr">
        <is>
          <t>15/09/2028</t>
        </is>
      </c>
      <c r="F691" s="2" t="n">
        <v>948996.6815525878</v>
      </c>
      <c r="G691" s="2" t="n">
        <v>0</v>
      </c>
      <c r="H691" s="2" t="n">
        <v>948996.6815525878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0.36</v>
      </c>
      <c r="CJ691" s="2" t="n">
        <v>2.15</v>
      </c>
      <c r="CK691" s="2" t="n">
        <v>0</v>
      </c>
      <c r="CL691" s="2" t="n">
        <v>8.050000000000001</v>
      </c>
      <c r="CM691" s="2" t="n">
        <v>9.880000000000001</v>
      </c>
      <c r="CN691" s="2" t="n">
        <v>0</v>
      </c>
      <c r="CO691" s="2" t="n">
        <v>16.11</v>
      </c>
      <c r="CP691" s="2" t="n">
        <v>17.97</v>
      </c>
      <c r="CQ691" s="2" t="n">
        <v>0</v>
      </c>
      <c r="CR691" s="2" t="n">
        <v>24.53</v>
      </c>
      <c r="CS691" s="2" t="n">
        <v>26.38</v>
      </c>
      <c r="CT691" s="2" t="n">
        <v>0</v>
      </c>
      <c r="CU691" s="2" t="n">
        <v>43.83</v>
      </c>
      <c r="CV691" s="2" t="n">
        <v>45.65</v>
      </c>
      <c r="CW691" s="2" t="n">
        <v>0</v>
      </c>
      <c r="CX691" s="2" t="n">
        <v>51.66</v>
      </c>
      <c r="CY691" s="2" t="n">
        <v>53.45</v>
      </c>
      <c r="CZ691" s="2" t="n">
        <v>0</v>
      </c>
      <c r="DA691" s="2" t="n">
        <v>59.4</v>
      </c>
      <c r="DB691" s="2" t="n">
        <v>61.19</v>
      </c>
      <c r="DC691" s="2" t="n">
        <v>0</v>
      </c>
      <c r="DD691" s="2" t="n">
        <v>69.06999999999999</v>
      </c>
      <c r="DE691" s="2" t="n">
        <v>70.86</v>
      </c>
      <c r="DF691" s="2" t="n">
        <v>0</v>
      </c>
      <c r="DG691" s="2" t="n">
        <v>75.51000000000001</v>
      </c>
      <c r="DH691" s="2" t="n">
        <v>77.31</v>
      </c>
      <c r="DI691" s="2" t="n">
        <v>0</v>
      </c>
      <c r="DJ691" s="2" t="n">
        <v>83.40000000000001</v>
      </c>
      <c r="DK691" s="2" t="n">
        <v>85.19</v>
      </c>
      <c r="DL691" s="2" t="n">
        <v>0</v>
      </c>
      <c r="DM691" s="2" t="n">
        <v>90.92</v>
      </c>
      <c r="DN691" s="2" t="n">
        <v>92.94</v>
      </c>
      <c r="DO691" s="2" t="n">
        <v>0</v>
      </c>
      <c r="DP691" s="2" t="n">
        <v>95.65000000000001</v>
      </c>
      <c r="DQ691" s="2" t="n">
        <v>96.78</v>
      </c>
      <c r="DR691" s="2" t="n">
        <v>0</v>
      </c>
      <c r="DS691" s="2" t="n">
        <v>96.78</v>
      </c>
      <c r="DT691" s="2" t="n">
        <v>96.78</v>
      </c>
      <c r="DU691" s="2" t="n">
        <v>0</v>
      </c>
      <c r="DV691" s="2" t="n">
        <v>100</v>
      </c>
      <c r="DW691" s="2" t="n">
        <v>100</v>
      </c>
      <c r="DX691" s="2" t="n">
        <v>0</v>
      </c>
      <c r="DY691" s="2" t="n">
        <v>100</v>
      </c>
      <c r="DZ691" s="2" t="n">
        <v>100</v>
      </c>
      <c r="EA691" s="2" t="n">
        <v>0</v>
      </c>
      <c r="EB691" s="2" t="n">
        <v>100</v>
      </c>
      <c r="EC691" s="2" t="n">
        <v>100</v>
      </c>
      <c r="ED691" s="2" t="n">
        <v>0</v>
      </c>
      <c r="EE691" s="2" t="n">
        <v>100</v>
      </c>
      <c r="EF691" s="2" t="n">
        <v>100</v>
      </c>
      <c r="EG691" s="2" t="n">
        <v>0</v>
      </c>
      <c r="EH691" s="2" t="n">
        <v>100</v>
      </c>
      <c r="EI691" s="2" t="n">
        <v>100</v>
      </c>
      <c r="EJ691" s="2" t="n">
        <v>0</v>
      </c>
      <c r="EK691" s="2" t="n">
        <v>100</v>
      </c>
      <c r="EL691" s="2" t="n">
        <v>100</v>
      </c>
      <c r="EM691" s="2" t="n">
        <v>0</v>
      </c>
      <c r="EN691" s="2" t="n">
        <v>100</v>
      </c>
      <c r="EO691" s="2" t="n">
        <v>100</v>
      </c>
      <c r="EP691" s="2" t="n">
        <v>0</v>
      </c>
      <c r="EQ691" s="2" t="n">
        <v>100</v>
      </c>
      <c r="ER691" s="2" t="n">
        <v>100</v>
      </c>
      <c r="ES691" s="2" t="n">
        <v>0</v>
      </c>
    </row>
    <row r="692">
      <c r="A692" s="2" t="n">
        <v>4</v>
      </c>
      <c r="B692" s="2" t="inlineStr">
        <is>
          <t>30.05.01.03</t>
        </is>
      </c>
      <c r="C692" s="2" t="inlineStr">
        <is>
          <t>Revestimento Porcelanato branco, 32,5x59cm, com acabamento acetinado. Ref.: Eliane, Forma Branco AC RET assentado com argamassa colante em pó ACIII</t>
        </is>
      </c>
      <c r="D692" s="2" t="inlineStr">
        <is>
          <t>24/08/2027</t>
        </is>
      </c>
      <c r="E692" s="2" t="inlineStr">
        <is>
          <t>15/09/2028</t>
        </is>
      </c>
      <c r="F692" s="2" t="n">
        <v>134089.146114497</v>
      </c>
      <c r="G692" s="2" t="n">
        <v>0</v>
      </c>
      <c r="H692" s="2" t="n">
        <v>134089.146114497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0.36</v>
      </c>
      <c r="CJ692" s="2" t="n">
        <v>2.15</v>
      </c>
      <c r="CK692" s="2" t="n">
        <v>0</v>
      </c>
      <c r="CL692" s="2" t="n">
        <v>8.050000000000001</v>
      </c>
      <c r="CM692" s="2" t="n">
        <v>9.880000000000001</v>
      </c>
      <c r="CN692" s="2" t="n">
        <v>0</v>
      </c>
      <c r="CO692" s="2" t="n">
        <v>16.11</v>
      </c>
      <c r="CP692" s="2" t="n">
        <v>17.97</v>
      </c>
      <c r="CQ692" s="2" t="n">
        <v>0</v>
      </c>
      <c r="CR692" s="2" t="n">
        <v>24.53</v>
      </c>
      <c r="CS692" s="2" t="n">
        <v>26.38</v>
      </c>
      <c r="CT692" s="2" t="n">
        <v>0</v>
      </c>
      <c r="CU692" s="2" t="n">
        <v>43.83</v>
      </c>
      <c r="CV692" s="2" t="n">
        <v>45.65</v>
      </c>
      <c r="CW692" s="2" t="n">
        <v>0</v>
      </c>
      <c r="CX692" s="2" t="n">
        <v>51.66</v>
      </c>
      <c r="CY692" s="2" t="n">
        <v>53.45</v>
      </c>
      <c r="CZ692" s="2" t="n">
        <v>0</v>
      </c>
      <c r="DA692" s="2" t="n">
        <v>59.4</v>
      </c>
      <c r="DB692" s="2" t="n">
        <v>61.19</v>
      </c>
      <c r="DC692" s="2" t="n">
        <v>0</v>
      </c>
      <c r="DD692" s="2" t="n">
        <v>69.06999999999999</v>
      </c>
      <c r="DE692" s="2" t="n">
        <v>70.86</v>
      </c>
      <c r="DF692" s="2" t="n">
        <v>0</v>
      </c>
      <c r="DG692" s="2" t="n">
        <v>75.51000000000001</v>
      </c>
      <c r="DH692" s="2" t="n">
        <v>77.31</v>
      </c>
      <c r="DI692" s="2" t="n">
        <v>0</v>
      </c>
      <c r="DJ692" s="2" t="n">
        <v>83.40000000000001</v>
      </c>
      <c r="DK692" s="2" t="n">
        <v>85.19</v>
      </c>
      <c r="DL692" s="2" t="n">
        <v>0</v>
      </c>
      <c r="DM692" s="2" t="n">
        <v>90.92</v>
      </c>
      <c r="DN692" s="2" t="n">
        <v>92.94</v>
      </c>
      <c r="DO692" s="2" t="n">
        <v>0</v>
      </c>
      <c r="DP692" s="2" t="n">
        <v>95.65000000000001</v>
      </c>
      <c r="DQ692" s="2" t="n">
        <v>96.78</v>
      </c>
      <c r="DR692" s="2" t="n">
        <v>0</v>
      </c>
      <c r="DS692" s="2" t="n">
        <v>96.78</v>
      </c>
      <c r="DT692" s="2" t="n">
        <v>96.78</v>
      </c>
      <c r="DU692" s="2" t="n">
        <v>0</v>
      </c>
      <c r="DV692" s="2" t="n">
        <v>100</v>
      </c>
      <c r="DW692" s="2" t="n">
        <v>100</v>
      </c>
      <c r="DX692" s="2" t="n">
        <v>0</v>
      </c>
      <c r="DY692" s="2" t="n">
        <v>100</v>
      </c>
      <c r="DZ692" s="2" t="n">
        <v>100</v>
      </c>
      <c r="EA692" s="2" t="n">
        <v>0</v>
      </c>
      <c r="EB692" s="2" t="n">
        <v>100</v>
      </c>
      <c r="EC692" s="2" t="n">
        <v>100</v>
      </c>
      <c r="ED692" s="2" t="n">
        <v>0</v>
      </c>
      <c r="EE692" s="2" t="n">
        <v>100</v>
      </c>
      <c r="EF692" s="2" t="n">
        <v>100</v>
      </c>
      <c r="EG692" s="2" t="n">
        <v>0</v>
      </c>
      <c r="EH692" s="2" t="n">
        <v>100</v>
      </c>
      <c r="EI692" s="2" t="n">
        <v>100</v>
      </c>
      <c r="EJ692" s="2" t="n">
        <v>0</v>
      </c>
      <c r="EK692" s="2" t="n">
        <v>100</v>
      </c>
      <c r="EL692" s="2" t="n">
        <v>100</v>
      </c>
      <c r="EM692" s="2" t="n">
        <v>0</v>
      </c>
      <c r="EN692" s="2" t="n">
        <v>100</v>
      </c>
      <c r="EO692" s="2" t="n">
        <v>100</v>
      </c>
      <c r="EP692" s="2" t="n">
        <v>0</v>
      </c>
      <c r="EQ692" s="2" t="n">
        <v>100</v>
      </c>
      <c r="ER692" s="2" t="n">
        <v>100</v>
      </c>
      <c r="ES692" s="2" t="n">
        <v>0</v>
      </c>
    </row>
    <row r="693">
      <c r="A693" s="2" t="n">
        <v>4</v>
      </c>
      <c r="B693" s="2" t="inlineStr">
        <is>
          <t>30.05.01.04</t>
        </is>
      </c>
      <c r="C693" s="2" t="inlineStr">
        <is>
          <t>Drywall - Revestimento Porcelanato branco, 32,5x59cm, com acabamento acetinado. Ref.: Eliane, Forma Branco AC RET assentado com argamassa colante em pó ACIII</t>
        </is>
      </c>
      <c r="D693" s="2" t="inlineStr">
        <is>
          <t>24/08/2027</t>
        </is>
      </c>
      <c r="E693" s="2" t="inlineStr">
        <is>
          <t>15/09/2028</t>
        </is>
      </c>
      <c r="F693" s="2" t="n">
        <v>222574.0053163433</v>
      </c>
      <c r="G693" s="2" t="n">
        <v>0</v>
      </c>
      <c r="H693" s="2" t="n">
        <v>222574.0053163433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0.36</v>
      </c>
      <c r="CJ693" s="2" t="n">
        <v>2.15</v>
      </c>
      <c r="CK693" s="2" t="n">
        <v>0</v>
      </c>
      <c r="CL693" s="2" t="n">
        <v>8.050000000000001</v>
      </c>
      <c r="CM693" s="2" t="n">
        <v>9.880000000000001</v>
      </c>
      <c r="CN693" s="2" t="n">
        <v>0</v>
      </c>
      <c r="CO693" s="2" t="n">
        <v>16.11</v>
      </c>
      <c r="CP693" s="2" t="n">
        <v>17.97</v>
      </c>
      <c r="CQ693" s="2" t="n">
        <v>0</v>
      </c>
      <c r="CR693" s="2" t="n">
        <v>24.53</v>
      </c>
      <c r="CS693" s="2" t="n">
        <v>26.38</v>
      </c>
      <c r="CT693" s="2" t="n">
        <v>0</v>
      </c>
      <c r="CU693" s="2" t="n">
        <v>43.83</v>
      </c>
      <c r="CV693" s="2" t="n">
        <v>45.65</v>
      </c>
      <c r="CW693" s="2" t="n">
        <v>0</v>
      </c>
      <c r="CX693" s="2" t="n">
        <v>51.66</v>
      </c>
      <c r="CY693" s="2" t="n">
        <v>53.45</v>
      </c>
      <c r="CZ693" s="2" t="n">
        <v>0</v>
      </c>
      <c r="DA693" s="2" t="n">
        <v>59.4</v>
      </c>
      <c r="DB693" s="2" t="n">
        <v>61.19</v>
      </c>
      <c r="DC693" s="2" t="n">
        <v>0</v>
      </c>
      <c r="DD693" s="2" t="n">
        <v>69.06999999999999</v>
      </c>
      <c r="DE693" s="2" t="n">
        <v>70.86</v>
      </c>
      <c r="DF693" s="2" t="n">
        <v>0</v>
      </c>
      <c r="DG693" s="2" t="n">
        <v>75.51000000000001</v>
      </c>
      <c r="DH693" s="2" t="n">
        <v>77.31</v>
      </c>
      <c r="DI693" s="2" t="n">
        <v>0</v>
      </c>
      <c r="DJ693" s="2" t="n">
        <v>83.40000000000001</v>
      </c>
      <c r="DK693" s="2" t="n">
        <v>85.19</v>
      </c>
      <c r="DL693" s="2" t="n">
        <v>0</v>
      </c>
      <c r="DM693" s="2" t="n">
        <v>90.92</v>
      </c>
      <c r="DN693" s="2" t="n">
        <v>92.94</v>
      </c>
      <c r="DO693" s="2" t="n">
        <v>0</v>
      </c>
      <c r="DP693" s="2" t="n">
        <v>95.65000000000001</v>
      </c>
      <c r="DQ693" s="2" t="n">
        <v>96.78</v>
      </c>
      <c r="DR693" s="2" t="n">
        <v>0</v>
      </c>
      <c r="DS693" s="2" t="n">
        <v>96.78</v>
      </c>
      <c r="DT693" s="2" t="n">
        <v>96.78</v>
      </c>
      <c r="DU693" s="2" t="n">
        <v>0</v>
      </c>
      <c r="DV693" s="2" t="n">
        <v>100</v>
      </c>
      <c r="DW693" s="2" t="n">
        <v>100</v>
      </c>
      <c r="DX693" s="2" t="n">
        <v>0</v>
      </c>
      <c r="DY693" s="2" t="n">
        <v>100</v>
      </c>
      <c r="DZ693" s="2" t="n">
        <v>100</v>
      </c>
      <c r="EA693" s="2" t="n">
        <v>0</v>
      </c>
      <c r="EB693" s="2" t="n">
        <v>100</v>
      </c>
      <c r="EC693" s="2" t="n">
        <v>100</v>
      </c>
      <c r="ED693" s="2" t="n">
        <v>0</v>
      </c>
      <c r="EE693" s="2" t="n">
        <v>100</v>
      </c>
      <c r="EF693" s="2" t="n">
        <v>100</v>
      </c>
      <c r="EG693" s="2" t="n">
        <v>0</v>
      </c>
      <c r="EH693" s="2" t="n">
        <v>100</v>
      </c>
      <c r="EI693" s="2" t="n">
        <v>100</v>
      </c>
      <c r="EJ693" s="2" t="n">
        <v>0</v>
      </c>
      <c r="EK693" s="2" t="n">
        <v>100</v>
      </c>
      <c r="EL693" s="2" t="n">
        <v>100</v>
      </c>
      <c r="EM693" s="2" t="n">
        <v>0</v>
      </c>
      <c r="EN693" s="2" t="n">
        <v>100</v>
      </c>
      <c r="EO693" s="2" t="n">
        <v>100</v>
      </c>
      <c r="EP693" s="2" t="n">
        <v>0</v>
      </c>
      <c r="EQ693" s="2" t="n">
        <v>100</v>
      </c>
      <c r="ER693" s="2" t="n">
        <v>100</v>
      </c>
      <c r="ES693" s="2" t="n">
        <v>0</v>
      </c>
    </row>
    <row r="694">
      <c r="A694" s="2" t="n">
        <v>4</v>
      </c>
      <c r="B694" s="2" t="inlineStr">
        <is>
          <t>30.05.01.05</t>
        </is>
      </c>
      <c r="C694" s="2" t="inlineStr">
        <is>
          <t>Revestimento Porcelanato 60x60cm, com acabamento acetinado. Paginação conforme detalhamento. Ref.: Eliane, Munari Branco AC,  assentado com argamassa colante em pó ACIII</t>
        </is>
      </c>
      <c r="D694" s="2" t="inlineStr">
        <is>
          <t>24/08/2027</t>
        </is>
      </c>
      <c r="E694" s="2" t="inlineStr">
        <is>
          <t>15/09/2028</t>
        </is>
      </c>
      <c r="F694" s="2" t="n">
        <v>21032.70640128</v>
      </c>
      <c r="G694" s="2" t="n">
        <v>0</v>
      </c>
      <c r="H694" s="2" t="n">
        <v>21032.70640128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0.36</v>
      </c>
      <c r="CJ694" s="2" t="n">
        <v>2.15</v>
      </c>
      <c r="CK694" s="2" t="n">
        <v>0</v>
      </c>
      <c r="CL694" s="2" t="n">
        <v>8.050000000000001</v>
      </c>
      <c r="CM694" s="2" t="n">
        <v>9.880000000000001</v>
      </c>
      <c r="CN694" s="2" t="n">
        <v>0</v>
      </c>
      <c r="CO694" s="2" t="n">
        <v>16.11</v>
      </c>
      <c r="CP694" s="2" t="n">
        <v>17.97</v>
      </c>
      <c r="CQ694" s="2" t="n">
        <v>0</v>
      </c>
      <c r="CR694" s="2" t="n">
        <v>24.53</v>
      </c>
      <c r="CS694" s="2" t="n">
        <v>26.38</v>
      </c>
      <c r="CT694" s="2" t="n">
        <v>0</v>
      </c>
      <c r="CU694" s="2" t="n">
        <v>43.83</v>
      </c>
      <c r="CV694" s="2" t="n">
        <v>45.65</v>
      </c>
      <c r="CW694" s="2" t="n">
        <v>0</v>
      </c>
      <c r="CX694" s="2" t="n">
        <v>51.66</v>
      </c>
      <c r="CY694" s="2" t="n">
        <v>53.45</v>
      </c>
      <c r="CZ694" s="2" t="n">
        <v>0</v>
      </c>
      <c r="DA694" s="2" t="n">
        <v>59.4</v>
      </c>
      <c r="DB694" s="2" t="n">
        <v>61.19</v>
      </c>
      <c r="DC694" s="2" t="n">
        <v>0</v>
      </c>
      <c r="DD694" s="2" t="n">
        <v>69.06999999999999</v>
      </c>
      <c r="DE694" s="2" t="n">
        <v>70.86</v>
      </c>
      <c r="DF694" s="2" t="n">
        <v>0</v>
      </c>
      <c r="DG694" s="2" t="n">
        <v>75.51000000000001</v>
      </c>
      <c r="DH694" s="2" t="n">
        <v>77.31</v>
      </c>
      <c r="DI694" s="2" t="n">
        <v>0</v>
      </c>
      <c r="DJ694" s="2" t="n">
        <v>83.40000000000001</v>
      </c>
      <c r="DK694" s="2" t="n">
        <v>85.19</v>
      </c>
      <c r="DL694" s="2" t="n">
        <v>0</v>
      </c>
      <c r="DM694" s="2" t="n">
        <v>90.92</v>
      </c>
      <c r="DN694" s="2" t="n">
        <v>92.94</v>
      </c>
      <c r="DO694" s="2" t="n">
        <v>0</v>
      </c>
      <c r="DP694" s="2" t="n">
        <v>95.65000000000001</v>
      </c>
      <c r="DQ694" s="2" t="n">
        <v>96.78</v>
      </c>
      <c r="DR694" s="2" t="n">
        <v>0</v>
      </c>
      <c r="DS694" s="2" t="n">
        <v>96.78</v>
      </c>
      <c r="DT694" s="2" t="n">
        <v>96.78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</row>
    <row r="695">
      <c r="A695" s="2" t="n">
        <v>4</v>
      </c>
      <c r="B695" s="2" t="inlineStr">
        <is>
          <t>30.05.01.06</t>
        </is>
      </c>
      <c r="C695" s="2" t="inlineStr">
        <is>
          <t>Revestimento Porcelanato Eliane Munari Branco AC 90x90cm assentado com argamassa colante em pó ACIII</t>
        </is>
      </c>
      <c r="D695" s="2" t="inlineStr">
        <is>
          <t>24/08/2027</t>
        </is>
      </c>
      <c r="E695" s="2" t="inlineStr">
        <is>
          <t>15/09/2028</t>
        </is>
      </c>
      <c r="F695" s="2" t="n">
        <v>9412.688907834883</v>
      </c>
      <c r="G695" s="2" t="n">
        <v>0</v>
      </c>
      <c r="H695" s="2" t="n">
        <v>9412.688907834883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0.36</v>
      </c>
      <c r="CJ695" s="2" t="n">
        <v>2.15</v>
      </c>
      <c r="CK695" s="2" t="n">
        <v>0</v>
      </c>
      <c r="CL695" s="2" t="n">
        <v>8.050000000000001</v>
      </c>
      <c r="CM695" s="2" t="n">
        <v>9.880000000000001</v>
      </c>
      <c r="CN695" s="2" t="n">
        <v>0</v>
      </c>
      <c r="CO695" s="2" t="n">
        <v>16.11</v>
      </c>
      <c r="CP695" s="2" t="n">
        <v>17.97</v>
      </c>
      <c r="CQ695" s="2" t="n">
        <v>0</v>
      </c>
      <c r="CR695" s="2" t="n">
        <v>24.53</v>
      </c>
      <c r="CS695" s="2" t="n">
        <v>26.38</v>
      </c>
      <c r="CT695" s="2" t="n">
        <v>0</v>
      </c>
      <c r="CU695" s="2" t="n">
        <v>43.83</v>
      </c>
      <c r="CV695" s="2" t="n">
        <v>45.65</v>
      </c>
      <c r="CW695" s="2" t="n">
        <v>0</v>
      </c>
      <c r="CX695" s="2" t="n">
        <v>51.66</v>
      </c>
      <c r="CY695" s="2" t="n">
        <v>53.45</v>
      </c>
      <c r="CZ695" s="2" t="n">
        <v>0</v>
      </c>
      <c r="DA695" s="2" t="n">
        <v>59.4</v>
      </c>
      <c r="DB695" s="2" t="n">
        <v>61.19</v>
      </c>
      <c r="DC695" s="2" t="n">
        <v>0</v>
      </c>
      <c r="DD695" s="2" t="n">
        <v>69.06999999999999</v>
      </c>
      <c r="DE695" s="2" t="n">
        <v>70.86</v>
      </c>
      <c r="DF695" s="2" t="n">
        <v>0</v>
      </c>
      <c r="DG695" s="2" t="n">
        <v>75.51000000000001</v>
      </c>
      <c r="DH695" s="2" t="n">
        <v>77.31</v>
      </c>
      <c r="DI695" s="2" t="n">
        <v>0</v>
      </c>
      <c r="DJ695" s="2" t="n">
        <v>83.40000000000001</v>
      </c>
      <c r="DK695" s="2" t="n">
        <v>85.19</v>
      </c>
      <c r="DL695" s="2" t="n">
        <v>0</v>
      </c>
      <c r="DM695" s="2" t="n">
        <v>90.92</v>
      </c>
      <c r="DN695" s="2" t="n">
        <v>92.94</v>
      </c>
      <c r="DO695" s="2" t="n">
        <v>0</v>
      </c>
      <c r="DP695" s="2" t="n">
        <v>95.65000000000001</v>
      </c>
      <c r="DQ695" s="2" t="n">
        <v>96.78</v>
      </c>
      <c r="DR695" s="2" t="n">
        <v>0</v>
      </c>
      <c r="DS695" s="2" t="n">
        <v>96.78</v>
      </c>
      <c r="DT695" s="2" t="n">
        <v>96.78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</row>
    <row r="696">
      <c r="A696" s="2" t="n">
        <v>4</v>
      </c>
      <c r="B696" s="2" t="inlineStr">
        <is>
          <t>30.05.01.07</t>
        </is>
      </c>
      <c r="C696" s="2" t="inlineStr">
        <is>
          <t>Revestimento Porcelanato FGMF Silica Corda MA 120x120cm assentado com argamassa colante em pó ACIII</t>
        </is>
      </c>
      <c r="D696" s="2" t="inlineStr">
        <is>
          <t>24/08/2027</t>
        </is>
      </c>
      <c r="E696" s="2" t="inlineStr">
        <is>
          <t>15/09/2028</t>
        </is>
      </c>
      <c r="F696" s="2" t="n">
        <v>72683.08640067904</v>
      </c>
      <c r="G696" s="2" t="n">
        <v>0</v>
      </c>
      <c r="H696" s="2" t="n">
        <v>72683.08640067904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0.36</v>
      </c>
      <c r="CJ696" s="2" t="n">
        <v>2.15</v>
      </c>
      <c r="CK696" s="2" t="n">
        <v>0</v>
      </c>
      <c r="CL696" s="2" t="n">
        <v>8.050000000000001</v>
      </c>
      <c r="CM696" s="2" t="n">
        <v>9.880000000000001</v>
      </c>
      <c r="CN696" s="2" t="n">
        <v>0</v>
      </c>
      <c r="CO696" s="2" t="n">
        <v>16.11</v>
      </c>
      <c r="CP696" s="2" t="n">
        <v>17.97</v>
      </c>
      <c r="CQ696" s="2" t="n">
        <v>0</v>
      </c>
      <c r="CR696" s="2" t="n">
        <v>24.53</v>
      </c>
      <c r="CS696" s="2" t="n">
        <v>26.38</v>
      </c>
      <c r="CT696" s="2" t="n">
        <v>0</v>
      </c>
      <c r="CU696" s="2" t="n">
        <v>43.83</v>
      </c>
      <c r="CV696" s="2" t="n">
        <v>45.65</v>
      </c>
      <c r="CW696" s="2" t="n">
        <v>0</v>
      </c>
      <c r="CX696" s="2" t="n">
        <v>51.66</v>
      </c>
      <c r="CY696" s="2" t="n">
        <v>53.45</v>
      </c>
      <c r="CZ696" s="2" t="n">
        <v>0</v>
      </c>
      <c r="DA696" s="2" t="n">
        <v>59.4</v>
      </c>
      <c r="DB696" s="2" t="n">
        <v>61.19</v>
      </c>
      <c r="DC696" s="2" t="n">
        <v>0</v>
      </c>
      <c r="DD696" s="2" t="n">
        <v>69.06999999999999</v>
      </c>
      <c r="DE696" s="2" t="n">
        <v>70.86</v>
      </c>
      <c r="DF696" s="2" t="n">
        <v>0</v>
      </c>
      <c r="DG696" s="2" t="n">
        <v>75.51000000000001</v>
      </c>
      <c r="DH696" s="2" t="n">
        <v>77.31</v>
      </c>
      <c r="DI696" s="2" t="n">
        <v>0</v>
      </c>
      <c r="DJ696" s="2" t="n">
        <v>83.40000000000001</v>
      </c>
      <c r="DK696" s="2" t="n">
        <v>85.19</v>
      </c>
      <c r="DL696" s="2" t="n">
        <v>0</v>
      </c>
      <c r="DM696" s="2" t="n">
        <v>90.92</v>
      </c>
      <c r="DN696" s="2" t="n">
        <v>92.94</v>
      </c>
      <c r="DO696" s="2" t="n">
        <v>0</v>
      </c>
      <c r="DP696" s="2" t="n">
        <v>95.65000000000001</v>
      </c>
      <c r="DQ696" s="2" t="n">
        <v>96.78</v>
      </c>
      <c r="DR696" s="2" t="n">
        <v>0</v>
      </c>
      <c r="DS696" s="2" t="n">
        <v>96.78</v>
      </c>
      <c r="DT696" s="2" t="n">
        <v>96.78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</row>
    <row r="697">
      <c r="A697" s="2" t="n">
        <v>4</v>
      </c>
      <c r="B697" s="2" t="inlineStr">
        <is>
          <t>30.05.01.08</t>
        </is>
      </c>
      <c r="C697" s="2" t="inlineStr">
        <is>
          <t>Revestimento Porcelanato Eliane Khali Off White AC 120x120cm assentado com argamassa colante em pó ACIII</t>
        </is>
      </c>
      <c r="D697" s="2" t="inlineStr">
        <is>
          <t>24/08/2027</t>
        </is>
      </c>
      <c r="E697" s="2" t="inlineStr">
        <is>
          <t>15/09/2028</t>
        </is>
      </c>
      <c r="F697" s="2" t="n">
        <v>10878.41587521086</v>
      </c>
      <c r="G697" s="2" t="n">
        <v>0</v>
      </c>
      <c r="H697" s="2" t="n">
        <v>10878.41587521086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0.36</v>
      </c>
      <c r="CJ697" s="2" t="n">
        <v>2.15</v>
      </c>
      <c r="CK697" s="2" t="n">
        <v>0</v>
      </c>
      <c r="CL697" s="2" t="n">
        <v>8.050000000000001</v>
      </c>
      <c r="CM697" s="2" t="n">
        <v>9.880000000000001</v>
      </c>
      <c r="CN697" s="2" t="n">
        <v>0</v>
      </c>
      <c r="CO697" s="2" t="n">
        <v>16.11</v>
      </c>
      <c r="CP697" s="2" t="n">
        <v>17.97</v>
      </c>
      <c r="CQ697" s="2" t="n">
        <v>0</v>
      </c>
      <c r="CR697" s="2" t="n">
        <v>24.53</v>
      </c>
      <c r="CS697" s="2" t="n">
        <v>26.38</v>
      </c>
      <c r="CT697" s="2" t="n">
        <v>0</v>
      </c>
      <c r="CU697" s="2" t="n">
        <v>43.83</v>
      </c>
      <c r="CV697" s="2" t="n">
        <v>45.65</v>
      </c>
      <c r="CW697" s="2" t="n">
        <v>0</v>
      </c>
      <c r="CX697" s="2" t="n">
        <v>51.66</v>
      </c>
      <c r="CY697" s="2" t="n">
        <v>53.45</v>
      </c>
      <c r="CZ697" s="2" t="n">
        <v>0</v>
      </c>
      <c r="DA697" s="2" t="n">
        <v>59.4</v>
      </c>
      <c r="DB697" s="2" t="n">
        <v>61.19</v>
      </c>
      <c r="DC697" s="2" t="n">
        <v>0</v>
      </c>
      <c r="DD697" s="2" t="n">
        <v>69.06999999999999</v>
      </c>
      <c r="DE697" s="2" t="n">
        <v>70.86</v>
      </c>
      <c r="DF697" s="2" t="n">
        <v>0</v>
      </c>
      <c r="DG697" s="2" t="n">
        <v>75.51000000000001</v>
      </c>
      <c r="DH697" s="2" t="n">
        <v>77.31</v>
      </c>
      <c r="DI697" s="2" t="n">
        <v>0</v>
      </c>
      <c r="DJ697" s="2" t="n">
        <v>83.40000000000001</v>
      </c>
      <c r="DK697" s="2" t="n">
        <v>85.19</v>
      </c>
      <c r="DL697" s="2" t="n">
        <v>0</v>
      </c>
      <c r="DM697" s="2" t="n">
        <v>90.92</v>
      </c>
      <c r="DN697" s="2" t="n">
        <v>92.94</v>
      </c>
      <c r="DO697" s="2" t="n">
        <v>0</v>
      </c>
      <c r="DP697" s="2" t="n">
        <v>95.65000000000001</v>
      </c>
      <c r="DQ697" s="2" t="n">
        <v>96.78</v>
      </c>
      <c r="DR697" s="2" t="n">
        <v>0</v>
      </c>
      <c r="DS697" s="2" t="n">
        <v>96.78</v>
      </c>
      <c r="DT697" s="2" t="n">
        <v>96.78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</row>
    <row r="698">
      <c r="A698" s="2" t="n">
        <v>3</v>
      </c>
      <c r="B698" s="2" t="inlineStr">
        <is>
          <t>30.05.02</t>
        </is>
      </c>
      <c r="C698" s="2" t="inlineStr">
        <is>
          <t>Revestimento com pedras</t>
        </is>
      </c>
      <c r="D698" s="2" t="inlineStr">
        <is>
          <t>24/08/2027</t>
        </is>
      </c>
      <c r="E698" s="2" t="inlineStr">
        <is>
          <t>15/09/2028</t>
        </is>
      </c>
      <c r="F698" s="2" t="n">
        <v>305294.0027438743</v>
      </c>
      <c r="G698" s="2" t="n">
        <v>0</v>
      </c>
      <c r="H698" s="2" t="n">
        <v>305294.0027438743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0.36</v>
      </c>
      <c r="CJ698" s="2" t="n">
        <v>2.15</v>
      </c>
      <c r="CK698" s="2" t="n">
        <v>0</v>
      </c>
      <c r="CL698" s="2" t="n">
        <v>8.050000000000001</v>
      </c>
      <c r="CM698" s="2" t="n">
        <v>9.880000000000001</v>
      </c>
      <c r="CN698" s="2" t="n">
        <v>0</v>
      </c>
      <c r="CO698" s="2" t="n">
        <v>16.11</v>
      </c>
      <c r="CP698" s="2" t="n">
        <v>17.97</v>
      </c>
      <c r="CQ698" s="2" t="n">
        <v>0</v>
      </c>
      <c r="CR698" s="2" t="n">
        <v>24.53</v>
      </c>
      <c r="CS698" s="2" t="n">
        <v>26.38</v>
      </c>
      <c r="CT698" s="2" t="n">
        <v>0</v>
      </c>
      <c r="CU698" s="2" t="n">
        <v>43.83</v>
      </c>
      <c r="CV698" s="2" t="n">
        <v>45.65</v>
      </c>
      <c r="CW698" s="2" t="n">
        <v>0</v>
      </c>
      <c r="CX698" s="2" t="n">
        <v>51.66</v>
      </c>
      <c r="CY698" s="2" t="n">
        <v>53.45</v>
      </c>
      <c r="CZ698" s="2" t="n">
        <v>0</v>
      </c>
      <c r="DA698" s="2" t="n">
        <v>59.4</v>
      </c>
      <c r="DB698" s="2" t="n">
        <v>61.19</v>
      </c>
      <c r="DC698" s="2" t="n">
        <v>0</v>
      </c>
      <c r="DD698" s="2" t="n">
        <v>69.06999999999999</v>
      </c>
      <c r="DE698" s="2" t="n">
        <v>70.86</v>
      </c>
      <c r="DF698" s="2" t="n">
        <v>0</v>
      </c>
      <c r="DG698" s="2" t="n">
        <v>75.51000000000001</v>
      </c>
      <c r="DH698" s="2" t="n">
        <v>77.31</v>
      </c>
      <c r="DI698" s="2" t="n">
        <v>0</v>
      </c>
      <c r="DJ698" s="2" t="n">
        <v>83.40000000000001</v>
      </c>
      <c r="DK698" s="2" t="n">
        <v>85.19</v>
      </c>
      <c r="DL698" s="2" t="n">
        <v>0</v>
      </c>
      <c r="DM698" s="2" t="n">
        <v>90.92</v>
      </c>
      <c r="DN698" s="2" t="n">
        <v>92.94</v>
      </c>
      <c r="DO698" s="2" t="n">
        <v>0</v>
      </c>
      <c r="DP698" s="2" t="n">
        <v>95.65000000000001</v>
      </c>
      <c r="DQ698" s="2" t="n">
        <v>96.78</v>
      </c>
      <c r="DR698" s="2" t="n">
        <v>0</v>
      </c>
      <c r="DS698" s="2" t="n">
        <v>96.78</v>
      </c>
      <c r="DT698" s="2" t="n">
        <v>96.78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</row>
    <row r="699">
      <c r="A699" s="2" t="n">
        <v>4</v>
      </c>
      <c r="B699" s="2" t="inlineStr">
        <is>
          <t>30.05.02.01</t>
        </is>
      </c>
      <c r="C699" s="2" t="inlineStr">
        <is>
          <t>Mosaido de Ardósia verde, assentado com argamassa de cimento e areia</t>
        </is>
      </c>
      <c r="D699" s="2" t="inlineStr">
        <is>
          <t>24/08/2027</t>
        </is>
      </c>
      <c r="E699" s="2" t="inlineStr">
        <is>
          <t>15/09/2028</t>
        </is>
      </c>
      <c r="F699" s="2" t="n">
        <v>96641.37189631518</v>
      </c>
      <c r="G699" s="2" t="n">
        <v>0</v>
      </c>
      <c r="H699" s="2" t="n">
        <v>96641.37189631518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0.36</v>
      </c>
      <c r="CJ699" s="2" t="n">
        <v>2.15</v>
      </c>
      <c r="CK699" s="2" t="n">
        <v>0</v>
      </c>
      <c r="CL699" s="2" t="n">
        <v>8.050000000000001</v>
      </c>
      <c r="CM699" s="2" t="n">
        <v>9.880000000000001</v>
      </c>
      <c r="CN699" s="2" t="n">
        <v>0</v>
      </c>
      <c r="CO699" s="2" t="n">
        <v>16.11</v>
      </c>
      <c r="CP699" s="2" t="n">
        <v>17.97</v>
      </c>
      <c r="CQ699" s="2" t="n">
        <v>0</v>
      </c>
      <c r="CR699" s="2" t="n">
        <v>24.53</v>
      </c>
      <c r="CS699" s="2" t="n">
        <v>26.38</v>
      </c>
      <c r="CT699" s="2" t="n">
        <v>0</v>
      </c>
      <c r="CU699" s="2" t="n">
        <v>43.83</v>
      </c>
      <c r="CV699" s="2" t="n">
        <v>45.65</v>
      </c>
      <c r="CW699" s="2" t="n">
        <v>0</v>
      </c>
      <c r="CX699" s="2" t="n">
        <v>51.66</v>
      </c>
      <c r="CY699" s="2" t="n">
        <v>53.45</v>
      </c>
      <c r="CZ699" s="2" t="n">
        <v>0</v>
      </c>
      <c r="DA699" s="2" t="n">
        <v>59.4</v>
      </c>
      <c r="DB699" s="2" t="n">
        <v>61.19</v>
      </c>
      <c r="DC699" s="2" t="n">
        <v>0</v>
      </c>
      <c r="DD699" s="2" t="n">
        <v>69.06999999999999</v>
      </c>
      <c r="DE699" s="2" t="n">
        <v>70.86</v>
      </c>
      <c r="DF699" s="2" t="n">
        <v>0</v>
      </c>
      <c r="DG699" s="2" t="n">
        <v>75.51000000000001</v>
      </c>
      <c r="DH699" s="2" t="n">
        <v>77.31</v>
      </c>
      <c r="DI699" s="2" t="n">
        <v>0</v>
      </c>
      <c r="DJ699" s="2" t="n">
        <v>83.40000000000001</v>
      </c>
      <c r="DK699" s="2" t="n">
        <v>85.19</v>
      </c>
      <c r="DL699" s="2" t="n">
        <v>0</v>
      </c>
      <c r="DM699" s="2" t="n">
        <v>90.92</v>
      </c>
      <c r="DN699" s="2" t="n">
        <v>92.94</v>
      </c>
      <c r="DO699" s="2" t="n">
        <v>0</v>
      </c>
      <c r="DP699" s="2" t="n">
        <v>95.65000000000001</v>
      </c>
      <c r="DQ699" s="2" t="n">
        <v>96.78</v>
      </c>
      <c r="DR699" s="2" t="n">
        <v>0</v>
      </c>
      <c r="DS699" s="2" t="n">
        <v>96.78</v>
      </c>
      <c r="DT699" s="2" t="n">
        <v>96.78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</row>
    <row r="700">
      <c r="A700" s="2" t="n">
        <v>4</v>
      </c>
      <c r="B700" s="2" t="inlineStr">
        <is>
          <t>30.05.02.02</t>
        </is>
      </c>
      <c r="C700" s="2" t="inlineStr">
        <is>
          <t>Revestimento em mosaico verde escovada paginação "French Pattern" assentado com argamassa de cimento e areia</t>
        </is>
      </c>
      <c r="D700" s="2" t="inlineStr">
        <is>
          <t>24/08/2027</t>
        </is>
      </c>
      <c r="E700" s="2" t="inlineStr">
        <is>
          <t>15/09/2028</t>
        </is>
      </c>
      <c r="F700" s="2" t="n">
        <v>208652.6308475591</v>
      </c>
      <c r="G700" s="2" t="n">
        <v>0</v>
      </c>
      <c r="H700" s="2" t="n">
        <v>208652.6308475591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0.36</v>
      </c>
      <c r="CJ700" s="2" t="n">
        <v>2.15</v>
      </c>
      <c r="CK700" s="2" t="n">
        <v>0</v>
      </c>
      <c r="CL700" s="2" t="n">
        <v>8.050000000000001</v>
      </c>
      <c r="CM700" s="2" t="n">
        <v>9.880000000000001</v>
      </c>
      <c r="CN700" s="2" t="n">
        <v>0</v>
      </c>
      <c r="CO700" s="2" t="n">
        <v>16.11</v>
      </c>
      <c r="CP700" s="2" t="n">
        <v>17.97</v>
      </c>
      <c r="CQ700" s="2" t="n">
        <v>0</v>
      </c>
      <c r="CR700" s="2" t="n">
        <v>24.53</v>
      </c>
      <c r="CS700" s="2" t="n">
        <v>26.38</v>
      </c>
      <c r="CT700" s="2" t="n">
        <v>0</v>
      </c>
      <c r="CU700" s="2" t="n">
        <v>43.83</v>
      </c>
      <c r="CV700" s="2" t="n">
        <v>45.65</v>
      </c>
      <c r="CW700" s="2" t="n">
        <v>0</v>
      </c>
      <c r="CX700" s="2" t="n">
        <v>51.66</v>
      </c>
      <c r="CY700" s="2" t="n">
        <v>53.45</v>
      </c>
      <c r="CZ700" s="2" t="n">
        <v>0</v>
      </c>
      <c r="DA700" s="2" t="n">
        <v>59.4</v>
      </c>
      <c r="DB700" s="2" t="n">
        <v>61.19</v>
      </c>
      <c r="DC700" s="2" t="n">
        <v>0</v>
      </c>
      <c r="DD700" s="2" t="n">
        <v>69.06999999999999</v>
      </c>
      <c r="DE700" s="2" t="n">
        <v>70.86</v>
      </c>
      <c r="DF700" s="2" t="n">
        <v>0</v>
      </c>
      <c r="DG700" s="2" t="n">
        <v>75.51000000000001</v>
      </c>
      <c r="DH700" s="2" t="n">
        <v>77.31</v>
      </c>
      <c r="DI700" s="2" t="n">
        <v>0</v>
      </c>
      <c r="DJ700" s="2" t="n">
        <v>83.40000000000001</v>
      </c>
      <c r="DK700" s="2" t="n">
        <v>85.19</v>
      </c>
      <c r="DL700" s="2" t="n">
        <v>0</v>
      </c>
      <c r="DM700" s="2" t="n">
        <v>90.92</v>
      </c>
      <c r="DN700" s="2" t="n">
        <v>92.94</v>
      </c>
      <c r="DO700" s="2" t="n">
        <v>0</v>
      </c>
      <c r="DP700" s="2" t="n">
        <v>95.65000000000001</v>
      </c>
      <c r="DQ700" s="2" t="n">
        <v>96.78</v>
      </c>
      <c r="DR700" s="2" t="n">
        <v>0</v>
      </c>
      <c r="DS700" s="2" t="n">
        <v>96.78</v>
      </c>
      <c r="DT700" s="2" t="n">
        <v>96.78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</row>
    <row r="701">
      <c r="A701" s="2" t="n">
        <v>3</v>
      </c>
      <c r="B701" s="2" t="inlineStr">
        <is>
          <t>30.05.03</t>
        </is>
      </c>
      <c r="C701" s="2" t="inlineStr">
        <is>
          <t>Papel de parede</t>
        </is>
      </c>
      <c r="D701" s="2" t="inlineStr">
        <is>
          <t>24/08/2027</t>
        </is>
      </c>
      <c r="E701" s="2" t="inlineStr">
        <is>
          <t>15/09/2028</t>
        </is>
      </c>
      <c r="F701" s="2" t="n">
        <v>9114.569307348842</v>
      </c>
      <c r="G701" s="2" t="n">
        <v>0</v>
      </c>
      <c r="H701" s="2" t="n">
        <v>9114.569307348842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0.36</v>
      </c>
      <c r="CJ701" s="2" t="n">
        <v>2.15</v>
      </c>
      <c r="CK701" s="2" t="n">
        <v>0</v>
      </c>
      <c r="CL701" s="2" t="n">
        <v>8.050000000000001</v>
      </c>
      <c r="CM701" s="2" t="n">
        <v>9.880000000000001</v>
      </c>
      <c r="CN701" s="2" t="n">
        <v>0</v>
      </c>
      <c r="CO701" s="2" t="n">
        <v>16.11</v>
      </c>
      <c r="CP701" s="2" t="n">
        <v>17.97</v>
      </c>
      <c r="CQ701" s="2" t="n">
        <v>0</v>
      </c>
      <c r="CR701" s="2" t="n">
        <v>24.53</v>
      </c>
      <c r="CS701" s="2" t="n">
        <v>26.38</v>
      </c>
      <c r="CT701" s="2" t="n">
        <v>0</v>
      </c>
      <c r="CU701" s="2" t="n">
        <v>43.83</v>
      </c>
      <c r="CV701" s="2" t="n">
        <v>45.65</v>
      </c>
      <c r="CW701" s="2" t="n">
        <v>0</v>
      </c>
      <c r="CX701" s="2" t="n">
        <v>51.66</v>
      </c>
      <c r="CY701" s="2" t="n">
        <v>53.45</v>
      </c>
      <c r="CZ701" s="2" t="n">
        <v>0</v>
      </c>
      <c r="DA701" s="2" t="n">
        <v>59.4</v>
      </c>
      <c r="DB701" s="2" t="n">
        <v>61.19</v>
      </c>
      <c r="DC701" s="2" t="n">
        <v>0</v>
      </c>
      <c r="DD701" s="2" t="n">
        <v>69.06999999999999</v>
      </c>
      <c r="DE701" s="2" t="n">
        <v>70.86</v>
      </c>
      <c r="DF701" s="2" t="n">
        <v>0</v>
      </c>
      <c r="DG701" s="2" t="n">
        <v>75.51000000000001</v>
      </c>
      <c r="DH701" s="2" t="n">
        <v>77.31</v>
      </c>
      <c r="DI701" s="2" t="n">
        <v>0</v>
      </c>
      <c r="DJ701" s="2" t="n">
        <v>83.40000000000001</v>
      </c>
      <c r="DK701" s="2" t="n">
        <v>85.19</v>
      </c>
      <c r="DL701" s="2" t="n">
        <v>0</v>
      </c>
      <c r="DM701" s="2" t="n">
        <v>90.92</v>
      </c>
      <c r="DN701" s="2" t="n">
        <v>92.94</v>
      </c>
      <c r="DO701" s="2" t="n">
        <v>0</v>
      </c>
      <c r="DP701" s="2" t="n">
        <v>95.65000000000001</v>
      </c>
      <c r="DQ701" s="2" t="n">
        <v>96.78</v>
      </c>
      <c r="DR701" s="2" t="n">
        <v>0</v>
      </c>
      <c r="DS701" s="2" t="n">
        <v>96.78</v>
      </c>
      <c r="DT701" s="2" t="n">
        <v>96.78</v>
      </c>
      <c r="DU701" s="2" t="n">
        <v>0</v>
      </c>
      <c r="DV701" s="2" t="n">
        <v>100</v>
      </c>
      <c r="DW701" s="2" t="n">
        <v>100</v>
      </c>
      <c r="DX701" s="2" t="n">
        <v>0</v>
      </c>
      <c r="DY701" s="2" t="n">
        <v>100</v>
      </c>
      <c r="DZ701" s="2" t="n">
        <v>100</v>
      </c>
      <c r="EA701" s="2" t="n">
        <v>0</v>
      </c>
      <c r="EB701" s="2" t="n">
        <v>100</v>
      </c>
      <c r="EC701" s="2" t="n">
        <v>100</v>
      </c>
      <c r="ED701" s="2" t="n">
        <v>0</v>
      </c>
      <c r="EE701" s="2" t="n">
        <v>100</v>
      </c>
      <c r="EF701" s="2" t="n">
        <v>100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</row>
    <row r="702">
      <c r="A702" s="2" t="n">
        <v>4</v>
      </c>
      <c r="B702" s="2" t="inlineStr">
        <is>
          <t>30.05.03.01</t>
        </is>
      </c>
      <c r="C702" s="2" t="inlineStr">
        <is>
          <t>Emassamento acrílico (1 demão + retoques)</t>
        </is>
      </c>
      <c r="D702" s="2" t="inlineStr">
        <is>
          <t>24/08/2027</t>
        </is>
      </c>
      <c r="E702" s="2" t="inlineStr">
        <is>
          <t>15/09/2028</t>
        </is>
      </c>
      <c r="F702" s="2" t="n">
        <v>237.47852505</v>
      </c>
      <c r="G702" s="2" t="n">
        <v>0</v>
      </c>
      <c r="H702" s="2" t="n">
        <v>237.47852505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0.36</v>
      </c>
      <c r="CJ702" s="2" t="n">
        <v>2.15</v>
      </c>
      <c r="CK702" s="2" t="n">
        <v>0</v>
      </c>
      <c r="CL702" s="2" t="n">
        <v>8.050000000000001</v>
      </c>
      <c r="CM702" s="2" t="n">
        <v>9.880000000000001</v>
      </c>
      <c r="CN702" s="2" t="n">
        <v>0</v>
      </c>
      <c r="CO702" s="2" t="n">
        <v>16.11</v>
      </c>
      <c r="CP702" s="2" t="n">
        <v>17.97</v>
      </c>
      <c r="CQ702" s="2" t="n">
        <v>0</v>
      </c>
      <c r="CR702" s="2" t="n">
        <v>24.53</v>
      </c>
      <c r="CS702" s="2" t="n">
        <v>26.38</v>
      </c>
      <c r="CT702" s="2" t="n">
        <v>0</v>
      </c>
      <c r="CU702" s="2" t="n">
        <v>43.83</v>
      </c>
      <c r="CV702" s="2" t="n">
        <v>45.65</v>
      </c>
      <c r="CW702" s="2" t="n">
        <v>0</v>
      </c>
      <c r="CX702" s="2" t="n">
        <v>51.66</v>
      </c>
      <c r="CY702" s="2" t="n">
        <v>53.45</v>
      </c>
      <c r="CZ702" s="2" t="n">
        <v>0</v>
      </c>
      <c r="DA702" s="2" t="n">
        <v>59.4</v>
      </c>
      <c r="DB702" s="2" t="n">
        <v>61.19</v>
      </c>
      <c r="DC702" s="2" t="n">
        <v>0</v>
      </c>
      <c r="DD702" s="2" t="n">
        <v>69.06999999999999</v>
      </c>
      <c r="DE702" s="2" t="n">
        <v>70.86</v>
      </c>
      <c r="DF702" s="2" t="n">
        <v>0</v>
      </c>
      <c r="DG702" s="2" t="n">
        <v>75.51000000000001</v>
      </c>
      <c r="DH702" s="2" t="n">
        <v>77.31</v>
      </c>
      <c r="DI702" s="2" t="n">
        <v>0</v>
      </c>
      <c r="DJ702" s="2" t="n">
        <v>83.40000000000001</v>
      </c>
      <c r="DK702" s="2" t="n">
        <v>85.19</v>
      </c>
      <c r="DL702" s="2" t="n">
        <v>0</v>
      </c>
      <c r="DM702" s="2" t="n">
        <v>90.92</v>
      </c>
      <c r="DN702" s="2" t="n">
        <v>92.94</v>
      </c>
      <c r="DO702" s="2" t="n">
        <v>0</v>
      </c>
      <c r="DP702" s="2" t="n">
        <v>95.65000000000001</v>
      </c>
      <c r="DQ702" s="2" t="n">
        <v>96.78</v>
      </c>
      <c r="DR702" s="2" t="n">
        <v>0</v>
      </c>
      <c r="DS702" s="2" t="n">
        <v>96.78</v>
      </c>
      <c r="DT702" s="2" t="n">
        <v>96.78</v>
      </c>
      <c r="DU702" s="2" t="n">
        <v>0</v>
      </c>
      <c r="DV702" s="2" t="n">
        <v>100</v>
      </c>
      <c r="DW702" s="2" t="n">
        <v>100</v>
      </c>
      <c r="DX702" s="2" t="n">
        <v>0</v>
      </c>
      <c r="DY702" s="2" t="n">
        <v>100</v>
      </c>
      <c r="DZ702" s="2" t="n">
        <v>100</v>
      </c>
      <c r="EA702" s="2" t="n">
        <v>0</v>
      </c>
      <c r="EB702" s="2" t="n">
        <v>100</v>
      </c>
      <c r="EC702" s="2" t="n">
        <v>100</v>
      </c>
      <c r="ED702" s="2" t="n">
        <v>0</v>
      </c>
      <c r="EE702" s="2" t="n">
        <v>100</v>
      </c>
      <c r="EF702" s="2" t="n">
        <v>100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</row>
    <row r="703">
      <c r="A703" s="2" t="n">
        <v>4</v>
      </c>
      <c r="B703" s="2" t="inlineStr">
        <is>
          <t>30.05.03.02</t>
        </is>
      </c>
      <c r="C703" s="2" t="inlineStr">
        <is>
          <t>Emassamento acrílico (1 demão + retoques)</t>
        </is>
      </c>
      <c r="D703" s="2" t="inlineStr">
        <is>
          <t>24/08/2027</t>
        </is>
      </c>
      <c r="E703" s="2" t="inlineStr">
        <is>
          <t>15/09/2028</t>
        </is>
      </c>
      <c r="F703" s="2" t="n">
        <v>237.47852505</v>
      </c>
      <c r="G703" s="2" t="n">
        <v>0</v>
      </c>
      <c r="H703" s="2" t="n">
        <v>237.47852505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0.36</v>
      </c>
      <c r="CJ703" s="2" t="n">
        <v>2.15</v>
      </c>
      <c r="CK703" s="2" t="n">
        <v>0</v>
      </c>
      <c r="CL703" s="2" t="n">
        <v>8.050000000000001</v>
      </c>
      <c r="CM703" s="2" t="n">
        <v>9.880000000000001</v>
      </c>
      <c r="CN703" s="2" t="n">
        <v>0</v>
      </c>
      <c r="CO703" s="2" t="n">
        <v>16.11</v>
      </c>
      <c r="CP703" s="2" t="n">
        <v>17.97</v>
      </c>
      <c r="CQ703" s="2" t="n">
        <v>0</v>
      </c>
      <c r="CR703" s="2" t="n">
        <v>24.53</v>
      </c>
      <c r="CS703" s="2" t="n">
        <v>26.38</v>
      </c>
      <c r="CT703" s="2" t="n">
        <v>0</v>
      </c>
      <c r="CU703" s="2" t="n">
        <v>43.83</v>
      </c>
      <c r="CV703" s="2" t="n">
        <v>45.65</v>
      </c>
      <c r="CW703" s="2" t="n">
        <v>0</v>
      </c>
      <c r="CX703" s="2" t="n">
        <v>51.66</v>
      </c>
      <c r="CY703" s="2" t="n">
        <v>53.45</v>
      </c>
      <c r="CZ703" s="2" t="n">
        <v>0</v>
      </c>
      <c r="DA703" s="2" t="n">
        <v>59.4</v>
      </c>
      <c r="DB703" s="2" t="n">
        <v>61.19</v>
      </c>
      <c r="DC703" s="2" t="n">
        <v>0</v>
      </c>
      <c r="DD703" s="2" t="n">
        <v>69.06999999999999</v>
      </c>
      <c r="DE703" s="2" t="n">
        <v>70.86</v>
      </c>
      <c r="DF703" s="2" t="n">
        <v>0</v>
      </c>
      <c r="DG703" s="2" t="n">
        <v>75.51000000000001</v>
      </c>
      <c r="DH703" s="2" t="n">
        <v>77.31</v>
      </c>
      <c r="DI703" s="2" t="n">
        <v>0</v>
      </c>
      <c r="DJ703" s="2" t="n">
        <v>83.40000000000001</v>
      </c>
      <c r="DK703" s="2" t="n">
        <v>85.19</v>
      </c>
      <c r="DL703" s="2" t="n">
        <v>0</v>
      </c>
      <c r="DM703" s="2" t="n">
        <v>90.92</v>
      </c>
      <c r="DN703" s="2" t="n">
        <v>92.94</v>
      </c>
      <c r="DO703" s="2" t="n">
        <v>0</v>
      </c>
      <c r="DP703" s="2" t="n">
        <v>95.65000000000001</v>
      </c>
      <c r="DQ703" s="2" t="n">
        <v>96.78</v>
      </c>
      <c r="DR703" s="2" t="n">
        <v>0</v>
      </c>
      <c r="DS703" s="2" t="n">
        <v>96.78</v>
      </c>
      <c r="DT703" s="2" t="n">
        <v>96.78</v>
      </c>
      <c r="DU703" s="2" t="n">
        <v>0</v>
      </c>
      <c r="DV703" s="2" t="n">
        <v>100</v>
      </c>
      <c r="DW703" s="2" t="n">
        <v>100</v>
      </c>
      <c r="DX703" s="2" t="n">
        <v>0</v>
      </c>
      <c r="DY703" s="2" t="n">
        <v>100</v>
      </c>
      <c r="DZ703" s="2" t="n">
        <v>100</v>
      </c>
      <c r="EA703" s="2" t="n">
        <v>0</v>
      </c>
      <c r="EB703" s="2" t="n">
        <v>100</v>
      </c>
      <c r="EC703" s="2" t="n">
        <v>100</v>
      </c>
      <c r="ED703" s="2" t="n">
        <v>0</v>
      </c>
      <c r="EE703" s="2" t="n">
        <v>100</v>
      </c>
      <c r="EF703" s="2" t="n">
        <v>100</v>
      </c>
      <c r="EG703" s="2" t="n">
        <v>0</v>
      </c>
      <c r="EH703" s="2" t="n">
        <v>100</v>
      </c>
      <c r="EI703" s="2" t="n">
        <v>100</v>
      </c>
      <c r="EJ703" s="2" t="n">
        <v>0</v>
      </c>
      <c r="EK703" s="2" t="n">
        <v>100</v>
      </c>
      <c r="EL703" s="2" t="n">
        <v>100</v>
      </c>
      <c r="EM703" s="2" t="n">
        <v>0</v>
      </c>
      <c r="EN703" s="2" t="n">
        <v>100</v>
      </c>
      <c r="EO703" s="2" t="n">
        <v>100</v>
      </c>
      <c r="EP703" s="2" t="n">
        <v>0</v>
      </c>
      <c r="EQ703" s="2" t="n">
        <v>100</v>
      </c>
      <c r="ER703" s="2" t="n">
        <v>100</v>
      </c>
      <c r="ES703" s="2" t="n">
        <v>0</v>
      </c>
    </row>
    <row r="704">
      <c r="A704" s="2" t="n">
        <v>4</v>
      </c>
      <c r="B704" s="2" t="inlineStr">
        <is>
          <t>30.05.03.03</t>
        </is>
      </c>
      <c r="C704" s="2" t="inlineStr">
        <is>
          <t>Pintura acrílica sobre paredes - Reboco (1 demão selador + 3 demãos Latex acrílico)</t>
        </is>
      </c>
      <c r="D704" s="2" t="inlineStr">
        <is>
          <t>24/08/2027</t>
        </is>
      </c>
      <c r="E704" s="2" t="inlineStr">
        <is>
          <t>15/09/2028</t>
        </is>
      </c>
      <c r="F704" s="2" t="n">
        <v>498.820507248842</v>
      </c>
      <c r="G704" s="2" t="n">
        <v>0</v>
      </c>
      <c r="H704" s="2" t="n">
        <v>498.820507248842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0.36</v>
      </c>
      <c r="CJ704" s="2" t="n">
        <v>2.15</v>
      </c>
      <c r="CK704" s="2" t="n">
        <v>0</v>
      </c>
      <c r="CL704" s="2" t="n">
        <v>8.050000000000001</v>
      </c>
      <c r="CM704" s="2" t="n">
        <v>9.880000000000001</v>
      </c>
      <c r="CN704" s="2" t="n">
        <v>0</v>
      </c>
      <c r="CO704" s="2" t="n">
        <v>16.11</v>
      </c>
      <c r="CP704" s="2" t="n">
        <v>17.97</v>
      </c>
      <c r="CQ704" s="2" t="n">
        <v>0</v>
      </c>
      <c r="CR704" s="2" t="n">
        <v>24.53</v>
      </c>
      <c r="CS704" s="2" t="n">
        <v>26.38</v>
      </c>
      <c r="CT704" s="2" t="n">
        <v>0</v>
      </c>
      <c r="CU704" s="2" t="n">
        <v>43.83</v>
      </c>
      <c r="CV704" s="2" t="n">
        <v>45.65</v>
      </c>
      <c r="CW704" s="2" t="n">
        <v>0</v>
      </c>
      <c r="CX704" s="2" t="n">
        <v>51.66</v>
      </c>
      <c r="CY704" s="2" t="n">
        <v>53.45</v>
      </c>
      <c r="CZ704" s="2" t="n">
        <v>0</v>
      </c>
      <c r="DA704" s="2" t="n">
        <v>59.4</v>
      </c>
      <c r="DB704" s="2" t="n">
        <v>61.19</v>
      </c>
      <c r="DC704" s="2" t="n">
        <v>0</v>
      </c>
      <c r="DD704" s="2" t="n">
        <v>69.06999999999999</v>
      </c>
      <c r="DE704" s="2" t="n">
        <v>70.86</v>
      </c>
      <c r="DF704" s="2" t="n">
        <v>0</v>
      </c>
      <c r="DG704" s="2" t="n">
        <v>75.51000000000001</v>
      </c>
      <c r="DH704" s="2" t="n">
        <v>77.31</v>
      </c>
      <c r="DI704" s="2" t="n">
        <v>0</v>
      </c>
      <c r="DJ704" s="2" t="n">
        <v>83.40000000000001</v>
      </c>
      <c r="DK704" s="2" t="n">
        <v>85.19</v>
      </c>
      <c r="DL704" s="2" t="n">
        <v>0</v>
      </c>
      <c r="DM704" s="2" t="n">
        <v>90.92</v>
      </c>
      <c r="DN704" s="2" t="n">
        <v>92.94</v>
      </c>
      <c r="DO704" s="2" t="n">
        <v>0</v>
      </c>
      <c r="DP704" s="2" t="n">
        <v>95.65000000000001</v>
      </c>
      <c r="DQ704" s="2" t="n">
        <v>96.78</v>
      </c>
      <c r="DR704" s="2" t="n">
        <v>0</v>
      </c>
      <c r="DS704" s="2" t="n">
        <v>96.78</v>
      </c>
      <c r="DT704" s="2" t="n">
        <v>96.78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</row>
    <row r="705">
      <c r="A705" s="2" t="n">
        <v>4</v>
      </c>
      <c r="B705" s="2" t="inlineStr">
        <is>
          <t>30.05.03.04</t>
        </is>
      </c>
      <c r="C705" s="2" t="inlineStr">
        <is>
          <t>(Reboco) Papel de parede</t>
        </is>
      </c>
      <c r="D705" s="2" t="inlineStr">
        <is>
          <t>24/08/2027</t>
        </is>
      </c>
      <c r="E705" s="2" t="inlineStr">
        <is>
          <t>15/09/2028</t>
        </is>
      </c>
      <c r="F705" s="2" t="n">
        <v>8140.79175</v>
      </c>
      <c r="G705" s="2" t="n">
        <v>0</v>
      </c>
      <c r="H705" s="2" t="n">
        <v>8140.79175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0.36</v>
      </c>
      <c r="CJ705" s="2" t="n">
        <v>2.15</v>
      </c>
      <c r="CK705" s="2" t="n">
        <v>0</v>
      </c>
      <c r="CL705" s="2" t="n">
        <v>8.050000000000001</v>
      </c>
      <c r="CM705" s="2" t="n">
        <v>9.880000000000001</v>
      </c>
      <c r="CN705" s="2" t="n">
        <v>0</v>
      </c>
      <c r="CO705" s="2" t="n">
        <v>16.11</v>
      </c>
      <c r="CP705" s="2" t="n">
        <v>17.97</v>
      </c>
      <c r="CQ705" s="2" t="n">
        <v>0</v>
      </c>
      <c r="CR705" s="2" t="n">
        <v>24.53</v>
      </c>
      <c r="CS705" s="2" t="n">
        <v>26.38</v>
      </c>
      <c r="CT705" s="2" t="n">
        <v>0</v>
      </c>
      <c r="CU705" s="2" t="n">
        <v>43.83</v>
      </c>
      <c r="CV705" s="2" t="n">
        <v>45.65</v>
      </c>
      <c r="CW705" s="2" t="n">
        <v>0</v>
      </c>
      <c r="CX705" s="2" t="n">
        <v>51.66</v>
      </c>
      <c r="CY705" s="2" t="n">
        <v>53.45</v>
      </c>
      <c r="CZ705" s="2" t="n">
        <v>0</v>
      </c>
      <c r="DA705" s="2" t="n">
        <v>59.4</v>
      </c>
      <c r="DB705" s="2" t="n">
        <v>61.19</v>
      </c>
      <c r="DC705" s="2" t="n">
        <v>0</v>
      </c>
      <c r="DD705" s="2" t="n">
        <v>69.06999999999999</v>
      </c>
      <c r="DE705" s="2" t="n">
        <v>70.86</v>
      </c>
      <c r="DF705" s="2" t="n">
        <v>0</v>
      </c>
      <c r="DG705" s="2" t="n">
        <v>75.51000000000001</v>
      </c>
      <c r="DH705" s="2" t="n">
        <v>77.31</v>
      </c>
      <c r="DI705" s="2" t="n">
        <v>0</v>
      </c>
      <c r="DJ705" s="2" t="n">
        <v>83.40000000000001</v>
      </c>
      <c r="DK705" s="2" t="n">
        <v>85.19</v>
      </c>
      <c r="DL705" s="2" t="n">
        <v>0</v>
      </c>
      <c r="DM705" s="2" t="n">
        <v>90.92</v>
      </c>
      <c r="DN705" s="2" t="n">
        <v>92.94</v>
      </c>
      <c r="DO705" s="2" t="n">
        <v>0</v>
      </c>
      <c r="DP705" s="2" t="n">
        <v>95.65000000000001</v>
      </c>
      <c r="DQ705" s="2" t="n">
        <v>96.78</v>
      </c>
      <c r="DR705" s="2" t="n">
        <v>0</v>
      </c>
      <c r="DS705" s="2" t="n">
        <v>96.78</v>
      </c>
      <c r="DT705" s="2" t="n">
        <v>96.78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</row>
    <row r="706">
      <c r="A706" s="2" t="n">
        <v>2</v>
      </c>
      <c r="B706" s="2" t="inlineStr">
        <is>
          <t>30.06</t>
        </is>
      </c>
      <c r="C706" s="2" t="inlineStr">
        <is>
          <t>Bancadas</t>
        </is>
      </c>
      <c r="D706" s="2" t="inlineStr">
        <is>
          <t>20/09/2027</t>
        </is>
      </c>
      <c r="E706" s="2" t="inlineStr">
        <is>
          <t>11/10/2028</t>
        </is>
      </c>
      <c r="F706" s="2" t="n">
        <v>2561097.883850688</v>
      </c>
      <c r="G706" s="2" t="n">
        <v>0</v>
      </c>
      <c r="H706" s="2" t="n">
        <v>2561097.883850688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1.43</v>
      </c>
      <c r="CM706" s="2" t="n">
        <v>3.23</v>
      </c>
      <c r="CN706" s="2" t="n">
        <v>0</v>
      </c>
      <c r="CO706" s="2" t="n">
        <v>8.77</v>
      </c>
      <c r="CP706" s="2" t="n">
        <v>10.6</v>
      </c>
      <c r="CQ706" s="2" t="n">
        <v>0</v>
      </c>
      <c r="CR706" s="2" t="n">
        <v>16.84</v>
      </c>
      <c r="CS706" s="2" t="n">
        <v>18.69</v>
      </c>
      <c r="CT706" s="2" t="n">
        <v>0</v>
      </c>
      <c r="CU706" s="2" t="n">
        <v>23.62</v>
      </c>
      <c r="CV706" s="2" t="n">
        <v>25.46</v>
      </c>
      <c r="CW706" s="2" t="n">
        <v>0</v>
      </c>
      <c r="CX706" s="2" t="n">
        <v>44.96</v>
      </c>
      <c r="CY706" s="2" t="n">
        <v>46.79</v>
      </c>
      <c r="CZ706" s="2" t="n">
        <v>0</v>
      </c>
      <c r="DA706" s="2" t="n">
        <v>52.76</v>
      </c>
      <c r="DB706" s="2" t="n">
        <v>54.56</v>
      </c>
      <c r="DC706" s="2" t="n">
        <v>0</v>
      </c>
      <c r="DD706" s="2" t="n">
        <v>61.22</v>
      </c>
      <c r="DE706" s="2" t="n">
        <v>63.01</v>
      </c>
      <c r="DF706" s="2" t="n">
        <v>0</v>
      </c>
      <c r="DG706" s="2" t="n">
        <v>68.88</v>
      </c>
      <c r="DH706" s="2" t="n">
        <v>70.79000000000001</v>
      </c>
      <c r="DI706" s="2" t="n">
        <v>0</v>
      </c>
      <c r="DJ706" s="2" t="n">
        <v>76.98999999999999</v>
      </c>
      <c r="DK706" s="2" t="n">
        <v>78.78</v>
      </c>
      <c r="DL706" s="2" t="n">
        <v>0</v>
      </c>
      <c r="DM706" s="2" t="n">
        <v>84.52</v>
      </c>
      <c r="DN706" s="2" t="n">
        <v>86.31</v>
      </c>
      <c r="DO706" s="2" t="n">
        <v>0</v>
      </c>
      <c r="DP706" s="2" t="n">
        <v>92.04000000000001</v>
      </c>
      <c r="DQ706" s="2" t="n">
        <v>93.83</v>
      </c>
      <c r="DR706" s="2" t="n">
        <v>0</v>
      </c>
      <c r="DS706" s="2" t="n">
        <v>95.73</v>
      </c>
      <c r="DT706" s="2" t="n">
        <v>96.77</v>
      </c>
      <c r="DU706" s="2" t="n">
        <v>0</v>
      </c>
      <c r="DV706" s="2" t="n">
        <v>96.77</v>
      </c>
      <c r="DW706" s="2" t="n">
        <v>97.13</v>
      </c>
      <c r="DX706" s="2" t="n">
        <v>0</v>
      </c>
      <c r="DY706" s="2" t="n">
        <v>100</v>
      </c>
      <c r="DZ706" s="2" t="n">
        <v>100</v>
      </c>
      <c r="EA706" s="2" t="n">
        <v>0</v>
      </c>
      <c r="EB706" s="2" t="n">
        <v>100</v>
      </c>
      <c r="EC706" s="2" t="n">
        <v>100</v>
      </c>
      <c r="ED706" s="2" t="n">
        <v>0</v>
      </c>
      <c r="EE706" s="2" t="n">
        <v>100</v>
      </c>
      <c r="EF706" s="2" t="n">
        <v>100</v>
      </c>
      <c r="EG706" s="2" t="n">
        <v>0</v>
      </c>
      <c r="EH706" s="2" t="n">
        <v>100</v>
      </c>
      <c r="EI706" s="2" t="n">
        <v>100</v>
      </c>
      <c r="EJ706" s="2" t="n">
        <v>0</v>
      </c>
      <c r="EK706" s="2" t="n">
        <v>100</v>
      </c>
      <c r="EL706" s="2" t="n">
        <v>100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</row>
    <row r="707">
      <c r="A707" s="2" t="n">
        <v>3</v>
      </c>
      <c r="B707" s="2" t="inlineStr">
        <is>
          <t>30.06.01</t>
        </is>
      </c>
      <c r="C707" s="2" t="inlineStr">
        <is>
          <t>Bancadas de granito branco siena escovado</t>
        </is>
      </c>
      <c r="D707" s="2" t="inlineStr">
        <is>
          <t>20/09/2027</t>
        </is>
      </c>
      <c r="E707" s="2" t="inlineStr">
        <is>
          <t>11/10/2028</t>
        </is>
      </c>
      <c r="F707" s="2" t="n">
        <v>648161.0296975744</v>
      </c>
      <c r="G707" s="2" t="n">
        <v>0</v>
      </c>
      <c r="H707" s="2" t="n">
        <v>648161.0296975744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1.43</v>
      </c>
      <c r="CM707" s="2" t="n">
        <v>3.23</v>
      </c>
      <c r="CN707" s="2" t="n">
        <v>0</v>
      </c>
      <c r="CO707" s="2" t="n">
        <v>8.77</v>
      </c>
      <c r="CP707" s="2" t="n">
        <v>10.6</v>
      </c>
      <c r="CQ707" s="2" t="n">
        <v>0</v>
      </c>
      <c r="CR707" s="2" t="n">
        <v>16.84</v>
      </c>
      <c r="CS707" s="2" t="n">
        <v>18.69</v>
      </c>
      <c r="CT707" s="2" t="n">
        <v>0</v>
      </c>
      <c r="CU707" s="2" t="n">
        <v>23.62</v>
      </c>
      <c r="CV707" s="2" t="n">
        <v>25.46</v>
      </c>
      <c r="CW707" s="2" t="n">
        <v>0</v>
      </c>
      <c r="CX707" s="2" t="n">
        <v>44.96</v>
      </c>
      <c r="CY707" s="2" t="n">
        <v>46.79</v>
      </c>
      <c r="CZ707" s="2" t="n">
        <v>0</v>
      </c>
      <c r="DA707" s="2" t="n">
        <v>52.76</v>
      </c>
      <c r="DB707" s="2" t="n">
        <v>54.56</v>
      </c>
      <c r="DC707" s="2" t="n">
        <v>0</v>
      </c>
      <c r="DD707" s="2" t="n">
        <v>61.22</v>
      </c>
      <c r="DE707" s="2" t="n">
        <v>63.01</v>
      </c>
      <c r="DF707" s="2" t="n">
        <v>0</v>
      </c>
      <c r="DG707" s="2" t="n">
        <v>68.88</v>
      </c>
      <c r="DH707" s="2" t="n">
        <v>70.79000000000001</v>
      </c>
      <c r="DI707" s="2" t="n">
        <v>0</v>
      </c>
      <c r="DJ707" s="2" t="n">
        <v>76.98999999999999</v>
      </c>
      <c r="DK707" s="2" t="n">
        <v>78.78</v>
      </c>
      <c r="DL707" s="2" t="n">
        <v>0</v>
      </c>
      <c r="DM707" s="2" t="n">
        <v>84.52</v>
      </c>
      <c r="DN707" s="2" t="n">
        <v>86.31</v>
      </c>
      <c r="DO707" s="2" t="n">
        <v>0</v>
      </c>
      <c r="DP707" s="2" t="n">
        <v>92.04000000000001</v>
      </c>
      <c r="DQ707" s="2" t="n">
        <v>93.83</v>
      </c>
      <c r="DR707" s="2" t="n">
        <v>0</v>
      </c>
      <c r="DS707" s="2" t="n">
        <v>95.73</v>
      </c>
      <c r="DT707" s="2" t="n">
        <v>96.77</v>
      </c>
      <c r="DU707" s="2" t="n">
        <v>0</v>
      </c>
      <c r="DV707" s="2" t="n">
        <v>96.77</v>
      </c>
      <c r="DW707" s="2" t="n">
        <v>97.13</v>
      </c>
      <c r="DX707" s="2" t="n">
        <v>0</v>
      </c>
      <c r="DY707" s="2" t="n">
        <v>100</v>
      </c>
      <c r="DZ707" s="2" t="n">
        <v>100</v>
      </c>
      <c r="EA707" s="2" t="n">
        <v>0</v>
      </c>
      <c r="EB707" s="2" t="n">
        <v>100</v>
      </c>
      <c r="EC707" s="2" t="n">
        <v>100</v>
      </c>
      <c r="ED707" s="2" t="n">
        <v>0</v>
      </c>
      <c r="EE707" s="2" t="n">
        <v>100</v>
      </c>
      <c r="EF707" s="2" t="n">
        <v>100</v>
      </c>
      <c r="EG707" s="2" t="n">
        <v>0</v>
      </c>
      <c r="EH707" s="2" t="n">
        <v>100</v>
      </c>
      <c r="EI707" s="2" t="n">
        <v>100</v>
      </c>
      <c r="EJ707" s="2" t="n">
        <v>0</v>
      </c>
      <c r="EK707" s="2" t="n">
        <v>100</v>
      </c>
      <c r="EL707" s="2" t="n">
        <v>100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</row>
    <row r="708">
      <c r="A708" s="2" t="n">
        <v>4</v>
      </c>
      <c r="B708" s="2" t="inlineStr">
        <is>
          <t>30.06.01.01</t>
        </is>
      </c>
      <c r="C708" s="2" t="inlineStr">
        <is>
          <t>Bancada em granito Branco Siena escovado</t>
        </is>
      </c>
      <c r="D708" s="2" t="inlineStr">
        <is>
          <t>20/09/2027</t>
        </is>
      </c>
      <c r="E708" s="2" t="inlineStr">
        <is>
          <t>11/10/2028</t>
        </is>
      </c>
      <c r="F708" s="2" t="n">
        <v>390140.0894985</v>
      </c>
      <c r="G708" s="2" t="n">
        <v>0</v>
      </c>
      <c r="H708" s="2" t="n">
        <v>390140.0894985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1.43</v>
      </c>
      <c r="CM708" s="2" t="n">
        <v>3.23</v>
      </c>
      <c r="CN708" s="2" t="n">
        <v>0</v>
      </c>
      <c r="CO708" s="2" t="n">
        <v>8.77</v>
      </c>
      <c r="CP708" s="2" t="n">
        <v>10.6</v>
      </c>
      <c r="CQ708" s="2" t="n">
        <v>0</v>
      </c>
      <c r="CR708" s="2" t="n">
        <v>16.84</v>
      </c>
      <c r="CS708" s="2" t="n">
        <v>18.69</v>
      </c>
      <c r="CT708" s="2" t="n">
        <v>0</v>
      </c>
      <c r="CU708" s="2" t="n">
        <v>23.62</v>
      </c>
      <c r="CV708" s="2" t="n">
        <v>25.46</v>
      </c>
      <c r="CW708" s="2" t="n">
        <v>0</v>
      </c>
      <c r="CX708" s="2" t="n">
        <v>44.96</v>
      </c>
      <c r="CY708" s="2" t="n">
        <v>46.79</v>
      </c>
      <c r="CZ708" s="2" t="n">
        <v>0</v>
      </c>
      <c r="DA708" s="2" t="n">
        <v>52.76</v>
      </c>
      <c r="DB708" s="2" t="n">
        <v>54.56</v>
      </c>
      <c r="DC708" s="2" t="n">
        <v>0</v>
      </c>
      <c r="DD708" s="2" t="n">
        <v>61.22</v>
      </c>
      <c r="DE708" s="2" t="n">
        <v>63.01</v>
      </c>
      <c r="DF708" s="2" t="n">
        <v>0</v>
      </c>
      <c r="DG708" s="2" t="n">
        <v>68.88</v>
      </c>
      <c r="DH708" s="2" t="n">
        <v>70.79000000000001</v>
      </c>
      <c r="DI708" s="2" t="n">
        <v>0</v>
      </c>
      <c r="DJ708" s="2" t="n">
        <v>76.98999999999999</v>
      </c>
      <c r="DK708" s="2" t="n">
        <v>78.78</v>
      </c>
      <c r="DL708" s="2" t="n">
        <v>0</v>
      </c>
      <c r="DM708" s="2" t="n">
        <v>84.52</v>
      </c>
      <c r="DN708" s="2" t="n">
        <v>86.31</v>
      </c>
      <c r="DO708" s="2" t="n">
        <v>0</v>
      </c>
      <c r="DP708" s="2" t="n">
        <v>92.04000000000001</v>
      </c>
      <c r="DQ708" s="2" t="n">
        <v>93.83</v>
      </c>
      <c r="DR708" s="2" t="n">
        <v>0</v>
      </c>
      <c r="DS708" s="2" t="n">
        <v>95.73</v>
      </c>
      <c r="DT708" s="2" t="n">
        <v>96.77</v>
      </c>
      <c r="DU708" s="2" t="n">
        <v>0</v>
      </c>
      <c r="DV708" s="2" t="n">
        <v>96.77</v>
      </c>
      <c r="DW708" s="2" t="n">
        <v>97.13</v>
      </c>
      <c r="DX708" s="2" t="n">
        <v>0</v>
      </c>
      <c r="DY708" s="2" t="n">
        <v>100</v>
      </c>
      <c r="DZ708" s="2" t="n">
        <v>100</v>
      </c>
      <c r="EA708" s="2" t="n">
        <v>0</v>
      </c>
      <c r="EB708" s="2" t="n">
        <v>100</v>
      </c>
      <c r="EC708" s="2" t="n">
        <v>100</v>
      </c>
      <c r="ED708" s="2" t="n">
        <v>0</v>
      </c>
      <c r="EE708" s="2" t="n">
        <v>100</v>
      </c>
      <c r="EF708" s="2" t="n">
        <v>100</v>
      </c>
      <c r="EG708" s="2" t="n">
        <v>0</v>
      </c>
      <c r="EH708" s="2" t="n">
        <v>100</v>
      </c>
      <c r="EI708" s="2" t="n">
        <v>100</v>
      </c>
      <c r="EJ708" s="2" t="n">
        <v>0</v>
      </c>
      <c r="EK708" s="2" t="n">
        <v>100</v>
      </c>
      <c r="EL708" s="2" t="n">
        <v>100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</row>
    <row r="709">
      <c r="A709" s="2" t="n">
        <v>4</v>
      </c>
      <c r="B709" s="2" t="inlineStr">
        <is>
          <t>30.06.01.02</t>
        </is>
      </c>
      <c r="C709" s="2" t="inlineStr">
        <is>
          <t>Fechamento lateral para bancada de granito</t>
        </is>
      </c>
      <c r="D709" s="2" t="inlineStr">
        <is>
          <t>20/09/2027</t>
        </is>
      </c>
      <c r="E709" s="2" t="inlineStr">
        <is>
          <t>11/10/2028</t>
        </is>
      </c>
      <c r="F709" s="2" t="n">
        <v>3938.24181465</v>
      </c>
      <c r="G709" s="2" t="n">
        <v>0</v>
      </c>
      <c r="H709" s="2" t="n">
        <v>3938.24181465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1.43</v>
      </c>
      <c r="CM709" s="2" t="n">
        <v>3.23</v>
      </c>
      <c r="CN709" s="2" t="n">
        <v>0</v>
      </c>
      <c r="CO709" s="2" t="n">
        <v>8.77</v>
      </c>
      <c r="CP709" s="2" t="n">
        <v>10.6</v>
      </c>
      <c r="CQ709" s="2" t="n">
        <v>0</v>
      </c>
      <c r="CR709" s="2" t="n">
        <v>16.84</v>
      </c>
      <c r="CS709" s="2" t="n">
        <v>18.69</v>
      </c>
      <c r="CT709" s="2" t="n">
        <v>0</v>
      </c>
      <c r="CU709" s="2" t="n">
        <v>23.62</v>
      </c>
      <c r="CV709" s="2" t="n">
        <v>25.46</v>
      </c>
      <c r="CW709" s="2" t="n">
        <v>0</v>
      </c>
      <c r="CX709" s="2" t="n">
        <v>44.96</v>
      </c>
      <c r="CY709" s="2" t="n">
        <v>46.79</v>
      </c>
      <c r="CZ709" s="2" t="n">
        <v>0</v>
      </c>
      <c r="DA709" s="2" t="n">
        <v>52.76</v>
      </c>
      <c r="DB709" s="2" t="n">
        <v>54.56</v>
      </c>
      <c r="DC709" s="2" t="n">
        <v>0</v>
      </c>
      <c r="DD709" s="2" t="n">
        <v>61.22</v>
      </c>
      <c r="DE709" s="2" t="n">
        <v>63.01</v>
      </c>
      <c r="DF709" s="2" t="n">
        <v>0</v>
      </c>
      <c r="DG709" s="2" t="n">
        <v>68.88</v>
      </c>
      <c r="DH709" s="2" t="n">
        <v>70.79000000000001</v>
      </c>
      <c r="DI709" s="2" t="n">
        <v>0</v>
      </c>
      <c r="DJ709" s="2" t="n">
        <v>76.98999999999999</v>
      </c>
      <c r="DK709" s="2" t="n">
        <v>78.78</v>
      </c>
      <c r="DL709" s="2" t="n">
        <v>0</v>
      </c>
      <c r="DM709" s="2" t="n">
        <v>84.52</v>
      </c>
      <c r="DN709" s="2" t="n">
        <v>86.31</v>
      </c>
      <c r="DO709" s="2" t="n">
        <v>0</v>
      </c>
      <c r="DP709" s="2" t="n">
        <v>92.04000000000001</v>
      </c>
      <c r="DQ709" s="2" t="n">
        <v>93.83</v>
      </c>
      <c r="DR709" s="2" t="n">
        <v>0</v>
      </c>
      <c r="DS709" s="2" t="n">
        <v>95.73</v>
      </c>
      <c r="DT709" s="2" t="n">
        <v>96.77</v>
      </c>
      <c r="DU709" s="2" t="n">
        <v>0</v>
      </c>
      <c r="DV709" s="2" t="n">
        <v>96.77</v>
      </c>
      <c r="DW709" s="2" t="n">
        <v>97.13</v>
      </c>
      <c r="DX709" s="2" t="n">
        <v>0</v>
      </c>
      <c r="DY709" s="2" t="n">
        <v>100</v>
      </c>
      <c r="DZ709" s="2" t="n">
        <v>100</v>
      </c>
      <c r="EA709" s="2" t="n">
        <v>0</v>
      </c>
      <c r="EB709" s="2" t="n">
        <v>100</v>
      </c>
      <c r="EC709" s="2" t="n">
        <v>100</v>
      </c>
      <c r="ED709" s="2" t="n">
        <v>0</v>
      </c>
      <c r="EE709" s="2" t="n">
        <v>100</v>
      </c>
      <c r="EF709" s="2" t="n">
        <v>100</v>
      </c>
      <c r="EG709" s="2" t="n">
        <v>0</v>
      </c>
      <c r="EH709" s="2" t="n">
        <v>100</v>
      </c>
      <c r="EI709" s="2" t="n">
        <v>100</v>
      </c>
      <c r="EJ709" s="2" t="n">
        <v>0</v>
      </c>
      <c r="EK709" s="2" t="n">
        <v>100</v>
      </c>
      <c r="EL709" s="2" t="n">
        <v>100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</row>
    <row r="710">
      <c r="A710" s="2" t="n">
        <v>4</v>
      </c>
      <c r="B710" s="2" t="inlineStr">
        <is>
          <t>30.06.01.03</t>
        </is>
      </c>
      <c r="C710" s="2" t="inlineStr">
        <is>
          <t>Testeira de granito Branco Siena escovado h=10cm</t>
        </is>
      </c>
      <c r="D710" s="2" t="inlineStr">
        <is>
          <t>20/09/2027</t>
        </is>
      </c>
      <c r="E710" s="2" t="inlineStr">
        <is>
          <t>11/10/2028</t>
        </is>
      </c>
      <c r="F710" s="2" t="n">
        <v>92582.12387944997</v>
      </c>
      <c r="G710" s="2" t="n">
        <v>0</v>
      </c>
      <c r="H710" s="2" t="n">
        <v>92582.12387944997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1.43</v>
      </c>
      <c r="CM710" s="2" t="n">
        <v>3.23</v>
      </c>
      <c r="CN710" s="2" t="n">
        <v>0</v>
      </c>
      <c r="CO710" s="2" t="n">
        <v>8.77</v>
      </c>
      <c r="CP710" s="2" t="n">
        <v>10.6</v>
      </c>
      <c r="CQ710" s="2" t="n">
        <v>0</v>
      </c>
      <c r="CR710" s="2" t="n">
        <v>16.84</v>
      </c>
      <c r="CS710" s="2" t="n">
        <v>18.69</v>
      </c>
      <c r="CT710" s="2" t="n">
        <v>0</v>
      </c>
      <c r="CU710" s="2" t="n">
        <v>23.62</v>
      </c>
      <c r="CV710" s="2" t="n">
        <v>25.46</v>
      </c>
      <c r="CW710" s="2" t="n">
        <v>0</v>
      </c>
      <c r="CX710" s="2" t="n">
        <v>44.96</v>
      </c>
      <c r="CY710" s="2" t="n">
        <v>46.79</v>
      </c>
      <c r="CZ710" s="2" t="n">
        <v>0</v>
      </c>
      <c r="DA710" s="2" t="n">
        <v>52.76</v>
      </c>
      <c r="DB710" s="2" t="n">
        <v>54.56</v>
      </c>
      <c r="DC710" s="2" t="n">
        <v>0</v>
      </c>
      <c r="DD710" s="2" t="n">
        <v>61.22</v>
      </c>
      <c r="DE710" s="2" t="n">
        <v>63.01</v>
      </c>
      <c r="DF710" s="2" t="n">
        <v>0</v>
      </c>
      <c r="DG710" s="2" t="n">
        <v>68.88</v>
      </c>
      <c r="DH710" s="2" t="n">
        <v>70.79000000000001</v>
      </c>
      <c r="DI710" s="2" t="n">
        <v>0</v>
      </c>
      <c r="DJ710" s="2" t="n">
        <v>76.98999999999999</v>
      </c>
      <c r="DK710" s="2" t="n">
        <v>78.78</v>
      </c>
      <c r="DL710" s="2" t="n">
        <v>0</v>
      </c>
      <c r="DM710" s="2" t="n">
        <v>84.52</v>
      </c>
      <c r="DN710" s="2" t="n">
        <v>86.31</v>
      </c>
      <c r="DO710" s="2" t="n">
        <v>0</v>
      </c>
      <c r="DP710" s="2" t="n">
        <v>92.04000000000001</v>
      </c>
      <c r="DQ710" s="2" t="n">
        <v>93.83</v>
      </c>
      <c r="DR710" s="2" t="n">
        <v>0</v>
      </c>
      <c r="DS710" s="2" t="n">
        <v>95.73</v>
      </c>
      <c r="DT710" s="2" t="n">
        <v>96.77</v>
      </c>
      <c r="DU710" s="2" t="n">
        <v>0</v>
      </c>
      <c r="DV710" s="2" t="n">
        <v>96.77</v>
      </c>
      <c r="DW710" s="2" t="n">
        <v>97.13</v>
      </c>
      <c r="DX710" s="2" t="n">
        <v>0</v>
      </c>
      <c r="DY710" s="2" t="n">
        <v>100</v>
      </c>
      <c r="DZ710" s="2" t="n">
        <v>100</v>
      </c>
      <c r="EA710" s="2" t="n">
        <v>0</v>
      </c>
      <c r="EB710" s="2" t="n">
        <v>100</v>
      </c>
      <c r="EC710" s="2" t="n">
        <v>100</v>
      </c>
      <c r="ED710" s="2" t="n">
        <v>0</v>
      </c>
      <c r="EE710" s="2" t="n">
        <v>100</v>
      </c>
      <c r="EF710" s="2" t="n">
        <v>100</v>
      </c>
      <c r="EG710" s="2" t="n">
        <v>0</v>
      </c>
      <c r="EH710" s="2" t="n">
        <v>100</v>
      </c>
      <c r="EI710" s="2" t="n">
        <v>100</v>
      </c>
      <c r="EJ710" s="2" t="n">
        <v>0</v>
      </c>
      <c r="EK710" s="2" t="n">
        <v>100</v>
      </c>
      <c r="EL710" s="2" t="n">
        <v>100</v>
      </c>
      <c r="EM710" s="2" t="n">
        <v>0</v>
      </c>
      <c r="EN710" s="2" t="n">
        <v>100</v>
      </c>
      <c r="EO710" s="2" t="n">
        <v>100</v>
      </c>
      <c r="EP710" s="2" t="n">
        <v>0</v>
      </c>
      <c r="EQ710" s="2" t="n">
        <v>100</v>
      </c>
      <c r="ER710" s="2" t="n">
        <v>100</v>
      </c>
      <c r="ES710" s="2" t="n">
        <v>0</v>
      </c>
    </row>
    <row r="711">
      <c r="A711" s="2" t="n">
        <v>4</v>
      </c>
      <c r="B711" s="2" t="inlineStr">
        <is>
          <t>30.06.01.04</t>
        </is>
      </c>
      <c r="C711" s="2" t="inlineStr">
        <is>
          <t>Rodabanca de granito Branco Siena escovado h=10cm</t>
        </is>
      </c>
      <c r="D711" s="2" t="inlineStr">
        <is>
          <t>20/09/2027</t>
        </is>
      </c>
      <c r="E711" s="2" t="inlineStr">
        <is>
          <t>11/10/2028</t>
        </is>
      </c>
      <c r="F711" s="2" t="n">
        <v>120759.1016708</v>
      </c>
      <c r="G711" s="2" t="n">
        <v>0</v>
      </c>
      <c r="H711" s="2" t="n">
        <v>120759.1016708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1.43</v>
      </c>
      <c r="CM711" s="2" t="n">
        <v>3.23</v>
      </c>
      <c r="CN711" s="2" t="n">
        <v>0</v>
      </c>
      <c r="CO711" s="2" t="n">
        <v>8.77</v>
      </c>
      <c r="CP711" s="2" t="n">
        <v>10.6</v>
      </c>
      <c r="CQ711" s="2" t="n">
        <v>0</v>
      </c>
      <c r="CR711" s="2" t="n">
        <v>16.84</v>
      </c>
      <c r="CS711" s="2" t="n">
        <v>18.69</v>
      </c>
      <c r="CT711" s="2" t="n">
        <v>0</v>
      </c>
      <c r="CU711" s="2" t="n">
        <v>23.62</v>
      </c>
      <c r="CV711" s="2" t="n">
        <v>25.46</v>
      </c>
      <c r="CW711" s="2" t="n">
        <v>0</v>
      </c>
      <c r="CX711" s="2" t="n">
        <v>44.96</v>
      </c>
      <c r="CY711" s="2" t="n">
        <v>46.79</v>
      </c>
      <c r="CZ711" s="2" t="n">
        <v>0</v>
      </c>
      <c r="DA711" s="2" t="n">
        <v>52.76</v>
      </c>
      <c r="DB711" s="2" t="n">
        <v>54.56</v>
      </c>
      <c r="DC711" s="2" t="n">
        <v>0</v>
      </c>
      <c r="DD711" s="2" t="n">
        <v>61.22</v>
      </c>
      <c r="DE711" s="2" t="n">
        <v>63.01</v>
      </c>
      <c r="DF711" s="2" t="n">
        <v>0</v>
      </c>
      <c r="DG711" s="2" t="n">
        <v>68.88</v>
      </c>
      <c r="DH711" s="2" t="n">
        <v>70.79000000000001</v>
      </c>
      <c r="DI711" s="2" t="n">
        <v>0</v>
      </c>
      <c r="DJ711" s="2" t="n">
        <v>76.98999999999999</v>
      </c>
      <c r="DK711" s="2" t="n">
        <v>78.78</v>
      </c>
      <c r="DL711" s="2" t="n">
        <v>0</v>
      </c>
      <c r="DM711" s="2" t="n">
        <v>84.52</v>
      </c>
      <c r="DN711" s="2" t="n">
        <v>86.31</v>
      </c>
      <c r="DO711" s="2" t="n">
        <v>0</v>
      </c>
      <c r="DP711" s="2" t="n">
        <v>92.04000000000001</v>
      </c>
      <c r="DQ711" s="2" t="n">
        <v>93.83</v>
      </c>
      <c r="DR711" s="2" t="n">
        <v>0</v>
      </c>
      <c r="DS711" s="2" t="n">
        <v>95.73</v>
      </c>
      <c r="DT711" s="2" t="n">
        <v>96.77</v>
      </c>
      <c r="DU711" s="2" t="n">
        <v>0</v>
      </c>
      <c r="DV711" s="2" t="n">
        <v>96.77</v>
      </c>
      <c r="DW711" s="2" t="n">
        <v>97.13</v>
      </c>
      <c r="DX711" s="2" t="n">
        <v>0</v>
      </c>
      <c r="DY711" s="2" t="n">
        <v>100</v>
      </c>
      <c r="DZ711" s="2" t="n">
        <v>100</v>
      </c>
      <c r="EA711" s="2" t="n">
        <v>0</v>
      </c>
      <c r="EB711" s="2" t="n">
        <v>100</v>
      </c>
      <c r="EC711" s="2" t="n">
        <v>100</v>
      </c>
      <c r="ED711" s="2" t="n">
        <v>0</v>
      </c>
      <c r="EE711" s="2" t="n">
        <v>100</v>
      </c>
      <c r="EF711" s="2" t="n">
        <v>100</v>
      </c>
      <c r="EG711" s="2" t="n">
        <v>0</v>
      </c>
      <c r="EH711" s="2" t="n">
        <v>100</v>
      </c>
      <c r="EI711" s="2" t="n">
        <v>100</v>
      </c>
      <c r="EJ711" s="2" t="n">
        <v>0</v>
      </c>
      <c r="EK711" s="2" t="n">
        <v>100</v>
      </c>
      <c r="EL711" s="2" t="n">
        <v>100</v>
      </c>
      <c r="EM711" s="2" t="n">
        <v>0</v>
      </c>
      <c r="EN711" s="2" t="n">
        <v>100</v>
      </c>
      <c r="EO711" s="2" t="n">
        <v>100</v>
      </c>
      <c r="EP711" s="2" t="n">
        <v>0</v>
      </c>
      <c r="EQ711" s="2" t="n">
        <v>100</v>
      </c>
      <c r="ER711" s="2" t="n">
        <v>100</v>
      </c>
      <c r="ES711" s="2" t="n">
        <v>0</v>
      </c>
    </row>
    <row r="712">
      <c r="A712" s="2" t="n">
        <v>4</v>
      </c>
      <c r="B712" s="2" t="inlineStr">
        <is>
          <t>30.06.01.05</t>
        </is>
      </c>
      <c r="C712" s="2" t="inlineStr">
        <is>
          <t>Furo e colagem de bojo</t>
        </is>
      </c>
      <c r="D712" s="2" t="inlineStr">
        <is>
          <t>20/09/2027</t>
        </is>
      </c>
      <c r="E712" s="2" t="inlineStr">
        <is>
          <t>11/10/2028</t>
        </is>
      </c>
      <c r="F712" s="2" t="n">
        <v>9090</v>
      </c>
      <c r="G712" s="2" t="n">
        <v>0</v>
      </c>
      <c r="H712" s="2" t="n">
        <v>9090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1.43</v>
      </c>
      <c r="CM712" s="2" t="n">
        <v>3.23</v>
      </c>
      <c r="CN712" s="2" t="n">
        <v>0</v>
      </c>
      <c r="CO712" s="2" t="n">
        <v>8.77</v>
      </c>
      <c r="CP712" s="2" t="n">
        <v>10.6</v>
      </c>
      <c r="CQ712" s="2" t="n">
        <v>0</v>
      </c>
      <c r="CR712" s="2" t="n">
        <v>16.84</v>
      </c>
      <c r="CS712" s="2" t="n">
        <v>18.69</v>
      </c>
      <c r="CT712" s="2" t="n">
        <v>0</v>
      </c>
      <c r="CU712" s="2" t="n">
        <v>23.62</v>
      </c>
      <c r="CV712" s="2" t="n">
        <v>25.46</v>
      </c>
      <c r="CW712" s="2" t="n">
        <v>0</v>
      </c>
      <c r="CX712" s="2" t="n">
        <v>44.96</v>
      </c>
      <c r="CY712" s="2" t="n">
        <v>46.79</v>
      </c>
      <c r="CZ712" s="2" t="n">
        <v>0</v>
      </c>
      <c r="DA712" s="2" t="n">
        <v>52.76</v>
      </c>
      <c r="DB712" s="2" t="n">
        <v>54.56</v>
      </c>
      <c r="DC712" s="2" t="n">
        <v>0</v>
      </c>
      <c r="DD712" s="2" t="n">
        <v>61.22</v>
      </c>
      <c r="DE712" s="2" t="n">
        <v>63.01</v>
      </c>
      <c r="DF712" s="2" t="n">
        <v>0</v>
      </c>
      <c r="DG712" s="2" t="n">
        <v>68.88</v>
      </c>
      <c r="DH712" s="2" t="n">
        <v>70.79000000000001</v>
      </c>
      <c r="DI712" s="2" t="n">
        <v>0</v>
      </c>
      <c r="DJ712" s="2" t="n">
        <v>76.98999999999999</v>
      </c>
      <c r="DK712" s="2" t="n">
        <v>78.78</v>
      </c>
      <c r="DL712" s="2" t="n">
        <v>0</v>
      </c>
      <c r="DM712" s="2" t="n">
        <v>84.52</v>
      </c>
      <c r="DN712" s="2" t="n">
        <v>86.31</v>
      </c>
      <c r="DO712" s="2" t="n">
        <v>0</v>
      </c>
      <c r="DP712" s="2" t="n">
        <v>92.04000000000001</v>
      </c>
      <c r="DQ712" s="2" t="n">
        <v>93.83</v>
      </c>
      <c r="DR712" s="2" t="n">
        <v>0</v>
      </c>
      <c r="DS712" s="2" t="n">
        <v>95.73</v>
      </c>
      <c r="DT712" s="2" t="n">
        <v>96.77</v>
      </c>
      <c r="DU712" s="2" t="n">
        <v>0</v>
      </c>
      <c r="DV712" s="2" t="n">
        <v>96.77</v>
      </c>
      <c r="DW712" s="2" t="n">
        <v>97.13</v>
      </c>
      <c r="DX712" s="2" t="n">
        <v>0</v>
      </c>
      <c r="DY712" s="2" t="n">
        <v>100</v>
      </c>
      <c r="DZ712" s="2" t="n">
        <v>100</v>
      </c>
      <c r="EA712" s="2" t="n">
        <v>0</v>
      </c>
      <c r="EB712" s="2" t="n">
        <v>100</v>
      </c>
      <c r="EC712" s="2" t="n">
        <v>100</v>
      </c>
      <c r="ED712" s="2" t="n">
        <v>0</v>
      </c>
      <c r="EE712" s="2" t="n">
        <v>100</v>
      </c>
      <c r="EF712" s="2" t="n">
        <v>100</v>
      </c>
      <c r="EG712" s="2" t="n">
        <v>0</v>
      </c>
      <c r="EH712" s="2" t="n">
        <v>100</v>
      </c>
      <c r="EI712" s="2" t="n">
        <v>100</v>
      </c>
      <c r="EJ712" s="2" t="n">
        <v>0</v>
      </c>
      <c r="EK712" s="2" t="n">
        <v>100</v>
      </c>
      <c r="EL712" s="2" t="n">
        <v>100</v>
      </c>
      <c r="EM712" s="2" t="n">
        <v>0</v>
      </c>
      <c r="EN712" s="2" t="n">
        <v>100</v>
      </c>
      <c r="EO712" s="2" t="n">
        <v>100</v>
      </c>
      <c r="EP712" s="2" t="n">
        <v>0</v>
      </c>
      <c r="EQ712" s="2" t="n">
        <v>100</v>
      </c>
      <c r="ER712" s="2" t="n">
        <v>100</v>
      </c>
      <c r="ES712" s="2" t="n">
        <v>0</v>
      </c>
    </row>
    <row r="713">
      <c r="A713" s="2" t="n">
        <v>4</v>
      </c>
      <c r="B713" s="2" t="inlineStr">
        <is>
          <t>30.06.01.06</t>
        </is>
      </c>
      <c r="C713" s="2" t="inlineStr">
        <is>
          <t>Mãos francesas para bancadas</t>
        </is>
      </c>
      <c r="D713" s="2" t="inlineStr">
        <is>
          <t>20/09/2027</t>
        </is>
      </c>
      <c r="E713" s="2" t="inlineStr">
        <is>
          <t>11/10/2028</t>
        </is>
      </c>
      <c r="F713" s="2" t="n">
        <v>24275</v>
      </c>
      <c r="G713" s="2" t="n">
        <v>0</v>
      </c>
      <c r="H713" s="2" t="n">
        <v>24275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1.43</v>
      </c>
      <c r="CM713" s="2" t="n">
        <v>3.23</v>
      </c>
      <c r="CN713" s="2" t="n">
        <v>0</v>
      </c>
      <c r="CO713" s="2" t="n">
        <v>8.77</v>
      </c>
      <c r="CP713" s="2" t="n">
        <v>10.6</v>
      </c>
      <c r="CQ713" s="2" t="n">
        <v>0</v>
      </c>
      <c r="CR713" s="2" t="n">
        <v>16.84</v>
      </c>
      <c r="CS713" s="2" t="n">
        <v>18.69</v>
      </c>
      <c r="CT713" s="2" t="n">
        <v>0</v>
      </c>
      <c r="CU713" s="2" t="n">
        <v>23.62</v>
      </c>
      <c r="CV713" s="2" t="n">
        <v>25.46</v>
      </c>
      <c r="CW713" s="2" t="n">
        <v>0</v>
      </c>
      <c r="CX713" s="2" t="n">
        <v>44.96</v>
      </c>
      <c r="CY713" s="2" t="n">
        <v>46.79</v>
      </c>
      <c r="CZ713" s="2" t="n">
        <v>0</v>
      </c>
      <c r="DA713" s="2" t="n">
        <v>52.76</v>
      </c>
      <c r="DB713" s="2" t="n">
        <v>54.56</v>
      </c>
      <c r="DC713" s="2" t="n">
        <v>0</v>
      </c>
      <c r="DD713" s="2" t="n">
        <v>61.22</v>
      </c>
      <c r="DE713" s="2" t="n">
        <v>63.01</v>
      </c>
      <c r="DF713" s="2" t="n">
        <v>0</v>
      </c>
      <c r="DG713" s="2" t="n">
        <v>68.88</v>
      </c>
      <c r="DH713" s="2" t="n">
        <v>70.79000000000001</v>
      </c>
      <c r="DI713" s="2" t="n">
        <v>0</v>
      </c>
      <c r="DJ713" s="2" t="n">
        <v>76.98999999999999</v>
      </c>
      <c r="DK713" s="2" t="n">
        <v>78.78</v>
      </c>
      <c r="DL713" s="2" t="n">
        <v>0</v>
      </c>
      <c r="DM713" s="2" t="n">
        <v>84.52</v>
      </c>
      <c r="DN713" s="2" t="n">
        <v>86.31</v>
      </c>
      <c r="DO713" s="2" t="n">
        <v>0</v>
      </c>
      <c r="DP713" s="2" t="n">
        <v>92.04000000000001</v>
      </c>
      <c r="DQ713" s="2" t="n">
        <v>93.83</v>
      </c>
      <c r="DR713" s="2" t="n">
        <v>0</v>
      </c>
      <c r="DS713" s="2" t="n">
        <v>95.73</v>
      </c>
      <c r="DT713" s="2" t="n">
        <v>96.77</v>
      </c>
      <c r="DU713" s="2" t="n">
        <v>0</v>
      </c>
      <c r="DV713" s="2" t="n">
        <v>96.77</v>
      </c>
      <c r="DW713" s="2" t="n">
        <v>97.13</v>
      </c>
      <c r="DX713" s="2" t="n">
        <v>0</v>
      </c>
      <c r="DY713" s="2" t="n">
        <v>100</v>
      </c>
      <c r="DZ713" s="2" t="n">
        <v>100</v>
      </c>
      <c r="EA713" s="2" t="n">
        <v>0</v>
      </c>
      <c r="EB713" s="2" t="n">
        <v>100</v>
      </c>
      <c r="EC713" s="2" t="n">
        <v>100</v>
      </c>
      <c r="ED713" s="2" t="n">
        <v>0</v>
      </c>
      <c r="EE713" s="2" t="n">
        <v>100</v>
      </c>
      <c r="EF713" s="2" t="n">
        <v>100</v>
      </c>
      <c r="EG713" s="2" t="n">
        <v>0</v>
      </c>
      <c r="EH713" s="2" t="n">
        <v>100</v>
      </c>
      <c r="EI713" s="2" t="n">
        <v>100</v>
      </c>
      <c r="EJ713" s="2" t="n">
        <v>0</v>
      </c>
      <c r="EK713" s="2" t="n">
        <v>100</v>
      </c>
      <c r="EL713" s="2" t="n">
        <v>100</v>
      </c>
      <c r="EM713" s="2" t="n">
        <v>0</v>
      </c>
      <c r="EN713" s="2" t="n">
        <v>100</v>
      </c>
      <c r="EO713" s="2" t="n">
        <v>100</v>
      </c>
      <c r="EP713" s="2" t="n">
        <v>0</v>
      </c>
      <c r="EQ713" s="2" t="n">
        <v>100</v>
      </c>
      <c r="ER713" s="2" t="n">
        <v>100</v>
      </c>
      <c r="ES713" s="2" t="n">
        <v>0</v>
      </c>
    </row>
    <row r="714">
      <c r="A714" s="2" t="n">
        <v>4</v>
      </c>
      <c r="B714" s="2" t="inlineStr">
        <is>
          <t>30.06.01.07</t>
        </is>
      </c>
      <c r="C714" s="2" t="inlineStr">
        <is>
          <t>Proteção de bancadas contra manuseio de obra</t>
        </is>
      </c>
      <c r="D714" s="2" t="inlineStr">
        <is>
          <t>20/09/2027</t>
        </is>
      </c>
      <c r="E714" s="2" t="inlineStr">
        <is>
          <t>11/10/2028</t>
        </is>
      </c>
      <c r="F714" s="2" t="n">
        <v>7376.472834174527</v>
      </c>
      <c r="G714" s="2" t="n">
        <v>0</v>
      </c>
      <c r="H714" s="2" t="n">
        <v>7376.472834174527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1.43</v>
      </c>
      <c r="CM714" s="2" t="n">
        <v>3.23</v>
      </c>
      <c r="CN714" s="2" t="n">
        <v>0</v>
      </c>
      <c r="CO714" s="2" t="n">
        <v>8.77</v>
      </c>
      <c r="CP714" s="2" t="n">
        <v>10.6</v>
      </c>
      <c r="CQ714" s="2" t="n">
        <v>0</v>
      </c>
      <c r="CR714" s="2" t="n">
        <v>16.84</v>
      </c>
      <c r="CS714" s="2" t="n">
        <v>18.69</v>
      </c>
      <c r="CT714" s="2" t="n">
        <v>0</v>
      </c>
      <c r="CU714" s="2" t="n">
        <v>23.62</v>
      </c>
      <c r="CV714" s="2" t="n">
        <v>25.46</v>
      </c>
      <c r="CW714" s="2" t="n">
        <v>0</v>
      </c>
      <c r="CX714" s="2" t="n">
        <v>44.96</v>
      </c>
      <c r="CY714" s="2" t="n">
        <v>46.79</v>
      </c>
      <c r="CZ714" s="2" t="n">
        <v>0</v>
      </c>
      <c r="DA714" s="2" t="n">
        <v>52.76</v>
      </c>
      <c r="DB714" s="2" t="n">
        <v>54.56</v>
      </c>
      <c r="DC714" s="2" t="n">
        <v>0</v>
      </c>
      <c r="DD714" s="2" t="n">
        <v>61.22</v>
      </c>
      <c r="DE714" s="2" t="n">
        <v>63.01</v>
      </c>
      <c r="DF714" s="2" t="n">
        <v>0</v>
      </c>
      <c r="DG714" s="2" t="n">
        <v>68.88</v>
      </c>
      <c r="DH714" s="2" t="n">
        <v>70.79000000000001</v>
      </c>
      <c r="DI714" s="2" t="n">
        <v>0</v>
      </c>
      <c r="DJ714" s="2" t="n">
        <v>76.98999999999999</v>
      </c>
      <c r="DK714" s="2" t="n">
        <v>78.78</v>
      </c>
      <c r="DL714" s="2" t="n">
        <v>0</v>
      </c>
      <c r="DM714" s="2" t="n">
        <v>84.52</v>
      </c>
      <c r="DN714" s="2" t="n">
        <v>86.31</v>
      </c>
      <c r="DO714" s="2" t="n">
        <v>0</v>
      </c>
      <c r="DP714" s="2" t="n">
        <v>92.04000000000001</v>
      </c>
      <c r="DQ714" s="2" t="n">
        <v>93.83</v>
      </c>
      <c r="DR714" s="2" t="n">
        <v>0</v>
      </c>
      <c r="DS714" s="2" t="n">
        <v>95.73</v>
      </c>
      <c r="DT714" s="2" t="n">
        <v>96.77</v>
      </c>
      <c r="DU714" s="2" t="n">
        <v>0</v>
      </c>
      <c r="DV714" s="2" t="n">
        <v>96.77</v>
      </c>
      <c r="DW714" s="2" t="n">
        <v>97.13</v>
      </c>
      <c r="DX714" s="2" t="n">
        <v>0</v>
      </c>
      <c r="DY714" s="2" t="n">
        <v>100</v>
      </c>
      <c r="DZ714" s="2" t="n">
        <v>100</v>
      </c>
      <c r="EA714" s="2" t="n">
        <v>0</v>
      </c>
      <c r="EB714" s="2" t="n">
        <v>100</v>
      </c>
      <c r="EC714" s="2" t="n">
        <v>100</v>
      </c>
      <c r="ED714" s="2" t="n">
        <v>0</v>
      </c>
      <c r="EE714" s="2" t="n">
        <v>100</v>
      </c>
      <c r="EF714" s="2" t="n">
        <v>100</v>
      </c>
      <c r="EG714" s="2" t="n">
        <v>0</v>
      </c>
      <c r="EH714" s="2" t="n">
        <v>100</v>
      </c>
      <c r="EI714" s="2" t="n">
        <v>100</v>
      </c>
      <c r="EJ714" s="2" t="n">
        <v>0</v>
      </c>
      <c r="EK714" s="2" t="n">
        <v>100</v>
      </c>
      <c r="EL714" s="2" t="n">
        <v>100</v>
      </c>
      <c r="EM714" s="2" t="n">
        <v>0</v>
      </c>
      <c r="EN714" s="2" t="n">
        <v>100</v>
      </c>
      <c r="EO714" s="2" t="n">
        <v>100</v>
      </c>
      <c r="EP714" s="2" t="n">
        <v>0</v>
      </c>
      <c r="EQ714" s="2" t="n">
        <v>100</v>
      </c>
      <c r="ER714" s="2" t="n">
        <v>100</v>
      </c>
      <c r="ES714" s="2" t="n">
        <v>0</v>
      </c>
    </row>
    <row r="715">
      <c r="A715" s="2" t="n">
        <v>3</v>
      </c>
      <c r="B715" s="2" t="inlineStr">
        <is>
          <t>30.06.02</t>
        </is>
      </c>
      <c r="C715" s="2" t="inlineStr">
        <is>
          <t>Bancadas de granito a definir  - Copa| Guarita SS</t>
        </is>
      </c>
      <c r="D715" s="2" t="inlineStr">
        <is>
          <t>20/09/2027</t>
        </is>
      </c>
      <c r="E715" s="2" t="inlineStr">
        <is>
          <t>11/10/2028</t>
        </is>
      </c>
      <c r="F715" s="2" t="n">
        <v>4435.196582303804</v>
      </c>
      <c r="G715" s="2" t="n">
        <v>0</v>
      </c>
      <c r="H715" s="2" t="n">
        <v>4435.196582303804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1.43</v>
      </c>
      <c r="CM715" s="2" t="n">
        <v>3.23</v>
      </c>
      <c r="CN715" s="2" t="n">
        <v>0</v>
      </c>
      <c r="CO715" s="2" t="n">
        <v>8.77</v>
      </c>
      <c r="CP715" s="2" t="n">
        <v>10.6</v>
      </c>
      <c r="CQ715" s="2" t="n">
        <v>0</v>
      </c>
      <c r="CR715" s="2" t="n">
        <v>16.84</v>
      </c>
      <c r="CS715" s="2" t="n">
        <v>18.69</v>
      </c>
      <c r="CT715" s="2" t="n">
        <v>0</v>
      </c>
      <c r="CU715" s="2" t="n">
        <v>23.62</v>
      </c>
      <c r="CV715" s="2" t="n">
        <v>25.46</v>
      </c>
      <c r="CW715" s="2" t="n">
        <v>0</v>
      </c>
      <c r="CX715" s="2" t="n">
        <v>44.96</v>
      </c>
      <c r="CY715" s="2" t="n">
        <v>46.79</v>
      </c>
      <c r="CZ715" s="2" t="n">
        <v>0</v>
      </c>
      <c r="DA715" s="2" t="n">
        <v>52.76</v>
      </c>
      <c r="DB715" s="2" t="n">
        <v>54.56</v>
      </c>
      <c r="DC715" s="2" t="n">
        <v>0</v>
      </c>
      <c r="DD715" s="2" t="n">
        <v>61.22</v>
      </c>
      <c r="DE715" s="2" t="n">
        <v>63.01</v>
      </c>
      <c r="DF715" s="2" t="n">
        <v>0</v>
      </c>
      <c r="DG715" s="2" t="n">
        <v>68.88</v>
      </c>
      <c r="DH715" s="2" t="n">
        <v>70.79000000000001</v>
      </c>
      <c r="DI715" s="2" t="n">
        <v>0</v>
      </c>
      <c r="DJ715" s="2" t="n">
        <v>76.98999999999999</v>
      </c>
      <c r="DK715" s="2" t="n">
        <v>78.78</v>
      </c>
      <c r="DL715" s="2" t="n">
        <v>0</v>
      </c>
      <c r="DM715" s="2" t="n">
        <v>84.52</v>
      </c>
      <c r="DN715" s="2" t="n">
        <v>86.31</v>
      </c>
      <c r="DO715" s="2" t="n">
        <v>0</v>
      </c>
      <c r="DP715" s="2" t="n">
        <v>92.04000000000001</v>
      </c>
      <c r="DQ715" s="2" t="n">
        <v>93.83</v>
      </c>
      <c r="DR715" s="2" t="n">
        <v>0</v>
      </c>
      <c r="DS715" s="2" t="n">
        <v>95.73</v>
      </c>
      <c r="DT715" s="2" t="n">
        <v>96.77</v>
      </c>
      <c r="DU715" s="2" t="n">
        <v>0</v>
      </c>
      <c r="DV715" s="2" t="n">
        <v>96.77</v>
      </c>
      <c r="DW715" s="2" t="n">
        <v>97.13</v>
      </c>
      <c r="DX715" s="2" t="n">
        <v>0</v>
      </c>
      <c r="DY715" s="2" t="n">
        <v>100</v>
      </c>
      <c r="DZ715" s="2" t="n">
        <v>100</v>
      </c>
      <c r="EA715" s="2" t="n">
        <v>0</v>
      </c>
      <c r="EB715" s="2" t="n">
        <v>100</v>
      </c>
      <c r="EC715" s="2" t="n">
        <v>100</v>
      </c>
      <c r="ED715" s="2" t="n">
        <v>0</v>
      </c>
      <c r="EE715" s="2" t="n">
        <v>100</v>
      </c>
      <c r="EF715" s="2" t="n">
        <v>100</v>
      </c>
      <c r="EG715" s="2" t="n">
        <v>0</v>
      </c>
      <c r="EH715" s="2" t="n">
        <v>100</v>
      </c>
      <c r="EI715" s="2" t="n">
        <v>100</v>
      </c>
      <c r="EJ715" s="2" t="n">
        <v>0</v>
      </c>
      <c r="EK715" s="2" t="n">
        <v>100</v>
      </c>
      <c r="EL715" s="2" t="n">
        <v>100</v>
      </c>
      <c r="EM715" s="2" t="n">
        <v>0</v>
      </c>
      <c r="EN715" s="2" t="n">
        <v>100</v>
      </c>
      <c r="EO715" s="2" t="n">
        <v>100</v>
      </c>
      <c r="EP715" s="2" t="n">
        <v>0</v>
      </c>
      <c r="EQ715" s="2" t="n">
        <v>100</v>
      </c>
      <c r="ER715" s="2" t="n">
        <v>100</v>
      </c>
      <c r="ES715" s="2" t="n">
        <v>0</v>
      </c>
    </row>
    <row r="716">
      <c r="A716" s="2" t="n">
        <v>4</v>
      </c>
      <c r="B716" s="2" t="inlineStr">
        <is>
          <t>30.06.02.01</t>
        </is>
      </c>
      <c r="C716" s="2" t="inlineStr">
        <is>
          <t>Bancadas de granito</t>
        </is>
      </c>
      <c r="D716" s="2" t="inlineStr">
        <is>
          <t>20/09/2027</t>
        </is>
      </c>
      <c r="E716" s="2" t="inlineStr">
        <is>
          <t>11/10/2028</t>
        </is>
      </c>
      <c r="F716" s="2" t="n">
        <v>2515.015766</v>
      </c>
      <c r="G716" s="2" t="n">
        <v>0</v>
      </c>
      <c r="H716" s="2" t="n">
        <v>2515.015766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1.43</v>
      </c>
      <c r="CM716" s="2" t="n">
        <v>3.23</v>
      </c>
      <c r="CN716" s="2" t="n">
        <v>0</v>
      </c>
      <c r="CO716" s="2" t="n">
        <v>8.77</v>
      </c>
      <c r="CP716" s="2" t="n">
        <v>10.6</v>
      </c>
      <c r="CQ716" s="2" t="n">
        <v>0</v>
      </c>
      <c r="CR716" s="2" t="n">
        <v>16.84</v>
      </c>
      <c r="CS716" s="2" t="n">
        <v>18.69</v>
      </c>
      <c r="CT716" s="2" t="n">
        <v>0</v>
      </c>
      <c r="CU716" s="2" t="n">
        <v>23.62</v>
      </c>
      <c r="CV716" s="2" t="n">
        <v>25.46</v>
      </c>
      <c r="CW716" s="2" t="n">
        <v>0</v>
      </c>
      <c r="CX716" s="2" t="n">
        <v>44.96</v>
      </c>
      <c r="CY716" s="2" t="n">
        <v>46.79</v>
      </c>
      <c r="CZ716" s="2" t="n">
        <v>0</v>
      </c>
      <c r="DA716" s="2" t="n">
        <v>52.76</v>
      </c>
      <c r="DB716" s="2" t="n">
        <v>54.56</v>
      </c>
      <c r="DC716" s="2" t="n">
        <v>0</v>
      </c>
      <c r="DD716" s="2" t="n">
        <v>61.22</v>
      </c>
      <c r="DE716" s="2" t="n">
        <v>63.01</v>
      </c>
      <c r="DF716" s="2" t="n">
        <v>0</v>
      </c>
      <c r="DG716" s="2" t="n">
        <v>68.88</v>
      </c>
      <c r="DH716" s="2" t="n">
        <v>70.79000000000001</v>
      </c>
      <c r="DI716" s="2" t="n">
        <v>0</v>
      </c>
      <c r="DJ716" s="2" t="n">
        <v>76.98999999999999</v>
      </c>
      <c r="DK716" s="2" t="n">
        <v>78.78</v>
      </c>
      <c r="DL716" s="2" t="n">
        <v>0</v>
      </c>
      <c r="DM716" s="2" t="n">
        <v>84.52</v>
      </c>
      <c r="DN716" s="2" t="n">
        <v>86.31</v>
      </c>
      <c r="DO716" s="2" t="n">
        <v>0</v>
      </c>
      <c r="DP716" s="2" t="n">
        <v>92.04000000000001</v>
      </c>
      <c r="DQ716" s="2" t="n">
        <v>93.83</v>
      </c>
      <c r="DR716" s="2" t="n">
        <v>0</v>
      </c>
      <c r="DS716" s="2" t="n">
        <v>95.73</v>
      </c>
      <c r="DT716" s="2" t="n">
        <v>96.77</v>
      </c>
      <c r="DU716" s="2" t="n">
        <v>0</v>
      </c>
      <c r="DV716" s="2" t="n">
        <v>96.77</v>
      </c>
      <c r="DW716" s="2" t="n">
        <v>97.13</v>
      </c>
      <c r="DX716" s="2" t="n">
        <v>0</v>
      </c>
      <c r="DY716" s="2" t="n">
        <v>100</v>
      </c>
      <c r="DZ716" s="2" t="n">
        <v>100</v>
      </c>
      <c r="EA716" s="2" t="n">
        <v>0</v>
      </c>
      <c r="EB716" s="2" t="n">
        <v>100</v>
      </c>
      <c r="EC716" s="2" t="n">
        <v>100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</row>
    <row r="717">
      <c r="A717" s="2" t="n">
        <v>4</v>
      </c>
      <c r="B717" s="2" t="inlineStr">
        <is>
          <t>30.06.02.02</t>
        </is>
      </c>
      <c r="C717" s="2" t="inlineStr">
        <is>
          <t>Testeira de granito h=10cm</t>
        </is>
      </c>
      <c r="D717" s="2" t="inlineStr">
        <is>
          <t>20/09/2027</t>
        </is>
      </c>
      <c r="E717" s="2" t="inlineStr">
        <is>
          <t>11/10/2028</t>
        </is>
      </c>
      <c r="F717" s="2" t="n">
        <v>792.9800558749998</v>
      </c>
      <c r="G717" s="2" t="n">
        <v>0</v>
      </c>
      <c r="H717" s="2" t="n">
        <v>792.9800558749998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1.43</v>
      </c>
      <c r="CM717" s="2" t="n">
        <v>3.23</v>
      </c>
      <c r="CN717" s="2" t="n">
        <v>0</v>
      </c>
      <c r="CO717" s="2" t="n">
        <v>8.77</v>
      </c>
      <c r="CP717" s="2" t="n">
        <v>10.6</v>
      </c>
      <c r="CQ717" s="2" t="n">
        <v>0</v>
      </c>
      <c r="CR717" s="2" t="n">
        <v>16.84</v>
      </c>
      <c r="CS717" s="2" t="n">
        <v>18.69</v>
      </c>
      <c r="CT717" s="2" t="n">
        <v>0</v>
      </c>
      <c r="CU717" s="2" t="n">
        <v>23.62</v>
      </c>
      <c r="CV717" s="2" t="n">
        <v>25.46</v>
      </c>
      <c r="CW717" s="2" t="n">
        <v>0</v>
      </c>
      <c r="CX717" s="2" t="n">
        <v>44.96</v>
      </c>
      <c r="CY717" s="2" t="n">
        <v>46.79</v>
      </c>
      <c r="CZ717" s="2" t="n">
        <v>0</v>
      </c>
      <c r="DA717" s="2" t="n">
        <v>52.76</v>
      </c>
      <c r="DB717" s="2" t="n">
        <v>54.56</v>
      </c>
      <c r="DC717" s="2" t="n">
        <v>0</v>
      </c>
      <c r="DD717" s="2" t="n">
        <v>61.22</v>
      </c>
      <c r="DE717" s="2" t="n">
        <v>63.01</v>
      </c>
      <c r="DF717" s="2" t="n">
        <v>0</v>
      </c>
      <c r="DG717" s="2" t="n">
        <v>68.88</v>
      </c>
      <c r="DH717" s="2" t="n">
        <v>70.79000000000001</v>
      </c>
      <c r="DI717" s="2" t="n">
        <v>0</v>
      </c>
      <c r="DJ717" s="2" t="n">
        <v>76.98999999999999</v>
      </c>
      <c r="DK717" s="2" t="n">
        <v>78.78</v>
      </c>
      <c r="DL717" s="2" t="n">
        <v>0</v>
      </c>
      <c r="DM717" s="2" t="n">
        <v>84.52</v>
      </c>
      <c r="DN717" s="2" t="n">
        <v>86.31</v>
      </c>
      <c r="DO717" s="2" t="n">
        <v>0</v>
      </c>
      <c r="DP717" s="2" t="n">
        <v>92.04000000000001</v>
      </c>
      <c r="DQ717" s="2" t="n">
        <v>93.83</v>
      </c>
      <c r="DR717" s="2" t="n">
        <v>0</v>
      </c>
      <c r="DS717" s="2" t="n">
        <v>95.73</v>
      </c>
      <c r="DT717" s="2" t="n">
        <v>96.77</v>
      </c>
      <c r="DU717" s="2" t="n">
        <v>0</v>
      </c>
      <c r="DV717" s="2" t="n">
        <v>96.77</v>
      </c>
      <c r="DW717" s="2" t="n">
        <v>97.13</v>
      </c>
      <c r="DX717" s="2" t="n">
        <v>0</v>
      </c>
      <c r="DY717" s="2" t="n">
        <v>100</v>
      </c>
      <c r="DZ717" s="2" t="n">
        <v>100</v>
      </c>
      <c r="EA717" s="2" t="n">
        <v>0</v>
      </c>
      <c r="EB717" s="2" t="n">
        <v>100</v>
      </c>
      <c r="EC717" s="2" t="n">
        <v>100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</row>
    <row r="718">
      <c r="A718" s="2" t="n">
        <v>4</v>
      </c>
      <c r="B718" s="2" t="inlineStr">
        <is>
          <t>30.06.02.03</t>
        </is>
      </c>
      <c r="C718" s="2" t="inlineStr">
        <is>
          <t>Rodabanca de granito h=10cm</t>
        </is>
      </c>
      <c r="D718" s="2" t="inlineStr">
        <is>
          <t>20/09/2027</t>
        </is>
      </c>
      <c r="E718" s="2" t="inlineStr">
        <is>
          <t>11/10/2028</t>
        </is>
      </c>
      <c r="F718" s="2" t="n">
        <v>884.7204982249998</v>
      </c>
      <c r="G718" s="2" t="n">
        <v>0</v>
      </c>
      <c r="H718" s="2" t="n">
        <v>884.7204982249998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1.43</v>
      </c>
      <c r="CM718" s="2" t="n">
        <v>3.23</v>
      </c>
      <c r="CN718" s="2" t="n">
        <v>0</v>
      </c>
      <c r="CO718" s="2" t="n">
        <v>8.77</v>
      </c>
      <c r="CP718" s="2" t="n">
        <v>10.6</v>
      </c>
      <c r="CQ718" s="2" t="n">
        <v>0</v>
      </c>
      <c r="CR718" s="2" t="n">
        <v>16.84</v>
      </c>
      <c r="CS718" s="2" t="n">
        <v>18.69</v>
      </c>
      <c r="CT718" s="2" t="n">
        <v>0</v>
      </c>
      <c r="CU718" s="2" t="n">
        <v>23.62</v>
      </c>
      <c r="CV718" s="2" t="n">
        <v>25.46</v>
      </c>
      <c r="CW718" s="2" t="n">
        <v>0</v>
      </c>
      <c r="CX718" s="2" t="n">
        <v>44.96</v>
      </c>
      <c r="CY718" s="2" t="n">
        <v>46.79</v>
      </c>
      <c r="CZ718" s="2" t="n">
        <v>0</v>
      </c>
      <c r="DA718" s="2" t="n">
        <v>52.76</v>
      </c>
      <c r="DB718" s="2" t="n">
        <v>54.56</v>
      </c>
      <c r="DC718" s="2" t="n">
        <v>0</v>
      </c>
      <c r="DD718" s="2" t="n">
        <v>61.22</v>
      </c>
      <c r="DE718" s="2" t="n">
        <v>63.01</v>
      </c>
      <c r="DF718" s="2" t="n">
        <v>0</v>
      </c>
      <c r="DG718" s="2" t="n">
        <v>68.88</v>
      </c>
      <c r="DH718" s="2" t="n">
        <v>70.79000000000001</v>
      </c>
      <c r="DI718" s="2" t="n">
        <v>0</v>
      </c>
      <c r="DJ718" s="2" t="n">
        <v>76.98999999999999</v>
      </c>
      <c r="DK718" s="2" t="n">
        <v>78.78</v>
      </c>
      <c r="DL718" s="2" t="n">
        <v>0</v>
      </c>
      <c r="DM718" s="2" t="n">
        <v>84.52</v>
      </c>
      <c r="DN718" s="2" t="n">
        <v>86.31</v>
      </c>
      <c r="DO718" s="2" t="n">
        <v>0</v>
      </c>
      <c r="DP718" s="2" t="n">
        <v>92.04000000000001</v>
      </c>
      <c r="DQ718" s="2" t="n">
        <v>93.83</v>
      </c>
      <c r="DR718" s="2" t="n">
        <v>0</v>
      </c>
      <c r="DS718" s="2" t="n">
        <v>95.73</v>
      </c>
      <c r="DT718" s="2" t="n">
        <v>96.77</v>
      </c>
      <c r="DU718" s="2" t="n">
        <v>0</v>
      </c>
      <c r="DV718" s="2" t="n">
        <v>96.77</v>
      </c>
      <c r="DW718" s="2" t="n">
        <v>97.13</v>
      </c>
      <c r="DX718" s="2" t="n">
        <v>0</v>
      </c>
      <c r="DY718" s="2" t="n">
        <v>100</v>
      </c>
      <c r="DZ718" s="2" t="n">
        <v>100</v>
      </c>
      <c r="EA718" s="2" t="n">
        <v>0</v>
      </c>
      <c r="EB718" s="2" t="n">
        <v>100</v>
      </c>
      <c r="EC718" s="2" t="n">
        <v>100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</row>
    <row r="719">
      <c r="A719" s="2" t="n">
        <v>4</v>
      </c>
      <c r="B719" s="2" t="inlineStr">
        <is>
          <t>30.06.02.04</t>
        </is>
      </c>
      <c r="C719" s="2" t="inlineStr">
        <is>
          <t>Furo e colagem de bojo</t>
        </is>
      </c>
      <c r="D719" s="2" t="inlineStr">
        <is>
          <t>20/09/2027</t>
        </is>
      </c>
      <c r="E719" s="2" t="inlineStr">
        <is>
          <t>11/10/2028</t>
        </is>
      </c>
      <c r="F719" s="2" t="n">
        <v>45</v>
      </c>
      <c r="G719" s="2" t="n">
        <v>0</v>
      </c>
      <c r="H719" s="2" t="n">
        <v>45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1.43</v>
      </c>
      <c r="CM719" s="2" t="n">
        <v>3.23</v>
      </c>
      <c r="CN719" s="2" t="n">
        <v>0</v>
      </c>
      <c r="CO719" s="2" t="n">
        <v>8.77</v>
      </c>
      <c r="CP719" s="2" t="n">
        <v>10.6</v>
      </c>
      <c r="CQ719" s="2" t="n">
        <v>0</v>
      </c>
      <c r="CR719" s="2" t="n">
        <v>16.84</v>
      </c>
      <c r="CS719" s="2" t="n">
        <v>18.69</v>
      </c>
      <c r="CT719" s="2" t="n">
        <v>0</v>
      </c>
      <c r="CU719" s="2" t="n">
        <v>23.62</v>
      </c>
      <c r="CV719" s="2" t="n">
        <v>25.46</v>
      </c>
      <c r="CW719" s="2" t="n">
        <v>0</v>
      </c>
      <c r="CX719" s="2" t="n">
        <v>44.96</v>
      </c>
      <c r="CY719" s="2" t="n">
        <v>46.79</v>
      </c>
      <c r="CZ719" s="2" t="n">
        <v>0</v>
      </c>
      <c r="DA719" s="2" t="n">
        <v>52.76</v>
      </c>
      <c r="DB719" s="2" t="n">
        <v>54.56</v>
      </c>
      <c r="DC719" s="2" t="n">
        <v>0</v>
      </c>
      <c r="DD719" s="2" t="n">
        <v>61.22</v>
      </c>
      <c r="DE719" s="2" t="n">
        <v>63.01</v>
      </c>
      <c r="DF719" s="2" t="n">
        <v>0</v>
      </c>
      <c r="DG719" s="2" t="n">
        <v>68.88</v>
      </c>
      <c r="DH719" s="2" t="n">
        <v>70.79000000000001</v>
      </c>
      <c r="DI719" s="2" t="n">
        <v>0</v>
      </c>
      <c r="DJ719" s="2" t="n">
        <v>76.98999999999999</v>
      </c>
      <c r="DK719" s="2" t="n">
        <v>78.78</v>
      </c>
      <c r="DL719" s="2" t="n">
        <v>0</v>
      </c>
      <c r="DM719" s="2" t="n">
        <v>84.52</v>
      </c>
      <c r="DN719" s="2" t="n">
        <v>86.31</v>
      </c>
      <c r="DO719" s="2" t="n">
        <v>0</v>
      </c>
      <c r="DP719" s="2" t="n">
        <v>92.04000000000001</v>
      </c>
      <c r="DQ719" s="2" t="n">
        <v>93.83</v>
      </c>
      <c r="DR719" s="2" t="n">
        <v>0</v>
      </c>
      <c r="DS719" s="2" t="n">
        <v>95.73</v>
      </c>
      <c r="DT719" s="2" t="n">
        <v>96.77</v>
      </c>
      <c r="DU719" s="2" t="n">
        <v>0</v>
      </c>
      <c r="DV719" s="2" t="n">
        <v>96.77</v>
      </c>
      <c r="DW719" s="2" t="n">
        <v>97.13</v>
      </c>
      <c r="DX719" s="2" t="n">
        <v>0</v>
      </c>
      <c r="DY719" s="2" t="n">
        <v>100</v>
      </c>
      <c r="DZ719" s="2" t="n">
        <v>100</v>
      </c>
      <c r="EA719" s="2" t="n">
        <v>0</v>
      </c>
      <c r="EB719" s="2" t="n">
        <v>100</v>
      </c>
      <c r="EC719" s="2" t="n">
        <v>100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</row>
    <row r="720">
      <c r="A720" s="2" t="n">
        <v>4</v>
      </c>
      <c r="B720" s="2" t="inlineStr">
        <is>
          <t>30.06.02.05</t>
        </is>
      </c>
      <c r="C720" s="2" t="inlineStr">
        <is>
          <t>Mãos francesas para bancadas</t>
        </is>
      </c>
      <c r="D720" s="2" t="inlineStr">
        <is>
          <t>20/09/2027</t>
        </is>
      </c>
      <c r="E720" s="2" t="inlineStr">
        <is>
          <t>11/10/2028</t>
        </is>
      </c>
      <c r="F720" s="2" t="n">
        <v>150</v>
      </c>
      <c r="G720" s="2" t="n">
        <v>0</v>
      </c>
      <c r="H720" s="2" t="n">
        <v>150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1.43</v>
      </c>
      <c r="CM720" s="2" t="n">
        <v>3.23</v>
      </c>
      <c r="CN720" s="2" t="n">
        <v>0</v>
      </c>
      <c r="CO720" s="2" t="n">
        <v>8.77</v>
      </c>
      <c r="CP720" s="2" t="n">
        <v>10.6</v>
      </c>
      <c r="CQ720" s="2" t="n">
        <v>0</v>
      </c>
      <c r="CR720" s="2" t="n">
        <v>16.84</v>
      </c>
      <c r="CS720" s="2" t="n">
        <v>18.69</v>
      </c>
      <c r="CT720" s="2" t="n">
        <v>0</v>
      </c>
      <c r="CU720" s="2" t="n">
        <v>23.62</v>
      </c>
      <c r="CV720" s="2" t="n">
        <v>25.46</v>
      </c>
      <c r="CW720" s="2" t="n">
        <v>0</v>
      </c>
      <c r="CX720" s="2" t="n">
        <v>44.96</v>
      </c>
      <c r="CY720" s="2" t="n">
        <v>46.79</v>
      </c>
      <c r="CZ720" s="2" t="n">
        <v>0</v>
      </c>
      <c r="DA720" s="2" t="n">
        <v>52.76</v>
      </c>
      <c r="DB720" s="2" t="n">
        <v>54.56</v>
      </c>
      <c r="DC720" s="2" t="n">
        <v>0</v>
      </c>
      <c r="DD720" s="2" t="n">
        <v>61.22</v>
      </c>
      <c r="DE720" s="2" t="n">
        <v>63.01</v>
      </c>
      <c r="DF720" s="2" t="n">
        <v>0</v>
      </c>
      <c r="DG720" s="2" t="n">
        <v>68.88</v>
      </c>
      <c r="DH720" s="2" t="n">
        <v>70.79000000000001</v>
      </c>
      <c r="DI720" s="2" t="n">
        <v>0</v>
      </c>
      <c r="DJ720" s="2" t="n">
        <v>76.98999999999999</v>
      </c>
      <c r="DK720" s="2" t="n">
        <v>78.78</v>
      </c>
      <c r="DL720" s="2" t="n">
        <v>0</v>
      </c>
      <c r="DM720" s="2" t="n">
        <v>84.52</v>
      </c>
      <c r="DN720" s="2" t="n">
        <v>86.31</v>
      </c>
      <c r="DO720" s="2" t="n">
        <v>0</v>
      </c>
      <c r="DP720" s="2" t="n">
        <v>92.04000000000001</v>
      </c>
      <c r="DQ720" s="2" t="n">
        <v>93.83</v>
      </c>
      <c r="DR720" s="2" t="n">
        <v>0</v>
      </c>
      <c r="DS720" s="2" t="n">
        <v>95.73</v>
      </c>
      <c r="DT720" s="2" t="n">
        <v>96.77</v>
      </c>
      <c r="DU720" s="2" t="n">
        <v>0</v>
      </c>
      <c r="DV720" s="2" t="n">
        <v>96.77</v>
      </c>
      <c r="DW720" s="2" t="n">
        <v>97.13</v>
      </c>
      <c r="DX720" s="2" t="n">
        <v>0</v>
      </c>
      <c r="DY720" s="2" t="n">
        <v>100</v>
      </c>
      <c r="DZ720" s="2" t="n">
        <v>100</v>
      </c>
      <c r="EA720" s="2" t="n">
        <v>0</v>
      </c>
      <c r="EB720" s="2" t="n">
        <v>100</v>
      </c>
      <c r="EC720" s="2" t="n">
        <v>100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</row>
    <row r="721">
      <c r="A721" s="2" t="n">
        <v>4</v>
      </c>
      <c r="B721" s="2" t="inlineStr">
        <is>
          <t>30.06.02.06</t>
        </is>
      </c>
      <c r="C721" s="2" t="inlineStr">
        <is>
          <t>Proteção de bancadas contra manuseio de obra</t>
        </is>
      </c>
      <c r="D721" s="2" t="inlineStr">
        <is>
          <t>20/09/2027</t>
        </is>
      </c>
      <c r="E721" s="2" t="inlineStr">
        <is>
          <t>11/10/2028</t>
        </is>
      </c>
      <c r="F721" s="2" t="n">
        <v>47.48026220380522</v>
      </c>
      <c r="G721" s="2" t="n">
        <v>0</v>
      </c>
      <c r="H721" s="2" t="n">
        <v>47.48026220380522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1.43</v>
      </c>
      <c r="CM721" s="2" t="n">
        <v>3.23</v>
      </c>
      <c r="CN721" s="2" t="n">
        <v>0</v>
      </c>
      <c r="CO721" s="2" t="n">
        <v>8.77</v>
      </c>
      <c r="CP721" s="2" t="n">
        <v>10.6</v>
      </c>
      <c r="CQ721" s="2" t="n">
        <v>0</v>
      </c>
      <c r="CR721" s="2" t="n">
        <v>16.84</v>
      </c>
      <c r="CS721" s="2" t="n">
        <v>18.69</v>
      </c>
      <c r="CT721" s="2" t="n">
        <v>0</v>
      </c>
      <c r="CU721" s="2" t="n">
        <v>23.62</v>
      </c>
      <c r="CV721" s="2" t="n">
        <v>25.46</v>
      </c>
      <c r="CW721" s="2" t="n">
        <v>0</v>
      </c>
      <c r="CX721" s="2" t="n">
        <v>44.96</v>
      </c>
      <c r="CY721" s="2" t="n">
        <v>46.79</v>
      </c>
      <c r="CZ721" s="2" t="n">
        <v>0</v>
      </c>
      <c r="DA721" s="2" t="n">
        <v>52.76</v>
      </c>
      <c r="DB721" s="2" t="n">
        <v>54.56</v>
      </c>
      <c r="DC721" s="2" t="n">
        <v>0</v>
      </c>
      <c r="DD721" s="2" t="n">
        <v>61.22</v>
      </c>
      <c r="DE721" s="2" t="n">
        <v>63.01</v>
      </c>
      <c r="DF721" s="2" t="n">
        <v>0</v>
      </c>
      <c r="DG721" s="2" t="n">
        <v>68.88</v>
      </c>
      <c r="DH721" s="2" t="n">
        <v>70.79000000000001</v>
      </c>
      <c r="DI721" s="2" t="n">
        <v>0</v>
      </c>
      <c r="DJ721" s="2" t="n">
        <v>76.98999999999999</v>
      </c>
      <c r="DK721" s="2" t="n">
        <v>78.78</v>
      </c>
      <c r="DL721" s="2" t="n">
        <v>0</v>
      </c>
      <c r="DM721" s="2" t="n">
        <v>84.52</v>
      </c>
      <c r="DN721" s="2" t="n">
        <v>86.31</v>
      </c>
      <c r="DO721" s="2" t="n">
        <v>0</v>
      </c>
      <c r="DP721" s="2" t="n">
        <v>92.04000000000001</v>
      </c>
      <c r="DQ721" s="2" t="n">
        <v>93.83</v>
      </c>
      <c r="DR721" s="2" t="n">
        <v>0</v>
      </c>
      <c r="DS721" s="2" t="n">
        <v>95.73</v>
      </c>
      <c r="DT721" s="2" t="n">
        <v>96.77</v>
      </c>
      <c r="DU721" s="2" t="n">
        <v>0</v>
      </c>
      <c r="DV721" s="2" t="n">
        <v>96.77</v>
      </c>
      <c r="DW721" s="2" t="n">
        <v>97.13</v>
      </c>
      <c r="DX721" s="2" t="n">
        <v>0</v>
      </c>
      <c r="DY721" s="2" t="n">
        <v>100</v>
      </c>
      <c r="DZ721" s="2" t="n">
        <v>100</v>
      </c>
      <c r="EA721" s="2" t="n">
        <v>0</v>
      </c>
      <c r="EB721" s="2" t="n">
        <v>100</v>
      </c>
      <c r="EC721" s="2" t="n">
        <v>100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</row>
    <row r="722">
      <c r="A722" s="2" t="n">
        <v>3</v>
      </c>
      <c r="B722" s="2" t="inlineStr">
        <is>
          <t>30.06.03</t>
        </is>
      </c>
      <c r="C722" s="2" t="inlineStr">
        <is>
          <t>Bancada de Granito Verde Candeias Escovado</t>
        </is>
      </c>
      <c r="D722" s="2" t="inlineStr">
        <is>
          <t>20/09/2027</t>
        </is>
      </c>
      <c r="E722" s="2" t="inlineStr">
        <is>
          <t>11/10/2028</t>
        </is>
      </c>
      <c r="F722" s="2" t="n">
        <v>15370.65469191942</v>
      </c>
      <c r="G722" s="2" t="n">
        <v>0</v>
      </c>
      <c r="H722" s="2" t="n">
        <v>15370.65469191942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1.43</v>
      </c>
      <c r="CM722" s="2" t="n">
        <v>3.23</v>
      </c>
      <c r="CN722" s="2" t="n">
        <v>0</v>
      </c>
      <c r="CO722" s="2" t="n">
        <v>8.77</v>
      </c>
      <c r="CP722" s="2" t="n">
        <v>10.6</v>
      </c>
      <c r="CQ722" s="2" t="n">
        <v>0</v>
      </c>
      <c r="CR722" s="2" t="n">
        <v>16.84</v>
      </c>
      <c r="CS722" s="2" t="n">
        <v>18.69</v>
      </c>
      <c r="CT722" s="2" t="n">
        <v>0</v>
      </c>
      <c r="CU722" s="2" t="n">
        <v>23.62</v>
      </c>
      <c r="CV722" s="2" t="n">
        <v>25.46</v>
      </c>
      <c r="CW722" s="2" t="n">
        <v>0</v>
      </c>
      <c r="CX722" s="2" t="n">
        <v>44.96</v>
      </c>
      <c r="CY722" s="2" t="n">
        <v>46.79</v>
      </c>
      <c r="CZ722" s="2" t="n">
        <v>0</v>
      </c>
      <c r="DA722" s="2" t="n">
        <v>52.76</v>
      </c>
      <c r="DB722" s="2" t="n">
        <v>54.56</v>
      </c>
      <c r="DC722" s="2" t="n">
        <v>0</v>
      </c>
      <c r="DD722" s="2" t="n">
        <v>61.22</v>
      </c>
      <c r="DE722" s="2" t="n">
        <v>63.01</v>
      </c>
      <c r="DF722" s="2" t="n">
        <v>0</v>
      </c>
      <c r="DG722" s="2" t="n">
        <v>68.88</v>
      </c>
      <c r="DH722" s="2" t="n">
        <v>70.79000000000001</v>
      </c>
      <c r="DI722" s="2" t="n">
        <v>0</v>
      </c>
      <c r="DJ722" s="2" t="n">
        <v>76.98999999999999</v>
      </c>
      <c r="DK722" s="2" t="n">
        <v>78.78</v>
      </c>
      <c r="DL722" s="2" t="n">
        <v>0</v>
      </c>
      <c r="DM722" s="2" t="n">
        <v>84.52</v>
      </c>
      <c r="DN722" s="2" t="n">
        <v>86.31</v>
      </c>
      <c r="DO722" s="2" t="n">
        <v>0</v>
      </c>
      <c r="DP722" s="2" t="n">
        <v>92.04000000000001</v>
      </c>
      <c r="DQ722" s="2" t="n">
        <v>93.83</v>
      </c>
      <c r="DR722" s="2" t="n">
        <v>0</v>
      </c>
      <c r="DS722" s="2" t="n">
        <v>95.73</v>
      </c>
      <c r="DT722" s="2" t="n">
        <v>96.77</v>
      </c>
      <c r="DU722" s="2" t="n">
        <v>0</v>
      </c>
      <c r="DV722" s="2" t="n">
        <v>96.77</v>
      </c>
      <c r="DW722" s="2" t="n">
        <v>97.13</v>
      </c>
      <c r="DX722" s="2" t="n">
        <v>0</v>
      </c>
      <c r="DY722" s="2" t="n">
        <v>100</v>
      </c>
      <c r="DZ722" s="2" t="n">
        <v>100</v>
      </c>
      <c r="EA722" s="2" t="n">
        <v>0</v>
      </c>
      <c r="EB722" s="2" t="n">
        <v>100</v>
      </c>
      <c r="EC722" s="2" t="n">
        <v>100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</row>
    <row r="723">
      <c r="A723" s="2" t="n">
        <v>4</v>
      </c>
      <c r="B723" s="2" t="inlineStr">
        <is>
          <t>30.06.03.01</t>
        </is>
      </c>
      <c r="C723" s="2" t="inlineStr">
        <is>
          <t>Bancada de Granito Verde Candeias Escovado</t>
        </is>
      </c>
      <c r="D723" s="2" t="inlineStr">
        <is>
          <t>20/09/2027</t>
        </is>
      </c>
      <c r="E723" s="2" t="inlineStr">
        <is>
          <t>11/10/2028</t>
        </is>
      </c>
      <c r="F723" s="2" t="n">
        <v>7727.154398000001</v>
      </c>
      <c r="G723" s="2" t="n">
        <v>0</v>
      </c>
      <c r="H723" s="2" t="n">
        <v>7727.154398000001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1.43</v>
      </c>
      <c r="CM723" s="2" t="n">
        <v>3.23</v>
      </c>
      <c r="CN723" s="2" t="n">
        <v>0</v>
      </c>
      <c r="CO723" s="2" t="n">
        <v>8.77</v>
      </c>
      <c r="CP723" s="2" t="n">
        <v>10.6</v>
      </c>
      <c r="CQ723" s="2" t="n">
        <v>0</v>
      </c>
      <c r="CR723" s="2" t="n">
        <v>16.84</v>
      </c>
      <c r="CS723" s="2" t="n">
        <v>18.69</v>
      </c>
      <c r="CT723" s="2" t="n">
        <v>0</v>
      </c>
      <c r="CU723" s="2" t="n">
        <v>23.62</v>
      </c>
      <c r="CV723" s="2" t="n">
        <v>25.46</v>
      </c>
      <c r="CW723" s="2" t="n">
        <v>0</v>
      </c>
      <c r="CX723" s="2" t="n">
        <v>44.96</v>
      </c>
      <c r="CY723" s="2" t="n">
        <v>46.79</v>
      </c>
      <c r="CZ723" s="2" t="n">
        <v>0</v>
      </c>
      <c r="DA723" s="2" t="n">
        <v>52.76</v>
      </c>
      <c r="DB723" s="2" t="n">
        <v>54.56</v>
      </c>
      <c r="DC723" s="2" t="n">
        <v>0</v>
      </c>
      <c r="DD723" s="2" t="n">
        <v>61.22</v>
      </c>
      <c r="DE723" s="2" t="n">
        <v>63.01</v>
      </c>
      <c r="DF723" s="2" t="n">
        <v>0</v>
      </c>
      <c r="DG723" s="2" t="n">
        <v>68.88</v>
      </c>
      <c r="DH723" s="2" t="n">
        <v>70.79000000000001</v>
      </c>
      <c r="DI723" s="2" t="n">
        <v>0</v>
      </c>
      <c r="DJ723" s="2" t="n">
        <v>76.98999999999999</v>
      </c>
      <c r="DK723" s="2" t="n">
        <v>78.78</v>
      </c>
      <c r="DL723" s="2" t="n">
        <v>0</v>
      </c>
      <c r="DM723" s="2" t="n">
        <v>84.52</v>
      </c>
      <c r="DN723" s="2" t="n">
        <v>86.31</v>
      </c>
      <c r="DO723" s="2" t="n">
        <v>0</v>
      </c>
      <c r="DP723" s="2" t="n">
        <v>92.04000000000001</v>
      </c>
      <c r="DQ723" s="2" t="n">
        <v>93.83</v>
      </c>
      <c r="DR723" s="2" t="n">
        <v>0</v>
      </c>
      <c r="DS723" s="2" t="n">
        <v>95.73</v>
      </c>
      <c r="DT723" s="2" t="n">
        <v>96.77</v>
      </c>
      <c r="DU723" s="2" t="n">
        <v>0</v>
      </c>
      <c r="DV723" s="2" t="n">
        <v>96.77</v>
      </c>
      <c r="DW723" s="2" t="n">
        <v>97.13</v>
      </c>
      <c r="DX723" s="2" t="n">
        <v>0</v>
      </c>
      <c r="DY723" s="2" t="n">
        <v>100</v>
      </c>
      <c r="DZ723" s="2" t="n">
        <v>100</v>
      </c>
      <c r="EA723" s="2" t="n">
        <v>0</v>
      </c>
      <c r="EB723" s="2" t="n">
        <v>100</v>
      </c>
      <c r="EC723" s="2" t="n">
        <v>100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</row>
    <row r="724">
      <c r="A724" s="2" t="n">
        <v>4</v>
      </c>
      <c r="B724" s="2" t="inlineStr">
        <is>
          <t>30.06.03.02</t>
        </is>
      </c>
      <c r="C724" s="2" t="inlineStr">
        <is>
          <t>Fechamento lateral para bancada de Granito Verde Candeias Escovado</t>
        </is>
      </c>
      <c r="D724" s="2" t="inlineStr">
        <is>
          <t>20/09/2027</t>
        </is>
      </c>
      <c r="E724" s="2" t="inlineStr">
        <is>
          <t>11/10/2028</t>
        </is>
      </c>
      <c r="F724" s="2" t="n">
        <v>3993.6825</v>
      </c>
      <c r="G724" s="2" t="n">
        <v>0</v>
      </c>
      <c r="H724" s="2" t="n">
        <v>3993.6825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1.43</v>
      </c>
      <c r="CM724" s="2" t="n">
        <v>3.23</v>
      </c>
      <c r="CN724" s="2" t="n">
        <v>0</v>
      </c>
      <c r="CO724" s="2" t="n">
        <v>8.77</v>
      </c>
      <c r="CP724" s="2" t="n">
        <v>10.6</v>
      </c>
      <c r="CQ724" s="2" t="n">
        <v>0</v>
      </c>
      <c r="CR724" s="2" t="n">
        <v>16.84</v>
      </c>
      <c r="CS724" s="2" t="n">
        <v>18.69</v>
      </c>
      <c r="CT724" s="2" t="n">
        <v>0</v>
      </c>
      <c r="CU724" s="2" t="n">
        <v>23.62</v>
      </c>
      <c r="CV724" s="2" t="n">
        <v>25.46</v>
      </c>
      <c r="CW724" s="2" t="n">
        <v>0</v>
      </c>
      <c r="CX724" s="2" t="n">
        <v>44.96</v>
      </c>
      <c r="CY724" s="2" t="n">
        <v>46.79</v>
      </c>
      <c r="CZ724" s="2" t="n">
        <v>0</v>
      </c>
      <c r="DA724" s="2" t="n">
        <v>52.76</v>
      </c>
      <c r="DB724" s="2" t="n">
        <v>54.56</v>
      </c>
      <c r="DC724" s="2" t="n">
        <v>0</v>
      </c>
      <c r="DD724" s="2" t="n">
        <v>61.22</v>
      </c>
      <c r="DE724" s="2" t="n">
        <v>63.01</v>
      </c>
      <c r="DF724" s="2" t="n">
        <v>0</v>
      </c>
      <c r="DG724" s="2" t="n">
        <v>68.88</v>
      </c>
      <c r="DH724" s="2" t="n">
        <v>70.79000000000001</v>
      </c>
      <c r="DI724" s="2" t="n">
        <v>0</v>
      </c>
      <c r="DJ724" s="2" t="n">
        <v>76.98999999999999</v>
      </c>
      <c r="DK724" s="2" t="n">
        <v>78.78</v>
      </c>
      <c r="DL724" s="2" t="n">
        <v>0</v>
      </c>
      <c r="DM724" s="2" t="n">
        <v>84.52</v>
      </c>
      <c r="DN724" s="2" t="n">
        <v>86.31</v>
      </c>
      <c r="DO724" s="2" t="n">
        <v>0</v>
      </c>
      <c r="DP724" s="2" t="n">
        <v>92.04000000000001</v>
      </c>
      <c r="DQ724" s="2" t="n">
        <v>93.83</v>
      </c>
      <c r="DR724" s="2" t="n">
        <v>0</v>
      </c>
      <c r="DS724" s="2" t="n">
        <v>95.73</v>
      </c>
      <c r="DT724" s="2" t="n">
        <v>96.77</v>
      </c>
      <c r="DU724" s="2" t="n">
        <v>0</v>
      </c>
      <c r="DV724" s="2" t="n">
        <v>96.77</v>
      </c>
      <c r="DW724" s="2" t="n">
        <v>97.13</v>
      </c>
      <c r="DX724" s="2" t="n">
        <v>0</v>
      </c>
      <c r="DY724" s="2" t="n">
        <v>100</v>
      </c>
      <c r="DZ724" s="2" t="n">
        <v>100</v>
      </c>
      <c r="EA724" s="2" t="n">
        <v>0</v>
      </c>
      <c r="EB724" s="2" t="n">
        <v>100</v>
      </c>
      <c r="EC724" s="2" t="n">
        <v>100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</row>
    <row r="725">
      <c r="A725" s="2" t="n">
        <v>4</v>
      </c>
      <c r="B725" s="2" t="inlineStr">
        <is>
          <t>30.06.03.03</t>
        </is>
      </c>
      <c r="C725" s="2" t="inlineStr">
        <is>
          <t>Testeira de granito Verde Candeias Escovado h=10cm</t>
        </is>
      </c>
      <c r="D725" s="2" t="inlineStr">
        <is>
          <t>20/09/2027</t>
        </is>
      </c>
      <c r="E725" s="2" t="inlineStr">
        <is>
          <t>11/10/2028</t>
        </is>
      </c>
      <c r="F725" s="2" t="n">
        <v>1675.1395592</v>
      </c>
      <c r="G725" s="2" t="n">
        <v>0</v>
      </c>
      <c r="H725" s="2" t="n">
        <v>1675.1395592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1.43</v>
      </c>
      <c r="CM725" s="2" t="n">
        <v>3.23</v>
      </c>
      <c r="CN725" s="2" t="n">
        <v>0</v>
      </c>
      <c r="CO725" s="2" t="n">
        <v>8.77</v>
      </c>
      <c r="CP725" s="2" t="n">
        <v>10.6</v>
      </c>
      <c r="CQ725" s="2" t="n">
        <v>0</v>
      </c>
      <c r="CR725" s="2" t="n">
        <v>16.84</v>
      </c>
      <c r="CS725" s="2" t="n">
        <v>18.69</v>
      </c>
      <c r="CT725" s="2" t="n">
        <v>0</v>
      </c>
      <c r="CU725" s="2" t="n">
        <v>23.62</v>
      </c>
      <c r="CV725" s="2" t="n">
        <v>25.46</v>
      </c>
      <c r="CW725" s="2" t="n">
        <v>0</v>
      </c>
      <c r="CX725" s="2" t="n">
        <v>44.96</v>
      </c>
      <c r="CY725" s="2" t="n">
        <v>46.79</v>
      </c>
      <c r="CZ725" s="2" t="n">
        <v>0</v>
      </c>
      <c r="DA725" s="2" t="n">
        <v>52.76</v>
      </c>
      <c r="DB725" s="2" t="n">
        <v>54.56</v>
      </c>
      <c r="DC725" s="2" t="n">
        <v>0</v>
      </c>
      <c r="DD725" s="2" t="n">
        <v>61.22</v>
      </c>
      <c r="DE725" s="2" t="n">
        <v>63.01</v>
      </c>
      <c r="DF725" s="2" t="n">
        <v>0</v>
      </c>
      <c r="DG725" s="2" t="n">
        <v>68.88</v>
      </c>
      <c r="DH725" s="2" t="n">
        <v>70.79000000000001</v>
      </c>
      <c r="DI725" s="2" t="n">
        <v>0</v>
      </c>
      <c r="DJ725" s="2" t="n">
        <v>76.98999999999999</v>
      </c>
      <c r="DK725" s="2" t="n">
        <v>78.78</v>
      </c>
      <c r="DL725" s="2" t="n">
        <v>0</v>
      </c>
      <c r="DM725" s="2" t="n">
        <v>84.52</v>
      </c>
      <c r="DN725" s="2" t="n">
        <v>86.31</v>
      </c>
      <c r="DO725" s="2" t="n">
        <v>0</v>
      </c>
      <c r="DP725" s="2" t="n">
        <v>92.04000000000001</v>
      </c>
      <c r="DQ725" s="2" t="n">
        <v>93.83</v>
      </c>
      <c r="DR725" s="2" t="n">
        <v>0</v>
      </c>
      <c r="DS725" s="2" t="n">
        <v>95.73</v>
      </c>
      <c r="DT725" s="2" t="n">
        <v>96.77</v>
      </c>
      <c r="DU725" s="2" t="n">
        <v>0</v>
      </c>
      <c r="DV725" s="2" t="n">
        <v>96.77</v>
      </c>
      <c r="DW725" s="2" t="n">
        <v>97.13</v>
      </c>
      <c r="DX725" s="2" t="n">
        <v>0</v>
      </c>
      <c r="DY725" s="2" t="n">
        <v>100</v>
      </c>
      <c r="DZ725" s="2" t="n">
        <v>100</v>
      </c>
      <c r="EA725" s="2" t="n">
        <v>0</v>
      </c>
      <c r="EB725" s="2" t="n">
        <v>100</v>
      </c>
      <c r="EC725" s="2" t="n">
        <v>100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</row>
    <row r="726">
      <c r="A726" s="2" t="n">
        <v>4</v>
      </c>
      <c r="B726" s="2" t="inlineStr">
        <is>
          <t>30.06.03.04</t>
        </is>
      </c>
      <c r="C726" s="2" t="inlineStr">
        <is>
          <t>Rodabanca de granito Verde Candeias Escovado h=10cm</t>
        </is>
      </c>
      <c r="D726" s="2" t="inlineStr">
        <is>
          <t>20/09/2027</t>
        </is>
      </c>
      <c r="E726" s="2" t="inlineStr">
        <is>
          <t>11/10/2028</t>
        </is>
      </c>
      <c r="F726" s="2" t="n">
        <v>1401.3613993</v>
      </c>
      <c r="G726" s="2" t="n">
        <v>0</v>
      </c>
      <c r="H726" s="2" t="n">
        <v>1401.3613993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1.43</v>
      </c>
      <c r="CM726" s="2" t="n">
        <v>3.23</v>
      </c>
      <c r="CN726" s="2" t="n">
        <v>0</v>
      </c>
      <c r="CO726" s="2" t="n">
        <v>8.77</v>
      </c>
      <c r="CP726" s="2" t="n">
        <v>10.6</v>
      </c>
      <c r="CQ726" s="2" t="n">
        <v>0</v>
      </c>
      <c r="CR726" s="2" t="n">
        <v>16.84</v>
      </c>
      <c r="CS726" s="2" t="n">
        <v>18.69</v>
      </c>
      <c r="CT726" s="2" t="n">
        <v>0</v>
      </c>
      <c r="CU726" s="2" t="n">
        <v>23.62</v>
      </c>
      <c r="CV726" s="2" t="n">
        <v>25.46</v>
      </c>
      <c r="CW726" s="2" t="n">
        <v>0</v>
      </c>
      <c r="CX726" s="2" t="n">
        <v>44.96</v>
      </c>
      <c r="CY726" s="2" t="n">
        <v>46.79</v>
      </c>
      <c r="CZ726" s="2" t="n">
        <v>0</v>
      </c>
      <c r="DA726" s="2" t="n">
        <v>52.76</v>
      </c>
      <c r="DB726" s="2" t="n">
        <v>54.56</v>
      </c>
      <c r="DC726" s="2" t="n">
        <v>0</v>
      </c>
      <c r="DD726" s="2" t="n">
        <v>61.22</v>
      </c>
      <c r="DE726" s="2" t="n">
        <v>63.01</v>
      </c>
      <c r="DF726" s="2" t="n">
        <v>0</v>
      </c>
      <c r="DG726" s="2" t="n">
        <v>68.88</v>
      </c>
      <c r="DH726" s="2" t="n">
        <v>70.79000000000001</v>
      </c>
      <c r="DI726" s="2" t="n">
        <v>0</v>
      </c>
      <c r="DJ726" s="2" t="n">
        <v>76.98999999999999</v>
      </c>
      <c r="DK726" s="2" t="n">
        <v>78.78</v>
      </c>
      <c r="DL726" s="2" t="n">
        <v>0</v>
      </c>
      <c r="DM726" s="2" t="n">
        <v>84.52</v>
      </c>
      <c r="DN726" s="2" t="n">
        <v>86.31</v>
      </c>
      <c r="DO726" s="2" t="n">
        <v>0</v>
      </c>
      <c r="DP726" s="2" t="n">
        <v>92.04000000000001</v>
      </c>
      <c r="DQ726" s="2" t="n">
        <v>93.83</v>
      </c>
      <c r="DR726" s="2" t="n">
        <v>0</v>
      </c>
      <c r="DS726" s="2" t="n">
        <v>95.73</v>
      </c>
      <c r="DT726" s="2" t="n">
        <v>96.77</v>
      </c>
      <c r="DU726" s="2" t="n">
        <v>0</v>
      </c>
      <c r="DV726" s="2" t="n">
        <v>96.77</v>
      </c>
      <c r="DW726" s="2" t="n">
        <v>97.13</v>
      </c>
      <c r="DX726" s="2" t="n">
        <v>0</v>
      </c>
      <c r="DY726" s="2" t="n">
        <v>100</v>
      </c>
      <c r="DZ726" s="2" t="n">
        <v>100</v>
      </c>
      <c r="EA726" s="2" t="n">
        <v>0</v>
      </c>
      <c r="EB726" s="2" t="n">
        <v>100</v>
      </c>
      <c r="EC726" s="2" t="n">
        <v>100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</row>
    <row r="727">
      <c r="A727" s="2" t="n">
        <v>4</v>
      </c>
      <c r="B727" s="2" t="inlineStr">
        <is>
          <t>30.06.03.05</t>
        </is>
      </c>
      <c r="C727" s="2" t="inlineStr">
        <is>
          <t>Furo e colagem de bojo</t>
        </is>
      </c>
      <c r="D727" s="2" t="inlineStr">
        <is>
          <t>20/09/2027</t>
        </is>
      </c>
      <c r="E727" s="2" t="inlineStr">
        <is>
          <t>11/10/2028</t>
        </is>
      </c>
      <c r="F727" s="2" t="n">
        <v>90</v>
      </c>
      <c r="G727" s="2" t="n">
        <v>0</v>
      </c>
      <c r="H727" s="2" t="n">
        <v>90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1.43</v>
      </c>
      <c r="CM727" s="2" t="n">
        <v>3.23</v>
      </c>
      <c r="CN727" s="2" t="n">
        <v>0</v>
      </c>
      <c r="CO727" s="2" t="n">
        <v>8.77</v>
      </c>
      <c r="CP727" s="2" t="n">
        <v>10.6</v>
      </c>
      <c r="CQ727" s="2" t="n">
        <v>0</v>
      </c>
      <c r="CR727" s="2" t="n">
        <v>16.84</v>
      </c>
      <c r="CS727" s="2" t="n">
        <v>18.69</v>
      </c>
      <c r="CT727" s="2" t="n">
        <v>0</v>
      </c>
      <c r="CU727" s="2" t="n">
        <v>23.62</v>
      </c>
      <c r="CV727" s="2" t="n">
        <v>25.46</v>
      </c>
      <c r="CW727" s="2" t="n">
        <v>0</v>
      </c>
      <c r="CX727" s="2" t="n">
        <v>44.96</v>
      </c>
      <c r="CY727" s="2" t="n">
        <v>46.79</v>
      </c>
      <c r="CZ727" s="2" t="n">
        <v>0</v>
      </c>
      <c r="DA727" s="2" t="n">
        <v>52.76</v>
      </c>
      <c r="DB727" s="2" t="n">
        <v>54.56</v>
      </c>
      <c r="DC727" s="2" t="n">
        <v>0</v>
      </c>
      <c r="DD727" s="2" t="n">
        <v>61.22</v>
      </c>
      <c r="DE727" s="2" t="n">
        <v>63.01</v>
      </c>
      <c r="DF727" s="2" t="n">
        <v>0</v>
      </c>
      <c r="DG727" s="2" t="n">
        <v>68.88</v>
      </c>
      <c r="DH727" s="2" t="n">
        <v>70.79000000000001</v>
      </c>
      <c r="DI727" s="2" t="n">
        <v>0</v>
      </c>
      <c r="DJ727" s="2" t="n">
        <v>76.98999999999999</v>
      </c>
      <c r="DK727" s="2" t="n">
        <v>78.78</v>
      </c>
      <c r="DL727" s="2" t="n">
        <v>0</v>
      </c>
      <c r="DM727" s="2" t="n">
        <v>84.52</v>
      </c>
      <c r="DN727" s="2" t="n">
        <v>86.31</v>
      </c>
      <c r="DO727" s="2" t="n">
        <v>0</v>
      </c>
      <c r="DP727" s="2" t="n">
        <v>92.04000000000001</v>
      </c>
      <c r="DQ727" s="2" t="n">
        <v>93.83</v>
      </c>
      <c r="DR727" s="2" t="n">
        <v>0</v>
      </c>
      <c r="DS727" s="2" t="n">
        <v>95.73</v>
      </c>
      <c r="DT727" s="2" t="n">
        <v>96.77</v>
      </c>
      <c r="DU727" s="2" t="n">
        <v>0</v>
      </c>
      <c r="DV727" s="2" t="n">
        <v>96.77</v>
      </c>
      <c r="DW727" s="2" t="n">
        <v>97.13</v>
      </c>
      <c r="DX727" s="2" t="n">
        <v>0</v>
      </c>
      <c r="DY727" s="2" t="n">
        <v>100</v>
      </c>
      <c r="DZ727" s="2" t="n">
        <v>100</v>
      </c>
      <c r="EA727" s="2" t="n">
        <v>0</v>
      </c>
      <c r="EB727" s="2" t="n">
        <v>100</v>
      </c>
      <c r="EC727" s="2" t="n">
        <v>100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</row>
    <row r="728">
      <c r="A728" s="2" t="n">
        <v>4</v>
      </c>
      <c r="B728" s="2" t="inlineStr">
        <is>
          <t>30.06.03.06</t>
        </is>
      </c>
      <c r="C728" s="2" t="inlineStr">
        <is>
          <t>Mãos francesas para bancadas</t>
        </is>
      </c>
      <c r="D728" s="2" t="inlineStr">
        <is>
          <t>20/09/2027</t>
        </is>
      </c>
      <c r="E728" s="2" t="inlineStr">
        <is>
          <t>11/10/2028</t>
        </is>
      </c>
      <c r="F728" s="2" t="n">
        <v>250</v>
      </c>
      <c r="G728" s="2" t="n">
        <v>0</v>
      </c>
      <c r="H728" s="2" t="n">
        <v>250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1.43</v>
      </c>
      <c r="CM728" s="2" t="n">
        <v>3.23</v>
      </c>
      <c r="CN728" s="2" t="n">
        <v>0</v>
      </c>
      <c r="CO728" s="2" t="n">
        <v>8.77</v>
      </c>
      <c r="CP728" s="2" t="n">
        <v>10.6</v>
      </c>
      <c r="CQ728" s="2" t="n">
        <v>0</v>
      </c>
      <c r="CR728" s="2" t="n">
        <v>16.84</v>
      </c>
      <c r="CS728" s="2" t="n">
        <v>18.69</v>
      </c>
      <c r="CT728" s="2" t="n">
        <v>0</v>
      </c>
      <c r="CU728" s="2" t="n">
        <v>23.62</v>
      </c>
      <c r="CV728" s="2" t="n">
        <v>25.46</v>
      </c>
      <c r="CW728" s="2" t="n">
        <v>0</v>
      </c>
      <c r="CX728" s="2" t="n">
        <v>44.96</v>
      </c>
      <c r="CY728" s="2" t="n">
        <v>46.79</v>
      </c>
      <c r="CZ728" s="2" t="n">
        <v>0</v>
      </c>
      <c r="DA728" s="2" t="n">
        <v>52.76</v>
      </c>
      <c r="DB728" s="2" t="n">
        <v>54.56</v>
      </c>
      <c r="DC728" s="2" t="n">
        <v>0</v>
      </c>
      <c r="DD728" s="2" t="n">
        <v>61.22</v>
      </c>
      <c r="DE728" s="2" t="n">
        <v>63.01</v>
      </c>
      <c r="DF728" s="2" t="n">
        <v>0</v>
      </c>
      <c r="DG728" s="2" t="n">
        <v>68.88</v>
      </c>
      <c r="DH728" s="2" t="n">
        <v>70.79000000000001</v>
      </c>
      <c r="DI728" s="2" t="n">
        <v>0</v>
      </c>
      <c r="DJ728" s="2" t="n">
        <v>76.98999999999999</v>
      </c>
      <c r="DK728" s="2" t="n">
        <v>78.78</v>
      </c>
      <c r="DL728" s="2" t="n">
        <v>0</v>
      </c>
      <c r="DM728" s="2" t="n">
        <v>84.52</v>
      </c>
      <c r="DN728" s="2" t="n">
        <v>86.31</v>
      </c>
      <c r="DO728" s="2" t="n">
        <v>0</v>
      </c>
      <c r="DP728" s="2" t="n">
        <v>92.04000000000001</v>
      </c>
      <c r="DQ728" s="2" t="n">
        <v>93.83</v>
      </c>
      <c r="DR728" s="2" t="n">
        <v>0</v>
      </c>
      <c r="DS728" s="2" t="n">
        <v>95.73</v>
      </c>
      <c r="DT728" s="2" t="n">
        <v>96.77</v>
      </c>
      <c r="DU728" s="2" t="n">
        <v>0</v>
      </c>
      <c r="DV728" s="2" t="n">
        <v>96.77</v>
      </c>
      <c r="DW728" s="2" t="n">
        <v>97.13</v>
      </c>
      <c r="DX728" s="2" t="n">
        <v>0</v>
      </c>
      <c r="DY728" s="2" t="n">
        <v>100</v>
      </c>
      <c r="DZ728" s="2" t="n">
        <v>100</v>
      </c>
      <c r="EA728" s="2" t="n">
        <v>0</v>
      </c>
      <c r="EB728" s="2" t="n">
        <v>100</v>
      </c>
      <c r="EC728" s="2" t="n">
        <v>100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</row>
    <row r="729">
      <c r="A729" s="2" t="n">
        <v>4</v>
      </c>
      <c r="B729" s="2" t="inlineStr">
        <is>
          <t>30.06.03.07</t>
        </is>
      </c>
      <c r="C729" s="2" t="inlineStr">
        <is>
          <t>Proteção de bancadas contra manuseio de obra</t>
        </is>
      </c>
      <c r="D729" s="2" t="inlineStr">
        <is>
          <t>20/09/2027</t>
        </is>
      </c>
      <c r="E729" s="2" t="inlineStr">
        <is>
          <t>11/10/2028</t>
        </is>
      </c>
      <c r="F729" s="2" t="n">
        <v>233.3168354194132</v>
      </c>
      <c r="G729" s="2" t="n">
        <v>0</v>
      </c>
      <c r="H729" s="2" t="n">
        <v>233.3168354194132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1.43</v>
      </c>
      <c r="CM729" s="2" t="n">
        <v>3.23</v>
      </c>
      <c r="CN729" s="2" t="n">
        <v>0</v>
      </c>
      <c r="CO729" s="2" t="n">
        <v>8.77</v>
      </c>
      <c r="CP729" s="2" t="n">
        <v>10.6</v>
      </c>
      <c r="CQ729" s="2" t="n">
        <v>0</v>
      </c>
      <c r="CR729" s="2" t="n">
        <v>16.84</v>
      </c>
      <c r="CS729" s="2" t="n">
        <v>18.69</v>
      </c>
      <c r="CT729" s="2" t="n">
        <v>0</v>
      </c>
      <c r="CU729" s="2" t="n">
        <v>23.62</v>
      </c>
      <c r="CV729" s="2" t="n">
        <v>25.46</v>
      </c>
      <c r="CW729" s="2" t="n">
        <v>0</v>
      </c>
      <c r="CX729" s="2" t="n">
        <v>44.96</v>
      </c>
      <c r="CY729" s="2" t="n">
        <v>46.79</v>
      </c>
      <c r="CZ729" s="2" t="n">
        <v>0</v>
      </c>
      <c r="DA729" s="2" t="n">
        <v>52.76</v>
      </c>
      <c r="DB729" s="2" t="n">
        <v>54.56</v>
      </c>
      <c r="DC729" s="2" t="n">
        <v>0</v>
      </c>
      <c r="DD729" s="2" t="n">
        <v>61.22</v>
      </c>
      <c r="DE729" s="2" t="n">
        <v>63.01</v>
      </c>
      <c r="DF729" s="2" t="n">
        <v>0</v>
      </c>
      <c r="DG729" s="2" t="n">
        <v>68.88</v>
      </c>
      <c r="DH729" s="2" t="n">
        <v>70.79000000000001</v>
      </c>
      <c r="DI729" s="2" t="n">
        <v>0</v>
      </c>
      <c r="DJ729" s="2" t="n">
        <v>76.98999999999999</v>
      </c>
      <c r="DK729" s="2" t="n">
        <v>78.78</v>
      </c>
      <c r="DL729" s="2" t="n">
        <v>0</v>
      </c>
      <c r="DM729" s="2" t="n">
        <v>84.52</v>
      </c>
      <c r="DN729" s="2" t="n">
        <v>86.31</v>
      </c>
      <c r="DO729" s="2" t="n">
        <v>0</v>
      </c>
      <c r="DP729" s="2" t="n">
        <v>92.04000000000001</v>
      </c>
      <c r="DQ729" s="2" t="n">
        <v>93.83</v>
      </c>
      <c r="DR729" s="2" t="n">
        <v>0</v>
      </c>
      <c r="DS729" s="2" t="n">
        <v>95.73</v>
      </c>
      <c r="DT729" s="2" t="n">
        <v>96.77</v>
      </c>
      <c r="DU729" s="2" t="n">
        <v>0</v>
      </c>
      <c r="DV729" s="2" t="n">
        <v>96.77</v>
      </c>
      <c r="DW729" s="2" t="n">
        <v>97.13</v>
      </c>
      <c r="DX729" s="2" t="n">
        <v>0</v>
      </c>
      <c r="DY729" s="2" t="n">
        <v>100</v>
      </c>
      <c r="DZ729" s="2" t="n">
        <v>100</v>
      </c>
      <c r="EA729" s="2" t="n">
        <v>0</v>
      </c>
      <c r="EB729" s="2" t="n">
        <v>100</v>
      </c>
      <c r="EC729" s="2" t="n">
        <v>100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</row>
    <row r="730">
      <c r="A730" s="2" t="n">
        <v>3</v>
      </c>
      <c r="B730" s="2" t="inlineStr">
        <is>
          <t>30.06.04</t>
        </is>
      </c>
      <c r="C730" s="2" t="inlineStr">
        <is>
          <t>Bancadas de granito White Ornamental</t>
        </is>
      </c>
      <c r="D730" s="2" t="inlineStr">
        <is>
          <t>20/09/2027</t>
        </is>
      </c>
      <c r="E730" s="2" t="inlineStr">
        <is>
          <t>11/10/2028</t>
        </is>
      </c>
      <c r="F730" s="2" t="n">
        <v>29951.47401056578</v>
      </c>
      <c r="G730" s="2" t="n">
        <v>0</v>
      </c>
      <c r="H730" s="2" t="n">
        <v>29951.47401056578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1.43</v>
      </c>
      <c r="CM730" s="2" t="n">
        <v>3.23</v>
      </c>
      <c r="CN730" s="2" t="n">
        <v>0</v>
      </c>
      <c r="CO730" s="2" t="n">
        <v>8.77</v>
      </c>
      <c r="CP730" s="2" t="n">
        <v>10.6</v>
      </c>
      <c r="CQ730" s="2" t="n">
        <v>0</v>
      </c>
      <c r="CR730" s="2" t="n">
        <v>16.84</v>
      </c>
      <c r="CS730" s="2" t="n">
        <v>18.69</v>
      </c>
      <c r="CT730" s="2" t="n">
        <v>0</v>
      </c>
      <c r="CU730" s="2" t="n">
        <v>23.62</v>
      </c>
      <c r="CV730" s="2" t="n">
        <v>25.46</v>
      </c>
      <c r="CW730" s="2" t="n">
        <v>0</v>
      </c>
      <c r="CX730" s="2" t="n">
        <v>44.96</v>
      </c>
      <c r="CY730" s="2" t="n">
        <v>46.79</v>
      </c>
      <c r="CZ730" s="2" t="n">
        <v>0</v>
      </c>
      <c r="DA730" s="2" t="n">
        <v>52.76</v>
      </c>
      <c r="DB730" s="2" t="n">
        <v>54.56</v>
      </c>
      <c r="DC730" s="2" t="n">
        <v>0</v>
      </c>
      <c r="DD730" s="2" t="n">
        <v>61.22</v>
      </c>
      <c r="DE730" s="2" t="n">
        <v>63.01</v>
      </c>
      <c r="DF730" s="2" t="n">
        <v>0</v>
      </c>
      <c r="DG730" s="2" t="n">
        <v>68.88</v>
      </c>
      <c r="DH730" s="2" t="n">
        <v>70.79000000000001</v>
      </c>
      <c r="DI730" s="2" t="n">
        <v>0</v>
      </c>
      <c r="DJ730" s="2" t="n">
        <v>76.98999999999999</v>
      </c>
      <c r="DK730" s="2" t="n">
        <v>78.78</v>
      </c>
      <c r="DL730" s="2" t="n">
        <v>0</v>
      </c>
      <c r="DM730" s="2" t="n">
        <v>84.52</v>
      </c>
      <c r="DN730" s="2" t="n">
        <v>86.31</v>
      </c>
      <c r="DO730" s="2" t="n">
        <v>0</v>
      </c>
      <c r="DP730" s="2" t="n">
        <v>92.04000000000001</v>
      </c>
      <c r="DQ730" s="2" t="n">
        <v>93.83</v>
      </c>
      <c r="DR730" s="2" t="n">
        <v>0</v>
      </c>
      <c r="DS730" s="2" t="n">
        <v>95.73</v>
      </c>
      <c r="DT730" s="2" t="n">
        <v>96.77</v>
      </c>
      <c r="DU730" s="2" t="n">
        <v>0</v>
      </c>
      <c r="DV730" s="2" t="n">
        <v>96.77</v>
      </c>
      <c r="DW730" s="2" t="n">
        <v>97.13</v>
      </c>
      <c r="DX730" s="2" t="n">
        <v>0</v>
      </c>
      <c r="DY730" s="2" t="n">
        <v>100</v>
      </c>
      <c r="DZ730" s="2" t="n">
        <v>100</v>
      </c>
      <c r="EA730" s="2" t="n">
        <v>0</v>
      </c>
      <c r="EB730" s="2" t="n">
        <v>100</v>
      </c>
      <c r="EC730" s="2" t="n">
        <v>100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</row>
    <row r="731">
      <c r="A731" s="2" t="n">
        <v>4</v>
      </c>
      <c r="B731" s="2" t="inlineStr">
        <is>
          <t>30.06.04.01</t>
        </is>
      </c>
      <c r="C731" s="2" t="inlineStr">
        <is>
          <t>Bancos em Granito White Ornamental levigado</t>
        </is>
      </c>
      <c r="D731" s="2" t="inlineStr">
        <is>
          <t>20/09/2027</t>
        </is>
      </c>
      <c r="E731" s="2" t="inlineStr">
        <is>
          <t>11/10/2028</t>
        </is>
      </c>
      <c r="F731" s="2" t="n">
        <v>12244.808042</v>
      </c>
      <c r="G731" s="2" t="n">
        <v>0</v>
      </c>
      <c r="H731" s="2" t="n">
        <v>12244.808042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1.43</v>
      </c>
      <c r="CM731" s="2" t="n">
        <v>3.23</v>
      </c>
      <c r="CN731" s="2" t="n">
        <v>0</v>
      </c>
      <c r="CO731" s="2" t="n">
        <v>8.77</v>
      </c>
      <c r="CP731" s="2" t="n">
        <v>10.6</v>
      </c>
      <c r="CQ731" s="2" t="n">
        <v>0</v>
      </c>
      <c r="CR731" s="2" t="n">
        <v>16.84</v>
      </c>
      <c r="CS731" s="2" t="n">
        <v>18.69</v>
      </c>
      <c r="CT731" s="2" t="n">
        <v>0</v>
      </c>
      <c r="CU731" s="2" t="n">
        <v>23.62</v>
      </c>
      <c r="CV731" s="2" t="n">
        <v>25.46</v>
      </c>
      <c r="CW731" s="2" t="n">
        <v>0</v>
      </c>
      <c r="CX731" s="2" t="n">
        <v>44.96</v>
      </c>
      <c r="CY731" s="2" t="n">
        <v>46.79</v>
      </c>
      <c r="CZ731" s="2" t="n">
        <v>0</v>
      </c>
      <c r="DA731" s="2" t="n">
        <v>52.76</v>
      </c>
      <c r="DB731" s="2" t="n">
        <v>54.56</v>
      </c>
      <c r="DC731" s="2" t="n">
        <v>0</v>
      </c>
      <c r="DD731" s="2" t="n">
        <v>61.22</v>
      </c>
      <c r="DE731" s="2" t="n">
        <v>63.01</v>
      </c>
      <c r="DF731" s="2" t="n">
        <v>0</v>
      </c>
      <c r="DG731" s="2" t="n">
        <v>68.88</v>
      </c>
      <c r="DH731" s="2" t="n">
        <v>70.79000000000001</v>
      </c>
      <c r="DI731" s="2" t="n">
        <v>0</v>
      </c>
      <c r="DJ731" s="2" t="n">
        <v>76.98999999999999</v>
      </c>
      <c r="DK731" s="2" t="n">
        <v>78.78</v>
      </c>
      <c r="DL731" s="2" t="n">
        <v>0</v>
      </c>
      <c r="DM731" s="2" t="n">
        <v>84.52</v>
      </c>
      <c r="DN731" s="2" t="n">
        <v>86.31</v>
      </c>
      <c r="DO731" s="2" t="n">
        <v>0</v>
      </c>
      <c r="DP731" s="2" t="n">
        <v>92.04000000000001</v>
      </c>
      <c r="DQ731" s="2" t="n">
        <v>93.83</v>
      </c>
      <c r="DR731" s="2" t="n">
        <v>0</v>
      </c>
      <c r="DS731" s="2" t="n">
        <v>95.73</v>
      </c>
      <c r="DT731" s="2" t="n">
        <v>96.77</v>
      </c>
      <c r="DU731" s="2" t="n">
        <v>0</v>
      </c>
      <c r="DV731" s="2" t="n">
        <v>96.77</v>
      </c>
      <c r="DW731" s="2" t="n">
        <v>97.13</v>
      </c>
      <c r="DX731" s="2" t="n">
        <v>0</v>
      </c>
      <c r="DY731" s="2" t="n">
        <v>100</v>
      </c>
      <c r="DZ731" s="2" t="n">
        <v>100</v>
      </c>
      <c r="EA731" s="2" t="n">
        <v>0</v>
      </c>
      <c r="EB731" s="2" t="n">
        <v>100</v>
      </c>
      <c r="EC731" s="2" t="n">
        <v>100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</row>
    <row r="732">
      <c r="A732" s="2" t="n">
        <v>4</v>
      </c>
      <c r="B732" s="2" t="inlineStr">
        <is>
          <t>30.06.04.02</t>
        </is>
      </c>
      <c r="C732" s="2" t="inlineStr">
        <is>
          <t>Fechamento lateral para bancos em Granito White Ornamental levigado</t>
        </is>
      </c>
      <c r="D732" s="2" t="inlineStr">
        <is>
          <t>20/09/2027</t>
        </is>
      </c>
      <c r="E732" s="2" t="inlineStr">
        <is>
          <t>11/10/2028</t>
        </is>
      </c>
      <c r="F732" s="2" t="n">
        <v>13070.6838333</v>
      </c>
      <c r="G732" s="2" t="n">
        <v>0</v>
      </c>
      <c r="H732" s="2" t="n">
        <v>13070.6838333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1.43</v>
      </c>
      <c r="CM732" s="2" t="n">
        <v>3.23</v>
      </c>
      <c r="CN732" s="2" t="n">
        <v>0</v>
      </c>
      <c r="CO732" s="2" t="n">
        <v>8.77</v>
      </c>
      <c r="CP732" s="2" t="n">
        <v>10.6</v>
      </c>
      <c r="CQ732" s="2" t="n">
        <v>0</v>
      </c>
      <c r="CR732" s="2" t="n">
        <v>16.84</v>
      </c>
      <c r="CS732" s="2" t="n">
        <v>18.69</v>
      </c>
      <c r="CT732" s="2" t="n">
        <v>0</v>
      </c>
      <c r="CU732" s="2" t="n">
        <v>23.62</v>
      </c>
      <c r="CV732" s="2" t="n">
        <v>25.46</v>
      </c>
      <c r="CW732" s="2" t="n">
        <v>0</v>
      </c>
      <c r="CX732" s="2" t="n">
        <v>44.96</v>
      </c>
      <c r="CY732" s="2" t="n">
        <v>46.79</v>
      </c>
      <c r="CZ732" s="2" t="n">
        <v>0</v>
      </c>
      <c r="DA732" s="2" t="n">
        <v>52.76</v>
      </c>
      <c r="DB732" s="2" t="n">
        <v>54.56</v>
      </c>
      <c r="DC732" s="2" t="n">
        <v>0</v>
      </c>
      <c r="DD732" s="2" t="n">
        <v>61.22</v>
      </c>
      <c r="DE732" s="2" t="n">
        <v>63.01</v>
      </c>
      <c r="DF732" s="2" t="n">
        <v>0</v>
      </c>
      <c r="DG732" s="2" t="n">
        <v>68.88</v>
      </c>
      <c r="DH732" s="2" t="n">
        <v>70.79000000000001</v>
      </c>
      <c r="DI732" s="2" t="n">
        <v>0</v>
      </c>
      <c r="DJ732" s="2" t="n">
        <v>76.98999999999999</v>
      </c>
      <c r="DK732" s="2" t="n">
        <v>78.78</v>
      </c>
      <c r="DL732" s="2" t="n">
        <v>0</v>
      </c>
      <c r="DM732" s="2" t="n">
        <v>84.52</v>
      </c>
      <c r="DN732" s="2" t="n">
        <v>86.31</v>
      </c>
      <c r="DO732" s="2" t="n">
        <v>0</v>
      </c>
      <c r="DP732" s="2" t="n">
        <v>92.04000000000001</v>
      </c>
      <c r="DQ732" s="2" t="n">
        <v>93.83</v>
      </c>
      <c r="DR732" s="2" t="n">
        <v>0</v>
      </c>
      <c r="DS732" s="2" t="n">
        <v>95.73</v>
      </c>
      <c r="DT732" s="2" t="n">
        <v>96.77</v>
      </c>
      <c r="DU732" s="2" t="n">
        <v>0</v>
      </c>
      <c r="DV732" s="2" t="n">
        <v>96.77</v>
      </c>
      <c r="DW732" s="2" t="n">
        <v>97.13</v>
      </c>
      <c r="DX732" s="2" t="n">
        <v>0</v>
      </c>
      <c r="DY732" s="2" t="n">
        <v>100</v>
      </c>
      <c r="DZ732" s="2" t="n">
        <v>100</v>
      </c>
      <c r="EA732" s="2" t="n">
        <v>0</v>
      </c>
      <c r="EB732" s="2" t="n">
        <v>100</v>
      </c>
      <c r="EC732" s="2" t="n">
        <v>100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</row>
    <row r="733">
      <c r="A733" s="2" t="n">
        <v>4</v>
      </c>
      <c r="B733" s="2" t="inlineStr">
        <is>
          <t>30.06.04.03</t>
        </is>
      </c>
      <c r="C733" s="2" t="inlineStr">
        <is>
          <t>Testeira de granito white ornamental h=10cm</t>
        </is>
      </c>
      <c r="D733" s="2" t="inlineStr">
        <is>
          <t>20/09/2027</t>
        </is>
      </c>
      <c r="E733" s="2" t="inlineStr">
        <is>
          <t>11/10/2028</t>
        </is>
      </c>
      <c r="F733" s="2" t="n">
        <v>4132.047944999999</v>
      </c>
      <c r="G733" s="2" t="n">
        <v>0</v>
      </c>
      <c r="H733" s="2" t="n">
        <v>4132.047944999999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1.43</v>
      </c>
      <c r="CM733" s="2" t="n">
        <v>3.23</v>
      </c>
      <c r="CN733" s="2" t="n">
        <v>0</v>
      </c>
      <c r="CO733" s="2" t="n">
        <v>8.77</v>
      </c>
      <c r="CP733" s="2" t="n">
        <v>10.6</v>
      </c>
      <c r="CQ733" s="2" t="n">
        <v>0</v>
      </c>
      <c r="CR733" s="2" t="n">
        <v>16.84</v>
      </c>
      <c r="CS733" s="2" t="n">
        <v>18.69</v>
      </c>
      <c r="CT733" s="2" t="n">
        <v>0</v>
      </c>
      <c r="CU733" s="2" t="n">
        <v>23.62</v>
      </c>
      <c r="CV733" s="2" t="n">
        <v>25.46</v>
      </c>
      <c r="CW733" s="2" t="n">
        <v>0</v>
      </c>
      <c r="CX733" s="2" t="n">
        <v>44.96</v>
      </c>
      <c r="CY733" s="2" t="n">
        <v>46.79</v>
      </c>
      <c r="CZ733" s="2" t="n">
        <v>0</v>
      </c>
      <c r="DA733" s="2" t="n">
        <v>52.76</v>
      </c>
      <c r="DB733" s="2" t="n">
        <v>54.56</v>
      </c>
      <c r="DC733" s="2" t="n">
        <v>0</v>
      </c>
      <c r="DD733" s="2" t="n">
        <v>61.22</v>
      </c>
      <c r="DE733" s="2" t="n">
        <v>63.01</v>
      </c>
      <c r="DF733" s="2" t="n">
        <v>0</v>
      </c>
      <c r="DG733" s="2" t="n">
        <v>68.88</v>
      </c>
      <c r="DH733" s="2" t="n">
        <v>70.79000000000001</v>
      </c>
      <c r="DI733" s="2" t="n">
        <v>0</v>
      </c>
      <c r="DJ733" s="2" t="n">
        <v>76.98999999999999</v>
      </c>
      <c r="DK733" s="2" t="n">
        <v>78.78</v>
      </c>
      <c r="DL733" s="2" t="n">
        <v>0</v>
      </c>
      <c r="DM733" s="2" t="n">
        <v>84.52</v>
      </c>
      <c r="DN733" s="2" t="n">
        <v>86.31</v>
      </c>
      <c r="DO733" s="2" t="n">
        <v>0</v>
      </c>
      <c r="DP733" s="2" t="n">
        <v>92.04000000000001</v>
      </c>
      <c r="DQ733" s="2" t="n">
        <v>93.83</v>
      </c>
      <c r="DR733" s="2" t="n">
        <v>0</v>
      </c>
      <c r="DS733" s="2" t="n">
        <v>95.73</v>
      </c>
      <c r="DT733" s="2" t="n">
        <v>96.77</v>
      </c>
      <c r="DU733" s="2" t="n">
        <v>0</v>
      </c>
      <c r="DV733" s="2" t="n">
        <v>96.77</v>
      </c>
      <c r="DW733" s="2" t="n">
        <v>97.13</v>
      </c>
      <c r="DX733" s="2" t="n">
        <v>0</v>
      </c>
      <c r="DY733" s="2" t="n">
        <v>100</v>
      </c>
      <c r="DZ733" s="2" t="n">
        <v>100</v>
      </c>
      <c r="EA733" s="2" t="n">
        <v>0</v>
      </c>
      <c r="EB733" s="2" t="n">
        <v>100</v>
      </c>
      <c r="EC733" s="2" t="n">
        <v>100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</row>
    <row r="734">
      <c r="A734" s="2" t="n">
        <v>4</v>
      </c>
      <c r="B734" s="2" t="inlineStr">
        <is>
          <t>30.06.04.04</t>
        </is>
      </c>
      <c r="C734" s="2" t="inlineStr">
        <is>
          <t>Proteção de bancadas contra manuseio de obra</t>
        </is>
      </c>
      <c r="D734" s="2" t="inlineStr">
        <is>
          <t>20/09/2027</t>
        </is>
      </c>
      <c r="E734" s="2" t="inlineStr">
        <is>
          <t>11/10/2028</t>
        </is>
      </c>
      <c r="F734" s="2" t="n">
        <v>503.9341902657761</v>
      </c>
      <c r="G734" s="2" t="n">
        <v>0</v>
      </c>
      <c r="H734" s="2" t="n">
        <v>503.9341902657761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</v>
      </c>
      <c r="BU734" s="2" t="n">
        <v>0</v>
      </c>
      <c r="BV734" s="2" t="n">
        <v>0</v>
      </c>
      <c r="BW734" s="2" t="n">
        <v>0</v>
      </c>
      <c r="BX734" s="2" t="n">
        <v>0</v>
      </c>
      <c r="BY734" s="2" t="n">
        <v>0</v>
      </c>
      <c r="BZ734" s="2" t="n">
        <v>0</v>
      </c>
      <c r="CA734" s="2" t="n">
        <v>0</v>
      </c>
      <c r="CB734" s="2" t="n">
        <v>0</v>
      </c>
      <c r="CC734" s="2" t="n">
        <v>0</v>
      </c>
      <c r="CD734" s="2" t="n">
        <v>0</v>
      </c>
      <c r="CE734" s="2" t="n">
        <v>0</v>
      </c>
      <c r="CF734" s="2" t="n">
        <v>0</v>
      </c>
      <c r="CG734" s="2" t="n">
        <v>0</v>
      </c>
      <c r="CH734" s="2" t="n">
        <v>0</v>
      </c>
      <c r="CI734" s="2" t="n">
        <v>0</v>
      </c>
      <c r="CJ734" s="2" t="n">
        <v>0</v>
      </c>
      <c r="CK734" s="2" t="n">
        <v>0</v>
      </c>
      <c r="CL734" s="2" t="n">
        <v>1.43</v>
      </c>
      <c r="CM734" s="2" t="n">
        <v>3.23</v>
      </c>
      <c r="CN734" s="2" t="n">
        <v>0</v>
      </c>
      <c r="CO734" s="2" t="n">
        <v>8.77</v>
      </c>
      <c r="CP734" s="2" t="n">
        <v>10.6</v>
      </c>
      <c r="CQ734" s="2" t="n">
        <v>0</v>
      </c>
      <c r="CR734" s="2" t="n">
        <v>16.84</v>
      </c>
      <c r="CS734" s="2" t="n">
        <v>18.69</v>
      </c>
      <c r="CT734" s="2" t="n">
        <v>0</v>
      </c>
      <c r="CU734" s="2" t="n">
        <v>23.62</v>
      </c>
      <c r="CV734" s="2" t="n">
        <v>25.46</v>
      </c>
      <c r="CW734" s="2" t="n">
        <v>0</v>
      </c>
      <c r="CX734" s="2" t="n">
        <v>44.96</v>
      </c>
      <c r="CY734" s="2" t="n">
        <v>46.79</v>
      </c>
      <c r="CZ734" s="2" t="n">
        <v>0</v>
      </c>
      <c r="DA734" s="2" t="n">
        <v>52.76</v>
      </c>
      <c r="DB734" s="2" t="n">
        <v>54.56</v>
      </c>
      <c r="DC734" s="2" t="n">
        <v>0</v>
      </c>
      <c r="DD734" s="2" t="n">
        <v>61.22</v>
      </c>
      <c r="DE734" s="2" t="n">
        <v>63.01</v>
      </c>
      <c r="DF734" s="2" t="n">
        <v>0</v>
      </c>
      <c r="DG734" s="2" t="n">
        <v>68.88</v>
      </c>
      <c r="DH734" s="2" t="n">
        <v>70.79000000000001</v>
      </c>
      <c r="DI734" s="2" t="n">
        <v>0</v>
      </c>
      <c r="DJ734" s="2" t="n">
        <v>76.98999999999999</v>
      </c>
      <c r="DK734" s="2" t="n">
        <v>78.78</v>
      </c>
      <c r="DL734" s="2" t="n">
        <v>0</v>
      </c>
      <c r="DM734" s="2" t="n">
        <v>84.52</v>
      </c>
      <c r="DN734" s="2" t="n">
        <v>86.31</v>
      </c>
      <c r="DO734" s="2" t="n">
        <v>0</v>
      </c>
      <c r="DP734" s="2" t="n">
        <v>92.04000000000001</v>
      </c>
      <c r="DQ734" s="2" t="n">
        <v>93.83</v>
      </c>
      <c r="DR734" s="2" t="n">
        <v>0</v>
      </c>
      <c r="DS734" s="2" t="n">
        <v>95.73</v>
      </c>
      <c r="DT734" s="2" t="n">
        <v>96.77</v>
      </c>
      <c r="DU734" s="2" t="n">
        <v>0</v>
      </c>
      <c r="DV734" s="2" t="n">
        <v>96.77</v>
      </c>
      <c r="DW734" s="2" t="n">
        <v>97.13</v>
      </c>
      <c r="DX734" s="2" t="n">
        <v>0</v>
      </c>
      <c r="DY734" s="2" t="n">
        <v>100</v>
      </c>
      <c r="DZ734" s="2" t="n">
        <v>100</v>
      </c>
      <c r="EA734" s="2" t="n">
        <v>0</v>
      </c>
      <c r="EB734" s="2" t="n">
        <v>100</v>
      </c>
      <c r="EC734" s="2" t="n">
        <v>100</v>
      </c>
      <c r="ED734" s="2" t="n">
        <v>0</v>
      </c>
      <c r="EE734" s="2" t="n">
        <v>100</v>
      </c>
      <c r="EF734" s="2" t="n">
        <v>100</v>
      </c>
      <c r="EG734" s="2" t="n">
        <v>0</v>
      </c>
      <c r="EH734" s="2" t="n">
        <v>100</v>
      </c>
      <c r="EI734" s="2" t="n">
        <v>100</v>
      </c>
      <c r="EJ734" s="2" t="n">
        <v>0</v>
      </c>
      <c r="EK734" s="2" t="n">
        <v>100</v>
      </c>
      <c r="EL734" s="2" t="n">
        <v>100</v>
      </c>
      <c r="EM734" s="2" t="n">
        <v>0</v>
      </c>
      <c r="EN734" s="2" t="n">
        <v>100</v>
      </c>
      <c r="EO734" s="2" t="n">
        <v>100</v>
      </c>
      <c r="EP734" s="2" t="n">
        <v>0</v>
      </c>
      <c r="EQ734" s="2" t="n">
        <v>100</v>
      </c>
      <c r="ER734" s="2" t="n">
        <v>100</v>
      </c>
      <c r="ES734" s="2" t="n">
        <v>0</v>
      </c>
    </row>
    <row r="735">
      <c r="A735" s="2" t="n">
        <v>3</v>
      </c>
      <c r="B735" s="2" t="inlineStr">
        <is>
          <t>30.06.05</t>
        </is>
      </c>
      <c r="C735" s="2" t="inlineStr">
        <is>
          <t>Bancada em mármore Branco tradicional levigado</t>
        </is>
      </c>
      <c r="D735" s="2" t="inlineStr">
        <is>
          <t>20/09/2027</t>
        </is>
      </c>
      <c r="E735" s="2" t="inlineStr">
        <is>
          <t>11/10/2028</t>
        </is>
      </c>
      <c r="F735" s="2" t="n">
        <v>1159135.822853316</v>
      </c>
      <c r="G735" s="2" t="n">
        <v>0</v>
      </c>
      <c r="H735" s="2" t="n">
        <v>1159135.822853316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1.43</v>
      </c>
      <c r="CM735" s="2" t="n">
        <v>3.23</v>
      </c>
      <c r="CN735" s="2" t="n">
        <v>0</v>
      </c>
      <c r="CO735" s="2" t="n">
        <v>8.77</v>
      </c>
      <c r="CP735" s="2" t="n">
        <v>10.6</v>
      </c>
      <c r="CQ735" s="2" t="n">
        <v>0</v>
      </c>
      <c r="CR735" s="2" t="n">
        <v>16.84</v>
      </c>
      <c r="CS735" s="2" t="n">
        <v>18.69</v>
      </c>
      <c r="CT735" s="2" t="n">
        <v>0</v>
      </c>
      <c r="CU735" s="2" t="n">
        <v>23.62</v>
      </c>
      <c r="CV735" s="2" t="n">
        <v>25.46</v>
      </c>
      <c r="CW735" s="2" t="n">
        <v>0</v>
      </c>
      <c r="CX735" s="2" t="n">
        <v>44.96</v>
      </c>
      <c r="CY735" s="2" t="n">
        <v>46.79</v>
      </c>
      <c r="CZ735" s="2" t="n">
        <v>0</v>
      </c>
      <c r="DA735" s="2" t="n">
        <v>52.76</v>
      </c>
      <c r="DB735" s="2" t="n">
        <v>54.56</v>
      </c>
      <c r="DC735" s="2" t="n">
        <v>0</v>
      </c>
      <c r="DD735" s="2" t="n">
        <v>61.22</v>
      </c>
      <c r="DE735" s="2" t="n">
        <v>63.01</v>
      </c>
      <c r="DF735" s="2" t="n">
        <v>0</v>
      </c>
      <c r="DG735" s="2" t="n">
        <v>68.88</v>
      </c>
      <c r="DH735" s="2" t="n">
        <v>70.79000000000001</v>
      </c>
      <c r="DI735" s="2" t="n">
        <v>0</v>
      </c>
      <c r="DJ735" s="2" t="n">
        <v>76.98999999999999</v>
      </c>
      <c r="DK735" s="2" t="n">
        <v>78.78</v>
      </c>
      <c r="DL735" s="2" t="n">
        <v>0</v>
      </c>
      <c r="DM735" s="2" t="n">
        <v>84.52</v>
      </c>
      <c r="DN735" s="2" t="n">
        <v>86.31</v>
      </c>
      <c r="DO735" s="2" t="n">
        <v>0</v>
      </c>
      <c r="DP735" s="2" t="n">
        <v>92.04000000000001</v>
      </c>
      <c r="DQ735" s="2" t="n">
        <v>93.83</v>
      </c>
      <c r="DR735" s="2" t="n">
        <v>0</v>
      </c>
      <c r="DS735" s="2" t="n">
        <v>95.73</v>
      </c>
      <c r="DT735" s="2" t="n">
        <v>96.77</v>
      </c>
      <c r="DU735" s="2" t="n">
        <v>0</v>
      </c>
      <c r="DV735" s="2" t="n">
        <v>96.77</v>
      </c>
      <c r="DW735" s="2" t="n">
        <v>97.13</v>
      </c>
      <c r="DX735" s="2" t="n">
        <v>0</v>
      </c>
      <c r="DY735" s="2" t="n">
        <v>100</v>
      </c>
      <c r="DZ735" s="2" t="n">
        <v>100</v>
      </c>
      <c r="EA735" s="2" t="n">
        <v>0</v>
      </c>
      <c r="EB735" s="2" t="n">
        <v>100</v>
      </c>
      <c r="EC735" s="2" t="n">
        <v>100</v>
      </c>
      <c r="ED735" s="2" t="n">
        <v>0</v>
      </c>
      <c r="EE735" s="2" t="n">
        <v>100</v>
      </c>
      <c r="EF735" s="2" t="n">
        <v>100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</row>
    <row r="736">
      <c r="A736" s="2" t="n">
        <v>4</v>
      </c>
      <c r="B736" s="2" t="inlineStr">
        <is>
          <t>30.06.05.01</t>
        </is>
      </c>
      <c r="C736" s="2" t="inlineStr">
        <is>
          <t>Bancada em mármore Branco tradicional levigado</t>
        </is>
      </c>
      <c r="D736" s="2" t="inlineStr">
        <is>
          <t>20/09/2027</t>
        </is>
      </c>
      <c r="E736" s="2" t="inlineStr">
        <is>
          <t>11/10/2028</t>
        </is>
      </c>
      <c r="F736" s="2" t="n">
        <v>643316.4819929999</v>
      </c>
      <c r="G736" s="2" t="n">
        <v>0</v>
      </c>
      <c r="H736" s="2" t="n">
        <v>643316.4819929999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1.43</v>
      </c>
      <c r="CM736" s="2" t="n">
        <v>3.23</v>
      </c>
      <c r="CN736" s="2" t="n">
        <v>0</v>
      </c>
      <c r="CO736" s="2" t="n">
        <v>8.77</v>
      </c>
      <c r="CP736" s="2" t="n">
        <v>10.6</v>
      </c>
      <c r="CQ736" s="2" t="n">
        <v>0</v>
      </c>
      <c r="CR736" s="2" t="n">
        <v>16.84</v>
      </c>
      <c r="CS736" s="2" t="n">
        <v>18.69</v>
      </c>
      <c r="CT736" s="2" t="n">
        <v>0</v>
      </c>
      <c r="CU736" s="2" t="n">
        <v>23.62</v>
      </c>
      <c r="CV736" s="2" t="n">
        <v>25.46</v>
      </c>
      <c r="CW736" s="2" t="n">
        <v>0</v>
      </c>
      <c r="CX736" s="2" t="n">
        <v>44.96</v>
      </c>
      <c r="CY736" s="2" t="n">
        <v>46.79</v>
      </c>
      <c r="CZ736" s="2" t="n">
        <v>0</v>
      </c>
      <c r="DA736" s="2" t="n">
        <v>52.76</v>
      </c>
      <c r="DB736" s="2" t="n">
        <v>54.56</v>
      </c>
      <c r="DC736" s="2" t="n">
        <v>0</v>
      </c>
      <c r="DD736" s="2" t="n">
        <v>61.22</v>
      </c>
      <c r="DE736" s="2" t="n">
        <v>63.01</v>
      </c>
      <c r="DF736" s="2" t="n">
        <v>0</v>
      </c>
      <c r="DG736" s="2" t="n">
        <v>68.88</v>
      </c>
      <c r="DH736" s="2" t="n">
        <v>70.79000000000001</v>
      </c>
      <c r="DI736" s="2" t="n">
        <v>0</v>
      </c>
      <c r="DJ736" s="2" t="n">
        <v>76.98999999999999</v>
      </c>
      <c r="DK736" s="2" t="n">
        <v>78.78</v>
      </c>
      <c r="DL736" s="2" t="n">
        <v>0</v>
      </c>
      <c r="DM736" s="2" t="n">
        <v>84.52</v>
      </c>
      <c r="DN736" s="2" t="n">
        <v>86.31</v>
      </c>
      <c r="DO736" s="2" t="n">
        <v>0</v>
      </c>
      <c r="DP736" s="2" t="n">
        <v>92.04000000000001</v>
      </c>
      <c r="DQ736" s="2" t="n">
        <v>93.83</v>
      </c>
      <c r="DR736" s="2" t="n">
        <v>0</v>
      </c>
      <c r="DS736" s="2" t="n">
        <v>95.73</v>
      </c>
      <c r="DT736" s="2" t="n">
        <v>96.77</v>
      </c>
      <c r="DU736" s="2" t="n">
        <v>0</v>
      </c>
      <c r="DV736" s="2" t="n">
        <v>96.77</v>
      </c>
      <c r="DW736" s="2" t="n">
        <v>97.13</v>
      </c>
      <c r="DX736" s="2" t="n">
        <v>0</v>
      </c>
      <c r="DY736" s="2" t="n">
        <v>100</v>
      </c>
      <c r="DZ736" s="2" t="n">
        <v>100</v>
      </c>
      <c r="EA736" s="2" t="n">
        <v>0</v>
      </c>
      <c r="EB736" s="2" t="n">
        <v>100</v>
      </c>
      <c r="EC736" s="2" t="n">
        <v>100</v>
      </c>
      <c r="ED736" s="2" t="n">
        <v>0</v>
      </c>
      <c r="EE736" s="2" t="n">
        <v>100</v>
      </c>
      <c r="EF736" s="2" t="n">
        <v>100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</row>
    <row r="737">
      <c r="A737" s="2" t="n">
        <v>4</v>
      </c>
      <c r="B737" s="2" t="inlineStr">
        <is>
          <t>30.06.05.02</t>
        </is>
      </c>
      <c r="C737" s="2" t="inlineStr">
        <is>
          <t>Bancada esculpida em mármore Branco tradicional levigado.</t>
        </is>
      </c>
      <c r="D737" s="2" t="inlineStr">
        <is>
          <t>20/09/2027</t>
        </is>
      </c>
      <c r="E737" s="2" t="inlineStr">
        <is>
          <t>11/10/2028</t>
        </is>
      </c>
      <c r="F737" s="2" t="n">
        <v>234553.073584</v>
      </c>
      <c r="G737" s="2" t="n">
        <v>0</v>
      </c>
      <c r="H737" s="2" t="n">
        <v>234553.073584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1.43</v>
      </c>
      <c r="CM737" s="2" t="n">
        <v>3.23</v>
      </c>
      <c r="CN737" s="2" t="n">
        <v>0</v>
      </c>
      <c r="CO737" s="2" t="n">
        <v>8.77</v>
      </c>
      <c r="CP737" s="2" t="n">
        <v>10.6</v>
      </c>
      <c r="CQ737" s="2" t="n">
        <v>0</v>
      </c>
      <c r="CR737" s="2" t="n">
        <v>16.84</v>
      </c>
      <c r="CS737" s="2" t="n">
        <v>18.69</v>
      </c>
      <c r="CT737" s="2" t="n">
        <v>0</v>
      </c>
      <c r="CU737" s="2" t="n">
        <v>23.62</v>
      </c>
      <c r="CV737" s="2" t="n">
        <v>25.46</v>
      </c>
      <c r="CW737" s="2" t="n">
        <v>0</v>
      </c>
      <c r="CX737" s="2" t="n">
        <v>44.96</v>
      </c>
      <c r="CY737" s="2" t="n">
        <v>46.79</v>
      </c>
      <c r="CZ737" s="2" t="n">
        <v>0</v>
      </c>
      <c r="DA737" s="2" t="n">
        <v>52.76</v>
      </c>
      <c r="DB737" s="2" t="n">
        <v>54.56</v>
      </c>
      <c r="DC737" s="2" t="n">
        <v>0</v>
      </c>
      <c r="DD737" s="2" t="n">
        <v>61.22</v>
      </c>
      <c r="DE737" s="2" t="n">
        <v>63.01</v>
      </c>
      <c r="DF737" s="2" t="n">
        <v>0</v>
      </c>
      <c r="DG737" s="2" t="n">
        <v>68.88</v>
      </c>
      <c r="DH737" s="2" t="n">
        <v>70.79000000000001</v>
      </c>
      <c r="DI737" s="2" t="n">
        <v>0</v>
      </c>
      <c r="DJ737" s="2" t="n">
        <v>76.98999999999999</v>
      </c>
      <c r="DK737" s="2" t="n">
        <v>78.78</v>
      </c>
      <c r="DL737" s="2" t="n">
        <v>0</v>
      </c>
      <c r="DM737" s="2" t="n">
        <v>84.52</v>
      </c>
      <c r="DN737" s="2" t="n">
        <v>86.31</v>
      </c>
      <c r="DO737" s="2" t="n">
        <v>0</v>
      </c>
      <c r="DP737" s="2" t="n">
        <v>92.04000000000001</v>
      </c>
      <c r="DQ737" s="2" t="n">
        <v>93.83</v>
      </c>
      <c r="DR737" s="2" t="n">
        <v>0</v>
      </c>
      <c r="DS737" s="2" t="n">
        <v>95.73</v>
      </c>
      <c r="DT737" s="2" t="n">
        <v>96.77</v>
      </c>
      <c r="DU737" s="2" t="n">
        <v>0</v>
      </c>
      <c r="DV737" s="2" t="n">
        <v>96.77</v>
      </c>
      <c r="DW737" s="2" t="n">
        <v>97.13</v>
      </c>
      <c r="DX737" s="2" t="n">
        <v>0</v>
      </c>
      <c r="DY737" s="2" t="n">
        <v>100</v>
      </c>
      <c r="DZ737" s="2" t="n">
        <v>100</v>
      </c>
      <c r="EA737" s="2" t="n">
        <v>0</v>
      </c>
      <c r="EB737" s="2" t="n">
        <v>100</v>
      </c>
      <c r="EC737" s="2" t="n">
        <v>100</v>
      </c>
      <c r="ED737" s="2" t="n">
        <v>0</v>
      </c>
      <c r="EE737" s="2" t="n">
        <v>100</v>
      </c>
      <c r="EF737" s="2" t="n">
        <v>100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</row>
    <row r="738">
      <c r="A738" s="2" t="n">
        <v>4</v>
      </c>
      <c r="B738" s="2" t="inlineStr">
        <is>
          <t>30.06.05.03</t>
        </is>
      </c>
      <c r="C738" s="2" t="inlineStr">
        <is>
          <t>Testeira de mármore Branco tradicional levigado h=10cm</t>
        </is>
      </c>
      <c r="D738" s="2" t="inlineStr">
        <is>
          <t>20/09/2027</t>
        </is>
      </c>
      <c r="E738" s="2" t="inlineStr">
        <is>
          <t>11/10/2028</t>
        </is>
      </c>
      <c r="F738" s="2" t="n">
        <v>114348.80911425</v>
      </c>
      <c r="G738" s="2" t="n">
        <v>0</v>
      </c>
      <c r="H738" s="2" t="n">
        <v>114348.80911425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1.43</v>
      </c>
      <c r="CM738" s="2" t="n">
        <v>3.23</v>
      </c>
      <c r="CN738" s="2" t="n">
        <v>0</v>
      </c>
      <c r="CO738" s="2" t="n">
        <v>8.77</v>
      </c>
      <c r="CP738" s="2" t="n">
        <v>10.6</v>
      </c>
      <c r="CQ738" s="2" t="n">
        <v>0</v>
      </c>
      <c r="CR738" s="2" t="n">
        <v>16.84</v>
      </c>
      <c r="CS738" s="2" t="n">
        <v>18.69</v>
      </c>
      <c r="CT738" s="2" t="n">
        <v>0</v>
      </c>
      <c r="CU738" s="2" t="n">
        <v>23.62</v>
      </c>
      <c r="CV738" s="2" t="n">
        <v>25.46</v>
      </c>
      <c r="CW738" s="2" t="n">
        <v>0</v>
      </c>
      <c r="CX738" s="2" t="n">
        <v>44.96</v>
      </c>
      <c r="CY738" s="2" t="n">
        <v>46.79</v>
      </c>
      <c r="CZ738" s="2" t="n">
        <v>0</v>
      </c>
      <c r="DA738" s="2" t="n">
        <v>52.76</v>
      </c>
      <c r="DB738" s="2" t="n">
        <v>54.56</v>
      </c>
      <c r="DC738" s="2" t="n">
        <v>0</v>
      </c>
      <c r="DD738" s="2" t="n">
        <v>61.22</v>
      </c>
      <c r="DE738" s="2" t="n">
        <v>63.01</v>
      </c>
      <c r="DF738" s="2" t="n">
        <v>0</v>
      </c>
      <c r="DG738" s="2" t="n">
        <v>68.88</v>
      </c>
      <c r="DH738" s="2" t="n">
        <v>70.79000000000001</v>
      </c>
      <c r="DI738" s="2" t="n">
        <v>0</v>
      </c>
      <c r="DJ738" s="2" t="n">
        <v>76.98999999999999</v>
      </c>
      <c r="DK738" s="2" t="n">
        <v>78.78</v>
      </c>
      <c r="DL738" s="2" t="n">
        <v>0</v>
      </c>
      <c r="DM738" s="2" t="n">
        <v>84.52</v>
      </c>
      <c r="DN738" s="2" t="n">
        <v>86.31</v>
      </c>
      <c r="DO738" s="2" t="n">
        <v>0</v>
      </c>
      <c r="DP738" s="2" t="n">
        <v>92.04000000000001</v>
      </c>
      <c r="DQ738" s="2" t="n">
        <v>93.83</v>
      </c>
      <c r="DR738" s="2" t="n">
        <v>0</v>
      </c>
      <c r="DS738" s="2" t="n">
        <v>95.73</v>
      </c>
      <c r="DT738" s="2" t="n">
        <v>96.77</v>
      </c>
      <c r="DU738" s="2" t="n">
        <v>0</v>
      </c>
      <c r="DV738" s="2" t="n">
        <v>96.77</v>
      </c>
      <c r="DW738" s="2" t="n">
        <v>97.13</v>
      </c>
      <c r="DX738" s="2" t="n">
        <v>0</v>
      </c>
      <c r="DY738" s="2" t="n">
        <v>100</v>
      </c>
      <c r="DZ738" s="2" t="n">
        <v>100</v>
      </c>
      <c r="EA738" s="2" t="n">
        <v>0</v>
      </c>
      <c r="EB738" s="2" t="n">
        <v>100</v>
      </c>
      <c r="EC738" s="2" t="n">
        <v>100</v>
      </c>
      <c r="ED738" s="2" t="n">
        <v>0</v>
      </c>
      <c r="EE738" s="2" t="n">
        <v>100</v>
      </c>
      <c r="EF738" s="2" t="n">
        <v>100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</row>
    <row r="739">
      <c r="A739" s="2" t="n">
        <v>4</v>
      </c>
      <c r="B739" s="2" t="inlineStr">
        <is>
          <t>30.06.05.04</t>
        </is>
      </c>
      <c r="C739" s="2" t="inlineStr">
        <is>
          <t>Rodabanca de mármore Branco tradicional levigado h=10cm</t>
        </is>
      </c>
      <c r="D739" s="2" t="inlineStr">
        <is>
          <t>20/09/2027</t>
        </is>
      </c>
      <c r="E739" s="2" t="inlineStr">
        <is>
          <t>11/10/2028</t>
        </is>
      </c>
      <c r="F739" s="2" t="n">
        <v>135044.99832075</v>
      </c>
      <c r="G739" s="2" t="n">
        <v>0</v>
      </c>
      <c r="H739" s="2" t="n">
        <v>135044.99832075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1.43</v>
      </c>
      <c r="CM739" s="2" t="n">
        <v>3.23</v>
      </c>
      <c r="CN739" s="2" t="n">
        <v>0</v>
      </c>
      <c r="CO739" s="2" t="n">
        <v>8.77</v>
      </c>
      <c r="CP739" s="2" t="n">
        <v>10.6</v>
      </c>
      <c r="CQ739" s="2" t="n">
        <v>0</v>
      </c>
      <c r="CR739" s="2" t="n">
        <v>16.84</v>
      </c>
      <c r="CS739" s="2" t="n">
        <v>18.69</v>
      </c>
      <c r="CT739" s="2" t="n">
        <v>0</v>
      </c>
      <c r="CU739" s="2" t="n">
        <v>23.62</v>
      </c>
      <c r="CV739" s="2" t="n">
        <v>25.46</v>
      </c>
      <c r="CW739" s="2" t="n">
        <v>0</v>
      </c>
      <c r="CX739" s="2" t="n">
        <v>44.96</v>
      </c>
      <c r="CY739" s="2" t="n">
        <v>46.79</v>
      </c>
      <c r="CZ739" s="2" t="n">
        <v>0</v>
      </c>
      <c r="DA739" s="2" t="n">
        <v>52.76</v>
      </c>
      <c r="DB739" s="2" t="n">
        <v>54.56</v>
      </c>
      <c r="DC739" s="2" t="n">
        <v>0</v>
      </c>
      <c r="DD739" s="2" t="n">
        <v>61.22</v>
      </c>
      <c r="DE739" s="2" t="n">
        <v>63.01</v>
      </c>
      <c r="DF739" s="2" t="n">
        <v>0</v>
      </c>
      <c r="DG739" s="2" t="n">
        <v>68.88</v>
      </c>
      <c r="DH739" s="2" t="n">
        <v>70.79000000000001</v>
      </c>
      <c r="DI739" s="2" t="n">
        <v>0</v>
      </c>
      <c r="DJ739" s="2" t="n">
        <v>76.98999999999999</v>
      </c>
      <c r="DK739" s="2" t="n">
        <v>78.78</v>
      </c>
      <c r="DL739" s="2" t="n">
        <v>0</v>
      </c>
      <c r="DM739" s="2" t="n">
        <v>84.52</v>
      </c>
      <c r="DN739" s="2" t="n">
        <v>86.31</v>
      </c>
      <c r="DO739" s="2" t="n">
        <v>0</v>
      </c>
      <c r="DP739" s="2" t="n">
        <v>92.04000000000001</v>
      </c>
      <c r="DQ739" s="2" t="n">
        <v>93.83</v>
      </c>
      <c r="DR739" s="2" t="n">
        <v>0</v>
      </c>
      <c r="DS739" s="2" t="n">
        <v>95.73</v>
      </c>
      <c r="DT739" s="2" t="n">
        <v>96.77</v>
      </c>
      <c r="DU739" s="2" t="n">
        <v>0</v>
      </c>
      <c r="DV739" s="2" t="n">
        <v>96.77</v>
      </c>
      <c r="DW739" s="2" t="n">
        <v>97.13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</row>
    <row r="740">
      <c r="A740" s="2" t="n">
        <v>4</v>
      </c>
      <c r="B740" s="2" t="inlineStr">
        <is>
          <t>30.06.05.05</t>
        </is>
      </c>
      <c r="C740" s="2" t="inlineStr">
        <is>
          <t>Furo e colagem de bojo</t>
        </is>
      </c>
      <c r="D740" s="2" t="inlineStr">
        <is>
          <t>20/09/2027</t>
        </is>
      </c>
      <c r="E740" s="2" t="inlineStr">
        <is>
          <t>11/10/2028</t>
        </is>
      </c>
      <c r="F740" s="2" t="n">
        <v>11205</v>
      </c>
      <c r="G740" s="2" t="n">
        <v>0</v>
      </c>
      <c r="H740" s="2" t="n">
        <v>11205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1.43</v>
      </c>
      <c r="CM740" s="2" t="n">
        <v>3.23</v>
      </c>
      <c r="CN740" s="2" t="n">
        <v>0</v>
      </c>
      <c r="CO740" s="2" t="n">
        <v>8.77</v>
      </c>
      <c r="CP740" s="2" t="n">
        <v>10.6</v>
      </c>
      <c r="CQ740" s="2" t="n">
        <v>0</v>
      </c>
      <c r="CR740" s="2" t="n">
        <v>16.84</v>
      </c>
      <c r="CS740" s="2" t="n">
        <v>18.69</v>
      </c>
      <c r="CT740" s="2" t="n">
        <v>0</v>
      </c>
      <c r="CU740" s="2" t="n">
        <v>23.62</v>
      </c>
      <c r="CV740" s="2" t="n">
        <v>25.46</v>
      </c>
      <c r="CW740" s="2" t="n">
        <v>0</v>
      </c>
      <c r="CX740" s="2" t="n">
        <v>44.96</v>
      </c>
      <c r="CY740" s="2" t="n">
        <v>46.79</v>
      </c>
      <c r="CZ740" s="2" t="n">
        <v>0</v>
      </c>
      <c r="DA740" s="2" t="n">
        <v>52.76</v>
      </c>
      <c r="DB740" s="2" t="n">
        <v>54.56</v>
      </c>
      <c r="DC740" s="2" t="n">
        <v>0</v>
      </c>
      <c r="DD740" s="2" t="n">
        <v>61.22</v>
      </c>
      <c r="DE740" s="2" t="n">
        <v>63.01</v>
      </c>
      <c r="DF740" s="2" t="n">
        <v>0</v>
      </c>
      <c r="DG740" s="2" t="n">
        <v>68.88</v>
      </c>
      <c r="DH740" s="2" t="n">
        <v>70.79000000000001</v>
      </c>
      <c r="DI740" s="2" t="n">
        <v>0</v>
      </c>
      <c r="DJ740" s="2" t="n">
        <v>76.98999999999999</v>
      </c>
      <c r="DK740" s="2" t="n">
        <v>78.78</v>
      </c>
      <c r="DL740" s="2" t="n">
        <v>0</v>
      </c>
      <c r="DM740" s="2" t="n">
        <v>84.52</v>
      </c>
      <c r="DN740" s="2" t="n">
        <v>86.31</v>
      </c>
      <c r="DO740" s="2" t="n">
        <v>0</v>
      </c>
      <c r="DP740" s="2" t="n">
        <v>92.04000000000001</v>
      </c>
      <c r="DQ740" s="2" t="n">
        <v>93.83</v>
      </c>
      <c r="DR740" s="2" t="n">
        <v>0</v>
      </c>
      <c r="DS740" s="2" t="n">
        <v>95.73</v>
      </c>
      <c r="DT740" s="2" t="n">
        <v>96.77</v>
      </c>
      <c r="DU740" s="2" t="n">
        <v>0</v>
      </c>
      <c r="DV740" s="2" t="n">
        <v>96.77</v>
      </c>
      <c r="DW740" s="2" t="n">
        <v>97.13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</row>
    <row r="741">
      <c r="A741" s="2" t="n">
        <v>4</v>
      </c>
      <c r="B741" s="2" t="inlineStr">
        <is>
          <t>30.06.05.06</t>
        </is>
      </c>
      <c r="C741" s="2" t="inlineStr">
        <is>
          <t>Mãos francesas para bancadas</t>
        </is>
      </c>
      <c r="D741" s="2" t="inlineStr">
        <is>
          <t>20/09/2027</t>
        </is>
      </c>
      <c r="E741" s="2" t="inlineStr">
        <is>
          <t>11/10/2028</t>
        </is>
      </c>
      <c r="F741" s="2" t="n">
        <v>17350</v>
      </c>
      <c r="G741" s="2" t="n">
        <v>0</v>
      </c>
      <c r="H741" s="2" t="n">
        <v>17350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1.43</v>
      </c>
      <c r="CM741" s="2" t="n">
        <v>3.23</v>
      </c>
      <c r="CN741" s="2" t="n">
        <v>0</v>
      </c>
      <c r="CO741" s="2" t="n">
        <v>8.77</v>
      </c>
      <c r="CP741" s="2" t="n">
        <v>10.6</v>
      </c>
      <c r="CQ741" s="2" t="n">
        <v>0</v>
      </c>
      <c r="CR741" s="2" t="n">
        <v>16.84</v>
      </c>
      <c r="CS741" s="2" t="n">
        <v>18.69</v>
      </c>
      <c r="CT741" s="2" t="n">
        <v>0</v>
      </c>
      <c r="CU741" s="2" t="n">
        <v>23.62</v>
      </c>
      <c r="CV741" s="2" t="n">
        <v>25.46</v>
      </c>
      <c r="CW741" s="2" t="n">
        <v>0</v>
      </c>
      <c r="CX741" s="2" t="n">
        <v>44.96</v>
      </c>
      <c r="CY741" s="2" t="n">
        <v>46.79</v>
      </c>
      <c r="CZ741" s="2" t="n">
        <v>0</v>
      </c>
      <c r="DA741" s="2" t="n">
        <v>52.76</v>
      </c>
      <c r="DB741" s="2" t="n">
        <v>54.56</v>
      </c>
      <c r="DC741" s="2" t="n">
        <v>0</v>
      </c>
      <c r="DD741" s="2" t="n">
        <v>61.22</v>
      </c>
      <c r="DE741" s="2" t="n">
        <v>63.01</v>
      </c>
      <c r="DF741" s="2" t="n">
        <v>0</v>
      </c>
      <c r="DG741" s="2" t="n">
        <v>68.88</v>
      </c>
      <c r="DH741" s="2" t="n">
        <v>70.79000000000001</v>
      </c>
      <c r="DI741" s="2" t="n">
        <v>0</v>
      </c>
      <c r="DJ741" s="2" t="n">
        <v>76.98999999999999</v>
      </c>
      <c r="DK741" s="2" t="n">
        <v>78.78</v>
      </c>
      <c r="DL741" s="2" t="n">
        <v>0</v>
      </c>
      <c r="DM741" s="2" t="n">
        <v>84.52</v>
      </c>
      <c r="DN741" s="2" t="n">
        <v>86.31</v>
      </c>
      <c r="DO741" s="2" t="n">
        <v>0</v>
      </c>
      <c r="DP741" s="2" t="n">
        <v>92.04000000000001</v>
      </c>
      <c r="DQ741" s="2" t="n">
        <v>93.83</v>
      </c>
      <c r="DR741" s="2" t="n">
        <v>0</v>
      </c>
      <c r="DS741" s="2" t="n">
        <v>95.73</v>
      </c>
      <c r="DT741" s="2" t="n">
        <v>96.77</v>
      </c>
      <c r="DU741" s="2" t="n">
        <v>0</v>
      </c>
      <c r="DV741" s="2" t="n">
        <v>96.77</v>
      </c>
      <c r="DW741" s="2" t="n">
        <v>97.13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</row>
    <row r="742">
      <c r="A742" s="2" t="n">
        <v>4</v>
      </c>
      <c r="B742" s="2" t="inlineStr">
        <is>
          <t>30.06.05.07</t>
        </is>
      </c>
      <c r="C742" s="2" t="inlineStr">
        <is>
          <t>Proteção de bancadas contra manuseio de obra</t>
        </is>
      </c>
      <c r="D742" s="2" t="inlineStr">
        <is>
          <t>20/09/2027</t>
        </is>
      </c>
      <c r="E742" s="2" t="inlineStr">
        <is>
          <t>11/10/2028</t>
        </is>
      </c>
      <c r="F742" s="2" t="n">
        <v>3317.459841316429</v>
      </c>
      <c r="G742" s="2" t="n">
        <v>0</v>
      </c>
      <c r="H742" s="2" t="n">
        <v>3317.459841316429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1.43</v>
      </c>
      <c r="CM742" s="2" t="n">
        <v>3.23</v>
      </c>
      <c r="CN742" s="2" t="n">
        <v>0</v>
      </c>
      <c r="CO742" s="2" t="n">
        <v>8.77</v>
      </c>
      <c r="CP742" s="2" t="n">
        <v>10.6</v>
      </c>
      <c r="CQ742" s="2" t="n">
        <v>0</v>
      </c>
      <c r="CR742" s="2" t="n">
        <v>16.84</v>
      </c>
      <c r="CS742" s="2" t="n">
        <v>18.69</v>
      </c>
      <c r="CT742" s="2" t="n">
        <v>0</v>
      </c>
      <c r="CU742" s="2" t="n">
        <v>23.62</v>
      </c>
      <c r="CV742" s="2" t="n">
        <v>25.46</v>
      </c>
      <c r="CW742" s="2" t="n">
        <v>0</v>
      </c>
      <c r="CX742" s="2" t="n">
        <v>44.96</v>
      </c>
      <c r="CY742" s="2" t="n">
        <v>46.79</v>
      </c>
      <c r="CZ742" s="2" t="n">
        <v>0</v>
      </c>
      <c r="DA742" s="2" t="n">
        <v>52.76</v>
      </c>
      <c r="DB742" s="2" t="n">
        <v>54.56</v>
      </c>
      <c r="DC742" s="2" t="n">
        <v>0</v>
      </c>
      <c r="DD742" s="2" t="n">
        <v>61.22</v>
      </c>
      <c r="DE742" s="2" t="n">
        <v>63.01</v>
      </c>
      <c r="DF742" s="2" t="n">
        <v>0</v>
      </c>
      <c r="DG742" s="2" t="n">
        <v>68.88</v>
      </c>
      <c r="DH742" s="2" t="n">
        <v>70.79000000000001</v>
      </c>
      <c r="DI742" s="2" t="n">
        <v>0</v>
      </c>
      <c r="DJ742" s="2" t="n">
        <v>76.98999999999999</v>
      </c>
      <c r="DK742" s="2" t="n">
        <v>78.78</v>
      </c>
      <c r="DL742" s="2" t="n">
        <v>0</v>
      </c>
      <c r="DM742" s="2" t="n">
        <v>84.52</v>
      </c>
      <c r="DN742" s="2" t="n">
        <v>86.31</v>
      </c>
      <c r="DO742" s="2" t="n">
        <v>0</v>
      </c>
      <c r="DP742" s="2" t="n">
        <v>92.04000000000001</v>
      </c>
      <c r="DQ742" s="2" t="n">
        <v>93.83</v>
      </c>
      <c r="DR742" s="2" t="n">
        <v>0</v>
      </c>
      <c r="DS742" s="2" t="n">
        <v>95.73</v>
      </c>
      <c r="DT742" s="2" t="n">
        <v>96.77</v>
      </c>
      <c r="DU742" s="2" t="n">
        <v>0</v>
      </c>
      <c r="DV742" s="2" t="n">
        <v>96.77</v>
      </c>
      <c r="DW742" s="2" t="n">
        <v>97.13</v>
      </c>
      <c r="DX742" s="2" t="n">
        <v>0</v>
      </c>
      <c r="DY742" s="2" t="n">
        <v>100</v>
      </c>
      <c r="DZ742" s="2" t="n">
        <v>100</v>
      </c>
      <c r="EA742" s="2" t="n">
        <v>0</v>
      </c>
      <c r="EB742" s="2" t="n">
        <v>100</v>
      </c>
      <c r="EC742" s="2" t="n">
        <v>100</v>
      </c>
      <c r="ED742" s="2" t="n">
        <v>0</v>
      </c>
      <c r="EE742" s="2" t="n">
        <v>100</v>
      </c>
      <c r="EF742" s="2" t="n">
        <v>100</v>
      </c>
      <c r="EG742" s="2" t="n">
        <v>0</v>
      </c>
      <c r="EH742" s="2" t="n">
        <v>100</v>
      </c>
      <c r="EI742" s="2" t="n">
        <v>100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</row>
    <row r="743">
      <c r="A743" s="2" t="n">
        <v>3</v>
      </c>
      <c r="B743" s="2" t="inlineStr">
        <is>
          <t>30.06.06</t>
        </is>
      </c>
      <c r="C743" s="2" t="inlineStr">
        <is>
          <t>Bancada em Quartzito Kalahari Escovado e Hidrofugado</t>
        </is>
      </c>
      <c r="D743" s="2" t="inlineStr">
        <is>
          <t>20/09/2027</t>
        </is>
      </c>
      <c r="E743" s="2" t="inlineStr">
        <is>
          <t>11/10/2028</t>
        </is>
      </c>
      <c r="F743" s="2" t="n">
        <v>39526.46620587145</v>
      </c>
      <c r="G743" s="2" t="n">
        <v>0</v>
      </c>
      <c r="H743" s="2" t="n">
        <v>39526.46620587145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1.43</v>
      </c>
      <c r="CM743" s="2" t="n">
        <v>3.23</v>
      </c>
      <c r="CN743" s="2" t="n">
        <v>0</v>
      </c>
      <c r="CO743" s="2" t="n">
        <v>8.77</v>
      </c>
      <c r="CP743" s="2" t="n">
        <v>10.6</v>
      </c>
      <c r="CQ743" s="2" t="n">
        <v>0</v>
      </c>
      <c r="CR743" s="2" t="n">
        <v>16.84</v>
      </c>
      <c r="CS743" s="2" t="n">
        <v>18.69</v>
      </c>
      <c r="CT743" s="2" t="n">
        <v>0</v>
      </c>
      <c r="CU743" s="2" t="n">
        <v>23.62</v>
      </c>
      <c r="CV743" s="2" t="n">
        <v>25.46</v>
      </c>
      <c r="CW743" s="2" t="n">
        <v>0</v>
      </c>
      <c r="CX743" s="2" t="n">
        <v>44.96</v>
      </c>
      <c r="CY743" s="2" t="n">
        <v>46.79</v>
      </c>
      <c r="CZ743" s="2" t="n">
        <v>0</v>
      </c>
      <c r="DA743" s="2" t="n">
        <v>52.76</v>
      </c>
      <c r="DB743" s="2" t="n">
        <v>54.56</v>
      </c>
      <c r="DC743" s="2" t="n">
        <v>0</v>
      </c>
      <c r="DD743" s="2" t="n">
        <v>61.22</v>
      </c>
      <c r="DE743" s="2" t="n">
        <v>63.01</v>
      </c>
      <c r="DF743" s="2" t="n">
        <v>0</v>
      </c>
      <c r="DG743" s="2" t="n">
        <v>68.88</v>
      </c>
      <c r="DH743" s="2" t="n">
        <v>70.79000000000001</v>
      </c>
      <c r="DI743" s="2" t="n">
        <v>0</v>
      </c>
      <c r="DJ743" s="2" t="n">
        <v>76.98999999999999</v>
      </c>
      <c r="DK743" s="2" t="n">
        <v>78.78</v>
      </c>
      <c r="DL743" s="2" t="n">
        <v>0</v>
      </c>
      <c r="DM743" s="2" t="n">
        <v>84.52</v>
      </c>
      <c r="DN743" s="2" t="n">
        <v>86.31</v>
      </c>
      <c r="DO743" s="2" t="n">
        <v>0</v>
      </c>
      <c r="DP743" s="2" t="n">
        <v>92.04000000000001</v>
      </c>
      <c r="DQ743" s="2" t="n">
        <v>93.83</v>
      </c>
      <c r="DR743" s="2" t="n">
        <v>0</v>
      </c>
      <c r="DS743" s="2" t="n">
        <v>95.73</v>
      </c>
      <c r="DT743" s="2" t="n">
        <v>96.77</v>
      </c>
      <c r="DU743" s="2" t="n">
        <v>0</v>
      </c>
      <c r="DV743" s="2" t="n">
        <v>96.77</v>
      </c>
      <c r="DW743" s="2" t="n">
        <v>97.13</v>
      </c>
      <c r="DX743" s="2" t="n">
        <v>0</v>
      </c>
      <c r="DY743" s="2" t="n">
        <v>100</v>
      </c>
      <c r="DZ743" s="2" t="n">
        <v>100</v>
      </c>
      <c r="EA743" s="2" t="n">
        <v>0</v>
      </c>
      <c r="EB743" s="2" t="n">
        <v>100</v>
      </c>
      <c r="EC743" s="2" t="n">
        <v>100</v>
      </c>
      <c r="ED743" s="2" t="n">
        <v>0</v>
      </c>
      <c r="EE743" s="2" t="n">
        <v>100</v>
      </c>
      <c r="EF743" s="2" t="n">
        <v>100</v>
      </c>
      <c r="EG743" s="2" t="n">
        <v>0</v>
      </c>
      <c r="EH743" s="2" t="n">
        <v>100</v>
      </c>
      <c r="EI743" s="2" t="n">
        <v>100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</row>
    <row r="744">
      <c r="A744" s="2" t="n">
        <v>4</v>
      </c>
      <c r="B744" s="2" t="inlineStr">
        <is>
          <t>30.06.06.01</t>
        </is>
      </c>
      <c r="C744" s="2" t="inlineStr">
        <is>
          <t>Bancada em Quartzito Kalahari Escovado e Hidrofugado</t>
        </is>
      </c>
      <c r="D744" s="2" t="inlineStr">
        <is>
          <t>20/09/2027</t>
        </is>
      </c>
      <c r="E744" s="2" t="inlineStr">
        <is>
          <t>11/10/2028</t>
        </is>
      </c>
      <c r="F744" s="2" t="n">
        <v>17991.622045</v>
      </c>
      <c r="G744" s="2" t="n">
        <v>0</v>
      </c>
      <c r="H744" s="2" t="n">
        <v>17991.622045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1.43</v>
      </c>
      <c r="CM744" s="2" t="n">
        <v>3.23</v>
      </c>
      <c r="CN744" s="2" t="n">
        <v>0</v>
      </c>
      <c r="CO744" s="2" t="n">
        <v>8.77</v>
      </c>
      <c r="CP744" s="2" t="n">
        <v>10.6</v>
      </c>
      <c r="CQ744" s="2" t="n">
        <v>0</v>
      </c>
      <c r="CR744" s="2" t="n">
        <v>16.84</v>
      </c>
      <c r="CS744" s="2" t="n">
        <v>18.69</v>
      </c>
      <c r="CT744" s="2" t="n">
        <v>0</v>
      </c>
      <c r="CU744" s="2" t="n">
        <v>23.62</v>
      </c>
      <c r="CV744" s="2" t="n">
        <v>25.46</v>
      </c>
      <c r="CW744" s="2" t="n">
        <v>0</v>
      </c>
      <c r="CX744" s="2" t="n">
        <v>44.96</v>
      </c>
      <c r="CY744" s="2" t="n">
        <v>46.79</v>
      </c>
      <c r="CZ744" s="2" t="n">
        <v>0</v>
      </c>
      <c r="DA744" s="2" t="n">
        <v>52.76</v>
      </c>
      <c r="DB744" s="2" t="n">
        <v>54.56</v>
      </c>
      <c r="DC744" s="2" t="n">
        <v>0</v>
      </c>
      <c r="DD744" s="2" t="n">
        <v>61.22</v>
      </c>
      <c r="DE744" s="2" t="n">
        <v>63.01</v>
      </c>
      <c r="DF744" s="2" t="n">
        <v>0</v>
      </c>
      <c r="DG744" s="2" t="n">
        <v>68.88</v>
      </c>
      <c r="DH744" s="2" t="n">
        <v>70.79000000000001</v>
      </c>
      <c r="DI744" s="2" t="n">
        <v>0</v>
      </c>
      <c r="DJ744" s="2" t="n">
        <v>76.98999999999999</v>
      </c>
      <c r="DK744" s="2" t="n">
        <v>78.78</v>
      </c>
      <c r="DL744" s="2" t="n">
        <v>0</v>
      </c>
      <c r="DM744" s="2" t="n">
        <v>84.52</v>
      </c>
      <c r="DN744" s="2" t="n">
        <v>86.31</v>
      </c>
      <c r="DO744" s="2" t="n">
        <v>0</v>
      </c>
      <c r="DP744" s="2" t="n">
        <v>92.04000000000001</v>
      </c>
      <c r="DQ744" s="2" t="n">
        <v>93.83</v>
      </c>
      <c r="DR744" s="2" t="n">
        <v>0</v>
      </c>
      <c r="DS744" s="2" t="n">
        <v>95.73</v>
      </c>
      <c r="DT744" s="2" t="n">
        <v>96.77</v>
      </c>
      <c r="DU744" s="2" t="n">
        <v>0</v>
      </c>
      <c r="DV744" s="2" t="n">
        <v>96.77</v>
      </c>
      <c r="DW744" s="2" t="n">
        <v>97.13</v>
      </c>
      <c r="DX744" s="2" t="n">
        <v>0</v>
      </c>
      <c r="DY744" s="2" t="n">
        <v>100</v>
      </c>
      <c r="DZ744" s="2" t="n">
        <v>100</v>
      </c>
      <c r="EA744" s="2" t="n">
        <v>0</v>
      </c>
      <c r="EB744" s="2" t="n">
        <v>100</v>
      </c>
      <c r="EC744" s="2" t="n">
        <v>100</v>
      </c>
      <c r="ED744" s="2" t="n">
        <v>0</v>
      </c>
      <c r="EE744" s="2" t="n">
        <v>100</v>
      </c>
      <c r="EF744" s="2" t="n">
        <v>100</v>
      </c>
      <c r="EG744" s="2" t="n">
        <v>0</v>
      </c>
      <c r="EH744" s="2" t="n">
        <v>100</v>
      </c>
      <c r="EI744" s="2" t="n">
        <v>100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</row>
    <row r="745">
      <c r="A745" s="2" t="n">
        <v>4</v>
      </c>
      <c r="B745" s="2" t="inlineStr">
        <is>
          <t>30.06.06.02</t>
        </is>
      </c>
      <c r="C745" s="2" t="inlineStr">
        <is>
          <t>Cuba suspensa "esculpida" Quartzito Kalahari Escovado e Hidrofugado</t>
        </is>
      </c>
      <c r="D745" s="2" t="inlineStr">
        <is>
          <t>20/09/2027</t>
        </is>
      </c>
      <c r="E745" s="2" t="inlineStr">
        <is>
          <t>11/10/2028</t>
        </is>
      </c>
      <c r="F745" s="2" t="n">
        <v>6168.856663500001</v>
      </c>
      <c r="G745" s="2" t="n">
        <v>0</v>
      </c>
      <c r="H745" s="2" t="n">
        <v>6168.856663500001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1.43</v>
      </c>
      <c r="CM745" s="2" t="n">
        <v>3.23</v>
      </c>
      <c r="CN745" s="2" t="n">
        <v>0</v>
      </c>
      <c r="CO745" s="2" t="n">
        <v>8.77</v>
      </c>
      <c r="CP745" s="2" t="n">
        <v>10.6</v>
      </c>
      <c r="CQ745" s="2" t="n">
        <v>0</v>
      </c>
      <c r="CR745" s="2" t="n">
        <v>16.84</v>
      </c>
      <c r="CS745" s="2" t="n">
        <v>18.69</v>
      </c>
      <c r="CT745" s="2" t="n">
        <v>0</v>
      </c>
      <c r="CU745" s="2" t="n">
        <v>23.62</v>
      </c>
      <c r="CV745" s="2" t="n">
        <v>25.46</v>
      </c>
      <c r="CW745" s="2" t="n">
        <v>0</v>
      </c>
      <c r="CX745" s="2" t="n">
        <v>44.96</v>
      </c>
      <c r="CY745" s="2" t="n">
        <v>46.79</v>
      </c>
      <c r="CZ745" s="2" t="n">
        <v>0</v>
      </c>
      <c r="DA745" s="2" t="n">
        <v>52.76</v>
      </c>
      <c r="DB745" s="2" t="n">
        <v>54.56</v>
      </c>
      <c r="DC745" s="2" t="n">
        <v>0</v>
      </c>
      <c r="DD745" s="2" t="n">
        <v>61.22</v>
      </c>
      <c r="DE745" s="2" t="n">
        <v>63.01</v>
      </c>
      <c r="DF745" s="2" t="n">
        <v>0</v>
      </c>
      <c r="DG745" s="2" t="n">
        <v>68.88</v>
      </c>
      <c r="DH745" s="2" t="n">
        <v>70.79000000000001</v>
      </c>
      <c r="DI745" s="2" t="n">
        <v>0</v>
      </c>
      <c r="DJ745" s="2" t="n">
        <v>76.98999999999999</v>
      </c>
      <c r="DK745" s="2" t="n">
        <v>78.78</v>
      </c>
      <c r="DL745" s="2" t="n">
        <v>0</v>
      </c>
      <c r="DM745" s="2" t="n">
        <v>84.52</v>
      </c>
      <c r="DN745" s="2" t="n">
        <v>86.31</v>
      </c>
      <c r="DO745" s="2" t="n">
        <v>0</v>
      </c>
      <c r="DP745" s="2" t="n">
        <v>92.04000000000001</v>
      </c>
      <c r="DQ745" s="2" t="n">
        <v>93.83</v>
      </c>
      <c r="DR745" s="2" t="n">
        <v>0</v>
      </c>
      <c r="DS745" s="2" t="n">
        <v>95.73</v>
      </c>
      <c r="DT745" s="2" t="n">
        <v>96.77</v>
      </c>
      <c r="DU745" s="2" t="n">
        <v>0</v>
      </c>
      <c r="DV745" s="2" t="n">
        <v>96.77</v>
      </c>
      <c r="DW745" s="2" t="n">
        <v>97.13</v>
      </c>
      <c r="DX745" s="2" t="n">
        <v>0</v>
      </c>
      <c r="DY745" s="2" t="n">
        <v>100</v>
      </c>
      <c r="DZ745" s="2" t="n">
        <v>100</v>
      </c>
      <c r="EA745" s="2" t="n">
        <v>0</v>
      </c>
      <c r="EB745" s="2" t="n">
        <v>100</v>
      </c>
      <c r="EC745" s="2" t="n">
        <v>100</v>
      </c>
      <c r="ED745" s="2" t="n">
        <v>0</v>
      </c>
      <c r="EE745" s="2" t="n">
        <v>100</v>
      </c>
      <c r="EF745" s="2" t="n">
        <v>100</v>
      </c>
      <c r="EG745" s="2" t="n">
        <v>0</v>
      </c>
      <c r="EH745" s="2" t="n">
        <v>100</v>
      </c>
      <c r="EI745" s="2" t="n">
        <v>100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</row>
    <row r="746">
      <c r="A746" s="2" t="n">
        <v>4</v>
      </c>
      <c r="B746" s="2" t="inlineStr">
        <is>
          <t>30.06.06.03</t>
        </is>
      </c>
      <c r="C746" s="2" t="inlineStr">
        <is>
          <t>Fechamento lateral para bancada em Quartzito Kalahari Escovado e Hidrofugado</t>
        </is>
      </c>
      <c r="D746" s="2" t="inlineStr">
        <is>
          <t>20/09/2027</t>
        </is>
      </c>
      <c r="E746" s="2" t="inlineStr">
        <is>
          <t>11/10/2028</t>
        </is>
      </c>
      <c r="F746" s="2" t="n">
        <v>11938.07351655</v>
      </c>
      <c r="G746" s="2" t="n">
        <v>0</v>
      </c>
      <c r="H746" s="2" t="n">
        <v>11938.07351655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1.43</v>
      </c>
      <c r="CM746" s="2" t="n">
        <v>3.23</v>
      </c>
      <c r="CN746" s="2" t="n">
        <v>0</v>
      </c>
      <c r="CO746" s="2" t="n">
        <v>8.77</v>
      </c>
      <c r="CP746" s="2" t="n">
        <v>10.6</v>
      </c>
      <c r="CQ746" s="2" t="n">
        <v>0</v>
      </c>
      <c r="CR746" s="2" t="n">
        <v>16.84</v>
      </c>
      <c r="CS746" s="2" t="n">
        <v>18.69</v>
      </c>
      <c r="CT746" s="2" t="n">
        <v>0</v>
      </c>
      <c r="CU746" s="2" t="n">
        <v>23.62</v>
      </c>
      <c r="CV746" s="2" t="n">
        <v>25.46</v>
      </c>
      <c r="CW746" s="2" t="n">
        <v>0</v>
      </c>
      <c r="CX746" s="2" t="n">
        <v>44.96</v>
      </c>
      <c r="CY746" s="2" t="n">
        <v>46.79</v>
      </c>
      <c r="CZ746" s="2" t="n">
        <v>0</v>
      </c>
      <c r="DA746" s="2" t="n">
        <v>52.76</v>
      </c>
      <c r="DB746" s="2" t="n">
        <v>54.56</v>
      </c>
      <c r="DC746" s="2" t="n">
        <v>0</v>
      </c>
      <c r="DD746" s="2" t="n">
        <v>61.22</v>
      </c>
      <c r="DE746" s="2" t="n">
        <v>63.01</v>
      </c>
      <c r="DF746" s="2" t="n">
        <v>0</v>
      </c>
      <c r="DG746" s="2" t="n">
        <v>68.88</v>
      </c>
      <c r="DH746" s="2" t="n">
        <v>70.79000000000001</v>
      </c>
      <c r="DI746" s="2" t="n">
        <v>0</v>
      </c>
      <c r="DJ746" s="2" t="n">
        <v>76.98999999999999</v>
      </c>
      <c r="DK746" s="2" t="n">
        <v>78.78</v>
      </c>
      <c r="DL746" s="2" t="n">
        <v>0</v>
      </c>
      <c r="DM746" s="2" t="n">
        <v>84.52</v>
      </c>
      <c r="DN746" s="2" t="n">
        <v>86.31</v>
      </c>
      <c r="DO746" s="2" t="n">
        <v>0</v>
      </c>
      <c r="DP746" s="2" t="n">
        <v>92.04000000000001</v>
      </c>
      <c r="DQ746" s="2" t="n">
        <v>93.83</v>
      </c>
      <c r="DR746" s="2" t="n">
        <v>0</v>
      </c>
      <c r="DS746" s="2" t="n">
        <v>95.73</v>
      </c>
      <c r="DT746" s="2" t="n">
        <v>96.77</v>
      </c>
      <c r="DU746" s="2" t="n">
        <v>0</v>
      </c>
      <c r="DV746" s="2" t="n">
        <v>96.77</v>
      </c>
      <c r="DW746" s="2" t="n">
        <v>97.13</v>
      </c>
      <c r="DX746" s="2" t="n">
        <v>0</v>
      </c>
      <c r="DY746" s="2" t="n">
        <v>100</v>
      </c>
      <c r="DZ746" s="2" t="n">
        <v>100</v>
      </c>
      <c r="EA746" s="2" t="n">
        <v>0</v>
      </c>
      <c r="EB746" s="2" t="n">
        <v>100</v>
      </c>
      <c r="EC746" s="2" t="n">
        <v>100</v>
      </c>
      <c r="ED746" s="2" t="n">
        <v>0</v>
      </c>
      <c r="EE746" s="2" t="n">
        <v>100</v>
      </c>
      <c r="EF746" s="2" t="n">
        <v>100</v>
      </c>
      <c r="EG746" s="2" t="n">
        <v>0</v>
      </c>
      <c r="EH746" s="2" t="n">
        <v>100</v>
      </c>
      <c r="EI746" s="2" t="n">
        <v>100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</row>
    <row r="747">
      <c r="A747" s="2" t="n">
        <v>4</v>
      </c>
      <c r="B747" s="2" t="inlineStr">
        <is>
          <t>30.06.06.04</t>
        </is>
      </c>
      <c r="C747" s="2" t="inlineStr">
        <is>
          <t>Testeira de mármore h=10cm</t>
        </is>
      </c>
      <c r="D747" s="2" t="inlineStr">
        <is>
          <t>20/09/2027</t>
        </is>
      </c>
      <c r="E747" s="2" t="inlineStr">
        <is>
          <t>11/10/2028</t>
        </is>
      </c>
      <c r="F747" s="2" t="n">
        <v>1654.60365</v>
      </c>
      <c r="G747" s="2" t="n">
        <v>0</v>
      </c>
      <c r="H747" s="2" t="n">
        <v>1654.60365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1.43</v>
      </c>
      <c r="CM747" s="2" t="n">
        <v>3.23</v>
      </c>
      <c r="CN747" s="2" t="n">
        <v>0</v>
      </c>
      <c r="CO747" s="2" t="n">
        <v>8.77</v>
      </c>
      <c r="CP747" s="2" t="n">
        <v>10.6</v>
      </c>
      <c r="CQ747" s="2" t="n">
        <v>0</v>
      </c>
      <c r="CR747" s="2" t="n">
        <v>16.84</v>
      </c>
      <c r="CS747" s="2" t="n">
        <v>18.69</v>
      </c>
      <c r="CT747" s="2" t="n">
        <v>0</v>
      </c>
      <c r="CU747" s="2" t="n">
        <v>23.62</v>
      </c>
      <c r="CV747" s="2" t="n">
        <v>25.46</v>
      </c>
      <c r="CW747" s="2" t="n">
        <v>0</v>
      </c>
      <c r="CX747" s="2" t="n">
        <v>44.96</v>
      </c>
      <c r="CY747" s="2" t="n">
        <v>46.79</v>
      </c>
      <c r="CZ747" s="2" t="n">
        <v>0</v>
      </c>
      <c r="DA747" s="2" t="n">
        <v>52.76</v>
      </c>
      <c r="DB747" s="2" t="n">
        <v>54.56</v>
      </c>
      <c r="DC747" s="2" t="n">
        <v>0</v>
      </c>
      <c r="DD747" s="2" t="n">
        <v>61.22</v>
      </c>
      <c r="DE747" s="2" t="n">
        <v>63.01</v>
      </c>
      <c r="DF747" s="2" t="n">
        <v>0</v>
      </c>
      <c r="DG747" s="2" t="n">
        <v>68.88</v>
      </c>
      <c r="DH747" s="2" t="n">
        <v>70.79000000000001</v>
      </c>
      <c r="DI747" s="2" t="n">
        <v>0</v>
      </c>
      <c r="DJ747" s="2" t="n">
        <v>76.98999999999999</v>
      </c>
      <c r="DK747" s="2" t="n">
        <v>78.78</v>
      </c>
      <c r="DL747" s="2" t="n">
        <v>0</v>
      </c>
      <c r="DM747" s="2" t="n">
        <v>84.52</v>
      </c>
      <c r="DN747" s="2" t="n">
        <v>86.31</v>
      </c>
      <c r="DO747" s="2" t="n">
        <v>0</v>
      </c>
      <c r="DP747" s="2" t="n">
        <v>92.04000000000001</v>
      </c>
      <c r="DQ747" s="2" t="n">
        <v>93.83</v>
      </c>
      <c r="DR747" s="2" t="n">
        <v>0</v>
      </c>
      <c r="DS747" s="2" t="n">
        <v>95.73</v>
      </c>
      <c r="DT747" s="2" t="n">
        <v>96.77</v>
      </c>
      <c r="DU747" s="2" t="n">
        <v>0</v>
      </c>
      <c r="DV747" s="2" t="n">
        <v>96.77</v>
      </c>
      <c r="DW747" s="2" t="n">
        <v>97.13</v>
      </c>
      <c r="DX747" s="2" t="n">
        <v>0</v>
      </c>
      <c r="DY747" s="2" t="n">
        <v>100</v>
      </c>
      <c r="DZ747" s="2" t="n">
        <v>100</v>
      </c>
      <c r="EA747" s="2" t="n">
        <v>0</v>
      </c>
      <c r="EB747" s="2" t="n">
        <v>100</v>
      </c>
      <c r="EC747" s="2" t="n">
        <v>100</v>
      </c>
      <c r="ED747" s="2" t="n">
        <v>0</v>
      </c>
      <c r="EE747" s="2" t="n">
        <v>100</v>
      </c>
      <c r="EF747" s="2" t="n">
        <v>100</v>
      </c>
      <c r="EG747" s="2" t="n">
        <v>0</v>
      </c>
      <c r="EH747" s="2" t="n">
        <v>100</v>
      </c>
      <c r="EI747" s="2" t="n">
        <v>100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</row>
    <row r="748">
      <c r="A748" s="2" t="n">
        <v>4</v>
      </c>
      <c r="B748" s="2" t="inlineStr">
        <is>
          <t>30.06.06.05</t>
        </is>
      </c>
      <c r="C748" s="2" t="inlineStr">
        <is>
          <t>Rodabanca de mármore h=10cm</t>
        </is>
      </c>
      <c r="D748" s="2" t="inlineStr">
        <is>
          <t>20/09/2027</t>
        </is>
      </c>
      <c r="E748" s="2" t="inlineStr">
        <is>
          <t>11/10/2028</t>
        </is>
      </c>
      <c r="F748" s="2" t="n">
        <v>1270.70847855</v>
      </c>
      <c r="G748" s="2" t="n">
        <v>0</v>
      </c>
      <c r="H748" s="2" t="n">
        <v>1270.70847855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1.43</v>
      </c>
      <c r="CM748" s="2" t="n">
        <v>3.23</v>
      </c>
      <c r="CN748" s="2" t="n">
        <v>0</v>
      </c>
      <c r="CO748" s="2" t="n">
        <v>8.77</v>
      </c>
      <c r="CP748" s="2" t="n">
        <v>10.6</v>
      </c>
      <c r="CQ748" s="2" t="n">
        <v>0</v>
      </c>
      <c r="CR748" s="2" t="n">
        <v>16.84</v>
      </c>
      <c r="CS748" s="2" t="n">
        <v>18.69</v>
      </c>
      <c r="CT748" s="2" t="n">
        <v>0</v>
      </c>
      <c r="CU748" s="2" t="n">
        <v>23.62</v>
      </c>
      <c r="CV748" s="2" t="n">
        <v>25.46</v>
      </c>
      <c r="CW748" s="2" t="n">
        <v>0</v>
      </c>
      <c r="CX748" s="2" t="n">
        <v>44.96</v>
      </c>
      <c r="CY748" s="2" t="n">
        <v>46.79</v>
      </c>
      <c r="CZ748" s="2" t="n">
        <v>0</v>
      </c>
      <c r="DA748" s="2" t="n">
        <v>52.76</v>
      </c>
      <c r="DB748" s="2" t="n">
        <v>54.56</v>
      </c>
      <c r="DC748" s="2" t="n">
        <v>0</v>
      </c>
      <c r="DD748" s="2" t="n">
        <v>61.22</v>
      </c>
      <c r="DE748" s="2" t="n">
        <v>63.01</v>
      </c>
      <c r="DF748" s="2" t="n">
        <v>0</v>
      </c>
      <c r="DG748" s="2" t="n">
        <v>68.88</v>
      </c>
      <c r="DH748" s="2" t="n">
        <v>70.79000000000001</v>
      </c>
      <c r="DI748" s="2" t="n">
        <v>0</v>
      </c>
      <c r="DJ748" s="2" t="n">
        <v>76.98999999999999</v>
      </c>
      <c r="DK748" s="2" t="n">
        <v>78.78</v>
      </c>
      <c r="DL748" s="2" t="n">
        <v>0</v>
      </c>
      <c r="DM748" s="2" t="n">
        <v>84.52</v>
      </c>
      <c r="DN748" s="2" t="n">
        <v>86.31</v>
      </c>
      <c r="DO748" s="2" t="n">
        <v>0</v>
      </c>
      <c r="DP748" s="2" t="n">
        <v>92.04000000000001</v>
      </c>
      <c r="DQ748" s="2" t="n">
        <v>93.83</v>
      </c>
      <c r="DR748" s="2" t="n">
        <v>0</v>
      </c>
      <c r="DS748" s="2" t="n">
        <v>95.73</v>
      </c>
      <c r="DT748" s="2" t="n">
        <v>96.77</v>
      </c>
      <c r="DU748" s="2" t="n">
        <v>0</v>
      </c>
      <c r="DV748" s="2" t="n">
        <v>96.77</v>
      </c>
      <c r="DW748" s="2" t="n">
        <v>97.13</v>
      </c>
      <c r="DX748" s="2" t="n">
        <v>0</v>
      </c>
      <c r="DY748" s="2" t="n">
        <v>100</v>
      </c>
      <c r="DZ748" s="2" t="n">
        <v>100</v>
      </c>
      <c r="EA748" s="2" t="n">
        <v>0</v>
      </c>
      <c r="EB748" s="2" t="n">
        <v>100</v>
      </c>
      <c r="EC748" s="2" t="n">
        <v>100</v>
      </c>
      <c r="ED748" s="2" t="n">
        <v>0</v>
      </c>
      <c r="EE748" s="2" t="n">
        <v>100</v>
      </c>
      <c r="EF748" s="2" t="n">
        <v>100</v>
      </c>
      <c r="EG748" s="2" t="n">
        <v>0</v>
      </c>
      <c r="EH748" s="2" t="n">
        <v>100</v>
      </c>
      <c r="EI748" s="2" t="n">
        <v>100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</row>
    <row r="749">
      <c r="A749" s="2" t="n">
        <v>4</v>
      </c>
      <c r="B749" s="2" t="inlineStr">
        <is>
          <t>30.06.06.06</t>
        </is>
      </c>
      <c r="C749" s="2" t="inlineStr">
        <is>
          <t>Furo e colagem de bojo</t>
        </is>
      </c>
      <c r="D749" s="2" t="inlineStr">
        <is>
          <t>20/09/2027</t>
        </is>
      </c>
      <c r="E749" s="2" t="inlineStr">
        <is>
          <t>11/10/2028</t>
        </is>
      </c>
      <c r="F749" s="2" t="n">
        <v>45</v>
      </c>
      <c r="G749" s="2" t="n">
        <v>0</v>
      </c>
      <c r="H749" s="2" t="n">
        <v>45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1.43</v>
      </c>
      <c r="CM749" s="2" t="n">
        <v>3.23</v>
      </c>
      <c r="CN749" s="2" t="n">
        <v>0</v>
      </c>
      <c r="CO749" s="2" t="n">
        <v>8.77</v>
      </c>
      <c r="CP749" s="2" t="n">
        <v>10.6</v>
      </c>
      <c r="CQ749" s="2" t="n">
        <v>0</v>
      </c>
      <c r="CR749" s="2" t="n">
        <v>16.84</v>
      </c>
      <c r="CS749" s="2" t="n">
        <v>18.69</v>
      </c>
      <c r="CT749" s="2" t="n">
        <v>0</v>
      </c>
      <c r="CU749" s="2" t="n">
        <v>23.62</v>
      </c>
      <c r="CV749" s="2" t="n">
        <v>25.46</v>
      </c>
      <c r="CW749" s="2" t="n">
        <v>0</v>
      </c>
      <c r="CX749" s="2" t="n">
        <v>44.96</v>
      </c>
      <c r="CY749" s="2" t="n">
        <v>46.79</v>
      </c>
      <c r="CZ749" s="2" t="n">
        <v>0</v>
      </c>
      <c r="DA749" s="2" t="n">
        <v>52.76</v>
      </c>
      <c r="DB749" s="2" t="n">
        <v>54.56</v>
      </c>
      <c r="DC749" s="2" t="n">
        <v>0</v>
      </c>
      <c r="DD749" s="2" t="n">
        <v>61.22</v>
      </c>
      <c r="DE749" s="2" t="n">
        <v>63.01</v>
      </c>
      <c r="DF749" s="2" t="n">
        <v>0</v>
      </c>
      <c r="DG749" s="2" t="n">
        <v>68.88</v>
      </c>
      <c r="DH749" s="2" t="n">
        <v>70.79000000000001</v>
      </c>
      <c r="DI749" s="2" t="n">
        <v>0</v>
      </c>
      <c r="DJ749" s="2" t="n">
        <v>76.98999999999999</v>
      </c>
      <c r="DK749" s="2" t="n">
        <v>78.78</v>
      </c>
      <c r="DL749" s="2" t="n">
        <v>0</v>
      </c>
      <c r="DM749" s="2" t="n">
        <v>84.52</v>
      </c>
      <c r="DN749" s="2" t="n">
        <v>86.31</v>
      </c>
      <c r="DO749" s="2" t="n">
        <v>0</v>
      </c>
      <c r="DP749" s="2" t="n">
        <v>92.04000000000001</v>
      </c>
      <c r="DQ749" s="2" t="n">
        <v>93.83</v>
      </c>
      <c r="DR749" s="2" t="n">
        <v>0</v>
      </c>
      <c r="DS749" s="2" t="n">
        <v>95.73</v>
      </c>
      <c r="DT749" s="2" t="n">
        <v>96.77</v>
      </c>
      <c r="DU749" s="2" t="n">
        <v>0</v>
      </c>
      <c r="DV749" s="2" t="n">
        <v>96.77</v>
      </c>
      <c r="DW749" s="2" t="n">
        <v>97.13</v>
      </c>
      <c r="DX749" s="2" t="n">
        <v>0</v>
      </c>
      <c r="DY749" s="2" t="n">
        <v>100</v>
      </c>
      <c r="DZ749" s="2" t="n">
        <v>100</v>
      </c>
      <c r="EA749" s="2" t="n">
        <v>0</v>
      </c>
      <c r="EB749" s="2" t="n">
        <v>100</v>
      </c>
      <c r="EC749" s="2" t="n">
        <v>100</v>
      </c>
      <c r="ED749" s="2" t="n">
        <v>0</v>
      </c>
      <c r="EE749" s="2" t="n">
        <v>100</v>
      </c>
      <c r="EF749" s="2" t="n">
        <v>100</v>
      </c>
      <c r="EG749" s="2" t="n">
        <v>0</v>
      </c>
      <c r="EH749" s="2" t="n">
        <v>100</v>
      </c>
      <c r="EI749" s="2" t="n">
        <v>100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</row>
    <row r="750">
      <c r="A750" s="2" t="n">
        <v>4</v>
      </c>
      <c r="B750" s="2" t="inlineStr">
        <is>
          <t>30.06.06.07</t>
        </is>
      </c>
      <c r="C750" s="2" t="inlineStr">
        <is>
          <t>Mãos francesas para bancadas</t>
        </is>
      </c>
      <c r="D750" s="2" t="inlineStr">
        <is>
          <t>20/09/2027</t>
        </is>
      </c>
      <c r="E750" s="2" t="inlineStr">
        <is>
          <t>11/10/2028</t>
        </is>
      </c>
      <c r="F750" s="2" t="n">
        <v>275</v>
      </c>
      <c r="G750" s="2" t="n">
        <v>0</v>
      </c>
      <c r="H750" s="2" t="n">
        <v>275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1.43</v>
      </c>
      <c r="CM750" s="2" t="n">
        <v>3.23</v>
      </c>
      <c r="CN750" s="2" t="n">
        <v>0</v>
      </c>
      <c r="CO750" s="2" t="n">
        <v>8.77</v>
      </c>
      <c r="CP750" s="2" t="n">
        <v>10.6</v>
      </c>
      <c r="CQ750" s="2" t="n">
        <v>0</v>
      </c>
      <c r="CR750" s="2" t="n">
        <v>16.84</v>
      </c>
      <c r="CS750" s="2" t="n">
        <v>18.69</v>
      </c>
      <c r="CT750" s="2" t="n">
        <v>0</v>
      </c>
      <c r="CU750" s="2" t="n">
        <v>23.62</v>
      </c>
      <c r="CV750" s="2" t="n">
        <v>25.46</v>
      </c>
      <c r="CW750" s="2" t="n">
        <v>0</v>
      </c>
      <c r="CX750" s="2" t="n">
        <v>44.96</v>
      </c>
      <c r="CY750" s="2" t="n">
        <v>46.79</v>
      </c>
      <c r="CZ750" s="2" t="n">
        <v>0</v>
      </c>
      <c r="DA750" s="2" t="n">
        <v>52.76</v>
      </c>
      <c r="DB750" s="2" t="n">
        <v>54.56</v>
      </c>
      <c r="DC750" s="2" t="n">
        <v>0</v>
      </c>
      <c r="DD750" s="2" t="n">
        <v>61.22</v>
      </c>
      <c r="DE750" s="2" t="n">
        <v>63.01</v>
      </c>
      <c r="DF750" s="2" t="n">
        <v>0</v>
      </c>
      <c r="DG750" s="2" t="n">
        <v>68.88</v>
      </c>
      <c r="DH750" s="2" t="n">
        <v>70.79000000000001</v>
      </c>
      <c r="DI750" s="2" t="n">
        <v>0</v>
      </c>
      <c r="DJ750" s="2" t="n">
        <v>76.98999999999999</v>
      </c>
      <c r="DK750" s="2" t="n">
        <v>78.78</v>
      </c>
      <c r="DL750" s="2" t="n">
        <v>0</v>
      </c>
      <c r="DM750" s="2" t="n">
        <v>84.52</v>
      </c>
      <c r="DN750" s="2" t="n">
        <v>86.31</v>
      </c>
      <c r="DO750" s="2" t="n">
        <v>0</v>
      </c>
      <c r="DP750" s="2" t="n">
        <v>92.04000000000001</v>
      </c>
      <c r="DQ750" s="2" t="n">
        <v>93.83</v>
      </c>
      <c r="DR750" s="2" t="n">
        <v>0</v>
      </c>
      <c r="DS750" s="2" t="n">
        <v>95.73</v>
      </c>
      <c r="DT750" s="2" t="n">
        <v>96.77</v>
      </c>
      <c r="DU750" s="2" t="n">
        <v>0</v>
      </c>
      <c r="DV750" s="2" t="n">
        <v>96.77</v>
      </c>
      <c r="DW750" s="2" t="n">
        <v>97.13</v>
      </c>
      <c r="DX750" s="2" t="n">
        <v>0</v>
      </c>
      <c r="DY750" s="2" t="n">
        <v>100</v>
      </c>
      <c r="DZ750" s="2" t="n">
        <v>100</v>
      </c>
      <c r="EA750" s="2" t="n">
        <v>0</v>
      </c>
      <c r="EB750" s="2" t="n">
        <v>100</v>
      </c>
      <c r="EC750" s="2" t="n">
        <v>100</v>
      </c>
      <c r="ED750" s="2" t="n">
        <v>0</v>
      </c>
      <c r="EE750" s="2" t="n">
        <v>100</v>
      </c>
      <c r="EF750" s="2" t="n">
        <v>100</v>
      </c>
      <c r="EG750" s="2" t="n">
        <v>0</v>
      </c>
      <c r="EH750" s="2" t="n">
        <v>100</v>
      </c>
      <c r="EI750" s="2" t="n">
        <v>100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</row>
    <row r="751">
      <c r="A751" s="2" t="n">
        <v>4</v>
      </c>
      <c r="B751" s="2" t="inlineStr">
        <is>
          <t>30.06.06.08</t>
        </is>
      </c>
      <c r="C751" s="2" t="inlineStr">
        <is>
          <t>Proteção de bancadas contra manuseio de obra</t>
        </is>
      </c>
      <c r="D751" s="2" t="inlineStr">
        <is>
          <t>20/09/2027</t>
        </is>
      </c>
      <c r="E751" s="2" t="inlineStr">
        <is>
          <t>11/10/2028</t>
        </is>
      </c>
      <c r="F751" s="2" t="n">
        <v>182.6018522714508</v>
      </c>
      <c r="G751" s="2" t="n">
        <v>0</v>
      </c>
      <c r="H751" s="2" t="n">
        <v>182.6018522714508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</v>
      </c>
      <c r="BQ751" s="2" t="n">
        <v>0</v>
      </c>
      <c r="BR751" s="2" t="n">
        <v>0</v>
      </c>
      <c r="BS751" s="2" t="n">
        <v>0</v>
      </c>
      <c r="BT751" s="2" t="n">
        <v>0</v>
      </c>
      <c r="BU751" s="2" t="n">
        <v>0</v>
      </c>
      <c r="BV751" s="2" t="n">
        <v>0</v>
      </c>
      <c r="BW751" s="2" t="n">
        <v>0</v>
      </c>
      <c r="BX751" s="2" t="n">
        <v>0</v>
      </c>
      <c r="BY751" s="2" t="n">
        <v>0</v>
      </c>
      <c r="BZ751" s="2" t="n">
        <v>0</v>
      </c>
      <c r="CA751" s="2" t="n">
        <v>0</v>
      </c>
      <c r="CB751" s="2" t="n">
        <v>0</v>
      </c>
      <c r="CC751" s="2" t="n">
        <v>0</v>
      </c>
      <c r="CD751" s="2" t="n">
        <v>0</v>
      </c>
      <c r="CE751" s="2" t="n">
        <v>0</v>
      </c>
      <c r="CF751" s="2" t="n">
        <v>0</v>
      </c>
      <c r="CG751" s="2" t="n">
        <v>0</v>
      </c>
      <c r="CH751" s="2" t="n">
        <v>0</v>
      </c>
      <c r="CI751" s="2" t="n">
        <v>0</v>
      </c>
      <c r="CJ751" s="2" t="n">
        <v>0</v>
      </c>
      <c r="CK751" s="2" t="n">
        <v>0</v>
      </c>
      <c r="CL751" s="2" t="n">
        <v>1.43</v>
      </c>
      <c r="CM751" s="2" t="n">
        <v>3.23</v>
      </c>
      <c r="CN751" s="2" t="n">
        <v>0</v>
      </c>
      <c r="CO751" s="2" t="n">
        <v>8.77</v>
      </c>
      <c r="CP751" s="2" t="n">
        <v>10.6</v>
      </c>
      <c r="CQ751" s="2" t="n">
        <v>0</v>
      </c>
      <c r="CR751" s="2" t="n">
        <v>16.84</v>
      </c>
      <c r="CS751" s="2" t="n">
        <v>18.69</v>
      </c>
      <c r="CT751" s="2" t="n">
        <v>0</v>
      </c>
      <c r="CU751" s="2" t="n">
        <v>23.62</v>
      </c>
      <c r="CV751" s="2" t="n">
        <v>25.46</v>
      </c>
      <c r="CW751" s="2" t="n">
        <v>0</v>
      </c>
      <c r="CX751" s="2" t="n">
        <v>44.96</v>
      </c>
      <c r="CY751" s="2" t="n">
        <v>46.79</v>
      </c>
      <c r="CZ751" s="2" t="n">
        <v>0</v>
      </c>
      <c r="DA751" s="2" t="n">
        <v>52.76</v>
      </c>
      <c r="DB751" s="2" t="n">
        <v>54.56</v>
      </c>
      <c r="DC751" s="2" t="n">
        <v>0</v>
      </c>
      <c r="DD751" s="2" t="n">
        <v>61.22</v>
      </c>
      <c r="DE751" s="2" t="n">
        <v>63.01</v>
      </c>
      <c r="DF751" s="2" t="n">
        <v>0</v>
      </c>
      <c r="DG751" s="2" t="n">
        <v>68.88</v>
      </c>
      <c r="DH751" s="2" t="n">
        <v>70.79000000000001</v>
      </c>
      <c r="DI751" s="2" t="n">
        <v>0</v>
      </c>
      <c r="DJ751" s="2" t="n">
        <v>76.98999999999999</v>
      </c>
      <c r="DK751" s="2" t="n">
        <v>78.78</v>
      </c>
      <c r="DL751" s="2" t="n">
        <v>0</v>
      </c>
      <c r="DM751" s="2" t="n">
        <v>84.52</v>
      </c>
      <c r="DN751" s="2" t="n">
        <v>86.31</v>
      </c>
      <c r="DO751" s="2" t="n">
        <v>0</v>
      </c>
      <c r="DP751" s="2" t="n">
        <v>92.04000000000001</v>
      </c>
      <c r="DQ751" s="2" t="n">
        <v>93.83</v>
      </c>
      <c r="DR751" s="2" t="n">
        <v>0</v>
      </c>
      <c r="DS751" s="2" t="n">
        <v>95.73</v>
      </c>
      <c r="DT751" s="2" t="n">
        <v>96.77</v>
      </c>
      <c r="DU751" s="2" t="n">
        <v>0</v>
      </c>
      <c r="DV751" s="2" t="n">
        <v>96.77</v>
      </c>
      <c r="DW751" s="2" t="n">
        <v>97.13</v>
      </c>
      <c r="DX751" s="2" t="n">
        <v>0</v>
      </c>
      <c r="DY751" s="2" t="n">
        <v>100</v>
      </c>
      <c r="DZ751" s="2" t="n">
        <v>100</v>
      </c>
      <c r="EA751" s="2" t="n">
        <v>0</v>
      </c>
      <c r="EB751" s="2" t="n">
        <v>100</v>
      </c>
      <c r="EC751" s="2" t="n">
        <v>100</v>
      </c>
      <c r="ED751" s="2" t="n">
        <v>0</v>
      </c>
      <c r="EE751" s="2" t="n">
        <v>100</v>
      </c>
      <c r="EF751" s="2" t="n">
        <v>100</v>
      </c>
      <c r="EG751" s="2" t="n">
        <v>0</v>
      </c>
      <c r="EH751" s="2" t="n">
        <v>100</v>
      </c>
      <c r="EI751" s="2" t="n">
        <v>100</v>
      </c>
      <c r="EJ751" s="2" t="n">
        <v>0</v>
      </c>
      <c r="EK751" s="2" t="n">
        <v>100</v>
      </c>
      <c r="EL751" s="2" t="n">
        <v>100</v>
      </c>
      <c r="EM751" s="2" t="n">
        <v>0</v>
      </c>
      <c r="EN751" s="2" t="n">
        <v>100</v>
      </c>
      <c r="EO751" s="2" t="n">
        <v>100</v>
      </c>
      <c r="EP751" s="2" t="n">
        <v>0</v>
      </c>
      <c r="EQ751" s="2" t="n">
        <v>100</v>
      </c>
      <c r="ER751" s="2" t="n">
        <v>100</v>
      </c>
      <c r="ES751" s="2" t="n">
        <v>0</v>
      </c>
    </row>
    <row r="752">
      <c r="A752" s="2" t="n">
        <v>3</v>
      </c>
      <c r="B752" s="2" t="inlineStr">
        <is>
          <t>30.06.07</t>
        </is>
      </c>
      <c r="C752" s="2" t="inlineStr">
        <is>
          <t>Peças  diversas</t>
        </is>
      </c>
      <c r="D752" s="2" t="inlineStr">
        <is>
          <t>20/09/2027</t>
        </is>
      </c>
      <c r="E752" s="2" t="inlineStr">
        <is>
          <t>11/10/2028</t>
        </is>
      </c>
      <c r="F752" s="2" t="n">
        <v>664517.2398091368</v>
      </c>
      <c r="G752" s="2" t="n">
        <v>0</v>
      </c>
      <c r="H752" s="2" t="n">
        <v>664517.2398091368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1.43</v>
      </c>
      <c r="CM752" s="2" t="n">
        <v>3.23</v>
      </c>
      <c r="CN752" s="2" t="n">
        <v>0</v>
      </c>
      <c r="CO752" s="2" t="n">
        <v>8.77</v>
      </c>
      <c r="CP752" s="2" t="n">
        <v>10.6</v>
      </c>
      <c r="CQ752" s="2" t="n">
        <v>0</v>
      </c>
      <c r="CR752" s="2" t="n">
        <v>16.84</v>
      </c>
      <c r="CS752" s="2" t="n">
        <v>18.69</v>
      </c>
      <c r="CT752" s="2" t="n">
        <v>0</v>
      </c>
      <c r="CU752" s="2" t="n">
        <v>23.62</v>
      </c>
      <c r="CV752" s="2" t="n">
        <v>25.46</v>
      </c>
      <c r="CW752" s="2" t="n">
        <v>0</v>
      </c>
      <c r="CX752" s="2" t="n">
        <v>44.96</v>
      </c>
      <c r="CY752" s="2" t="n">
        <v>46.79</v>
      </c>
      <c r="CZ752" s="2" t="n">
        <v>0</v>
      </c>
      <c r="DA752" s="2" t="n">
        <v>52.76</v>
      </c>
      <c r="DB752" s="2" t="n">
        <v>54.56</v>
      </c>
      <c r="DC752" s="2" t="n">
        <v>0</v>
      </c>
      <c r="DD752" s="2" t="n">
        <v>61.22</v>
      </c>
      <c r="DE752" s="2" t="n">
        <v>63.01</v>
      </c>
      <c r="DF752" s="2" t="n">
        <v>0</v>
      </c>
      <c r="DG752" s="2" t="n">
        <v>68.88</v>
      </c>
      <c r="DH752" s="2" t="n">
        <v>70.79000000000001</v>
      </c>
      <c r="DI752" s="2" t="n">
        <v>0</v>
      </c>
      <c r="DJ752" s="2" t="n">
        <v>76.98999999999999</v>
      </c>
      <c r="DK752" s="2" t="n">
        <v>78.78</v>
      </c>
      <c r="DL752" s="2" t="n">
        <v>0</v>
      </c>
      <c r="DM752" s="2" t="n">
        <v>84.52</v>
      </c>
      <c r="DN752" s="2" t="n">
        <v>86.31</v>
      </c>
      <c r="DO752" s="2" t="n">
        <v>0</v>
      </c>
      <c r="DP752" s="2" t="n">
        <v>92.04000000000001</v>
      </c>
      <c r="DQ752" s="2" t="n">
        <v>93.83</v>
      </c>
      <c r="DR752" s="2" t="n">
        <v>0</v>
      </c>
      <c r="DS752" s="2" t="n">
        <v>95.73</v>
      </c>
      <c r="DT752" s="2" t="n">
        <v>96.77</v>
      </c>
      <c r="DU752" s="2" t="n">
        <v>0</v>
      </c>
      <c r="DV752" s="2" t="n">
        <v>96.77</v>
      </c>
      <c r="DW752" s="2" t="n">
        <v>97.13</v>
      </c>
      <c r="DX752" s="2" t="n">
        <v>0</v>
      </c>
      <c r="DY752" s="2" t="n">
        <v>100</v>
      </c>
      <c r="DZ752" s="2" t="n">
        <v>100</v>
      </c>
      <c r="EA752" s="2" t="n">
        <v>0</v>
      </c>
      <c r="EB752" s="2" t="n">
        <v>100</v>
      </c>
      <c r="EC752" s="2" t="n">
        <v>100</v>
      </c>
      <c r="ED752" s="2" t="n">
        <v>0</v>
      </c>
      <c r="EE752" s="2" t="n">
        <v>100</v>
      </c>
      <c r="EF752" s="2" t="n">
        <v>100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</row>
    <row r="753">
      <c r="A753" s="2" t="n">
        <v>4</v>
      </c>
      <c r="B753" s="2" t="inlineStr">
        <is>
          <t>30.06.07.01</t>
        </is>
      </c>
      <c r="C753" s="2" t="inlineStr">
        <is>
          <t>Divisórias à definir (Vestiário Fem.| masc. - Pilotis)</t>
        </is>
      </c>
      <c r="D753" s="2" t="inlineStr">
        <is>
          <t>20/09/2027</t>
        </is>
      </c>
      <c r="E753" s="2" t="inlineStr">
        <is>
          <t>11/10/2028</t>
        </is>
      </c>
      <c r="F753" s="2" t="n">
        <v>5150.1185505</v>
      </c>
      <c r="G753" s="2" t="n">
        <v>0</v>
      </c>
      <c r="H753" s="2" t="n">
        <v>5150.1185505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</v>
      </c>
      <c r="BQ753" s="2" t="n">
        <v>0</v>
      </c>
      <c r="BR753" s="2" t="n">
        <v>0</v>
      </c>
      <c r="BS753" s="2" t="n">
        <v>0</v>
      </c>
      <c r="BT753" s="2" t="n">
        <v>0</v>
      </c>
      <c r="BU753" s="2" t="n">
        <v>0</v>
      </c>
      <c r="BV753" s="2" t="n">
        <v>0</v>
      </c>
      <c r="BW753" s="2" t="n">
        <v>0</v>
      </c>
      <c r="BX753" s="2" t="n">
        <v>0</v>
      </c>
      <c r="BY753" s="2" t="n">
        <v>0</v>
      </c>
      <c r="BZ753" s="2" t="n">
        <v>0</v>
      </c>
      <c r="CA753" s="2" t="n">
        <v>0</v>
      </c>
      <c r="CB753" s="2" t="n">
        <v>0</v>
      </c>
      <c r="CC753" s="2" t="n">
        <v>0</v>
      </c>
      <c r="CD753" s="2" t="n">
        <v>0</v>
      </c>
      <c r="CE753" s="2" t="n">
        <v>0</v>
      </c>
      <c r="CF753" s="2" t="n">
        <v>0</v>
      </c>
      <c r="CG753" s="2" t="n">
        <v>0</v>
      </c>
      <c r="CH753" s="2" t="n">
        <v>0</v>
      </c>
      <c r="CI753" s="2" t="n">
        <v>0</v>
      </c>
      <c r="CJ753" s="2" t="n">
        <v>0</v>
      </c>
      <c r="CK753" s="2" t="n">
        <v>0</v>
      </c>
      <c r="CL753" s="2" t="n">
        <v>1.43</v>
      </c>
      <c r="CM753" s="2" t="n">
        <v>3.23</v>
      </c>
      <c r="CN753" s="2" t="n">
        <v>0</v>
      </c>
      <c r="CO753" s="2" t="n">
        <v>8.77</v>
      </c>
      <c r="CP753" s="2" t="n">
        <v>10.6</v>
      </c>
      <c r="CQ753" s="2" t="n">
        <v>0</v>
      </c>
      <c r="CR753" s="2" t="n">
        <v>16.84</v>
      </c>
      <c r="CS753" s="2" t="n">
        <v>18.69</v>
      </c>
      <c r="CT753" s="2" t="n">
        <v>0</v>
      </c>
      <c r="CU753" s="2" t="n">
        <v>23.62</v>
      </c>
      <c r="CV753" s="2" t="n">
        <v>25.46</v>
      </c>
      <c r="CW753" s="2" t="n">
        <v>0</v>
      </c>
      <c r="CX753" s="2" t="n">
        <v>44.96</v>
      </c>
      <c r="CY753" s="2" t="n">
        <v>46.79</v>
      </c>
      <c r="CZ753" s="2" t="n">
        <v>0</v>
      </c>
      <c r="DA753" s="2" t="n">
        <v>52.76</v>
      </c>
      <c r="DB753" s="2" t="n">
        <v>54.56</v>
      </c>
      <c r="DC753" s="2" t="n">
        <v>0</v>
      </c>
      <c r="DD753" s="2" t="n">
        <v>61.22</v>
      </c>
      <c r="DE753" s="2" t="n">
        <v>63.01</v>
      </c>
      <c r="DF753" s="2" t="n">
        <v>0</v>
      </c>
      <c r="DG753" s="2" t="n">
        <v>68.88</v>
      </c>
      <c r="DH753" s="2" t="n">
        <v>70.79000000000001</v>
      </c>
      <c r="DI753" s="2" t="n">
        <v>0</v>
      </c>
      <c r="DJ753" s="2" t="n">
        <v>76.98999999999999</v>
      </c>
      <c r="DK753" s="2" t="n">
        <v>78.78</v>
      </c>
      <c r="DL753" s="2" t="n">
        <v>0</v>
      </c>
      <c r="DM753" s="2" t="n">
        <v>84.52</v>
      </c>
      <c r="DN753" s="2" t="n">
        <v>86.31</v>
      </c>
      <c r="DO753" s="2" t="n">
        <v>0</v>
      </c>
      <c r="DP753" s="2" t="n">
        <v>92.04000000000001</v>
      </c>
      <c r="DQ753" s="2" t="n">
        <v>93.83</v>
      </c>
      <c r="DR753" s="2" t="n">
        <v>0</v>
      </c>
      <c r="DS753" s="2" t="n">
        <v>95.73</v>
      </c>
      <c r="DT753" s="2" t="n">
        <v>96.77</v>
      </c>
      <c r="DU753" s="2" t="n">
        <v>0</v>
      </c>
      <c r="DV753" s="2" t="n">
        <v>96.77</v>
      </c>
      <c r="DW753" s="2" t="n">
        <v>97.13</v>
      </c>
      <c r="DX753" s="2" t="n">
        <v>0</v>
      </c>
      <c r="DY753" s="2" t="n">
        <v>100</v>
      </c>
      <c r="DZ753" s="2" t="n">
        <v>100</v>
      </c>
      <c r="EA753" s="2" t="n">
        <v>0</v>
      </c>
      <c r="EB753" s="2" t="n">
        <v>100</v>
      </c>
      <c r="EC753" s="2" t="n">
        <v>100</v>
      </c>
      <c r="ED753" s="2" t="n">
        <v>0</v>
      </c>
      <c r="EE753" s="2" t="n">
        <v>100</v>
      </c>
      <c r="EF753" s="2" t="n">
        <v>100</v>
      </c>
      <c r="EG753" s="2" t="n">
        <v>0</v>
      </c>
      <c r="EH753" s="2" t="n">
        <v>100</v>
      </c>
      <c r="EI753" s="2" t="n">
        <v>100</v>
      </c>
      <c r="EJ753" s="2" t="n">
        <v>0</v>
      </c>
      <c r="EK753" s="2" t="n">
        <v>100</v>
      </c>
      <c r="EL753" s="2" t="n">
        <v>100</v>
      </c>
      <c r="EM753" s="2" t="n">
        <v>0</v>
      </c>
      <c r="EN753" s="2" t="n">
        <v>100</v>
      </c>
      <c r="EO753" s="2" t="n">
        <v>100</v>
      </c>
      <c r="EP753" s="2" t="n">
        <v>0</v>
      </c>
      <c r="EQ753" s="2" t="n">
        <v>100</v>
      </c>
      <c r="ER753" s="2" t="n">
        <v>100</v>
      </c>
      <c r="ES753" s="2" t="n">
        <v>0</v>
      </c>
    </row>
    <row r="754">
      <c r="A754" s="2" t="n">
        <v>4</v>
      </c>
      <c r="B754" s="2" t="inlineStr">
        <is>
          <t>30.06.07.02</t>
        </is>
      </c>
      <c r="C754" s="2" t="inlineStr">
        <is>
          <t>Peitoril em granito Branco Ornamental White, acabamento levigado</t>
        </is>
      </c>
      <c r="D754" s="2" t="inlineStr">
        <is>
          <t>20/09/2027</t>
        </is>
      </c>
      <c r="E754" s="2" t="inlineStr">
        <is>
          <t>11/10/2028</t>
        </is>
      </c>
      <c r="F754" s="2" t="n">
        <v>129151.7454101937</v>
      </c>
      <c r="G754" s="2" t="n">
        <v>0</v>
      </c>
      <c r="H754" s="2" t="n">
        <v>129151.7454101937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1.43</v>
      </c>
      <c r="CM754" s="2" t="n">
        <v>3.23</v>
      </c>
      <c r="CN754" s="2" t="n">
        <v>0</v>
      </c>
      <c r="CO754" s="2" t="n">
        <v>8.77</v>
      </c>
      <c r="CP754" s="2" t="n">
        <v>10.6</v>
      </c>
      <c r="CQ754" s="2" t="n">
        <v>0</v>
      </c>
      <c r="CR754" s="2" t="n">
        <v>16.84</v>
      </c>
      <c r="CS754" s="2" t="n">
        <v>18.69</v>
      </c>
      <c r="CT754" s="2" t="n">
        <v>0</v>
      </c>
      <c r="CU754" s="2" t="n">
        <v>23.62</v>
      </c>
      <c r="CV754" s="2" t="n">
        <v>25.46</v>
      </c>
      <c r="CW754" s="2" t="n">
        <v>0</v>
      </c>
      <c r="CX754" s="2" t="n">
        <v>44.96</v>
      </c>
      <c r="CY754" s="2" t="n">
        <v>46.79</v>
      </c>
      <c r="CZ754" s="2" t="n">
        <v>0</v>
      </c>
      <c r="DA754" s="2" t="n">
        <v>52.76</v>
      </c>
      <c r="DB754" s="2" t="n">
        <v>54.56</v>
      </c>
      <c r="DC754" s="2" t="n">
        <v>0</v>
      </c>
      <c r="DD754" s="2" t="n">
        <v>61.22</v>
      </c>
      <c r="DE754" s="2" t="n">
        <v>63.01</v>
      </c>
      <c r="DF754" s="2" t="n">
        <v>0</v>
      </c>
      <c r="DG754" s="2" t="n">
        <v>68.88</v>
      </c>
      <c r="DH754" s="2" t="n">
        <v>70.79000000000001</v>
      </c>
      <c r="DI754" s="2" t="n">
        <v>0</v>
      </c>
      <c r="DJ754" s="2" t="n">
        <v>76.98999999999999</v>
      </c>
      <c r="DK754" s="2" t="n">
        <v>78.78</v>
      </c>
      <c r="DL754" s="2" t="n">
        <v>0</v>
      </c>
      <c r="DM754" s="2" t="n">
        <v>84.52</v>
      </c>
      <c r="DN754" s="2" t="n">
        <v>86.31</v>
      </c>
      <c r="DO754" s="2" t="n">
        <v>0</v>
      </c>
      <c r="DP754" s="2" t="n">
        <v>92.04000000000001</v>
      </c>
      <c r="DQ754" s="2" t="n">
        <v>93.83</v>
      </c>
      <c r="DR754" s="2" t="n">
        <v>0</v>
      </c>
      <c r="DS754" s="2" t="n">
        <v>95.73</v>
      </c>
      <c r="DT754" s="2" t="n">
        <v>96.77</v>
      </c>
      <c r="DU754" s="2" t="n">
        <v>0</v>
      </c>
      <c r="DV754" s="2" t="n">
        <v>96.77</v>
      </c>
      <c r="DW754" s="2" t="n">
        <v>97.13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</row>
    <row r="755">
      <c r="A755" s="2" t="n">
        <v>4</v>
      </c>
      <c r="B755" s="2" t="inlineStr">
        <is>
          <t>30.06.07.03</t>
        </is>
      </c>
      <c r="C755" s="2" t="inlineStr">
        <is>
          <t>Soleira| filete em porcelanato, com acabamento acetinado. Ref.: Eliane, Khali OffWhite AC.</t>
        </is>
      </c>
      <c r="D755" s="2" t="inlineStr">
        <is>
          <t>20/09/2027</t>
        </is>
      </c>
      <c r="E755" s="2" t="inlineStr">
        <is>
          <t>11/10/2028</t>
        </is>
      </c>
      <c r="F755" s="2" t="n">
        <v>233222.0935503296</v>
      </c>
      <c r="G755" s="2" t="n">
        <v>0</v>
      </c>
      <c r="H755" s="2" t="n">
        <v>233222.0935503296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1.43</v>
      </c>
      <c r="CM755" s="2" t="n">
        <v>3.23</v>
      </c>
      <c r="CN755" s="2" t="n">
        <v>0</v>
      </c>
      <c r="CO755" s="2" t="n">
        <v>8.77</v>
      </c>
      <c r="CP755" s="2" t="n">
        <v>10.6</v>
      </c>
      <c r="CQ755" s="2" t="n">
        <v>0</v>
      </c>
      <c r="CR755" s="2" t="n">
        <v>16.84</v>
      </c>
      <c r="CS755" s="2" t="n">
        <v>18.69</v>
      </c>
      <c r="CT755" s="2" t="n">
        <v>0</v>
      </c>
      <c r="CU755" s="2" t="n">
        <v>23.62</v>
      </c>
      <c r="CV755" s="2" t="n">
        <v>25.46</v>
      </c>
      <c r="CW755" s="2" t="n">
        <v>0</v>
      </c>
      <c r="CX755" s="2" t="n">
        <v>44.96</v>
      </c>
      <c r="CY755" s="2" t="n">
        <v>46.79</v>
      </c>
      <c r="CZ755" s="2" t="n">
        <v>0</v>
      </c>
      <c r="DA755" s="2" t="n">
        <v>52.76</v>
      </c>
      <c r="DB755" s="2" t="n">
        <v>54.56</v>
      </c>
      <c r="DC755" s="2" t="n">
        <v>0</v>
      </c>
      <c r="DD755" s="2" t="n">
        <v>61.22</v>
      </c>
      <c r="DE755" s="2" t="n">
        <v>63.01</v>
      </c>
      <c r="DF755" s="2" t="n">
        <v>0</v>
      </c>
      <c r="DG755" s="2" t="n">
        <v>68.88</v>
      </c>
      <c r="DH755" s="2" t="n">
        <v>70.79000000000001</v>
      </c>
      <c r="DI755" s="2" t="n">
        <v>0</v>
      </c>
      <c r="DJ755" s="2" t="n">
        <v>76.98999999999999</v>
      </c>
      <c r="DK755" s="2" t="n">
        <v>78.78</v>
      </c>
      <c r="DL755" s="2" t="n">
        <v>0</v>
      </c>
      <c r="DM755" s="2" t="n">
        <v>84.52</v>
      </c>
      <c r="DN755" s="2" t="n">
        <v>86.31</v>
      </c>
      <c r="DO755" s="2" t="n">
        <v>0</v>
      </c>
      <c r="DP755" s="2" t="n">
        <v>92.04000000000001</v>
      </c>
      <c r="DQ755" s="2" t="n">
        <v>93.83</v>
      </c>
      <c r="DR755" s="2" t="n">
        <v>0</v>
      </c>
      <c r="DS755" s="2" t="n">
        <v>95.73</v>
      </c>
      <c r="DT755" s="2" t="n">
        <v>96.77</v>
      </c>
      <c r="DU755" s="2" t="n">
        <v>0</v>
      </c>
      <c r="DV755" s="2" t="n">
        <v>96.77</v>
      </c>
      <c r="DW755" s="2" t="n">
        <v>97.13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</row>
    <row r="756">
      <c r="A756" s="2" t="n">
        <v>4</v>
      </c>
      <c r="B756" s="2" t="inlineStr">
        <is>
          <t>30.06.07.04</t>
        </is>
      </c>
      <c r="C756" s="2" t="inlineStr">
        <is>
          <t>Soleira em porcelanato, com acabamento acetinado. Ref.: Eliane, Munari Branco AC.</t>
        </is>
      </c>
      <c r="D756" s="2" t="inlineStr">
        <is>
          <t>20/09/2027</t>
        </is>
      </c>
      <c r="E756" s="2" t="inlineStr">
        <is>
          <t>11/10/2028</t>
        </is>
      </c>
      <c r="F756" s="2" t="n">
        <v>1148.832863560148</v>
      </c>
      <c r="G756" s="2" t="n">
        <v>0</v>
      </c>
      <c r="H756" s="2" t="n">
        <v>1148.832863560148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1.43</v>
      </c>
      <c r="CM756" s="2" t="n">
        <v>3.23</v>
      </c>
      <c r="CN756" s="2" t="n">
        <v>0</v>
      </c>
      <c r="CO756" s="2" t="n">
        <v>8.77</v>
      </c>
      <c r="CP756" s="2" t="n">
        <v>10.6</v>
      </c>
      <c r="CQ756" s="2" t="n">
        <v>0</v>
      </c>
      <c r="CR756" s="2" t="n">
        <v>16.84</v>
      </c>
      <c r="CS756" s="2" t="n">
        <v>18.69</v>
      </c>
      <c r="CT756" s="2" t="n">
        <v>0</v>
      </c>
      <c r="CU756" s="2" t="n">
        <v>23.62</v>
      </c>
      <c r="CV756" s="2" t="n">
        <v>25.46</v>
      </c>
      <c r="CW756" s="2" t="n">
        <v>0</v>
      </c>
      <c r="CX756" s="2" t="n">
        <v>44.96</v>
      </c>
      <c r="CY756" s="2" t="n">
        <v>46.79</v>
      </c>
      <c r="CZ756" s="2" t="n">
        <v>0</v>
      </c>
      <c r="DA756" s="2" t="n">
        <v>52.76</v>
      </c>
      <c r="DB756" s="2" t="n">
        <v>54.56</v>
      </c>
      <c r="DC756" s="2" t="n">
        <v>0</v>
      </c>
      <c r="DD756" s="2" t="n">
        <v>61.22</v>
      </c>
      <c r="DE756" s="2" t="n">
        <v>63.01</v>
      </c>
      <c r="DF756" s="2" t="n">
        <v>0</v>
      </c>
      <c r="DG756" s="2" t="n">
        <v>68.88</v>
      </c>
      <c r="DH756" s="2" t="n">
        <v>70.79000000000001</v>
      </c>
      <c r="DI756" s="2" t="n">
        <v>0</v>
      </c>
      <c r="DJ756" s="2" t="n">
        <v>76.98999999999999</v>
      </c>
      <c r="DK756" s="2" t="n">
        <v>78.78</v>
      </c>
      <c r="DL756" s="2" t="n">
        <v>0</v>
      </c>
      <c r="DM756" s="2" t="n">
        <v>84.52</v>
      </c>
      <c r="DN756" s="2" t="n">
        <v>86.31</v>
      </c>
      <c r="DO756" s="2" t="n">
        <v>0</v>
      </c>
      <c r="DP756" s="2" t="n">
        <v>92.04000000000001</v>
      </c>
      <c r="DQ756" s="2" t="n">
        <v>93.83</v>
      </c>
      <c r="DR756" s="2" t="n">
        <v>0</v>
      </c>
      <c r="DS756" s="2" t="n">
        <v>95.73</v>
      </c>
      <c r="DT756" s="2" t="n">
        <v>96.77</v>
      </c>
      <c r="DU756" s="2" t="n">
        <v>0</v>
      </c>
      <c r="DV756" s="2" t="n">
        <v>96.77</v>
      </c>
      <c r="DW756" s="2" t="n">
        <v>97.13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</row>
    <row r="757">
      <c r="A757" s="2" t="n">
        <v>4</v>
      </c>
      <c r="B757" s="2" t="inlineStr">
        <is>
          <t>30.06.07.05</t>
        </is>
      </c>
      <c r="C757" s="2" t="inlineStr">
        <is>
          <t>Soleira| filete em granito Branco Ornamental White, acabamento levigado</t>
        </is>
      </c>
      <c r="D757" s="2" t="inlineStr">
        <is>
          <t>20/09/2027</t>
        </is>
      </c>
      <c r="E757" s="2" t="inlineStr">
        <is>
          <t>11/10/2028</t>
        </is>
      </c>
      <c r="F757" s="2" t="n">
        <v>16588.7631042847</v>
      </c>
      <c r="G757" s="2" t="n">
        <v>0</v>
      </c>
      <c r="H757" s="2" t="n">
        <v>16588.7631042847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1.43</v>
      </c>
      <c r="CM757" s="2" t="n">
        <v>3.23</v>
      </c>
      <c r="CN757" s="2" t="n">
        <v>0</v>
      </c>
      <c r="CO757" s="2" t="n">
        <v>8.77</v>
      </c>
      <c r="CP757" s="2" t="n">
        <v>10.6</v>
      </c>
      <c r="CQ757" s="2" t="n">
        <v>0</v>
      </c>
      <c r="CR757" s="2" t="n">
        <v>16.84</v>
      </c>
      <c r="CS757" s="2" t="n">
        <v>18.69</v>
      </c>
      <c r="CT757" s="2" t="n">
        <v>0</v>
      </c>
      <c r="CU757" s="2" t="n">
        <v>23.62</v>
      </c>
      <c r="CV757" s="2" t="n">
        <v>25.46</v>
      </c>
      <c r="CW757" s="2" t="n">
        <v>0</v>
      </c>
      <c r="CX757" s="2" t="n">
        <v>44.96</v>
      </c>
      <c r="CY757" s="2" t="n">
        <v>46.79</v>
      </c>
      <c r="CZ757" s="2" t="n">
        <v>0</v>
      </c>
      <c r="DA757" s="2" t="n">
        <v>52.76</v>
      </c>
      <c r="DB757" s="2" t="n">
        <v>54.56</v>
      </c>
      <c r="DC757" s="2" t="n">
        <v>0</v>
      </c>
      <c r="DD757" s="2" t="n">
        <v>61.22</v>
      </c>
      <c r="DE757" s="2" t="n">
        <v>63.01</v>
      </c>
      <c r="DF757" s="2" t="n">
        <v>0</v>
      </c>
      <c r="DG757" s="2" t="n">
        <v>68.88</v>
      </c>
      <c r="DH757" s="2" t="n">
        <v>70.79000000000001</v>
      </c>
      <c r="DI757" s="2" t="n">
        <v>0</v>
      </c>
      <c r="DJ757" s="2" t="n">
        <v>76.98999999999999</v>
      </c>
      <c r="DK757" s="2" t="n">
        <v>78.78</v>
      </c>
      <c r="DL757" s="2" t="n">
        <v>0</v>
      </c>
      <c r="DM757" s="2" t="n">
        <v>84.52</v>
      </c>
      <c r="DN757" s="2" t="n">
        <v>86.31</v>
      </c>
      <c r="DO757" s="2" t="n">
        <v>0</v>
      </c>
      <c r="DP757" s="2" t="n">
        <v>92.04000000000001</v>
      </c>
      <c r="DQ757" s="2" t="n">
        <v>93.83</v>
      </c>
      <c r="DR757" s="2" t="n">
        <v>0</v>
      </c>
      <c r="DS757" s="2" t="n">
        <v>95.73</v>
      </c>
      <c r="DT757" s="2" t="n">
        <v>96.77</v>
      </c>
      <c r="DU757" s="2" t="n">
        <v>0</v>
      </c>
      <c r="DV757" s="2" t="n">
        <v>96.77</v>
      </c>
      <c r="DW757" s="2" t="n">
        <v>97.13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</row>
    <row r="758">
      <c r="A758" s="2" t="n">
        <v>4</v>
      </c>
      <c r="B758" s="2" t="inlineStr">
        <is>
          <t>30.06.07.06</t>
        </is>
      </c>
      <c r="C758" s="2" t="inlineStr">
        <is>
          <t>Soleira| filete em mármore Branco Paraná Matarazzo escovado</t>
        </is>
      </c>
      <c r="D758" s="2" t="inlineStr">
        <is>
          <t>20/09/2027</t>
        </is>
      </c>
      <c r="E758" s="2" t="inlineStr">
        <is>
          <t>11/10/2028</t>
        </is>
      </c>
      <c r="F758" s="2" t="n">
        <v>1339.803771507973</v>
      </c>
      <c r="G758" s="2" t="n">
        <v>0</v>
      </c>
      <c r="H758" s="2" t="n">
        <v>1339.803771507973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1.43</v>
      </c>
      <c r="CM758" s="2" t="n">
        <v>3.23</v>
      </c>
      <c r="CN758" s="2" t="n">
        <v>0</v>
      </c>
      <c r="CO758" s="2" t="n">
        <v>8.77</v>
      </c>
      <c r="CP758" s="2" t="n">
        <v>10.6</v>
      </c>
      <c r="CQ758" s="2" t="n">
        <v>0</v>
      </c>
      <c r="CR758" s="2" t="n">
        <v>16.84</v>
      </c>
      <c r="CS758" s="2" t="n">
        <v>18.69</v>
      </c>
      <c r="CT758" s="2" t="n">
        <v>0</v>
      </c>
      <c r="CU758" s="2" t="n">
        <v>23.62</v>
      </c>
      <c r="CV758" s="2" t="n">
        <v>25.46</v>
      </c>
      <c r="CW758" s="2" t="n">
        <v>0</v>
      </c>
      <c r="CX758" s="2" t="n">
        <v>44.96</v>
      </c>
      <c r="CY758" s="2" t="n">
        <v>46.79</v>
      </c>
      <c r="CZ758" s="2" t="n">
        <v>0</v>
      </c>
      <c r="DA758" s="2" t="n">
        <v>52.76</v>
      </c>
      <c r="DB758" s="2" t="n">
        <v>54.56</v>
      </c>
      <c r="DC758" s="2" t="n">
        <v>0</v>
      </c>
      <c r="DD758" s="2" t="n">
        <v>61.22</v>
      </c>
      <c r="DE758" s="2" t="n">
        <v>63.01</v>
      </c>
      <c r="DF758" s="2" t="n">
        <v>0</v>
      </c>
      <c r="DG758" s="2" t="n">
        <v>68.88</v>
      </c>
      <c r="DH758" s="2" t="n">
        <v>70.79000000000001</v>
      </c>
      <c r="DI758" s="2" t="n">
        <v>0</v>
      </c>
      <c r="DJ758" s="2" t="n">
        <v>76.98999999999999</v>
      </c>
      <c r="DK758" s="2" t="n">
        <v>78.78</v>
      </c>
      <c r="DL758" s="2" t="n">
        <v>0</v>
      </c>
      <c r="DM758" s="2" t="n">
        <v>84.52</v>
      </c>
      <c r="DN758" s="2" t="n">
        <v>86.31</v>
      </c>
      <c r="DO758" s="2" t="n">
        <v>0</v>
      </c>
      <c r="DP758" s="2" t="n">
        <v>92.04000000000001</v>
      </c>
      <c r="DQ758" s="2" t="n">
        <v>93.83</v>
      </c>
      <c r="DR758" s="2" t="n">
        <v>0</v>
      </c>
      <c r="DS758" s="2" t="n">
        <v>95.73</v>
      </c>
      <c r="DT758" s="2" t="n">
        <v>96.77</v>
      </c>
      <c r="DU758" s="2" t="n">
        <v>0</v>
      </c>
      <c r="DV758" s="2" t="n">
        <v>96.77</v>
      </c>
      <c r="DW758" s="2" t="n">
        <v>97.13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</row>
    <row r="759">
      <c r="A759" s="2" t="n">
        <v>4</v>
      </c>
      <c r="B759" s="2" t="inlineStr">
        <is>
          <t>30.06.07.07</t>
        </is>
      </c>
      <c r="C759" s="2" t="inlineStr">
        <is>
          <t>Soleira| filete em granito Branco Siena levigado.</t>
        </is>
      </c>
      <c r="D759" s="2" t="inlineStr">
        <is>
          <t>20/09/2027</t>
        </is>
      </c>
      <c r="E759" s="2" t="inlineStr">
        <is>
          <t>11/10/2028</t>
        </is>
      </c>
      <c r="F759" s="2" t="n">
        <v>714.2612698835997</v>
      </c>
      <c r="G759" s="2" t="n">
        <v>0</v>
      </c>
      <c r="H759" s="2" t="n">
        <v>714.2612698835997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1.43</v>
      </c>
      <c r="CM759" s="2" t="n">
        <v>3.23</v>
      </c>
      <c r="CN759" s="2" t="n">
        <v>0</v>
      </c>
      <c r="CO759" s="2" t="n">
        <v>8.77</v>
      </c>
      <c r="CP759" s="2" t="n">
        <v>10.6</v>
      </c>
      <c r="CQ759" s="2" t="n">
        <v>0</v>
      </c>
      <c r="CR759" s="2" t="n">
        <v>16.84</v>
      </c>
      <c r="CS759" s="2" t="n">
        <v>18.69</v>
      </c>
      <c r="CT759" s="2" t="n">
        <v>0</v>
      </c>
      <c r="CU759" s="2" t="n">
        <v>23.62</v>
      </c>
      <c r="CV759" s="2" t="n">
        <v>25.46</v>
      </c>
      <c r="CW759" s="2" t="n">
        <v>0</v>
      </c>
      <c r="CX759" s="2" t="n">
        <v>44.96</v>
      </c>
      <c r="CY759" s="2" t="n">
        <v>46.79</v>
      </c>
      <c r="CZ759" s="2" t="n">
        <v>0</v>
      </c>
      <c r="DA759" s="2" t="n">
        <v>52.76</v>
      </c>
      <c r="DB759" s="2" t="n">
        <v>54.56</v>
      </c>
      <c r="DC759" s="2" t="n">
        <v>0</v>
      </c>
      <c r="DD759" s="2" t="n">
        <v>61.22</v>
      </c>
      <c r="DE759" s="2" t="n">
        <v>63.01</v>
      </c>
      <c r="DF759" s="2" t="n">
        <v>0</v>
      </c>
      <c r="DG759" s="2" t="n">
        <v>68.88</v>
      </c>
      <c r="DH759" s="2" t="n">
        <v>70.79000000000001</v>
      </c>
      <c r="DI759" s="2" t="n">
        <v>0</v>
      </c>
      <c r="DJ759" s="2" t="n">
        <v>76.98999999999999</v>
      </c>
      <c r="DK759" s="2" t="n">
        <v>78.78</v>
      </c>
      <c r="DL759" s="2" t="n">
        <v>0</v>
      </c>
      <c r="DM759" s="2" t="n">
        <v>84.52</v>
      </c>
      <c r="DN759" s="2" t="n">
        <v>86.31</v>
      </c>
      <c r="DO759" s="2" t="n">
        <v>0</v>
      </c>
      <c r="DP759" s="2" t="n">
        <v>92.04000000000001</v>
      </c>
      <c r="DQ759" s="2" t="n">
        <v>93.83</v>
      </c>
      <c r="DR759" s="2" t="n">
        <v>0</v>
      </c>
      <c r="DS759" s="2" t="n">
        <v>95.73</v>
      </c>
      <c r="DT759" s="2" t="n">
        <v>96.77</v>
      </c>
      <c r="DU759" s="2" t="n">
        <v>0</v>
      </c>
      <c r="DV759" s="2" t="n">
        <v>96.77</v>
      </c>
      <c r="DW759" s="2" t="n">
        <v>97.13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</row>
    <row r="760">
      <c r="A760" s="2" t="n">
        <v>4</v>
      </c>
      <c r="B760" s="2" t="inlineStr">
        <is>
          <t>30.06.07.08</t>
        </is>
      </c>
      <c r="C760" s="2" t="inlineStr">
        <is>
          <t>Pingadeiras para platibandas e guarda-corpos de alvenaria de mármore branco</t>
        </is>
      </c>
      <c r="D760" s="2" t="inlineStr">
        <is>
          <t>20/09/2027</t>
        </is>
      </c>
      <c r="E760" s="2" t="inlineStr">
        <is>
          <t>11/10/2028</t>
        </is>
      </c>
      <c r="F760" s="2" t="n">
        <v>141411.5288470472</v>
      </c>
      <c r="G760" s="2" t="n">
        <v>0</v>
      </c>
      <c r="H760" s="2" t="n">
        <v>141411.5288470472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1.43</v>
      </c>
      <c r="CM760" s="2" t="n">
        <v>3.23</v>
      </c>
      <c r="CN760" s="2" t="n">
        <v>0</v>
      </c>
      <c r="CO760" s="2" t="n">
        <v>8.77</v>
      </c>
      <c r="CP760" s="2" t="n">
        <v>10.6</v>
      </c>
      <c r="CQ760" s="2" t="n">
        <v>0</v>
      </c>
      <c r="CR760" s="2" t="n">
        <v>16.84</v>
      </c>
      <c r="CS760" s="2" t="n">
        <v>18.69</v>
      </c>
      <c r="CT760" s="2" t="n">
        <v>0</v>
      </c>
      <c r="CU760" s="2" t="n">
        <v>23.62</v>
      </c>
      <c r="CV760" s="2" t="n">
        <v>25.46</v>
      </c>
      <c r="CW760" s="2" t="n">
        <v>0</v>
      </c>
      <c r="CX760" s="2" t="n">
        <v>44.96</v>
      </c>
      <c r="CY760" s="2" t="n">
        <v>46.79</v>
      </c>
      <c r="CZ760" s="2" t="n">
        <v>0</v>
      </c>
      <c r="DA760" s="2" t="n">
        <v>52.76</v>
      </c>
      <c r="DB760" s="2" t="n">
        <v>54.56</v>
      </c>
      <c r="DC760" s="2" t="n">
        <v>0</v>
      </c>
      <c r="DD760" s="2" t="n">
        <v>61.22</v>
      </c>
      <c r="DE760" s="2" t="n">
        <v>63.01</v>
      </c>
      <c r="DF760" s="2" t="n">
        <v>0</v>
      </c>
      <c r="DG760" s="2" t="n">
        <v>68.88</v>
      </c>
      <c r="DH760" s="2" t="n">
        <v>70.79000000000001</v>
      </c>
      <c r="DI760" s="2" t="n">
        <v>0</v>
      </c>
      <c r="DJ760" s="2" t="n">
        <v>76.98999999999999</v>
      </c>
      <c r="DK760" s="2" t="n">
        <v>78.78</v>
      </c>
      <c r="DL760" s="2" t="n">
        <v>0</v>
      </c>
      <c r="DM760" s="2" t="n">
        <v>84.52</v>
      </c>
      <c r="DN760" s="2" t="n">
        <v>86.31</v>
      </c>
      <c r="DO760" s="2" t="n">
        <v>0</v>
      </c>
      <c r="DP760" s="2" t="n">
        <v>92.04000000000001</v>
      </c>
      <c r="DQ760" s="2" t="n">
        <v>93.83</v>
      </c>
      <c r="DR760" s="2" t="n">
        <v>0</v>
      </c>
      <c r="DS760" s="2" t="n">
        <v>95.73</v>
      </c>
      <c r="DT760" s="2" t="n">
        <v>96.77</v>
      </c>
      <c r="DU760" s="2" t="n">
        <v>0</v>
      </c>
      <c r="DV760" s="2" t="n">
        <v>96.77</v>
      </c>
      <c r="DW760" s="2" t="n">
        <v>97.13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</row>
    <row r="761">
      <c r="A761" s="2" t="n">
        <v>4</v>
      </c>
      <c r="B761" s="2" t="inlineStr">
        <is>
          <t>30.06.07.09</t>
        </is>
      </c>
      <c r="C761" s="2" t="inlineStr">
        <is>
          <t>Aduelas de granito para porta de elevadores</t>
        </is>
      </c>
      <c r="D761" s="2" t="inlineStr">
        <is>
          <t>20/09/2027</t>
        </is>
      </c>
      <c r="E761" s="2" t="inlineStr">
        <is>
          <t>11/10/2028</t>
        </is>
      </c>
      <c r="F761" s="2" t="n">
        <v>114830.51372641</v>
      </c>
      <c r="G761" s="2" t="n">
        <v>0</v>
      </c>
      <c r="H761" s="2" t="n">
        <v>114830.51372641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1.43</v>
      </c>
      <c r="CM761" s="2" t="n">
        <v>3.23</v>
      </c>
      <c r="CN761" s="2" t="n">
        <v>0</v>
      </c>
      <c r="CO761" s="2" t="n">
        <v>8.77</v>
      </c>
      <c r="CP761" s="2" t="n">
        <v>10.6</v>
      </c>
      <c r="CQ761" s="2" t="n">
        <v>0</v>
      </c>
      <c r="CR761" s="2" t="n">
        <v>16.84</v>
      </c>
      <c r="CS761" s="2" t="n">
        <v>18.69</v>
      </c>
      <c r="CT761" s="2" t="n">
        <v>0</v>
      </c>
      <c r="CU761" s="2" t="n">
        <v>23.62</v>
      </c>
      <c r="CV761" s="2" t="n">
        <v>25.46</v>
      </c>
      <c r="CW761" s="2" t="n">
        <v>0</v>
      </c>
      <c r="CX761" s="2" t="n">
        <v>44.96</v>
      </c>
      <c r="CY761" s="2" t="n">
        <v>46.79</v>
      </c>
      <c r="CZ761" s="2" t="n">
        <v>0</v>
      </c>
      <c r="DA761" s="2" t="n">
        <v>52.76</v>
      </c>
      <c r="DB761" s="2" t="n">
        <v>54.56</v>
      </c>
      <c r="DC761" s="2" t="n">
        <v>0</v>
      </c>
      <c r="DD761" s="2" t="n">
        <v>61.22</v>
      </c>
      <c r="DE761" s="2" t="n">
        <v>63.01</v>
      </c>
      <c r="DF761" s="2" t="n">
        <v>0</v>
      </c>
      <c r="DG761" s="2" t="n">
        <v>68.88</v>
      </c>
      <c r="DH761" s="2" t="n">
        <v>70.79000000000001</v>
      </c>
      <c r="DI761" s="2" t="n">
        <v>0</v>
      </c>
      <c r="DJ761" s="2" t="n">
        <v>76.98999999999999</v>
      </c>
      <c r="DK761" s="2" t="n">
        <v>78.78</v>
      </c>
      <c r="DL761" s="2" t="n">
        <v>0</v>
      </c>
      <c r="DM761" s="2" t="n">
        <v>84.52</v>
      </c>
      <c r="DN761" s="2" t="n">
        <v>86.31</v>
      </c>
      <c r="DO761" s="2" t="n">
        <v>0</v>
      </c>
      <c r="DP761" s="2" t="n">
        <v>92.04000000000001</v>
      </c>
      <c r="DQ761" s="2" t="n">
        <v>93.83</v>
      </c>
      <c r="DR761" s="2" t="n">
        <v>0</v>
      </c>
      <c r="DS761" s="2" t="n">
        <v>95.73</v>
      </c>
      <c r="DT761" s="2" t="n">
        <v>96.77</v>
      </c>
      <c r="DU761" s="2" t="n">
        <v>0</v>
      </c>
      <c r="DV761" s="2" t="n">
        <v>96.77</v>
      </c>
      <c r="DW761" s="2" t="n">
        <v>97.13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</row>
    <row r="762">
      <c r="A762" s="2" t="n">
        <v>4</v>
      </c>
      <c r="B762" s="2" t="inlineStr">
        <is>
          <t>30.06.07.10</t>
        </is>
      </c>
      <c r="C762" s="2" t="inlineStr">
        <is>
          <t>Filete box</t>
        </is>
      </c>
      <c r="D762" s="2" t="inlineStr">
        <is>
          <t>20/09/2027</t>
        </is>
      </c>
      <c r="E762" s="2" t="inlineStr">
        <is>
          <t>11/10/2028</t>
        </is>
      </c>
      <c r="F762" s="2" t="n">
        <v>10166.98072581007</v>
      </c>
      <c r="G762" s="2" t="n">
        <v>0</v>
      </c>
      <c r="H762" s="2" t="n">
        <v>10166.98072581007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1.43</v>
      </c>
      <c r="CM762" s="2" t="n">
        <v>3.23</v>
      </c>
      <c r="CN762" s="2" t="n">
        <v>0</v>
      </c>
      <c r="CO762" s="2" t="n">
        <v>8.77</v>
      </c>
      <c r="CP762" s="2" t="n">
        <v>10.6</v>
      </c>
      <c r="CQ762" s="2" t="n">
        <v>0</v>
      </c>
      <c r="CR762" s="2" t="n">
        <v>16.84</v>
      </c>
      <c r="CS762" s="2" t="n">
        <v>18.69</v>
      </c>
      <c r="CT762" s="2" t="n">
        <v>0</v>
      </c>
      <c r="CU762" s="2" t="n">
        <v>23.62</v>
      </c>
      <c r="CV762" s="2" t="n">
        <v>25.46</v>
      </c>
      <c r="CW762" s="2" t="n">
        <v>0</v>
      </c>
      <c r="CX762" s="2" t="n">
        <v>44.96</v>
      </c>
      <c r="CY762" s="2" t="n">
        <v>46.79</v>
      </c>
      <c r="CZ762" s="2" t="n">
        <v>0</v>
      </c>
      <c r="DA762" s="2" t="n">
        <v>52.76</v>
      </c>
      <c r="DB762" s="2" t="n">
        <v>54.56</v>
      </c>
      <c r="DC762" s="2" t="n">
        <v>0</v>
      </c>
      <c r="DD762" s="2" t="n">
        <v>61.22</v>
      </c>
      <c r="DE762" s="2" t="n">
        <v>63.01</v>
      </c>
      <c r="DF762" s="2" t="n">
        <v>0</v>
      </c>
      <c r="DG762" s="2" t="n">
        <v>68.88</v>
      </c>
      <c r="DH762" s="2" t="n">
        <v>70.79000000000001</v>
      </c>
      <c r="DI762" s="2" t="n">
        <v>0</v>
      </c>
      <c r="DJ762" s="2" t="n">
        <v>76.98999999999999</v>
      </c>
      <c r="DK762" s="2" t="n">
        <v>78.78</v>
      </c>
      <c r="DL762" s="2" t="n">
        <v>0</v>
      </c>
      <c r="DM762" s="2" t="n">
        <v>84.52</v>
      </c>
      <c r="DN762" s="2" t="n">
        <v>86.31</v>
      </c>
      <c r="DO762" s="2" t="n">
        <v>0</v>
      </c>
      <c r="DP762" s="2" t="n">
        <v>92.04000000000001</v>
      </c>
      <c r="DQ762" s="2" t="n">
        <v>93.83</v>
      </c>
      <c r="DR762" s="2" t="n">
        <v>0</v>
      </c>
      <c r="DS762" s="2" t="n">
        <v>95.73</v>
      </c>
      <c r="DT762" s="2" t="n">
        <v>96.77</v>
      </c>
      <c r="DU762" s="2" t="n">
        <v>0</v>
      </c>
      <c r="DV762" s="2" t="n">
        <v>96.77</v>
      </c>
      <c r="DW762" s="2" t="n">
        <v>97.13</v>
      </c>
      <c r="DX762" s="2" t="n">
        <v>0</v>
      </c>
      <c r="DY762" s="2" t="n">
        <v>100</v>
      </c>
      <c r="DZ762" s="2" t="n">
        <v>100</v>
      </c>
      <c r="EA762" s="2" t="n">
        <v>0</v>
      </c>
      <c r="EB762" s="2" t="n">
        <v>100</v>
      </c>
      <c r="EC762" s="2" t="n">
        <v>100</v>
      </c>
      <c r="ED762" s="2" t="n">
        <v>0</v>
      </c>
      <c r="EE762" s="2" t="n">
        <v>100</v>
      </c>
      <c r="EF762" s="2" t="n">
        <v>100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</row>
    <row r="763">
      <c r="A763" s="2" t="n">
        <v>4</v>
      </c>
      <c r="B763" s="2" t="inlineStr">
        <is>
          <t>30.06.07.11</t>
        </is>
      </c>
      <c r="C763" s="2" t="inlineStr">
        <is>
          <t>Borda piscina L=27cm</t>
        </is>
      </c>
      <c r="D763" s="2" t="inlineStr">
        <is>
          <t>20/09/2027</t>
        </is>
      </c>
      <c r="E763" s="2" t="inlineStr">
        <is>
          <t>11/10/2028</t>
        </is>
      </c>
      <c r="F763" s="2" t="n">
        <v>10792.59798960978</v>
      </c>
      <c r="G763" s="2" t="n">
        <v>0</v>
      </c>
      <c r="H763" s="2" t="n">
        <v>10792.59798960978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1.43</v>
      </c>
      <c r="CM763" s="2" t="n">
        <v>3.23</v>
      </c>
      <c r="CN763" s="2" t="n">
        <v>0</v>
      </c>
      <c r="CO763" s="2" t="n">
        <v>8.77</v>
      </c>
      <c r="CP763" s="2" t="n">
        <v>10.6</v>
      </c>
      <c r="CQ763" s="2" t="n">
        <v>0</v>
      </c>
      <c r="CR763" s="2" t="n">
        <v>16.84</v>
      </c>
      <c r="CS763" s="2" t="n">
        <v>18.69</v>
      </c>
      <c r="CT763" s="2" t="n">
        <v>0</v>
      </c>
      <c r="CU763" s="2" t="n">
        <v>23.62</v>
      </c>
      <c r="CV763" s="2" t="n">
        <v>25.46</v>
      </c>
      <c r="CW763" s="2" t="n">
        <v>0</v>
      </c>
      <c r="CX763" s="2" t="n">
        <v>44.96</v>
      </c>
      <c r="CY763" s="2" t="n">
        <v>46.79</v>
      </c>
      <c r="CZ763" s="2" t="n">
        <v>0</v>
      </c>
      <c r="DA763" s="2" t="n">
        <v>52.76</v>
      </c>
      <c r="DB763" s="2" t="n">
        <v>54.56</v>
      </c>
      <c r="DC763" s="2" t="n">
        <v>0</v>
      </c>
      <c r="DD763" s="2" t="n">
        <v>61.22</v>
      </c>
      <c r="DE763" s="2" t="n">
        <v>63.01</v>
      </c>
      <c r="DF763" s="2" t="n">
        <v>0</v>
      </c>
      <c r="DG763" s="2" t="n">
        <v>68.88</v>
      </c>
      <c r="DH763" s="2" t="n">
        <v>70.79000000000001</v>
      </c>
      <c r="DI763" s="2" t="n">
        <v>0</v>
      </c>
      <c r="DJ763" s="2" t="n">
        <v>76.98999999999999</v>
      </c>
      <c r="DK763" s="2" t="n">
        <v>78.78</v>
      </c>
      <c r="DL763" s="2" t="n">
        <v>0</v>
      </c>
      <c r="DM763" s="2" t="n">
        <v>84.52</v>
      </c>
      <c r="DN763" s="2" t="n">
        <v>86.31</v>
      </c>
      <c r="DO763" s="2" t="n">
        <v>0</v>
      </c>
      <c r="DP763" s="2" t="n">
        <v>92.04000000000001</v>
      </c>
      <c r="DQ763" s="2" t="n">
        <v>93.83</v>
      </c>
      <c r="DR763" s="2" t="n">
        <v>0</v>
      </c>
      <c r="DS763" s="2" t="n">
        <v>95.73</v>
      </c>
      <c r="DT763" s="2" t="n">
        <v>96.77</v>
      </c>
      <c r="DU763" s="2" t="n">
        <v>0</v>
      </c>
      <c r="DV763" s="2" t="n">
        <v>96.77</v>
      </c>
      <c r="DW763" s="2" t="n">
        <v>97.13</v>
      </c>
      <c r="DX763" s="2" t="n">
        <v>0</v>
      </c>
      <c r="DY763" s="2" t="n">
        <v>100</v>
      </c>
      <c r="DZ763" s="2" t="n">
        <v>100</v>
      </c>
      <c r="EA763" s="2" t="n">
        <v>0</v>
      </c>
      <c r="EB763" s="2" t="n">
        <v>100</v>
      </c>
      <c r="EC763" s="2" t="n">
        <v>100</v>
      </c>
      <c r="ED763" s="2" t="n">
        <v>0</v>
      </c>
      <c r="EE763" s="2" t="n">
        <v>100</v>
      </c>
      <c r="EF763" s="2" t="n">
        <v>100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</row>
    <row r="764">
      <c r="A764" s="2" t="n">
        <v>2</v>
      </c>
      <c r="B764" s="2" t="inlineStr">
        <is>
          <t>30.07</t>
        </is>
      </c>
      <c r="C764" s="2" t="inlineStr">
        <is>
          <t>Revestimento de piscinas</t>
        </is>
      </c>
      <c r="D764" s="2" t="inlineStr">
        <is>
          <t>31/05/2028</t>
        </is>
      </c>
      <c r="E764" s="2" t="inlineStr">
        <is>
          <t>01/08/2028</t>
        </is>
      </c>
      <c r="F764" s="2" t="n">
        <v>117842.0892785322</v>
      </c>
      <c r="G764" s="2" t="n">
        <v>0</v>
      </c>
      <c r="H764" s="2" t="n">
        <v>117842.0892785322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</v>
      </c>
      <c r="CV764" s="2" t="n">
        <v>0</v>
      </c>
      <c r="CW764" s="2" t="n">
        <v>0</v>
      </c>
      <c r="CX764" s="2" t="n">
        <v>0</v>
      </c>
      <c r="CY764" s="2" t="n">
        <v>0</v>
      </c>
      <c r="CZ764" s="2" t="n">
        <v>0</v>
      </c>
      <c r="DA764" s="2" t="n">
        <v>0</v>
      </c>
      <c r="DB764" s="2" t="n">
        <v>0</v>
      </c>
      <c r="DC764" s="2" t="n">
        <v>0</v>
      </c>
      <c r="DD764" s="2" t="n">
        <v>0</v>
      </c>
      <c r="DE764" s="2" t="n">
        <v>0</v>
      </c>
      <c r="DF764" s="2" t="n">
        <v>0</v>
      </c>
      <c r="DG764" s="2" t="n">
        <v>0</v>
      </c>
      <c r="DH764" s="2" t="n">
        <v>0</v>
      </c>
      <c r="DI764" s="2" t="n">
        <v>0</v>
      </c>
      <c r="DJ764" s="2" t="n">
        <v>0</v>
      </c>
      <c r="DK764" s="2" t="n">
        <v>2.27</v>
      </c>
      <c r="DL764" s="2" t="n">
        <v>0</v>
      </c>
      <c r="DM764" s="2" t="n">
        <v>47.73</v>
      </c>
      <c r="DN764" s="2" t="n">
        <v>50</v>
      </c>
      <c r="DO764" s="2" t="n">
        <v>0</v>
      </c>
      <c r="DP764" s="2" t="n">
        <v>95.45</v>
      </c>
      <c r="DQ764" s="2" t="n">
        <v>97.73</v>
      </c>
      <c r="DR764" s="2" t="n">
        <v>0</v>
      </c>
      <c r="DS764" s="2" t="n">
        <v>100</v>
      </c>
      <c r="DT764" s="2" t="n">
        <v>100</v>
      </c>
      <c r="DU764" s="2" t="n">
        <v>0</v>
      </c>
      <c r="DV764" s="2" t="n">
        <v>100</v>
      </c>
      <c r="DW764" s="2" t="n">
        <v>100</v>
      </c>
      <c r="DX764" s="2" t="n">
        <v>0</v>
      </c>
      <c r="DY764" s="2" t="n">
        <v>100</v>
      </c>
      <c r="DZ764" s="2" t="n">
        <v>100</v>
      </c>
      <c r="EA764" s="2" t="n">
        <v>0</v>
      </c>
      <c r="EB764" s="2" t="n">
        <v>100</v>
      </c>
      <c r="EC764" s="2" t="n">
        <v>100</v>
      </c>
      <c r="ED764" s="2" t="n">
        <v>0</v>
      </c>
      <c r="EE764" s="2" t="n">
        <v>100</v>
      </c>
      <c r="EF764" s="2" t="n">
        <v>100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</row>
    <row r="765">
      <c r="A765" s="2" t="n">
        <v>3</v>
      </c>
      <c r="B765" s="2" t="inlineStr">
        <is>
          <t>30.07.01</t>
        </is>
      </c>
      <c r="C765" s="2" t="inlineStr">
        <is>
          <t>Argamassas</t>
        </is>
      </c>
      <c r="D765" s="2" t="inlineStr">
        <is>
          <t>31/05/2028</t>
        </is>
      </c>
      <c r="E765" s="2" t="inlineStr">
        <is>
          <t>01/08/2028</t>
        </is>
      </c>
      <c r="F765" s="2" t="n">
        <v>17572.4682066052</v>
      </c>
      <c r="G765" s="2" t="n">
        <v>0</v>
      </c>
      <c r="H765" s="2" t="n">
        <v>17572.4682066052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</v>
      </c>
      <c r="CV765" s="2" t="n">
        <v>0</v>
      </c>
      <c r="CW765" s="2" t="n">
        <v>0</v>
      </c>
      <c r="CX765" s="2" t="n">
        <v>0</v>
      </c>
      <c r="CY765" s="2" t="n">
        <v>0</v>
      </c>
      <c r="CZ765" s="2" t="n">
        <v>0</v>
      </c>
      <c r="DA765" s="2" t="n">
        <v>0</v>
      </c>
      <c r="DB765" s="2" t="n">
        <v>0</v>
      </c>
      <c r="DC765" s="2" t="n">
        <v>0</v>
      </c>
      <c r="DD765" s="2" t="n">
        <v>0</v>
      </c>
      <c r="DE765" s="2" t="n">
        <v>0</v>
      </c>
      <c r="DF765" s="2" t="n">
        <v>0</v>
      </c>
      <c r="DG765" s="2" t="n">
        <v>0</v>
      </c>
      <c r="DH765" s="2" t="n">
        <v>0</v>
      </c>
      <c r="DI765" s="2" t="n">
        <v>0</v>
      </c>
      <c r="DJ765" s="2" t="n">
        <v>0</v>
      </c>
      <c r="DK765" s="2" t="n">
        <v>2.27</v>
      </c>
      <c r="DL765" s="2" t="n">
        <v>0</v>
      </c>
      <c r="DM765" s="2" t="n">
        <v>47.73</v>
      </c>
      <c r="DN765" s="2" t="n">
        <v>50</v>
      </c>
      <c r="DO765" s="2" t="n">
        <v>0</v>
      </c>
      <c r="DP765" s="2" t="n">
        <v>95.45</v>
      </c>
      <c r="DQ765" s="2" t="n">
        <v>97.73</v>
      </c>
      <c r="DR765" s="2" t="n">
        <v>0</v>
      </c>
      <c r="DS765" s="2" t="n">
        <v>100</v>
      </c>
      <c r="DT765" s="2" t="n">
        <v>100</v>
      </c>
      <c r="DU765" s="2" t="n">
        <v>0</v>
      </c>
      <c r="DV765" s="2" t="n">
        <v>100</v>
      </c>
      <c r="DW765" s="2" t="n">
        <v>100</v>
      </c>
      <c r="DX765" s="2" t="n">
        <v>0</v>
      </c>
      <c r="DY765" s="2" t="n">
        <v>100</v>
      </c>
      <c r="DZ765" s="2" t="n">
        <v>100</v>
      </c>
      <c r="EA765" s="2" t="n">
        <v>0</v>
      </c>
      <c r="EB765" s="2" t="n">
        <v>100</v>
      </c>
      <c r="EC765" s="2" t="n">
        <v>100</v>
      </c>
      <c r="ED765" s="2" t="n">
        <v>0</v>
      </c>
      <c r="EE765" s="2" t="n">
        <v>100</v>
      </c>
      <c r="EF765" s="2" t="n">
        <v>100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</row>
    <row r="766">
      <c r="A766" s="2" t="n">
        <v>4</v>
      </c>
      <c r="B766" s="2" t="inlineStr">
        <is>
          <t>30.07.01.01</t>
        </is>
      </c>
      <c r="C766" s="2" t="inlineStr">
        <is>
          <t>Taliscamento de Parede</t>
        </is>
      </c>
      <c r="D766" s="2" t="inlineStr">
        <is>
          <t>31/05/2028</t>
        </is>
      </c>
      <c r="E766" s="2" t="inlineStr">
        <is>
          <t>01/08/2028</t>
        </is>
      </c>
      <c r="F766" s="2" t="n">
        <v>1478.78230185</v>
      </c>
      <c r="G766" s="2" t="n">
        <v>0</v>
      </c>
      <c r="H766" s="2" t="n">
        <v>1478.78230185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</v>
      </c>
      <c r="CV766" s="2" t="n">
        <v>0</v>
      </c>
      <c r="CW766" s="2" t="n">
        <v>0</v>
      </c>
      <c r="CX766" s="2" t="n">
        <v>0</v>
      </c>
      <c r="CY766" s="2" t="n">
        <v>0</v>
      </c>
      <c r="CZ766" s="2" t="n">
        <v>0</v>
      </c>
      <c r="DA766" s="2" t="n">
        <v>0</v>
      </c>
      <c r="DB766" s="2" t="n">
        <v>0</v>
      </c>
      <c r="DC766" s="2" t="n">
        <v>0</v>
      </c>
      <c r="DD766" s="2" t="n">
        <v>0</v>
      </c>
      <c r="DE766" s="2" t="n">
        <v>0</v>
      </c>
      <c r="DF766" s="2" t="n">
        <v>0</v>
      </c>
      <c r="DG766" s="2" t="n">
        <v>0</v>
      </c>
      <c r="DH766" s="2" t="n">
        <v>0</v>
      </c>
      <c r="DI766" s="2" t="n">
        <v>0</v>
      </c>
      <c r="DJ766" s="2" t="n">
        <v>0</v>
      </c>
      <c r="DK766" s="2" t="n">
        <v>2.27</v>
      </c>
      <c r="DL766" s="2" t="n">
        <v>0</v>
      </c>
      <c r="DM766" s="2" t="n">
        <v>47.73</v>
      </c>
      <c r="DN766" s="2" t="n">
        <v>50</v>
      </c>
      <c r="DO766" s="2" t="n">
        <v>0</v>
      </c>
      <c r="DP766" s="2" t="n">
        <v>95.45</v>
      </c>
      <c r="DQ766" s="2" t="n">
        <v>97.73</v>
      </c>
      <c r="DR766" s="2" t="n">
        <v>0</v>
      </c>
      <c r="DS766" s="2" t="n">
        <v>100</v>
      </c>
      <c r="DT766" s="2" t="n">
        <v>100</v>
      </c>
      <c r="DU766" s="2" t="n">
        <v>0</v>
      </c>
      <c r="DV766" s="2" t="n">
        <v>100</v>
      </c>
      <c r="DW766" s="2" t="n">
        <v>100</v>
      </c>
      <c r="DX766" s="2" t="n">
        <v>0</v>
      </c>
      <c r="DY766" s="2" t="n">
        <v>100</v>
      </c>
      <c r="DZ766" s="2" t="n">
        <v>100</v>
      </c>
      <c r="EA766" s="2" t="n">
        <v>0</v>
      </c>
      <c r="EB766" s="2" t="n">
        <v>100</v>
      </c>
      <c r="EC766" s="2" t="n">
        <v>100</v>
      </c>
      <c r="ED766" s="2" t="n">
        <v>0</v>
      </c>
      <c r="EE766" s="2" t="n">
        <v>100</v>
      </c>
      <c r="EF766" s="2" t="n">
        <v>100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</row>
    <row r="767">
      <c r="A767" s="2" t="n">
        <v>4</v>
      </c>
      <c r="B767" s="2" t="inlineStr">
        <is>
          <t>30.07.01.02</t>
        </is>
      </c>
      <c r="C767" s="2" t="inlineStr">
        <is>
          <t>Chapisco</t>
        </is>
      </c>
      <c r="D767" s="2" t="inlineStr">
        <is>
          <t>31/05/2028</t>
        </is>
      </c>
      <c r="E767" s="2" t="inlineStr">
        <is>
          <t>01/08/2028</t>
        </is>
      </c>
      <c r="F767" s="2" t="n">
        <v>2717.0687397952</v>
      </c>
      <c r="G767" s="2" t="n">
        <v>0</v>
      </c>
      <c r="H767" s="2" t="n">
        <v>2717.0687397952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</v>
      </c>
      <c r="CV767" s="2" t="n">
        <v>0</v>
      </c>
      <c r="CW767" s="2" t="n">
        <v>0</v>
      </c>
      <c r="CX767" s="2" t="n">
        <v>0</v>
      </c>
      <c r="CY767" s="2" t="n">
        <v>0</v>
      </c>
      <c r="CZ767" s="2" t="n">
        <v>0</v>
      </c>
      <c r="DA767" s="2" t="n">
        <v>0</v>
      </c>
      <c r="DB767" s="2" t="n">
        <v>0</v>
      </c>
      <c r="DC767" s="2" t="n">
        <v>0</v>
      </c>
      <c r="DD767" s="2" t="n">
        <v>0</v>
      </c>
      <c r="DE767" s="2" t="n">
        <v>0</v>
      </c>
      <c r="DF767" s="2" t="n">
        <v>0</v>
      </c>
      <c r="DG767" s="2" t="n">
        <v>0</v>
      </c>
      <c r="DH767" s="2" t="n">
        <v>0</v>
      </c>
      <c r="DI767" s="2" t="n">
        <v>0</v>
      </c>
      <c r="DJ767" s="2" t="n">
        <v>0</v>
      </c>
      <c r="DK767" s="2" t="n">
        <v>2.27</v>
      </c>
      <c r="DL767" s="2" t="n">
        <v>0</v>
      </c>
      <c r="DM767" s="2" t="n">
        <v>47.73</v>
      </c>
      <c r="DN767" s="2" t="n">
        <v>50</v>
      </c>
      <c r="DO767" s="2" t="n">
        <v>0</v>
      </c>
      <c r="DP767" s="2" t="n">
        <v>95.45</v>
      </c>
      <c r="DQ767" s="2" t="n">
        <v>97.73</v>
      </c>
      <c r="DR767" s="2" t="n">
        <v>0</v>
      </c>
      <c r="DS767" s="2" t="n">
        <v>100</v>
      </c>
      <c r="DT767" s="2" t="n">
        <v>100</v>
      </c>
      <c r="DU767" s="2" t="n">
        <v>0</v>
      </c>
      <c r="DV767" s="2" t="n">
        <v>100</v>
      </c>
      <c r="DW767" s="2" t="n">
        <v>100</v>
      </c>
      <c r="DX767" s="2" t="n">
        <v>0</v>
      </c>
      <c r="DY767" s="2" t="n">
        <v>100</v>
      </c>
      <c r="DZ767" s="2" t="n">
        <v>100</v>
      </c>
      <c r="EA767" s="2" t="n">
        <v>0</v>
      </c>
      <c r="EB767" s="2" t="n">
        <v>100</v>
      </c>
      <c r="EC767" s="2" t="n">
        <v>100</v>
      </c>
      <c r="ED767" s="2" t="n">
        <v>0</v>
      </c>
      <c r="EE767" s="2" t="n">
        <v>100</v>
      </c>
      <c r="EF767" s="2" t="n">
        <v>100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</row>
    <row r="768">
      <c r="A768" s="2" t="n">
        <v>4</v>
      </c>
      <c r="B768" s="2" t="inlineStr">
        <is>
          <t>30.07.01.03</t>
        </is>
      </c>
      <c r="C768" s="2" t="inlineStr">
        <is>
          <t>Emboço esp. 50mm</t>
        </is>
      </c>
      <c r="D768" s="2" t="inlineStr">
        <is>
          <t>31/05/2028</t>
        </is>
      </c>
      <c r="E768" s="2" t="inlineStr">
        <is>
          <t>01/08/2028</t>
        </is>
      </c>
      <c r="F768" s="2" t="n">
        <v>13376.61716496</v>
      </c>
      <c r="G768" s="2" t="n">
        <v>0</v>
      </c>
      <c r="H768" s="2" t="n">
        <v>13376.61716496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</v>
      </c>
      <c r="CV768" s="2" t="n">
        <v>0</v>
      </c>
      <c r="CW768" s="2" t="n">
        <v>0</v>
      </c>
      <c r="CX768" s="2" t="n">
        <v>0</v>
      </c>
      <c r="CY768" s="2" t="n">
        <v>0</v>
      </c>
      <c r="CZ768" s="2" t="n">
        <v>0</v>
      </c>
      <c r="DA768" s="2" t="n">
        <v>0</v>
      </c>
      <c r="DB768" s="2" t="n">
        <v>0</v>
      </c>
      <c r="DC768" s="2" t="n">
        <v>0</v>
      </c>
      <c r="DD768" s="2" t="n">
        <v>0</v>
      </c>
      <c r="DE768" s="2" t="n">
        <v>0</v>
      </c>
      <c r="DF768" s="2" t="n">
        <v>0</v>
      </c>
      <c r="DG768" s="2" t="n">
        <v>0</v>
      </c>
      <c r="DH768" s="2" t="n">
        <v>0</v>
      </c>
      <c r="DI768" s="2" t="n">
        <v>0</v>
      </c>
      <c r="DJ768" s="2" t="n">
        <v>0</v>
      </c>
      <c r="DK768" s="2" t="n">
        <v>2.27</v>
      </c>
      <c r="DL768" s="2" t="n">
        <v>0</v>
      </c>
      <c r="DM768" s="2" t="n">
        <v>47.73</v>
      </c>
      <c r="DN768" s="2" t="n">
        <v>50</v>
      </c>
      <c r="DO768" s="2" t="n">
        <v>0</v>
      </c>
      <c r="DP768" s="2" t="n">
        <v>95.45</v>
      </c>
      <c r="DQ768" s="2" t="n">
        <v>97.73</v>
      </c>
      <c r="DR768" s="2" t="n">
        <v>0</v>
      </c>
      <c r="DS768" s="2" t="n">
        <v>100</v>
      </c>
      <c r="DT768" s="2" t="n">
        <v>100</v>
      </c>
      <c r="DU768" s="2" t="n">
        <v>0</v>
      </c>
      <c r="DV768" s="2" t="n">
        <v>100</v>
      </c>
      <c r="DW768" s="2" t="n">
        <v>100</v>
      </c>
      <c r="DX768" s="2" t="n">
        <v>0</v>
      </c>
      <c r="DY768" s="2" t="n">
        <v>100</v>
      </c>
      <c r="DZ768" s="2" t="n">
        <v>100</v>
      </c>
      <c r="EA768" s="2" t="n">
        <v>0</v>
      </c>
      <c r="EB768" s="2" t="n">
        <v>100</v>
      </c>
      <c r="EC768" s="2" t="n">
        <v>100</v>
      </c>
      <c r="ED768" s="2" t="n">
        <v>0</v>
      </c>
      <c r="EE768" s="2" t="n">
        <v>100</v>
      </c>
      <c r="EF768" s="2" t="n">
        <v>100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</row>
    <row r="769">
      <c r="A769" s="2" t="n">
        <v>3</v>
      </c>
      <c r="B769" s="2" t="inlineStr">
        <is>
          <t>30.07.02</t>
        </is>
      </c>
      <c r="C769" s="2" t="inlineStr">
        <is>
          <t>Revestimentos cerâmicos</t>
        </is>
      </c>
      <c r="D769" s="2" t="inlineStr">
        <is>
          <t>31/05/2028</t>
        </is>
      </c>
      <c r="E769" s="2" t="inlineStr">
        <is>
          <t>01/08/2028</t>
        </is>
      </c>
      <c r="F769" s="2" t="n">
        <v>52689.62107192698</v>
      </c>
      <c r="G769" s="2" t="n">
        <v>0</v>
      </c>
      <c r="H769" s="2" t="n">
        <v>52689.62107192698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</v>
      </c>
      <c r="CV769" s="2" t="n">
        <v>0</v>
      </c>
      <c r="CW769" s="2" t="n">
        <v>0</v>
      </c>
      <c r="CX769" s="2" t="n">
        <v>0</v>
      </c>
      <c r="CY769" s="2" t="n">
        <v>0</v>
      </c>
      <c r="CZ769" s="2" t="n">
        <v>0</v>
      </c>
      <c r="DA769" s="2" t="n">
        <v>0</v>
      </c>
      <c r="DB769" s="2" t="n">
        <v>0</v>
      </c>
      <c r="DC769" s="2" t="n">
        <v>0</v>
      </c>
      <c r="DD769" s="2" t="n">
        <v>0</v>
      </c>
      <c r="DE769" s="2" t="n">
        <v>0</v>
      </c>
      <c r="DF769" s="2" t="n">
        <v>0</v>
      </c>
      <c r="DG769" s="2" t="n">
        <v>0</v>
      </c>
      <c r="DH769" s="2" t="n">
        <v>0</v>
      </c>
      <c r="DI769" s="2" t="n">
        <v>0</v>
      </c>
      <c r="DJ769" s="2" t="n">
        <v>0</v>
      </c>
      <c r="DK769" s="2" t="n">
        <v>2.27</v>
      </c>
      <c r="DL769" s="2" t="n">
        <v>0</v>
      </c>
      <c r="DM769" s="2" t="n">
        <v>47.73</v>
      </c>
      <c r="DN769" s="2" t="n">
        <v>50</v>
      </c>
      <c r="DO769" s="2" t="n">
        <v>0</v>
      </c>
      <c r="DP769" s="2" t="n">
        <v>95.45</v>
      </c>
      <c r="DQ769" s="2" t="n">
        <v>97.73</v>
      </c>
      <c r="DR769" s="2" t="n">
        <v>0</v>
      </c>
      <c r="DS769" s="2" t="n">
        <v>100</v>
      </c>
      <c r="DT769" s="2" t="n">
        <v>100</v>
      </c>
      <c r="DU769" s="2" t="n">
        <v>0</v>
      </c>
      <c r="DV769" s="2" t="n">
        <v>100</v>
      </c>
      <c r="DW769" s="2" t="n">
        <v>100</v>
      </c>
      <c r="DX769" s="2" t="n">
        <v>0</v>
      </c>
      <c r="DY769" s="2" t="n">
        <v>100</v>
      </c>
      <c r="DZ769" s="2" t="n">
        <v>100</v>
      </c>
      <c r="EA769" s="2" t="n">
        <v>0</v>
      </c>
      <c r="EB769" s="2" t="n">
        <v>100</v>
      </c>
      <c r="EC769" s="2" t="n">
        <v>100</v>
      </c>
      <c r="ED769" s="2" t="n">
        <v>0</v>
      </c>
      <c r="EE769" s="2" t="n">
        <v>100</v>
      </c>
      <c r="EF769" s="2" t="n">
        <v>100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</row>
    <row r="770">
      <c r="A770" s="2" t="n">
        <v>4</v>
      </c>
      <c r="B770" s="2" t="inlineStr">
        <is>
          <t>30.07.02.01</t>
        </is>
      </c>
      <c r="C770" s="2" t="inlineStr">
        <is>
          <t>Revestimento 14,5x14,5cm, linha Barlavento Sea da Portobello,  assentado com argamassa colante em pó ACIII</t>
        </is>
      </c>
      <c r="D770" s="2" t="inlineStr">
        <is>
          <t>31/05/2028</t>
        </is>
      </c>
      <c r="E770" s="2" t="inlineStr">
        <is>
          <t>01/08/2028</t>
        </is>
      </c>
      <c r="F770" s="2" t="n">
        <v>52689.62107192698</v>
      </c>
      <c r="G770" s="2" t="n">
        <v>0</v>
      </c>
      <c r="H770" s="2" t="n">
        <v>52689.62107192698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</v>
      </c>
      <c r="CV770" s="2" t="n">
        <v>0</v>
      </c>
      <c r="CW770" s="2" t="n">
        <v>0</v>
      </c>
      <c r="CX770" s="2" t="n">
        <v>0</v>
      </c>
      <c r="CY770" s="2" t="n">
        <v>0</v>
      </c>
      <c r="CZ770" s="2" t="n">
        <v>0</v>
      </c>
      <c r="DA770" s="2" t="n">
        <v>0</v>
      </c>
      <c r="DB770" s="2" t="n">
        <v>0</v>
      </c>
      <c r="DC770" s="2" t="n">
        <v>0</v>
      </c>
      <c r="DD770" s="2" t="n">
        <v>0</v>
      </c>
      <c r="DE770" s="2" t="n">
        <v>0</v>
      </c>
      <c r="DF770" s="2" t="n">
        <v>0</v>
      </c>
      <c r="DG770" s="2" t="n">
        <v>0</v>
      </c>
      <c r="DH770" s="2" t="n">
        <v>0</v>
      </c>
      <c r="DI770" s="2" t="n">
        <v>0</v>
      </c>
      <c r="DJ770" s="2" t="n">
        <v>0</v>
      </c>
      <c r="DK770" s="2" t="n">
        <v>2.27</v>
      </c>
      <c r="DL770" s="2" t="n">
        <v>0</v>
      </c>
      <c r="DM770" s="2" t="n">
        <v>47.73</v>
      </c>
      <c r="DN770" s="2" t="n">
        <v>50</v>
      </c>
      <c r="DO770" s="2" t="n">
        <v>0</v>
      </c>
      <c r="DP770" s="2" t="n">
        <v>95.45</v>
      </c>
      <c r="DQ770" s="2" t="n">
        <v>97.73</v>
      </c>
      <c r="DR770" s="2" t="n">
        <v>0</v>
      </c>
      <c r="DS770" s="2" t="n">
        <v>100</v>
      </c>
      <c r="DT770" s="2" t="n">
        <v>100</v>
      </c>
      <c r="DU770" s="2" t="n">
        <v>0</v>
      </c>
      <c r="DV770" s="2" t="n">
        <v>100</v>
      </c>
      <c r="DW770" s="2" t="n">
        <v>100</v>
      </c>
      <c r="DX770" s="2" t="n">
        <v>0</v>
      </c>
      <c r="DY770" s="2" t="n">
        <v>100</v>
      </c>
      <c r="DZ770" s="2" t="n">
        <v>100</v>
      </c>
      <c r="EA770" s="2" t="n">
        <v>0</v>
      </c>
      <c r="EB770" s="2" t="n">
        <v>100</v>
      </c>
      <c r="EC770" s="2" t="n">
        <v>100</v>
      </c>
      <c r="ED770" s="2" t="n">
        <v>0</v>
      </c>
      <c r="EE770" s="2" t="n">
        <v>100</v>
      </c>
      <c r="EF770" s="2" t="n">
        <v>100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</row>
    <row r="771">
      <c r="A771" s="2" t="n">
        <v>3</v>
      </c>
      <c r="B771" s="2" t="inlineStr">
        <is>
          <t>30.07.03</t>
        </is>
      </c>
      <c r="C771" s="2" t="inlineStr">
        <is>
          <t>Caixilharia especial</t>
        </is>
      </c>
      <c r="D771" s="2" t="inlineStr">
        <is>
          <t>31/05/2028</t>
        </is>
      </c>
      <c r="E771" s="2" t="inlineStr">
        <is>
          <t>01/08/2028</t>
        </is>
      </c>
      <c r="F771" s="2" t="n">
        <v>47580</v>
      </c>
      <c r="G771" s="2" t="n">
        <v>0</v>
      </c>
      <c r="H771" s="2" t="n">
        <v>47580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</v>
      </c>
      <c r="CV771" s="2" t="n">
        <v>0</v>
      </c>
      <c r="CW771" s="2" t="n">
        <v>0</v>
      </c>
      <c r="CX771" s="2" t="n">
        <v>0</v>
      </c>
      <c r="CY771" s="2" t="n">
        <v>0</v>
      </c>
      <c r="CZ771" s="2" t="n">
        <v>0</v>
      </c>
      <c r="DA771" s="2" t="n">
        <v>0</v>
      </c>
      <c r="DB771" s="2" t="n">
        <v>0</v>
      </c>
      <c r="DC771" s="2" t="n">
        <v>0</v>
      </c>
      <c r="DD771" s="2" t="n">
        <v>0</v>
      </c>
      <c r="DE771" s="2" t="n">
        <v>0</v>
      </c>
      <c r="DF771" s="2" t="n">
        <v>0</v>
      </c>
      <c r="DG771" s="2" t="n">
        <v>0</v>
      </c>
      <c r="DH771" s="2" t="n">
        <v>0</v>
      </c>
      <c r="DI771" s="2" t="n">
        <v>0</v>
      </c>
      <c r="DJ771" s="2" t="n">
        <v>0</v>
      </c>
      <c r="DK771" s="2" t="n">
        <v>2.27</v>
      </c>
      <c r="DL771" s="2" t="n">
        <v>0</v>
      </c>
      <c r="DM771" s="2" t="n">
        <v>47.73</v>
      </c>
      <c r="DN771" s="2" t="n">
        <v>50</v>
      </c>
      <c r="DO771" s="2" t="n">
        <v>0</v>
      </c>
      <c r="DP771" s="2" t="n">
        <v>95.45</v>
      </c>
      <c r="DQ771" s="2" t="n">
        <v>97.73</v>
      </c>
      <c r="DR771" s="2" t="n">
        <v>0</v>
      </c>
      <c r="DS771" s="2" t="n">
        <v>100</v>
      </c>
      <c r="DT771" s="2" t="n">
        <v>100</v>
      </c>
      <c r="DU771" s="2" t="n">
        <v>0</v>
      </c>
      <c r="DV771" s="2" t="n">
        <v>100</v>
      </c>
      <c r="DW771" s="2" t="n">
        <v>100</v>
      </c>
      <c r="DX771" s="2" t="n">
        <v>0</v>
      </c>
      <c r="DY771" s="2" t="n">
        <v>100</v>
      </c>
      <c r="DZ771" s="2" t="n">
        <v>100</v>
      </c>
      <c r="EA771" s="2" t="n">
        <v>0</v>
      </c>
      <c r="EB771" s="2" t="n">
        <v>100</v>
      </c>
      <c r="EC771" s="2" t="n">
        <v>100</v>
      </c>
      <c r="ED771" s="2" t="n">
        <v>0</v>
      </c>
      <c r="EE771" s="2" t="n">
        <v>100</v>
      </c>
      <c r="EF771" s="2" t="n">
        <v>100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</row>
    <row r="772">
      <c r="A772" s="2" t="n">
        <v>4</v>
      </c>
      <c r="B772" s="2" t="inlineStr">
        <is>
          <t>30.07.03.01</t>
        </is>
      </c>
      <c r="C772" s="2" t="inlineStr">
        <is>
          <t>Pilares revestidos em ACM, tonalidade próxima dos perfis das esquadrias, ref.: alumínio anodizado cor Bronze 104</t>
        </is>
      </c>
      <c r="D772" s="2" t="inlineStr">
        <is>
          <t>31/05/2028</t>
        </is>
      </c>
      <c r="E772" s="2" t="inlineStr">
        <is>
          <t>01/08/2028</t>
        </is>
      </c>
      <c r="F772" s="2" t="n">
        <v>47580</v>
      </c>
      <c r="G772" s="2" t="n">
        <v>0</v>
      </c>
      <c r="H772" s="2" t="n">
        <v>47580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</v>
      </c>
      <c r="CV772" s="2" t="n">
        <v>0</v>
      </c>
      <c r="CW772" s="2" t="n">
        <v>0</v>
      </c>
      <c r="CX772" s="2" t="n">
        <v>0</v>
      </c>
      <c r="CY772" s="2" t="n">
        <v>0</v>
      </c>
      <c r="CZ772" s="2" t="n">
        <v>0</v>
      </c>
      <c r="DA772" s="2" t="n">
        <v>0</v>
      </c>
      <c r="DB772" s="2" t="n">
        <v>0</v>
      </c>
      <c r="DC772" s="2" t="n">
        <v>0</v>
      </c>
      <c r="DD772" s="2" t="n">
        <v>0</v>
      </c>
      <c r="DE772" s="2" t="n">
        <v>0</v>
      </c>
      <c r="DF772" s="2" t="n">
        <v>0</v>
      </c>
      <c r="DG772" s="2" t="n">
        <v>0</v>
      </c>
      <c r="DH772" s="2" t="n">
        <v>0</v>
      </c>
      <c r="DI772" s="2" t="n">
        <v>0</v>
      </c>
      <c r="DJ772" s="2" t="n">
        <v>0</v>
      </c>
      <c r="DK772" s="2" t="n">
        <v>2.27</v>
      </c>
      <c r="DL772" s="2" t="n">
        <v>0</v>
      </c>
      <c r="DM772" s="2" t="n">
        <v>47.73</v>
      </c>
      <c r="DN772" s="2" t="n">
        <v>50</v>
      </c>
      <c r="DO772" s="2" t="n">
        <v>0</v>
      </c>
      <c r="DP772" s="2" t="n">
        <v>95.45</v>
      </c>
      <c r="DQ772" s="2" t="n">
        <v>97.73</v>
      </c>
      <c r="DR772" s="2" t="n">
        <v>0</v>
      </c>
      <c r="DS772" s="2" t="n">
        <v>100</v>
      </c>
      <c r="DT772" s="2" t="n">
        <v>100</v>
      </c>
      <c r="DU772" s="2" t="n">
        <v>0</v>
      </c>
      <c r="DV772" s="2" t="n">
        <v>100</v>
      </c>
      <c r="DW772" s="2" t="n">
        <v>100</v>
      </c>
      <c r="DX772" s="2" t="n">
        <v>0</v>
      </c>
      <c r="DY772" s="2" t="n">
        <v>100</v>
      </c>
      <c r="DZ772" s="2" t="n">
        <v>100</v>
      </c>
      <c r="EA772" s="2" t="n">
        <v>0</v>
      </c>
      <c r="EB772" s="2" t="n">
        <v>100</v>
      </c>
      <c r="EC772" s="2" t="n">
        <v>100</v>
      </c>
      <c r="ED772" s="2" t="n">
        <v>0</v>
      </c>
      <c r="EE772" s="2" t="n">
        <v>100</v>
      </c>
      <c r="EF772" s="2" t="n">
        <v>100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</row>
    <row r="773">
      <c r="A773" s="2" t="n">
        <v>1</v>
      </c>
      <c r="B773" s="2" t="inlineStr">
        <is>
          <t>31</t>
        </is>
      </c>
      <c r="C773" s="2" t="inlineStr">
        <is>
          <t>PAVIMENTÇÃO</t>
        </is>
      </c>
      <c r="D773" s="2" t="inlineStr">
        <is>
          <t>30/11/2027</t>
        </is>
      </c>
      <c r="E773" s="2" t="inlineStr">
        <is>
          <t>09/03/2028</t>
        </is>
      </c>
      <c r="F773" s="2" t="n">
        <v>106895.66988437</v>
      </c>
      <c r="G773" s="2" t="n">
        <v>0</v>
      </c>
      <c r="H773" s="2" t="n">
        <v>106895.66988437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1.52</v>
      </c>
      <c r="CT773" s="2" t="n">
        <v>0</v>
      </c>
      <c r="CU773" s="2" t="n">
        <v>24.24</v>
      </c>
      <c r="CV773" s="2" t="n">
        <v>25.76</v>
      </c>
      <c r="CW773" s="2" t="n">
        <v>0</v>
      </c>
      <c r="CX773" s="2" t="n">
        <v>56.06</v>
      </c>
      <c r="CY773" s="2" t="n">
        <v>57.58</v>
      </c>
      <c r="CZ773" s="2" t="n">
        <v>0</v>
      </c>
      <c r="DA773" s="2" t="n">
        <v>87.88</v>
      </c>
      <c r="DB773" s="2" t="n">
        <v>89.39</v>
      </c>
      <c r="DC773" s="2" t="n">
        <v>0</v>
      </c>
      <c r="DD773" s="2" t="n">
        <v>100</v>
      </c>
      <c r="DE773" s="2" t="n">
        <v>100</v>
      </c>
      <c r="DF773" s="2" t="n">
        <v>0</v>
      </c>
      <c r="DG773" s="2" t="n">
        <v>100</v>
      </c>
      <c r="DH773" s="2" t="n">
        <v>100</v>
      </c>
      <c r="DI773" s="2" t="n">
        <v>0</v>
      </c>
      <c r="DJ773" s="2" t="n">
        <v>100</v>
      </c>
      <c r="DK773" s="2" t="n">
        <v>100</v>
      </c>
      <c r="DL773" s="2" t="n">
        <v>0</v>
      </c>
      <c r="DM773" s="2" t="n">
        <v>100</v>
      </c>
      <c r="DN773" s="2" t="n">
        <v>100</v>
      </c>
      <c r="DO773" s="2" t="n">
        <v>0</v>
      </c>
      <c r="DP773" s="2" t="n">
        <v>100</v>
      </c>
      <c r="DQ773" s="2" t="n">
        <v>100</v>
      </c>
      <c r="DR773" s="2" t="n">
        <v>0</v>
      </c>
      <c r="DS773" s="2" t="n">
        <v>100</v>
      </c>
      <c r="DT773" s="2" t="n">
        <v>100</v>
      </c>
      <c r="DU773" s="2" t="n">
        <v>0</v>
      </c>
      <c r="DV773" s="2" t="n">
        <v>100</v>
      </c>
      <c r="DW773" s="2" t="n">
        <v>100</v>
      </c>
      <c r="DX773" s="2" t="n">
        <v>0</v>
      </c>
      <c r="DY773" s="2" t="n">
        <v>100</v>
      </c>
      <c r="DZ773" s="2" t="n">
        <v>100</v>
      </c>
      <c r="EA773" s="2" t="n">
        <v>0</v>
      </c>
      <c r="EB773" s="2" t="n">
        <v>100</v>
      </c>
      <c r="EC773" s="2" t="n">
        <v>100</v>
      </c>
      <c r="ED773" s="2" t="n">
        <v>0</v>
      </c>
      <c r="EE773" s="2" t="n">
        <v>100</v>
      </c>
      <c r="EF773" s="2" t="n">
        <v>100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</row>
    <row r="774">
      <c r="A774" s="2" t="n">
        <v>2</v>
      </c>
      <c r="B774" s="2" t="inlineStr">
        <is>
          <t>31.01</t>
        </is>
      </c>
      <c r="C774" s="2" t="inlineStr">
        <is>
          <t>Passeios</t>
        </is>
      </c>
      <c r="D774" s="2" t="inlineStr">
        <is>
          <t>30/11/2027</t>
        </is>
      </c>
      <c r="E774" s="2" t="inlineStr">
        <is>
          <t>09/03/2028</t>
        </is>
      </c>
      <c r="F774" s="2" t="n">
        <v>106895.66988437</v>
      </c>
      <c r="G774" s="2" t="n">
        <v>0</v>
      </c>
      <c r="H774" s="2" t="n">
        <v>106895.66988437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1.52</v>
      </c>
      <c r="CT774" s="2" t="n">
        <v>0</v>
      </c>
      <c r="CU774" s="2" t="n">
        <v>24.24</v>
      </c>
      <c r="CV774" s="2" t="n">
        <v>25.76</v>
      </c>
      <c r="CW774" s="2" t="n">
        <v>0</v>
      </c>
      <c r="CX774" s="2" t="n">
        <v>56.06</v>
      </c>
      <c r="CY774" s="2" t="n">
        <v>57.58</v>
      </c>
      <c r="CZ774" s="2" t="n">
        <v>0</v>
      </c>
      <c r="DA774" s="2" t="n">
        <v>87.88</v>
      </c>
      <c r="DB774" s="2" t="n">
        <v>89.39</v>
      </c>
      <c r="DC774" s="2" t="n">
        <v>0</v>
      </c>
      <c r="DD774" s="2" t="n">
        <v>100</v>
      </c>
      <c r="DE774" s="2" t="n">
        <v>100</v>
      </c>
      <c r="DF774" s="2" t="n">
        <v>0</v>
      </c>
      <c r="DG774" s="2" t="n">
        <v>100</v>
      </c>
      <c r="DH774" s="2" t="n">
        <v>100</v>
      </c>
      <c r="DI774" s="2" t="n">
        <v>0</v>
      </c>
      <c r="DJ774" s="2" t="n">
        <v>100</v>
      </c>
      <c r="DK774" s="2" t="n">
        <v>100</v>
      </c>
      <c r="DL774" s="2" t="n">
        <v>0</v>
      </c>
      <c r="DM774" s="2" t="n">
        <v>100</v>
      </c>
      <c r="DN774" s="2" t="n">
        <v>100</v>
      </c>
      <c r="DO774" s="2" t="n">
        <v>0</v>
      </c>
      <c r="DP774" s="2" t="n">
        <v>100</v>
      </c>
      <c r="DQ774" s="2" t="n">
        <v>100</v>
      </c>
      <c r="DR774" s="2" t="n">
        <v>0</v>
      </c>
      <c r="DS774" s="2" t="n">
        <v>100</v>
      </c>
      <c r="DT774" s="2" t="n">
        <v>100</v>
      </c>
      <c r="DU774" s="2" t="n">
        <v>0</v>
      </c>
      <c r="DV774" s="2" t="n">
        <v>100</v>
      </c>
      <c r="DW774" s="2" t="n">
        <v>100</v>
      </c>
      <c r="DX774" s="2" t="n">
        <v>0</v>
      </c>
      <c r="DY774" s="2" t="n">
        <v>100</v>
      </c>
      <c r="DZ774" s="2" t="n">
        <v>100</v>
      </c>
      <c r="EA774" s="2" t="n">
        <v>0</v>
      </c>
      <c r="EB774" s="2" t="n">
        <v>100</v>
      </c>
      <c r="EC774" s="2" t="n">
        <v>100</v>
      </c>
      <c r="ED774" s="2" t="n">
        <v>0</v>
      </c>
      <c r="EE774" s="2" t="n">
        <v>100</v>
      </c>
      <c r="EF774" s="2" t="n">
        <v>100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</row>
    <row r="775">
      <c r="A775" s="2" t="n">
        <v>3</v>
      </c>
      <c r="B775" s="2" t="inlineStr">
        <is>
          <t>31.01.01</t>
        </is>
      </c>
      <c r="C775" s="2" t="inlineStr">
        <is>
          <t>Calçada de concreto magro esp. 10cm + cimentado esp. 3cm</t>
        </is>
      </c>
      <c r="D775" s="2" t="inlineStr">
        <is>
          <t>30/11/2027</t>
        </is>
      </c>
      <c r="E775" s="2" t="inlineStr">
        <is>
          <t>09/03/2028</t>
        </is>
      </c>
      <c r="F775" s="2" t="n">
        <v>43494.92804227607</v>
      </c>
      <c r="G775" s="2" t="n">
        <v>0</v>
      </c>
      <c r="H775" s="2" t="n">
        <v>43494.92804227607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1.52</v>
      </c>
      <c r="CT775" s="2" t="n">
        <v>0</v>
      </c>
      <c r="CU775" s="2" t="n">
        <v>24.24</v>
      </c>
      <c r="CV775" s="2" t="n">
        <v>25.76</v>
      </c>
      <c r="CW775" s="2" t="n">
        <v>0</v>
      </c>
      <c r="CX775" s="2" t="n">
        <v>56.06</v>
      </c>
      <c r="CY775" s="2" t="n">
        <v>57.58</v>
      </c>
      <c r="CZ775" s="2" t="n">
        <v>0</v>
      </c>
      <c r="DA775" s="2" t="n">
        <v>87.88</v>
      </c>
      <c r="DB775" s="2" t="n">
        <v>89.39</v>
      </c>
      <c r="DC775" s="2" t="n">
        <v>0</v>
      </c>
      <c r="DD775" s="2" t="n">
        <v>100</v>
      </c>
      <c r="DE775" s="2" t="n">
        <v>100</v>
      </c>
      <c r="DF775" s="2" t="n">
        <v>0</v>
      </c>
      <c r="DG775" s="2" t="n">
        <v>100</v>
      </c>
      <c r="DH775" s="2" t="n">
        <v>100</v>
      </c>
      <c r="DI775" s="2" t="n">
        <v>0</v>
      </c>
      <c r="DJ775" s="2" t="n">
        <v>100</v>
      </c>
      <c r="DK775" s="2" t="n">
        <v>100</v>
      </c>
      <c r="DL775" s="2" t="n">
        <v>0</v>
      </c>
      <c r="DM775" s="2" t="n">
        <v>100</v>
      </c>
      <c r="DN775" s="2" t="n">
        <v>100</v>
      </c>
      <c r="DO775" s="2" t="n">
        <v>0</v>
      </c>
      <c r="DP775" s="2" t="n">
        <v>100</v>
      </c>
      <c r="DQ775" s="2" t="n">
        <v>100</v>
      </c>
      <c r="DR775" s="2" t="n">
        <v>0</v>
      </c>
      <c r="DS775" s="2" t="n">
        <v>100</v>
      </c>
      <c r="DT775" s="2" t="n">
        <v>100</v>
      </c>
      <c r="DU775" s="2" t="n">
        <v>0</v>
      </c>
      <c r="DV775" s="2" t="n">
        <v>100</v>
      </c>
      <c r="DW775" s="2" t="n">
        <v>100</v>
      </c>
      <c r="DX775" s="2" t="n">
        <v>0</v>
      </c>
      <c r="DY775" s="2" t="n">
        <v>100</v>
      </c>
      <c r="DZ775" s="2" t="n">
        <v>100</v>
      </c>
      <c r="EA775" s="2" t="n">
        <v>0</v>
      </c>
      <c r="EB775" s="2" t="n">
        <v>100</v>
      </c>
      <c r="EC775" s="2" t="n">
        <v>100</v>
      </c>
      <c r="ED775" s="2" t="n">
        <v>0</v>
      </c>
      <c r="EE775" s="2" t="n">
        <v>100</v>
      </c>
      <c r="EF775" s="2" t="n">
        <v>100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</row>
    <row r="776">
      <c r="A776" s="2" t="n">
        <v>3</v>
      </c>
      <c r="B776" s="2" t="inlineStr">
        <is>
          <t>31.01.02</t>
        </is>
      </c>
      <c r="C776" s="2" t="inlineStr">
        <is>
          <t>Meio Fio</t>
        </is>
      </c>
      <c r="D776" s="2" t="inlineStr">
        <is>
          <t>30/11/2027</t>
        </is>
      </c>
      <c r="E776" s="2" t="inlineStr">
        <is>
          <t>09/03/2028</t>
        </is>
      </c>
      <c r="F776" s="2" t="n">
        <v>5683.39659691557</v>
      </c>
      <c r="G776" s="2" t="n">
        <v>0</v>
      </c>
      <c r="H776" s="2" t="n">
        <v>5683.39659691557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1.52</v>
      </c>
      <c r="CT776" s="2" t="n">
        <v>0</v>
      </c>
      <c r="CU776" s="2" t="n">
        <v>24.24</v>
      </c>
      <c r="CV776" s="2" t="n">
        <v>25.76</v>
      </c>
      <c r="CW776" s="2" t="n">
        <v>0</v>
      </c>
      <c r="CX776" s="2" t="n">
        <v>56.06</v>
      </c>
      <c r="CY776" s="2" t="n">
        <v>57.58</v>
      </c>
      <c r="CZ776" s="2" t="n">
        <v>0</v>
      </c>
      <c r="DA776" s="2" t="n">
        <v>87.88</v>
      </c>
      <c r="DB776" s="2" t="n">
        <v>89.39</v>
      </c>
      <c r="DC776" s="2" t="n">
        <v>0</v>
      </c>
      <c r="DD776" s="2" t="n">
        <v>100</v>
      </c>
      <c r="DE776" s="2" t="n">
        <v>100</v>
      </c>
      <c r="DF776" s="2" t="n">
        <v>0</v>
      </c>
      <c r="DG776" s="2" t="n">
        <v>100</v>
      </c>
      <c r="DH776" s="2" t="n">
        <v>100</v>
      </c>
      <c r="DI776" s="2" t="n">
        <v>0</v>
      </c>
      <c r="DJ776" s="2" t="n">
        <v>100</v>
      </c>
      <c r="DK776" s="2" t="n">
        <v>100</v>
      </c>
      <c r="DL776" s="2" t="n">
        <v>0</v>
      </c>
      <c r="DM776" s="2" t="n">
        <v>100</v>
      </c>
      <c r="DN776" s="2" t="n">
        <v>100</v>
      </c>
      <c r="DO776" s="2" t="n">
        <v>0</v>
      </c>
      <c r="DP776" s="2" t="n">
        <v>100</v>
      </c>
      <c r="DQ776" s="2" t="n">
        <v>100</v>
      </c>
      <c r="DR776" s="2" t="n">
        <v>0</v>
      </c>
      <c r="DS776" s="2" t="n">
        <v>100</v>
      </c>
      <c r="DT776" s="2" t="n">
        <v>100</v>
      </c>
      <c r="DU776" s="2" t="n">
        <v>0</v>
      </c>
      <c r="DV776" s="2" t="n">
        <v>100</v>
      </c>
      <c r="DW776" s="2" t="n">
        <v>100</v>
      </c>
      <c r="DX776" s="2" t="n">
        <v>0</v>
      </c>
      <c r="DY776" s="2" t="n">
        <v>100</v>
      </c>
      <c r="DZ776" s="2" t="n">
        <v>100</v>
      </c>
      <c r="EA776" s="2" t="n">
        <v>0</v>
      </c>
      <c r="EB776" s="2" t="n">
        <v>100</v>
      </c>
      <c r="EC776" s="2" t="n">
        <v>100</v>
      </c>
      <c r="ED776" s="2" t="n">
        <v>0</v>
      </c>
      <c r="EE776" s="2" t="n">
        <v>100</v>
      </c>
      <c r="EF776" s="2" t="n">
        <v>100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</row>
    <row r="777">
      <c r="A777" s="2" t="n">
        <v>3</v>
      </c>
      <c r="B777" s="2" t="inlineStr">
        <is>
          <t>31.01.03</t>
        </is>
      </c>
      <c r="C777" s="2" t="inlineStr">
        <is>
          <t>Rebaixo no meio-fio</t>
        </is>
      </c>
      <c r="D777" s="2" t="inlineStr">
        <is>
          <t>30/11/2027</t>
        </is>
      </c>
      <c r="E777" s="2" t="inlineStr">
        <is>
          <t>09/03/2028</t>
        </is>
      </c>
      <c r="F777" s="2" t="n">
        <v>1848.54901637219</v>
      </c>
      <c r="G777" s="2" t="n">
        <v>0</v>
      </c>
      <c r="H777" s="2" t="n">
        <v>1848.54901637219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1.52</v>
      </c>
      <c r="CT777" s="2" t="n">
        <v>0</v>
      </c>
      <c r="CU777" s="2" t="n">
        <v>24.24</v>
      </c>
      <c r="CV777" s="2" t="n">
        <v>25.76</v>
      </c>
      <c r="CW777" s="2" t="n">
        <v>0</v>
      </c>
      <c r="CX777" s="2" t="n">
        <v>56.06</v>
      </c>
      <c r="CY777" s="2" t="n">
        <v>57.58</v>
      </c>
      <c r="CZ777" s="2" t="n">
        <v>0</v>
      </c>
      <c r="DA777" s="2" t="n">
        <v>87.88</v>
      </c>
      <c r="DB777" s="2" t="n">
        <v>89.39</v>
      </c>
      <c r="DC777" s="2" t="n">
        <v>0</v>
      </c>
      <c r="DD777" s="2" t="n">
        <v>100</v>
      </c>
      <c r="DE777" s="2" t="n">
        <v>100</v>
      </c>
      <c r="DF777" s="2" t="n">
        <v>0</v>
      </c>
      <c r="DG777" s="2" t="n">
        <v>100</v>
      </c>
      <c r="DH777" s="2" t="n">
        <v>100</v>
      </c>
      <c r="DI777" s="2" t="n">
        <v>0</v>
      </c>
      <c r="DJ777" s="2" t="n">
        <v>100</v>
      </c>
      <c r="DK777" s="2" t="n">
        <v>100</v>
      </c>
      <c r="DL777" s="2" t="n">
        <v>0</v>
      </c>
      <c r="DM777" s="2" t="n">
        <v>100</v>
      </c>
      <c r="DN777" s="2" t="n">
        <v>100</v>
      </c>
      <c r="DO777" s="2" t="n">
        <v>0</v>
      </c>
      <c r="DP777" s="2" t="n">
        <v>100</v>
      </c>
      <c r="DQ777" s="2" t="n">
        <v>100</v>
      </c>
      <c r="DR777" s="2" t="n">
        <v>0</v>
      </c>
      <c r="DS777" s="2" t="n">
        <v>100</v>
      </c>
      <c r="DT777" s="2" t="n">
        <v>100</v>
      </c>
      <c r="DU777" s="2" t="n">
        <v>0</v>
      </c>
      <c r="DV777" s="2" t="n">
        <v>100</v>
      </c>
      <c r="DW777" s="2" t="n">
        <v>100</v>
      </c>
      <c r="DX777" s="2" t="n">
        <v>0</v>
      </c>
      <c r="DY777" s="2" t="n">
        <v>100</v>
      </c>
      <c r="DZ777" s="2" t="n">
        <v>100</v>
      </c>
      <c r="EA777" s="2" t="n">
        <v>0</v>
      </c>
      <c r="EB777" s="2" t="n">
        <v>100</v>
      </c>
      <c r="EC777" s="2" t="n">
        <v>100</v>
      </c>
      <c r="ED777" s="2" t="n">
        <v>0</v>
      </c>
      <c r="EE777" s="2" t="n">
        <v>100</v>
      </c>
      <c r="EF777" s="2" t="n">
        <v>100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</row>
    <row r="778">
      <c r="A778" s="2" t="n">
        <v>3</v>
      </c>
      <c r="B778" s="2" t="inlineStr">
        <is>
          <t>31.01.04</t>
        </is>
      </c>
      <c r="C778" s="2" t="inlineStr">
        <is>
          <t>Sarjeta</t>
        </is>
      </c>
      <c r="D778" s="2" t="inlineStr">
        <is>
          <t>30/11/2027</t>
        </is>
      </c>
      <c r="E778" s="2" t="inlineStr">
        <is>
          <t>09/03/2028</t>
        </is>
      </c>
      <c r="F778" s="2" t="n">
        <v>3498.528385883591</v>
      </c>
      <c r="G778" s="2" t="n">
        <v>0</v>
      </c>
      <c r="H778" s="2" t="n">
        <v>3498.528385883591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1.52</v>
      </c>
      <c r="CT778" s="2" t="n">
        <v>0</v>
      </c>
      <c r="CU778" s="2" t="n">
        <v>24.24</v>
      </c>
      <c r="CV778" s="2" t="n">
        <v>25.76</v>
      </c>
      <c r="CW778" s="2" t="n">
        <v>0</v>
      </c>
      <c r="CX778" s="2" t="n">
        <v>56.06</v>
      </c>
      <c r="CY778" s="2" t="n">
        <v>57.58</v>
      </c>
      <c r="CZ778" s="2" t="n">
        <v>0</v>
      </c>
      <c r="DA778" s="2" t="n">
        <v>87.88</v>
      </c>
      <c r="DB778" s="2" t="n">
        <v>89.39</v>
      </c>
      <c r="DC778" s="2" t="n">
        <v>0</v>
      </c>
      <c r="DD778" s="2" t="n">
        <v>100</v>
      </c>
      <c r="DE778" s="2" t="n">
        <v>100</v>
      </c>
      <c r="DF778" s="2" t="n">
        <v>0</v>
      </c>
      <c r="DG778" s="2" t="n">
        <v>100</v>
      </c>
      <c r="DH778" s="2" t="n">
        <v>100</v>
      </c>
      <c r="DI778" s="2" t="n">
        <v>0</v>
      </c>
      <c r="DJ778" s="2" t="n">
        <v>100</v>
      </c>
      <c r="DK778" s="2" t="n">
        <v>100</v>
      </c>
      <c r="DL778" s="2" t="n">
        <v>0</v>
      </c>
      <c r="DM778" s="2" t="n">
        <v>100</v>
      </c>
      <c r="DN778" s="2" t="n">
        <v>100</v>
      </c>
      <c r="DO778" s="2" t="n">
        <v>0</v>
      </c>
      <c r="DP778" s="2" t="n">
        <v>100</v>
      </c>
      <c r="DQ778" s="2" t="n">
        <v>100</v>
      </c>
      <c r="DR778" s="2" t="n">
        <v>0</v>
      </c>
      <c r="DS778" s="2" t="n">
        <v>100</v>
      </c>
      <c r="DT778" s="2" t="n">
        <v>100</v>
      </c>
      <c r="DU778" s="2" t="n">
        <v>0</v>
      </c>
      <c r="DV778" s="2" t="n">
        <v>100</v>
      </c>
      <c r="DW778" s="2" t="n">
        <v>100</v>
      </c>
      <c r="DX778" s="2" t="n">
        <v>0</v>
      </c>
      <c r="DY778" s="2" t="n">
        <v>100</v>
      </c>
      <c r="DZ778" s="2" t="n">
        <v>100</v>
      </c>
      <c r="EA778" s="2" t="n">
        <v>0</v>
      </c>
      <c r="EB778" s="2" t="n">
        <v>100</v>
      </c>
      <c r="EC778" s="2" t="n">
        <v>100</v>
      </c>
      <c r="ED778" s="2" t="n">
        <v>0</v>
      </c>
      <c r="EE778" s="2" t="n">
        <v>100</v>
      </c>
      <c r="EF778" s="2" t="n">
        <v>100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</row>
    <row r="779">
      <c r="A779" s="2" t="n">
        <v>3</v>
      </c>
      <c r="B779" s="2" t="inlineStr">
        <is>
          <t>31.01.05</t>
        </is>
      </c>
      <c r="C779" s="2" t="inlineStr">
        <is>
          <t>Ladrilho hidráulico 20x20cm, modelo rampa, cor cinza.</t>
        </is>
      </c>
      <c r="D779" s="2" t="inlineStr">
        <is>
          <t>30/11/2027</t>
        </is>
      </c>
      <c r="E779" s="2" t="inlineStr">
        <is>
          <t>09/03/2028</t>
        </is>
      </c>
      <c r="F779" s="2" t="n">
        <v>32045.56844443289</v>
      </c>
      <c r="G779" s="2" t="n">
        <v>0</v>
      </c>
      <c r="H779" s="2" t="n">
        <v>32045.56844443289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1.52</v>
      </c>
      <c r="CT779" s="2" t="n">
        <v>0</v>
      </c>
      <c r="CU779" s="2" t="n">
        <v>24.24</v>
      </c>
      <c r="CV779" s="2" t="n">
        <v>25.76</v>
      </c>
      <c r="CW779" s="2" t="n">
        <v>0</v>
      </c>
      <c r="CX779" s="2" t="n">
        <v>56.06</v>
      </c>
      <c r="CY779" s="2" t="n">
        <v>57.58</v>
      </c>
      <c r="CZ779" s="2" t="n">
        <v>0</v>
      </c>
      <c r="DA779" s="2" t="n">
        <v>87.88</v>
      </c>
      <c r="DB779" s="2" t="n">
        <v>89.39</v>
      </c>
      <c r="DC779" s="2" t="n">
        <v>0</v>
      </c>
      <c r="DD779" s="2" t="n">
        <v>100</v>
      </c>
      <c r="DE779" s="2" t="n">
        <v>100</v>
      </c>
      <c r="DF779" s="2" t="n">
        <v>0</v>
      </c>
      <c r="DG779" s="2" t="n">
        <v>100</v>
      </c>
      <c r="DH779" s="2" t="n">
        <v>100</v>
      </c>
      <c r="DI779" s="2" t="n">
        <v>0</v>
      </c>
      <c r="DJ779" s="2" t="n">
        <v>100</v>
      </c>
      <c r="DK779" s="2" t="n">
        <v>100</v>
      </c>
      <c r="DL779" s="2" t="n">
        <v>0</v>
      </c>
      <c r="DM779" s="2" t="n">
        <v>100</v>
      </c>
      <c r="DN779" s="2" t="n">
        <v>100</v>
      </c>
      <c r="DO779" s="2" t="n">
        <v>0</v>
      </c>
      <c r="DP779" s="2" t="n">
        <v>100</v>
      </c>
      <c r="DQ779" s="2" t="n">
        <v>100</v>
      </c>
      <c r="DR779" s="2" t="n">
        <v>0</v>
      </c>
      <c r="DS779" s="2" t="n">
        <v>100</v>
      </c>
      <c r="DT779" s="2" t="n">
        <v>100</v>
      </c>
      <c r="DU779" s="2" t="n">
        <v>0</v>
      </c>
      <c r="DV779" s="2" t="n">
        <v>100</v>
      </c>
      <c r="DW779" s="2" t="n">
        <v>100</v>
      </c>
      <c r="DX779" s="2" t="n">
        <v>0</v>
      </c>
      <c r="DY779" s="2" t="n">
        <v>100</v>
      </c>
      <c r="DZ779" s="2" t="n">
        <v>100</v>
      </c>
      <c r="EA779" s="2" t="n">
        <v>0</v>
      </c>
      <c r="EB779" s="2" t="n">
        <v>100</v>
      </c>
      <c r="EC779" s="2" t="n">
        <v>100</v>
      </c>
      <c r="ED779" s="2" t="n">
        <v>0</v>
      </c>
      <c r="EE779" s="2" t="n">
        <v>100</v>
      </c>
      <c r="EF779" s="2" t="n">
        <v>100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</row>
    <row r="780">
      <c r="A780" s="2" t="n">
        <v>3</v>
      </c>
      <c r="B780" s="2" t="inlineStr">
        <is>
          <t>31.01.06</t>
        </is>
      </c>
      <c r="C780" s="2" t="inlineStr">
        <is>
          <t>Ladrilho hidráulico anti-derrapante para passeios</t>
        </is>
      </c>
      <c r="D780" s="2" t="inlineStr">
        <is>
          <t>30/11/2027</t>
        </is>
      </c>
      <c r="E780" s="2" t="inlineStr">
        <is>
          <t>09/03/2028</t>
        </is>
      </c>
      <c r="F780" s="2" t="n">
        <v>15246.63889605037</v>
      </c>
      <c r="G780" s="2" t="n">
        <v>0</v>
      </c>
      <c r="H780" s="2" t="n">
        <v>15246.63889605037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1.52</v>
      </c>
      <c r="CT780" s="2" t="n">
        <v>0</v>
      </c>
      <c r="CU780" s="2" t="n">
        <v>24.24</v>
      </c>
      <c r="CV780" s="2" t="n">
        <v>25.76</v>
      </c>
      <c r="CW780" s="2" t="n">
        <v>0</v>
      </c>
      <c r="CX780" s="2" t="n">
        <v>56.06</v>
      </c>
      <c r="CY780" s="2" t="n">
        <v>57.58</v>
      </c>
      <c r="CZ780" s="2" t="n">
        <v>0</v>
      </c>
      <c r="DA780" s="2" t="n">
        <v>87.88</v>
      </c>
      <c r="DB780" s="2" t="n">
        <v>89.39</v>
      </c>
      <c r="DC780" s="2" t="n">
        <v>0</v>
      </c>
      <c r="DD780" s="2" t="n">
        <v>100</v>
      </c>
      <c r="DE780" s="2" t="n">
        <v>100</v>
      </c>
      <c r="DF780" s="2" t="n">
        <v>0</v>
      </c>
      <c r="DG780" s="2" t="n">
        <v>100</v>
      </c>
      <c r="DH780" s="2" t="n">
        <v>100</v>
      </c>
      <c r="DI780" s="2" t="n">
        <v>0</v>
      </c>
      <c r="DJ780" s="2" t="n">
        <v>100</v>
      </c>
      <c r="DK780" s="2" t="n">
        <v>100</v>
      </c>
      <c r="DL780" s="2" t="n">
        <v>0</v>
      </c>
      <c r="DM780" s="2" t="n">
        <v>100</v>
      </c>
      <c r="DN780" s="2" t="n">
        <v>100</v>
      </c>
      <c r="DO780" s="2" t="n">
        <v>0</v>
      </c>
      <c r="DP780" s="2" t="n">
        <v>100</v>
      </c>
      <c r="DQ780" s="2" t="n">
        <v>100</v>
      </c>
      <c r="DR780" s="2" t="n">
        <v>0</v>
      </c>
      <c r="DS780" s="2" t="n">
        <v>100</v>
      </c>
      <c r="DT780" s="2" t="n">
        <v>100</v>
      </c>
      <c r="DU780" s="2" t="n">
        <v>0</v>
      </c>
      <c r="DV780" s="2" t="n">
        <v>100</v>
      </c>
      <c r="DW780" s="2" t="n">
        <v>100</v>
      </c>
      <c r="DX780" s="2" t="n">
        <v>0</v>
      </c>
      <c r="DY780" s="2" t="n">
        <v>100</v>
      </c>
      <c r="DZ780" s="2" t="n">
        <v>100</v>
      </c>
      <c r="EA780" s="2" t="n">
        <v>0</v>
      </c>
      <c r="EB780" s="2" t="n">
        <v>100</v>
      </c>
      <c r="EC780" s="2" t="n">
        <v>100</v>
      </c>
      <c r="ED780" s="2" t="n">
        <v>0</v>
      </c>
      <c r="EE780" s="2" t="n">
        <v>100</v>
      </c>
      <c r="EF780" s="2" t="n">
        <v>100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</row>
    <row r="781">
      <c r="A781" s="2" t="n">
        <v>3</v>
      </c>
      <c r="B781" s="2" t="inlineStr">
        <is>
          <t>31.01.07</t>
        </is>
      </c>
      <c r="C781" s="2" t="inlineStr">
        <is>
          <t>Piso tatil para Portadores de necessidades especiais</t>
        </is>
      </c>
      <c r="D781" s="2" t="inlineStr">
        <is>
          <t>30/11/2027</t>
        </is>
      </c>
      <c r="E781" s="2" t="inlineStr">
        <is>
          <t>09/03/2028</t>
        </is>
      </c>
      <c r="F781" s="2" t="n">
        <v>5078.060502439273</v>
      </c>
      <c r="G781" s="2" t="n">
        <v>0</v>
      </c>
      <c r="H781" s="2" t="n">
        <v>5078.060502439273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1.52</v>
      </c>
      <c r="CT781" s="2" t="n">
        <v>0</v>
      </c>
      <c r="CU781" s="2" t="n">
        <v>24.24</v>
      </c>
      <c r="CV781" s="2" t="n">
        <v>25.76</v>
      </c>
      <c r="CW781" s="2" t="n">
        <v>0</v>
      </c>
      <c r="CX781" s="2" t="n">
        <v>56.06</v>
      </c>
      <c r="CY781" s="2" t="n">
        <v>57.58</v>
      </c>
      <c r="CZ781" s="2" t="n">
        <v>0</v>
      </c>
      <c r="DA781" s="2" t="n">
        <v>87.88</v>
      </c>
      <c r="DB781" s="2" t="n">
        <v>89.39</v>
      </c>
      <c r="DC781" s="2" t="n">
        <v>0</v>
      </c>
      <c r="DD781" s="2" t="n">
        <v>100</v>
      </c>
      <c r="DE781" s="2" t="n">
        <v>100</v>
      </c>
      <c r="DF781" s="2" t="n">
        <v>0</v>
      </c>
      <c r="DG781" s="2" t="n">
        <v>100</v>
      </c>
      <c r="DH781" s="2" t="n">
        <v>100</v>
      </c>
      <c r="DI781" s="2" t="n">
        <v>0</v>
      </c>
      <c r="DJ781" s="2" t="n">
        <v>100</v>
      </c>
      <c r="DK781" s="2" t="n">
        <v>100</v>
      </c>
      <c r="DL781" s="2" t="n">
        <v>0</v>
      </c>
      <c r="DM781" s="2" t="n">
        <v>100</v>
      </c>
      <c r="DN781" s="2" t="n">
        <v>100</v>
      </c>
      <c r="DO781" s="2" t="n">
        <v>0</v>
      </c>
      <c r="DP781" s="2" t="n">
        <v>100</v>
      </c>
      <c r="DQ781" s="2" t="n">
        <v>100</v>
      </c>
      <c r="DR781" s="2" t="n">
        <v>0</v>
      </c>
      <c r="DS781" s="2" t="n">
        <v>100</v>
      </c>
      <c r="DT781" s="2" t="n">
        <v>100</v>
      </c>
      <c r="DU781" s="2" t="n">
        <v>0</v>
      </c>
      <c r="DV781" s="2" t="n">
        <v>100</v>
      </c>
      <c r="DW781" s="2" t="n">
        <v>100</v>
      </c>
      <c r="DX781" s="2" t="n">
        <v>0</v>
      </c>
      <c r="DY781" s="2" t="n">
        <v>100</v>
      </c>
      <c r="DZ781" s="2" t="n">
        <v>100</v>
      </c>
      <c r="EA781" s="2" t="n">
        <v>0</v>
      </c>
      <c r="EB781" s="2" t="n">
        <v>100</v>
      </c>
      <c r="EC781" s="2" t="n">
        <v>100</v>
      </c>
      <c r="ED781" s="2" t="n">
        <v>0</v>
      </c>
      <c r="EE781" s="2" t="n">
        <v>100</v>
      </c>
      <c r="EF781" s="2" t="n">
        <v>100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</row>
    <row r="782">
      <c r="A782" s="2" t="n">
        <v>1</v>
      </c>
      <c r="B782" s="2" t="inlineStr">
        <is>
          <t>32</t>
        </is>
      </c>
      <c r="C782" s="2" t="inlineStr">
        <is>
          <t>REVESTIMENTO DIVERSOS - FACHADA</t>
        </is>
      </c>
      <c r="D782" s="2" t="inlineStr">
        <is>
          <t>18/08/2027</t>
        </is>
      </c>
      <c r="E782" s="2" t="inlineStr">
        <is>
          <t>27/02/2029</t>
        </is>
      </c>
      <c r="F782" s="2" t="n">
        <v>5055622.295905123</v>
      </c>
      <c r="G782" s="2" t="n">
        <v>0</v>
      </c>
      <c r="H782" s="2" t="n">
        <v>5055622.295905123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1.17</v>
      </c>
      <c r="CJ782" s="2" t="n">
        <v>2.34</v>
      </c>
      <c r="CK782" s="2" t="n">
        <v>0</v>
      </c>
      <c r="CL782" s="2" t="n">
        <v>8.5</v>
      </c>
      <c r="CM782" s="2" t="n">
        <v>10.77</v>
      </c>
      <c r="CN782" s="2" t="n">
        <v>0</v>
      </c>
      <c r="CO782" s="2" t="n">
        <v>19.23</v>
      </c>
      <c r="CP782" s="2" t="n">
        <v>22.67</v>
      </c>
      <c r="CQ782" s="2" t="n">
        <v>0</v>
      </c>
      <c r="CR782" s="2" t="n">
        <v>30.18</v>
      </c>
      <c r="CS782" s="2" t="n">
        <v>32.55</v>
      </c>
      <c r="CT782" s="2" t="n">
        <v>0</v>
      </c>
      <c r="CU782" s="2" t="n">
        <v>38.99</v>
      </c>
      <c r="CV782" s="2" t="n">
        <v>41.36</v>
      </c>
      <c r="CW782" s="2" t="n">
        <v>0</v>
      </c>
      <c r="CX782" s="2" t="n">
        <v>48.36</v>
      </c>
      <c r="CY782" s="2" t="n">
        <v>49.37</v>
      </c>
      <c r="CZ782" s="2" t="n">
        <v>0</v>
      </c>
      <c r="DA782" s="2" t="n">
        <v>55.42</v>
      </c>
      <c r="DB782" s="2" t="n">
        <v>57.3</v>
      </c>
      <c r="DC782" s="2" t="n">
        <v>0</v>
      </c>
      <c r="DD782" s="2" t="n">
        <v>62.46</v>
      </c>
      <c r="DE782" s="2" t="n">
        <v>63.38</v>
      </c>
      <c r="DF782" s="2" t="n">
        <v>0</v>
      </c>
      <c r="DG782" s="2" t="n">
        <v>65.78</v>
      </c>
      <c r="DH782" s="2" t="n">
        <v>66</v>
      </c>
      <c r="DI782" s="2" t="n">
        <v>0</v>
      </c>
      <c r="DJ782" s="2" t="n">
        <v>68.08</v>
      </c>
      <c r="DK782" s="2" t="n">
        <v>69</v>
      </c>
      <c r="DL782" s="2" t="n">
        <v>0</v>
      </c>
      <c r="DM782" s="2" t="n">
        <v>71</v>
      </c>
      <c r="DN782" s="2" t="n">
        <v>73.91</v>
      </c>
      <c r="DO782" s="2" t="n">
        <v>0</v>
      </c>
      <c r="DP782" s="2" t="n">
        <v>81.51000000000001</v>
      </c>
      <c r="DQ782" s="2" t="n">
        <v>81.55</v>
      </c>
      <c r="DR782" s="2" t="n">
        <v>0</v>
      </c>
      <c r="DS782" s="2" t="n">
        <v>90.3</v>
      </c>
      <c r="DT782" s="2" t="n">
        <v>93.22</v>
      </c>
      <c r="DU782" s="2" t="n">
        <v>0</v>
      </c>
      <c r="DV782" s="2" t="n">
        <v>93.34999999999999</v>
      </c>
      <c r="DW782" s="2" t="n">
        <v>93.40000000000001</v>
      </c>
      <c r="DX782" s="2" t="n">
        <v>0</v>
      </c>
      <c r="DY782" s="2" t="n">
        <v>96.69</v>
      </c>
      <c r="DZ782" s="2" t="n">
        <v>98.17</v>
      </c>
      <c r="EA782" s="2" t="n">
        <v>0</v>
      </c>
      <c r="EB782" s="2" t="n">
        <v>99.45</v>
      </c>
      <c r="EC782" s="2" t="n">
        <v>99.48999999999999</v>
      </c>
      <c r="ED782" s="2" t="n">
        <v>0</v>
      </c>
      <c r="EE782" s="2" t="n">
        <v>99.58</v>
      </c>
      <c r="EF782" s="2" t="n">
        <v>99.63</v>
      </c>
      <c r="EG782" s="2" t="n">
        <v>0</v>
      </c>
      <c r="EH782" s="2" t="n">
        <v>99.78</v>
      </c>
      <c r="EI782" s="2" t="n">
        <v>99.83</v>
      </c>
      <c r="EJ782" s="2" t="n">
        <v>0</v>
      </c>
      <c r="EK782" s="2" t="n">
        <v>99.97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</row>
    <row r="783">
      <c r="A783" s="2" t="n">
        <v>2</v>
      </c>
      <c r="B783" s="2" t="inlineStr">
        <is>
          <t>32.01</t>
        </is>
      </c>
      <c r="C783" s="2" t="inlineStr">
        <is>
          <t>Argamassas</t>
        </is>
      </c>
      <c r="D783" s="2" t="inlineStr">
        <is>
          <t>18/08/2027</t>
        </is>
      </c>
      <c r="E783" s="2" t="inlineStr">
        <is>
          <t>06/06/2028</t>
        </is>
      </c>
      <c r="F783" s="2" t="n">
        <v>708626.1302552667</v>
      </c>
      <c r="G783" s="2" t="n">
        <v>0</v>
      </c>
      <c r="H783" s="2" t="n">
        <v>708626.1302552667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6.67</v>
      </c>
      <c r="CJ783" s="2" t="n">
        <v>13.33</v>
      </c>
      <c r="CK783" s="2" t="n">
        <v>0</v>
      </c>
      <c r="CL783" s="2" t="n">
        <v>20</v>
      </c>
      <c r="CM783" s="2" t="n">
        <v>20</v>
      </c>
      <c r="CN783" s="2" t="n">
        <v>0</v>
      </c>
      <c r="CO783" s="2" t="n">
        <v>29.33</v>
      </c>
      <c r="CP783" s="2" t="n">
        <v>36</v>
      </c>
      <c r="CQ783" s="2" t="n">
        <v>0</v>
      </c>
      <c r="CR783" s="2" t="n">
        <v>40</v>
      </c>
      <c r="CS783" s="2" t="n">
        <v>40</v>
      </c>
      <c r="CT783" s="2" t="n">
        <v>0</v>
      </c>
      <c r="CU783" s="2" t="n">
        <v>40</v>
      </c>
      <c r="CV783" s="2" t="n">
        <v>40</v>
      </c>
      <c r="CW783" s="2" t="n">
        <v>0</v>
      </c>
      <c r="CX783" s="2" t="n">
        <v>40</v>
      </c>
      <c r="CY783" s="2" t="n">
        <v>40</v>
      </c>
      <c r="CZ783" s="2" t="n">
        <v>0</v>
      </c>
      <c r="DA783" s="2" t="n">
        <v>47</v>
      </c>
      <c r="DB783" s="2" t="n">
        <v>52</v>
      </c>
      <c r="DC783" s="2" t="n">
        <v>0</v>
      </c>
      <c r="DD783" s="2" t="n">
        <v>61</v>
      </c>
      <c r="DE783" s="2" t="n">
        <v>66</v>
      </c>
      <c r="DF783" s="2" t="n">
        <v>0</v>
      </c>
      <c r="DG783" s="2" t="n">
        <v>79</v>
      </c>
      <c r="DH783" s="2" t="n">
        <v>80</v>
      </c>
      <c r="DI783" s="2" t="n">
        <v>0</v>
      </c>
      <c r="DJ783" s="2" t="n">
        <v>91</v>
      </c>
      <c r="DK783" s="2" t="n">
        <v>96</v>
      </c>
      <c r="DL783" s="2" t="n">
        <v>0</v>
      </c>
      <c r="DM783" s="2" t="n">
        <v>100</v>
      </c>
      <c r="DN783" s="2" t="n">
        <v>100</v>
      </c>
      <c r="DO783" s="2" t="n">
        <v>0</v>
      </c>
      <c r="DP783" s="2" t="n">
        <v>100</v>
      </c>
      <c r="DQ783" s="2" t="n">
        <v>100</v>
      </c>
      <c r="DR783" s="2" t="n">
        <v>0</v>
      </c>
      <c r="DS783" s="2" t="n">
        <v>100</v>
      </c>
      <c r="DT783" s="2" t="n">
        <v>100</v>
      </c>
      <c r="DU783" s="2" t="n">
        <v>0</v>
      </c>
      <c r="DV783" s="2" t="n">
        <v>100</v>
      </c>
      <c r="DW783" s="2" t="n">
        <v>100</v>
      </c>
      <c r="DX783" s="2" t="n">
        <v>0</v>
      </c>
      <c r="DY783" s="2" t="n">
        <v>100</v>
      </c>
      <c r="DZ783" s="2" t="n">
        <v>100</v>
      </c>
      <c r="EA783" s="2" t="n">
        <v>0</v>
      </c>
      <c r="EB783" s="2" t="n">
        <v>100</v>
      </c>
      <c r="EC783" s="2" t="n">
        <v>100</v>
      </c>
      <c r="ED783" s="2" t="n">
        <v>0</v>
      </c>
      <c r="EE783" s="2" t="n">
        <v>100</v>
      </c>
      <c r="EF783" s="2" t="n">
        <v>100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</row>
    <row r="784">
      <c r="A784" s="2" t="n">
        <v>3</v>
      </c>
      <c r="B784" s="2" t="inlineStr">
        <is>
          <t>32.01.01</t>
        </is>
      </c>
      <c r="C784" s="2" t="inlineStr">
        <is>
          <t>Limpeza de fachadas</t>
        </is>
      </c>
      <c r="D784" s="2" t="inlineStr">
        <is>
          <t>18/08/2027</t>
        </is>
      </c>
      <c r="E784" s="2" t="inlineStr">
        <is>
          <t>06/06/2028</t>
        </is>
      </c>
      <c r="F784" s="2" t="n">
        <v>32138.52138437161</v>
      </c>
      <c r="G784" s="2" t="n">
        <v>0</v>
      </c>
      <c r="H784" s="2" t="n">
        <v>32138.52138437161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6.67</v>
      </c>
      <c r="CJ784" s="2" t="n">
        <v>13.33</v>
      </c>
      <c r="CK784" s="2" t="n">
        <v>0</v>
      </c>
      <c r="CL784" s="2" t="n">
        <v>20</v>
      </c>
      <c r="CM784" s="2" t="n">
        <v>20</v>
      </c>
      <c r="CN784" s="2" t="n">
        <v>0</v>
      </c>
      <c r="CO784" s="2" t="n">
        <v>29.33</v>
      </c>
      <c r="CP784" s="2" t="n">
        <v>36</v>
      </c>
      <c r="CQ784" s="2" t="n">
        <v>0</v>
      </c>
      <c r="CR784" s="2" t="n">
        <v>40</v>
      </c>
      <c r="CS784" s="2" t="n">
        <v>40</v>
      </c>
      <c r="CT784" s="2" t="n">
        <v>0</v>
      </c>
      <c r="CU784" s="2" t="n">
        <v>40</v>
      </c>
      <c r="CV784" s="2" t="n">
        <v>40</v>
      </c>
      <c r="CW784" s="2" t="n">
        <v>0</v>
      </c>
      <c r="CX784" s="2" t="n">
        <v>40</v>
      </c>
      <c r="CY784" s="2" t="n">
        <v>40</v>
      </c>
      <c r="CZ784" s="2" t="n">
        <v>0</v>
      </c>
      <c r="DA784" s="2" t="n">
        <v>47</v>
      </c>
      <c r="DB784" s="2" t="n">
        <v>52</v>
      </c>
      <c r="DC784" s="2" t="n">
        <v>0</v>
      </c>
      <c r="DD784" s="2" t="n">
        <v>61</v>
      </c>
      <c r="DE784" s="2" t="n">
        <v>66</v>
      </c>
      <c r="DF784" s="2" t="n">
        <v>0</v>
      </c>
      <c r="DG784" s="2" t="n">
        <v>79</v>
      </c>
      <c r="DH784" s="2" t="n">
        <v>80</v>
      </c>
      <c r="DI784" s="2" t="n">
        <v>0</v>
      </c>
      <c r="DJ784" s="2" t="n">
        <v>91</v>
      </c>
      <c r="DK784" s="2" t="n">
        <v>96</v>
      </c>
      <c r="DL784" s="2" t="n">
        <v>0</v>
      </c>
      <c r="DM784" s="2" t="n">
        <v>100</v>
      </c>
      <c r="DN784" s="2" t="n">
        <v>100</v>
      </c>
      <c r="DO784" s="2" t="n">
        <v>0</v>
      </c>
      <c r="DP784" s="2" t="n">
        <v>100</v>
      </c>
      <c r="DQ784" s="2" t="n">
        <v>100</v>
      </c>
      <c r="DR784" s="2" t="n">
        <v>0</v>
      </c>
      <c r="DS784" s="2" t="n">
        <v>100</v>
      </c>
      <c r="DT784" s="2" t="n">
        <v>100</v>
      </c>
      <c r="DU784" s="2" t="n">
        <v>0</v>
      </c>
      <c r="DV784" s="2" t="n">
        <v>100</v>
      </c>
      <c r="DW784" s="2" t="n">
        <v>100</v>
      </c>
      <c r="DX784" s="2" t="n">
        <v>0</v>
      </c>
      <c r="DY784" s="2" t="n">
        <v>100</v>
      </c>
      <c r="DZ784" s="2" t="n">
        <v>100</v>
      </c>
      <c r="EA784" s="2" t="n">
        <v>0</v>
      </c>
      <c r="EB784" s="2" t="n">
        <v>100</v>
      </c>
      <c r="EC784" s="2" t="n">
        <v>100</v>
      </c>
      <c r="ED784" s="2" t="n">
        <v>0</v>
      </c>
      <c r="EE784" s="2" t="n">
        <v>100</v>
      </c>
      <c r="EF784" s="2" t="n">
        <v>100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</row>
    <row r="785">
      <c r="A785" s="2" t="n">
        <v>3</v>
      </c>
      <c r="B785" s="2" t="inlineStr">
        <is>
          <t>32.01.02</t>
        </is>
      </c>
      <c r="C785" s="2" t="inlineStr">
        <is>
          <t>Taliscamento de Parede</t>
        </is>
      </c>
      <c r="D785" s="2" t="inlineStr">
        <is>
          <t>18/08/2027</t>
        </is>
      </c>
      <c r="E785" s="2" t="inlineStr">
        <is>
          <t>06/06/2028</t>
        </is>
      </c>
      <c r="F785" s="2" t="n">
        <v>39937.45244895</v>
      </c>
      <c r="G785" s="2" t="n">
        <v>0</v>
      </c>
      <c r="H785" s="2" t="n">
        <v>39937.45244895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6.67</v>
      </c>
      <c r="CJ785" s="2" t="n">
        <v>13.33</v>
      </c>
      <c r="CK785" s="2" t="n">
        <v>0</v>
      </c>
      <c r="CL785" s="2" t="n">
        <v>20</v>
      </c>
      <c r="CM785" s="2" t="n">
        <v>20</v>
      </c>
      <c r="CN785" s="2" t="n">
        <v>0</v>
      </c>
      <c r="CO785" s="2" t="n">
        <v>29.33</v>
      </c>
      <c r="CP785" s="2" t="n">
        <v>36</v>
      </c>
      <c r="CQ785" s="2" t="n">
        <v>0</v>
      </c>
      <c r="CR785" s="2" t="n">
        <v>40</v>
      </c>
      <c r="CS785" s="2" t="n">
        <v>40</v>
      </c>
      <c r="CT785" s="2" t="n">
        <v>0</v>
      </c>
      <c r="CU785" s="2" t="n">
        <v>40</v>
      </c>
      <c r="CV785" s="2" t="n">
        <v>40</v>
      </c>
      <c r="CW785" s="2" t="n">
        <v>0</v>
      </c>
      <c r="CX785" s="2" t="n">
        <v>40</v>
      </c>
      <c r="CY785" s="2" t="n">
        <v>40</v>
      </c>
      <c r="CZ785" s="2" t="n">
        <v>0</v>
      </c>
      <c r="DA785" s="2" t="n">
        <v>47</v>
      </c>
      <c r="DB785" s="2" t="n">
        <v>52</v>
      </c>
      <c r="DC785" s="2" t="n">
        <v>0</v>
      </c>
      <c r="DD785" s="2" t="n">
        <v>61</v>
      </c>
      <c r="DE785" s="2" t="n">
        <v>66</v>
      </c>
      <c r="DF785" s="2" t="n">
        <v>0</v>
      </c>
      <c r="DG785" s="2" t="n">
        <v>79</v>
      </c>
      <c r="DH785" s="2" t="n">
        <v>80</v>
      </c>
      <c r="DI785" s="2" t="n">
        <v>0</v>
      </c>
      <c r="DJ785" s="2" t="n">
        <v>91</v>
      </c>
      <c r="DK785" s="2" t="n">
        <v>96</v>
      </c>
      <c r="DL785" s="2" t="n">
        <v>0</v>
      </c>
      <c r="DM785" s="2" t="n">
        <v>100</v>
      </c>
      <c r="DN785" s="2" t="n">
        <v>100</v>
      </c>
      <c r="DO785" s="2" t="n">
        <v>0</v>
      </c>
      <c r="DP785" s="2" t="n">
        <v>100</v>
      </c>
      <c r="DQ785" s="2" t="n">
        <v>100</v>
      </c>
      <c r="DR785" s="2" t="n">
        <v>0</v>
      </c>
      <c r="DS785" s="2" t="n">
        <v>100</v>
      </c>
      <c r="DT785" s="2" t="n">
        <v>100</v>
      </c>
      <c r="DU785" s="2" t="n">
        <v>0</v>
      </c>
      <c r="DV785" s="2" t="n">
        <v>100</v>
      </c>
      <c r="DW785" s="2" t="n">
        <v>100</v>
      </c>
      <c r="DX785" s="2" t="n">
        <v>0</v>
      </c>
      <c r="DY785" s="2" t="n">
        <v>100</v>
      </c>
      <c r="DZ785" s="2" t="n">
        <v>100</v>
      </c>
      <c r="EA785" s="2" t="n">
        <v>0</v>
      </c>
      <c r="EB785" s="2" t="n">
        <v>100</v>
      </c>
      <c r="EC785" s="2" t="n">
        <v>100</v>
      </c>
      <c r="ED785" s="2" t="n">
        <v>0</v>
      </c>
      <c r="EE785" s="2" t="n">
        <v>100</v>
      </c>
      <c r="EF785" s="2" t="n">
        <v>100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</row>
    <row r="786">
      <c r="A786" s="2" t="n">
        <v>3</v>
      </c>
      <c r="B786" s="2" t="inlineStr">
        <is>
          <t>32.01.03</t>
        </is>
      </c>
      <c r="C786" s="2" t="inlineStr">
        <is>
          <t>Chapisco</t>
        </is>
      </c>
      <c r="D786" s="2" t="inlineStr">
        <is>
          <t>18/08/2027</t>
        </is>
      </c>
      <c r="E786" s="2" t="inlineStr">
        <is>
          <t>06/06/2028</t>
        </is>
      </c>
      <c r="F786" s="2" t="n">
        <v>73379.83654547841</v>
      </c>
      <c r="G786" s="2" t="n">
        <v>0</v>
      </c>
      <c r="H786" s="2" t="n">
        <v>73379.83654547841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6.67</v>
      </c>
      <c r="CJ786" s="2" t="n">
        <v>13.33</v>
      </c>
      <c r="CK786" s="2" t="n">
        <v>0</v>
      </c>
      <c r="CL786" s="2" t="n">
        <v>20</v>
      </c>
      <c r="CM786" s="2" t="n">
        <v>20</v>
      </c>
      <c r="CN786" s="2" t="n">
        <v>0</v>
      </c>
      <c r="CO786" s="2" t="n">
        <v>29.33</v>
      </c>
      <c r="CP786" s="2" t="n">
        <v>36</v>
      </c>
      <c r="CQ786" s="2" t="n">
        <v>0</v>
      </c>
      <c r="CR786" s="2" t="n">
        <v>40</v>
      </c>
      <c r="CS786" s="2" t="n">
        <v>40</v>
      </c>
      <c r="CT786" s="2" t="n">
        <v>0</v>
      </c>
      <c r="CU786" s="2" t="n">
        <v>40</v>
      </c>
      <c r="CV786" s="2" t="n">
        <v>40</v>
      </c>
      <c r="CW786" s="2" t="n">
        <v>0</v>
      </c>
      <c r="CX786" s="2" t="n">
        <v>40</v>
      </c>
      <c r="CY786" s="2" t="n">
        <v>40</v>
      </c>
      <c r="CZ786" s="2" t="n">
        <v>0</v>
      </c>
      <c r="DA786" s="2" t="n">
        <v>47</v>
      </c>
      <c r="DB786" s="2" t="n">
        <v>52</v>
      </c>
      <c r="DC786" s="2" t="n">
        <v>0</v>
      </c>
      <c r="DD786" s="2" t="n">
        <v>61</v>
      </c>
      <c r="DE786" s="2" t="n">
        <v>66</v>
      </c>
      <c r="DF786" s="2" t="n">
        <v>0</v>
      </c>
      <c r="DG786" s="2" t="n">
        <v>79</v>
      </c>
      <c r="DH786" s="2" t="n">
        <v>80</v>
      </c>
      <c r="DI786" s="2" t="n">
        <v>0</v>
      </c>
      <c r="DJ786" s="2" t="n">
        <v>91</v>
      </c>
      <c r="DK786" s="2" t="n">
        <v>96</v>
      </c>
      <c r="DL786" s="2" t="n">
        <v>0</v>
      </c>
      <c r="DM786" s="2" t="n">
        <v>100</v>
      </c>
      <c r="DN786" s="2" t="n">
        <v>100</v>
      </c>
      <c r="DO786" s="2" t="n">
        <v>0</v>
      </c>
      <c r="DP786" s="2" t="n">
        <v>100</v>
      </c>
      <c r="DQ786" s="2" t="n">
        <v>100</v>
      </c>
      <c r="DR786" s="2" t="n">
        <v>0</v>
      </c>
      <c r="DS786" s="2" t="n">
        <v>100</v>
      </c>
      <c r="DT786" s="2" t="n">
        <v>100</v>
      </c>
      <c r="DU786" s="2" t="n">
        <v>0</v>
      </c>
      <c r="DV786" s="2" t="n">
        <v>100</v>
      </c>
      <c r="DW786" s="2" t="n">
        <v>100</v>
      </c>
      <c r="DX786" s="2" t="n">
        <v>0</v>
      </c>
      <c r="DY786" s="2" t="n">
        <v>100</v>
      </c>
      <c r="DZ786" s="2" t="n">
        <v>100</v>
      </c>
      <c r="EA786" s="2" t="n">
        <v>0</v>
      </c>
      <c r="EB786" s="2" t="n">
        <v>100</v>
      </c>
      <c r="EC786" s="2" t="n">
        <v>100</v>
      </c>
      <c r="ED786" s="2" t="n">
        <v>0</v>
      </c>
      <c r="EE786" s="2" t="n">
        <v>100</v>
      </c>
      <c r="EF786" s="2" t="n">
        <v>100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</row>
    <row r="787">
      <c r="A787" s="2" t="n">
        <v>3</v>
      </c>
      <c r="B787" s="2" t="inlineStr">
        <is>
          <t>32.01.04</t>
        </is>
      </c>
      <c r="C787" s="2" t="inlineStr">
        <is>
          <t>Reboco esp.50mm</t>
        </is>
      </c>
      <c r="D787" s="2" t="inlineStr">
        <is>
          <t>18/08/2027</t>
        </is>
      </c>
      <c r="E787" s="2" t="inlineStr">
        <is>
          <t>06/06/2028</t>
        </is>
      </c>
      <c r="F787" s="2" t="n">
        <v>361262.10821232</v>
      </c>
      <c r="G787" s="2" t="n">
        <v>0</v>
      </c>
      <c r="H787" s="2" t="n">
        <v>361262.10821232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6.67</v>
      </c>
      <c r="CJ787" s="2" t="n">
        <v>13.33</v>
      </c>
      <c r="CK787" s="2" t="n">
        <v>0</v>
      </c>
      <c r="CL787" s="2" t="n">
        <v>20</v>
      </c>
      <c r="CM787" s="2" t="n">
        <v>20</v>
      </c>
      <c r="CN787" s="2" t="n">
        <v>0</v>
      </c>
      <c r="CO787" s="2" t="n">
        <v>29.33</v>
      </c>
      <c r="CP787" s="2" t="n">
        <v>36</v>
      </c>
      <c r="CQ787" s="2" t="n">
        <v>0</v>
      </c>
      <c r="CR787" s="2" t="n">
        <v>40</v>
      </c>
      <c r="CS787" s="2" t="n">
        <v>40</v>
      </c>
      <c r="CT787" s="2" t="n">
        <v>0</v>
      </c>
      <c r="CU787" s="2" t="n">
        <v>40</v>
      </c>
      <c r="CV787" s="2" t="n">
        <v>40</v>
      </c>
      <c r="CW787" s="2" t="n">
        <v>0</v>
      </c>
      <c r="CX787" s="2" t="n">
        <v>40</v>
      </c>
      <c r="CY787" s="2" t="n">
        <v>40</v>
      </c>
      <c r="CZ787" s="2" t="n">
        <v>0</v>
      </c>
      <c r="DA787" s="2" t="n">
        <v>47</v>
      </c>
      <c r="DB787" s="2" t="n">
        <v>52</v>
      </c>
      <c r="DC787" s="2" t="n">
        <v>0</v>
      </c>
      <c r="DD787" s="2" t="n">
        <v>61</v>
      </c>
      <c r="DE787" s="2" t="n">
        <v>66</v>
      </c>
      <c r="DF787" s="2" t="n">
        <v>0</v>
      </c>
      <c r="DG787" s="2" t="n">
        <v>79</v>
      </c>
      <c r="DH787" s="2" t="n">
        <v>80</v>
      </c>
      <c r="DI787" s="2" t="n">
        <v>0</v>
      </c>
      <c r="DJ787" s="2" t="n">
        <v>91</v>
      </c>
      <c r="DK787" s="2" t="n">
        <v>96</v>
      </c>
      <c r="DL787" s="2" t="n">
        <v>0</v>
      </c>
      <c r="DM787" s="2" t="n">
        <v>100</v>
      </c>
      <c r="DN787" s="2" t="n">
        <v>100</v>
      </c>
      <c r="DO787" s="2" t="n">
        <v>0</v>
      </c>
      <c r="DP787" s="2" t="n">
        <v>100</v>
      </c>
      <c r="DQ787" s="2" t="n">
        <v>100</v>
      </c>
      <c r="DR787" s="2" t="n">
        <v>0</v>
      </c>
      <c r="DS787" s="2" t="n">
        <v>100</v>
      </c>
      <c r="DT787" s="2" t="n">
        <v>100</v>
      </c>
      <c r="DU787" s="2" t="n">
        <v>0</v>
      </c>
      <c r="DV787" s="2" t="n">
        <v>100</v>
      </c>
      <c r="DW787" s="2" t="n">
        <v>100</v>
      </c>
      <c r="DX787" s="2" t="n">
        <v>0</v>
      </c>
      <c r="DY787" s="2" t="n">
        <v>100</v>
      </c>
      <c r="DZ787" s="2" t="n">
        <v>100</v>
      </c>
      <c r="EA787" s="2" t="n">
        <v>0</v>
      </c>
      <c r="EB787" s="2" t="n">
        <v>100</v>
      </c>
      <c r="EC787" s="2" t="n">
        <v>100</v>
      </c>
      <c r="ED787" s="2" t="n">
        <v>0</v>
      </c>
      <c r="EE787" s="2" t="n">
        <v>100</v>
      </c>
      <c r="EF787" s="2" t="n">
        <v>100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</row>
    <row r="788">
      <c r="A788" s="2" t="n">
        <v>3</v>
      </c>
      <c r="B788" s="2" t="inlineStr">
        <is>
          <t>32.01.05</t>
        </is>
      </c>
      <c r="C788" s="2" t="inlineStr">
        <is>
          <t>Espalas para esquadrias (até 40cm)</t>
        </is>
      </c>
      <c r="D788" s="2" t="inlineStr">
        <is>
          <t>18/08/2027</t>
        </is>
      </c>
      <c r="E788" s="2" t="inlineStr">
        <is>
          <t>06/06/2028</t>
        </is>
      </c>
      <c r="F788" s="2" t="n">
        <v>184465.471984544</v>
      </c>
      <c r="G788" s="2" t="n">
        <v>0</v>
      </c>
      <c r="H788" s="2" t="n">
        <v>184465.471984544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6.67</v>
      </c>
      <c r="CJ788" s="2" t="n">
        <v>13.33</v>
      </c>
      <c r="CK788" s="2" t="n">
        <v>0</v>
      </c>
      <c r="CL788" s="2" t="n">
        <v>20</v>
      </c>
      <c r="CM788" s="2" t="n">
        <v>20</v>
      </c>
      <c r="CN788" s="2" t="n">
        <v>0</v>
      </c>
      <c r="CO788" s="2" t="n">
        <v>29.33</v>
      </c>
      <c r="CP788" s="2" t="n">
        <v>36</v>
      </c>
      <c r="CQ788" s="2" t="n">
        <v>0</v>
      </c>
      <c r="CR788" s="2" t="n">
        <v>40</v>
      </c>
      <c r="CS788" s="2" t="n">
        <v>40</v>
      </c>
      <c r="CT788" s="2" t="n">
        <v>0</v>
      </c>
      <c r="CU788" s="2" t="n">
        <v>40</v>
      </c>
      <c r="CV788" s="2" t="n">
        <v>40</v>
      </c>
      <c r="CW788" s="2" t="n">
        <v>0</v>
      </c>
      <c r="CX788" s="2" t="n">
        <v>40</v>
      </c>
      <c r="CY788" s="2" t="n">
        <v>40</v>
      </c>
      <c r="CZ788" s="2" t="n">
        <v>0</v>
      </c>
      <c r="DA788" s="2" t="n">
        <v>47</v>
      </c>
      <c r="DB788" s="2" t="n">
        <v>52</v>
      </c>
      <c r="DC788" s="2" t="n">
        <v>0</v>
      </c>
      <c r="DD788" s="2" t="n">
        <v>61</v>
      </c>
      <c r="DE788" s="2" t="n">
        <v>66</v>
      </c>
      <c r="DF788" s="2" t="n">
        <v>0</v>
      </c>
      <c r="DG788" s="2" t="n">
        <v>79</v>
      </c>
      <c r="DH788" s="2" t="n">
        <v>80</v>
      </c>
      <c r="DI788" s="2" t="n">
        <v>0</v>
      </c>
      <c r="DJ788" s="2" t="n">
        <v>91</v>
      </c>
      <c r="DK788" s="2" t="n">
        <v>96</v>
      </c>
      <c r="DL788" s="2" t="n">
        <v>0</v>
      </c>
      <c r="DM788" s="2" t="n">
        <v>100</v>
      </c>
      <c r="DN788" s="2" t="n">
        <v>100</v>
      </c>
      <c r="DO788" s="2" t="n">
        <v>0</v>
      </c>
      <c r="DP788" s="2" t="n">
        <v>100</v>
      </c>
      <c r="DQ788" s="2" t="n">
        <v>100</v>
      </c>
      <c r="DR788" s="2" t="n">
        <v>0</v>
      </c>
      <c r="DS788" s="2" t="n">
        <v>100</v>
      </c>
      <c r="DT788" s="2" t="n">
        <v>100</v>
      </c>
      <c r="DU788" s="2" t="n">
        <v>0</v>
      </c>
      <c r="DV788" s="2" t="n">
        <v>100</v>
      </c>
      <c r="DW788" s="2" t="n">
        <v>100</v>
      </c>
      <c r="DX788" s="2" t="n">
        <v>0</v>
      </c>
      <c r="DY788" s="2" t="n">
        <v>100</v>
      </c>
      <c r="DZ788" s="2" t="n">
        <v>100</v>
      </c>
      <c r="EA788" s="2" t="n">
        <v>0</v>
      </c>
      <c r="EB788" s="2" t="n">
        <v>100</v>
      </c>
      <c r="EC788" s="2" t="n">
        <v>100</v>
      </c>
      <c r="ED788" s="2" t="n">
        <v>0</v>
      </c>
      <c r="EE788" s="2" t="n">
        <v>100</v>
      </c>
      <c r="EF788" s="2" t="n">
        <v>100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</row>
    <row r="789">
      <c r="A789" s="2" t="n">
        <v>3</v>
      </c>
      <c r="B789" s="2" t="inlineStr">
        <is>
          <t>32.01.06</t>
        </is>
      </c>
      <c r="C789" s="2" t="inlineStr">
        <is>
          <t>Tela metálica no encontro entre alvenaria e estrutura</t>
        </is>
      </c>
      <c r="D789" s="2" t="inlineStr">
        <is>
          <t>18/08/2027</t>
        </is>
      </c>
      <c r="E789" s="2" t="inlineStr">
        <is>
          <t>06/06/2028</t>
        </is>
      </c>
      <c r="F789" s="2" t="n">
        <v>17442.73967960262</v>
      </c>
      <c r="G789" s="2" t="n">
        <v>0</v>
      </c>
      <c r="H789" s="2" t="n">
        <v>17442.73967960262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6.67</v>
      </c>
      <c r="CJ789" s="2" t="n">
        <v>13.33</v>
      </c>
      <c r="CK789" s="2" t="n">
        <v>0</v>
      </c>
      <c r="CL789" s="2" t="n">
        <v>20</v>
      </c>
      <c r="CM789" s="2" t="n">
        <v>20</v>
      </c>
      <c r="CN789" s="2" t="n">
        <v>0</v>
      </c>
      <c r="CO789" s="2" t="n">
        <v>29.33</v>
      </c>
      <c r="CP789" s="2" t="n">
        <v>36</v>
      </c>
      <c r="CQ789" s="2" t="n">
        <v>0</v>
      </c>
      <c r="CR789" s="2" t="n">
        <v>40</v>
      </c>
      <c r="CS789" s="2" t="n">
        <v>40</v>
      </c>
      <c r="CT789" s="2" t="n">
        <v>0</v>
      </c>
      <c r="CU789" s="2" t="n">
        <v>40</v>
      </c>
      <c r="CV789" s="2" t="n">
        <v>40</v>
      </c>
      <c r="CW789" s="2" t="n">
        <v>0</v>
      </c>
      <c r="CX789" s="2" t="n">
        <v>40</v>
      </c>
      <c r="CY789" s="2" t="n">
        <v>40</v>
      </c>
      <c r="CZ789" s="2" t="n">
        <v>0</v>
      </c>
      <c r="DA789" s="2" t="n">
        <v>47</v>
      </c>
      <c r="DB789" s="2" t="n">
        <v>52</v>
      </c>
      <c r="DC789" s="2" t="n">
        <v>0</v>
      </c>
      <c r="DD789" s="2" t="n">
        <v>61</v>
      </c>
      <c r="DE789" s="2" t="n">
        <v>66</v>
      </c>
      <c r="DF789" s="2" t="n">
        <v>0</v>
      </c>
      <c r="DG789" s="2" t="n">
        <v>79</v>
      </c>
      <c r="DH789" s="2" t="n">
        <v>80</v>
      </c>
      <c r="DI789" s="2" t="n">
        <v>0</v>
      </c>
      <c r="DJ789" s="2" t="n">
        <v>91</v>
      </c>
      <c r="DK789" s="2" t="n">
        <v>96</v>
      </c>
      <c r="DL789" s="2" t="n">
        <v>0</v>
      </c>
      <c r="DM789" s="2" t="n">
        <v>100</v>
      </c>
      <c r="DN789" s="2" t="n">
        <v>100</v>
      </c>
      <c r="DO789" s="2" t="n">
        <v>0</v>
      </c>
      <c r="DP789" s="2" t="n">
        <v>100</v>
      </c>
      <c r="DQ789" s="2" t="n">
        <v>100</v>
      </c>
      <c r="DR789" s="2" t="n">
        <v>0</v>
      </c>
      <c r="DS789" s="2" t="n">
        <v>100</v>
      </c>
      <c r="DT789" s="2" t="n">
        <v>100</v>
      </c>
      <c r="DU789" s="2" t="n">
        <v>0</v>
      </c>
      <c r="DV789" s="2" t="n">
        <v>100</v>
      </c>
      <c r="DW789" s="2" t="n">
        <v>100</v>
      </c>
      <c r="DX789" s="2" t="n">
        <v>0</v>
      </c>
      <c r="DY789" s="2" t="n">
        <v>100</v>
      </c>
      <c r="DZ789" s="2" t="n">
        <v>100</v>
      </c>
      <c r="EA789" s="2" t="n">
        <v>0</v>
      </c>
      <c r="EB789" s="2" t="n">
        <v>100</v>
      </c>
      <c r="EC789" s="2" t="n">
        <v>100</v>
      </c>
      <c r="ED789" s="2" t="n">
        <v>0</v>
      </c>
      <c r="EE789" s="2" t="n">
        <v>100</v>
      </c>
      <c r="EF789" s="2" t="n">
        <v>100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</row>
    <row r="790">
      <c r="A790" s="2" t="n">
        <v>2</v>
      </c>
      <c r="B790" s="2" t="inlineStr">
        <is>
          <t>32.02</t>
        </is>
      </c>
      <c r="C790" s="2" t="inlineStr">
        <is>
          <t>Porcelanato</t>
        </is>
      </c>
      <c r="D790" s="2" t="inlineStr">
        <is>
          <t>09/09/2027</t>
        </is>
      </c>
      <c r="E790" s="2" t="inlineStr">
        <is>
          <t>22/03/2028</t>
        </is>
      </c>
      <c r="F790" s="2" t="n">
        <v>2297085.767107028</v>
      </c>
      <c r="G790" s="2" t="n">
        <v>0</v>
      </c>
      <c r="H790" s="2" t="n">
        <v>2297085.767107028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11</v>
      </c>
      <c r="CM790" s="2" t="n">
        <v>16</v>
      </c>
      <c r="CN790" s="2" t="n">
        <v>0</v>
      </c>
      <c r="CO790" s="2" t="n">
        <v>31</v>
      </c>
      <c r="CP790" s="2" t="n">
        <v>36</v>
      </c>
      <c r="CQ790" s="2" t="n">
        <v>0</v>
      </c>
      <c r="CR790" s="2" t="n">
        <v>51</v>
      </c>
      <c r="CS790" s="2" t="n">
        <v>56</v>
      </c>
      <c r="CT790" s="2" t="n">
        <v>0</v>
      </c>
      <c r="CU790" s="2" t="n">
        <v>67</v>
      </c>
      <c r="CV790" s="2" t="n">
        <v>72</v>
      </c>
      <c r="CW790" s="2" t="n">
        <v>0</v>
      </c>
      <c r="CX790" s="2" t="n">
        <v>83.2</v>
      </c>
      <c r="CY790" s="2" t="n">
        <v>85.2</v>
      </c>
      <c r="CZ790" s="2" t="n">
        <v>0</v>
      </c>
      <c r="DA790" s="2" t="n">
        <v>91.59999999999999</v>
      </c>
      <c r="DB790" s="2" t="n">
        <v>93.59999999999999</v>
      </c>
      <c r="DC790" s="2" t="n">
        <v>0</v>
      </c>
      <c r="DD790" s="2" t="n">
        <v>100</v>
      </c>
      <c r="DE790" s="2" t="n">
        <v>100</v>
      </c>
      <c r="DF790" s="2" t="n">
        <v>0</v>
      </c>
      <c r="DG790" s="2" t="n">
        <v>100</v>
      </c>
      <c r="DH790" s="2" t="n">
        <v>100</v>
      </c>
      <c r="DI790" s="2" t="n">
        <v>0</v>
      </c>
      <c r="DJ790" s="2" t="n">
        <v>100</v>
      </c>
      <c r="DK790" s="2" t="n">
        <v>100</v>
      </c>
      <c r="DL790" s="2" t="n">
        <v>0</v>
      </c>
      <c r="DM790" s="2" t="n">
        <v>100</v>
      </c>
      <c r="DN790" s="2" t="n">
        <v>100</v>
      </c>
      <c r="DO790" s="2" t="n">
        <v>0</v>
      </c>
      <c r="DP790" s="2" t="n">
        <v>100</v>
      </c>
      <c r="DQ790" s="2" t="n">
        <v>100</v>
      </c>
      <c r="DR790" s="2" t="n">
        <v>0</v>
      </c>
      <c r="DS790" s="2" t="n">
        <v>100</v>
      </c>
      <c r="DT790" s="2" t="n">
        <v>100</v>
      </c>
      <c r="DU790" s="2" t="n">
        <v>0</v>
      </c>
      <c r="DV790" s="2" t="n">
        <v>100</v>
      </c>
      <c r="DW790" s="2" t="n">
        <v>100</v>
      </c>
      <c r="DX790" s="2" t="n">
        <v>0</v>
      </c>
      <c r="DY790" s="2" t="n">
        <v>100</v>
      </c>
      <c r="DZ790" s="2" t="n">
        <v>100</v>
      </c>
      <c r="EA790" s="2" t="n">
        <v>0</v>
      </c>
      <c r="EB790" s="2" t="n">
        <v>100</v>
      </c>
      <c r="EC790" s="2" t="n">
        <v>100</v>
      </c>
      <c r="ED790" s="2" t="n">
        <v>0</v>
      </c>
      <c r="EE790" s="2" t="n">
        <v>100</v>
      </c>
      <c r="EF790" s="2" t="n">
        <v>100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</row>
    <row r="791">
      <c r="A791" s="2" t="n">
        <v>3</v>
      </c>
      <c r="B791" s="2" t="inlineStr">
        <is>
          <t>32.02.01</t>
        </is>
      </c>
      <c r="C791" s="2" t="inlineStr">
        <is>
          <t>Porcelanato verde, 30x120cm, ref.: Portobello Matéria Prima Verde, conforme paginação da fachada, instalados com sistema de fachada aerada através de dispositivos metálicos de aço galvanizado.</t>
        </is>
      </c>
      <c r="D791" s="2" t="inlineStr">
        <is>
          <t>09/09/2027</t>
        </is>
      </c>
      <c r="E791" s="2" t="inlineStr">
        <is>
          <t>22/03/2028</t>
        </is>
      </c>
      <c r="F791" s="2" t="n">
        <v>2016285.131306028</v>
      </c>
      <c r="G791" s="2" t="n">
        <v>0</v>
      </c>
      <c r="H791" s="2" t="n">
        <v>2016285.131306028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11</v>
      </c>
      <c r="CM791" s="2" t="n">
        <v>16</v>
      </c>
      <c r="CN791" s="2" t="n">
        <v>0</v>
      </c>
      <c r="CO791" s="2" t="n">
        <v>31</v>
      </c>
      <c r="CP791" s="2" t="n">
        <v>36</v>
      </c>
      <c r="CQ791" s="2" t="n">
        <v>0</v>
      </c>
      <c r="CR791" s="2" t="n">
        <v>51</v>
      </c>
      <c r="CS791" s="2" t="n">
        <v>56</v>
      </c>
      <c r="CT791" s="2" t="n">
        <v>0</v>
      </c>
      <c r="CU791" s="2" t="n">
        <v>67</v>
      </c>
      <c r="CV791" s="2" t="n">
        <v>72</v>
      </c>
      <c r="CW791" s="2" t="n">
        <v>0</v>
      </c>
      <c r="CX791" s="2" t="n">
        <v>83.2</v>
      </c>
      <c r="CY791" s="2" t="n">
        <v>85.2</v>
      </c>
      <c r="CZ791" s="2" t="n">
        <v>0</v>
      </c>
      <c r="DA791" s="2" t="n">
        <v>91.59999999999999</v>
      </c>
      <c r="DB791" s="2" t="n">
        <v>93.59999999999999</v>
      </c>
      <c r="DC791" s="2" t="n">
        <v>0</v>
      </c>
      <c r="DD791" s="2" t="n">
        <v>100</v>
      </c>
      <c r="DE791" s="2" t="n">
        <v>100</v>
      </c>
      <c r="DF791" s="2" t="n">
        <v>0</v>
      </c>
      <c r="DG791" s="2" t="n">
        <v>100</v>
      </c>
      <c r="DH791" s="2" t="n">
        <v>100</v>
      </c>
      <c r="DI791" s="2" t="n">
        <v>0</v>
      </c>
      <c r="DJ791" s="2" t="n">
        <v>100</v>
      </c>
      <c r="DK791" s="2" t="n">
        <v>100</v>
      </c>
      <c r="DL791" s="2" t="n">
        <v>0</v>
      </c>
      <c r="DM791" s="2" t="n">
        <v>100</v>
      </c>
      <c r="DN791" s="2" t="n">
        <v>100</v>
      </c>
      <c r="DO791" s="2" t="n">
        <v>0</v>
      </c>
      <c r="DP791" s="2" t="n">
        <v>100</v>
      </c>
      <c r="DQ791" s="2" t="n">
        <v>100</v>
      </c>
      <c r="DR791" s="2" t="n">
        <v>0</v>
      </c>
      <c r="DS791" s="2" t="n">
        <v>100</v>
      </c>
      <c r="DT791" s="2" t="n">
        <v>100</v>
      </c>
      <c r="DU791" s="2" t="n">
        <v>0</v>
      </c>
      <c r="DV791" s="2" t="n">
        <v>100</v>
      </c>
      <c r="DW791" s="2" t="n">
        <v>100</v>
      </c>
      <c r="DX791" s="2" t="n">
        <v>0</v>
      </c>
      <c r="DY791" s="2" t="n">
        <v>100</v>
      </c>
      <c r="DZ791" s="2" t="n">
        <v>100</v>
      </c>
      <c r="EA791" s="2" t="n">
        <v>0</v>
      </c>
      <c r="EB791" s="2" t="n">
        <v>100</v>
      </c>
      <c r="EC791" s="2" t="n">
        <v>100</v>
      </c>
      <c r="ED791" s="2" t="n">
        <v>0</v>
      </c>
      <c r="EE791" s="2" t="n">
        <v>100</v>
      </c>
      <c r="EF791" s="2" t="n">
        <v>100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</row>
    <row r="792">
      <c r="A792" s="2" t="n">
        <v>3</v>
      </c>
      <c r="B792" s="2" t="inlineStr">
        <is>
          <t>32.02.02</t>
        </is>
      </c>
      <c r="C792" s="2" t="inlineStr">
        <is>
          <t>Espalas para porcelanato verde, 30x120cm, ref.: Portobello Matéria Prima Verde, conforme paginação da fachada, instalados com sistema de fachada aerada através de dispositivos metálicos de aço galvanizado.</t>
        </is>
      </c>
      <c r="D792" s="2" t="inlineStr">
        <is>
          <t>09/09/2027</t>
        </is>
      </c>
      <c r="E792" s="2" t="inlineStr">
        <is>
          <t>22/03/2028</t>
        </is>
      </c>
      <c r="F792" s="2" t="n">
        <v>280800.6358009999</v>
      </c>
      <c r="G792" s="2" t="n">
        <v>0</v>
      </c>
      <c r="H792" s="2" t="n">
        <v>280800.6358009999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11</v>
      </c>
      <c r="CM792" s="2" t="n">
        <v>16</v>
      </c>
      <c r="CN792" s="2" t="n">
        <v>0</v>
      </c>
      <c r="CO792" s="2" t="n">
        <v>31</v>
      </c>
      <c r="CP792" s="2" t="n">
        <v>36</v>
      </c>
      <c r="CQ792" s="2" t="n">
        <v>0</v>
      </c>
      <c r="CR792" s="2" t="n">
        <v>51</v>
      </c>
      <c r="CS792" s="2" t="n">
        <v>56</v>
      </c>
      <c r="CT792" s="2" t="n">
        <v>0</v>
      </c>
      <c r="CU792" s="2" t="n">
        <v>67</v>
      </c>
      <c r="CV792" s="2" t="n">
        <v>72</v>
      </c>
      <c r="CW792" s="2" t="n">
        <v>0</v>
      </c>
      <c r="CX792" s="2" t="n">
        <v>83.2</v>
      </c>
      <c r="CY792" s="2" t="n">
        <v>85.2</v>
      </c>
      <c r="CZ792" s="2" t="n">
        <v>0</v>
      </c>
      <c r="DA792" s="2" t="n">
        <v>91.59999999999999</v>
      </c>
      <c r="DB792" s="2" t="n">
        <v>93.59999999999999</v>
      </c>
      <c r="DC792" s="2" t="n">
        <v>0</v>
      </c>
      <c r="DD792" s="2" t="n">
        <v>100</v>
      </c>
      <c r="DE792" s="2" t="n">
        <v>100</v>
      </c>
      <c r="DF792" s="2" t="n">
        <v>0</v>
      </c>
      <c r="DG792" s="2" t="n">
        <v>100</v>
      </c>
      <c r="DH792" s="2" t="n">
        <v>100</v>
      </c>
      <c r="DI792" s="2" t="n">
        <v>0</v>
      </c>
      <c r="DJ792" s="2" t="n">
        <v>100</v>
      </c>
      <c r="DK792" s="2" t="n">
        <v>100</v>
      </c>
      <c r="DL792" s="2" t="n">
        <v>0</v>
      </c>
      <c r="DM792" s="2" t="n">
        <v>100</v>
      </c>
      <c r="DN792" s="2" t="n">
        <v>100</v>
      </c>
      <c r="DO792" s="2" t="n">
        <v>0</v>
      </c>
      <c r="DP792" s="2" t="n">
        <v>100</v>
      </c>
      <c r="DQ792" s="2" t="n">
        <v>100</v>
      </c>
      <c r="DR792" s="2" t="n">
        <v>0</v>
      </c>
      <c r="DS792" s="2" t="n">
        <v>100</v>
      </c>
      <c r="DT792" s="2" t="n">
        <v>100</v>
      </c>
      <c r="DU792" s="2" t="n">
        <v>0</v>
      </c>
      <c r="DV792" s="2" t="n">
        <v>100</v>
      </c>
      <c r="DW792" s="2" t="n">
        <v>100</v>
      </c>
      <c r="DX792" s="2" t="n">
        <v>0</v>
      </c>
      <c r="DY792" s="2" t="n">
        <v>100</v>
      </c>
      <c r="DZ792" s="2" t="n">
        <v>100</v>
      </c>
      <c r="EA792" s="2" t="n">
        <v>0</v>
      </c>
      <c r="EB792" s="2" t="n">
        <v>100</v>
      </c>
      <c r="EC792" s="2" t="n">
        <v>100</v>
      </c>
      <c r="ED792" s="2" t="n">
        <v>0</v>
      </c>
      <c r="EE792" s="2" t="n">
        <v>100</v>
      </c>
      <c r="EF792" s="2" t="n">
        <v>100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</row>
    <row r="793">
      <c r="A793" s="2" t="n">
        <v>2</v>
      </c>
      <c r="B793" s="2" t="inlineStr">
        <is>
          <t>32.03</t>
        </is>
      </c>
      <c r="C793" s="2" t="inlineStr">
        <is>
          <t>Tratamento de concreto aparente na fachada</t>
        </is>
      </c>
      <c r="D793" s="2" t="inlineStr">
        <is>
          <t>22/06/2028</t>
        </is>
      </c>
      <c r="E793" s="2" t="inlineStr">
        <is>
          <t>07/11/2028</t>
        </is>
      </c>
      <c r="F793" s="2" t="n">
        <v>1449033.5</v>
      </c>
      <c r="G793" s="2" t="n">
        <v>0</v>
      </c>
      <c r="H793" s="2" t="n">
        <v>1449033.5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</v>
      </c>
      <c r="CV793" s="2" t="n">
        <v>0</v>
      </c>
      <c r="CW793" s="2" t="n">
        <v>0</v>
      </c>
      <c r="CX793" s="2" t="n">
        <v>0</v>
      </c>
      <c r="CY793" s="2" t="n">
        <v>0</v>
      </c>
      <c r="CZ793" s="2" t="n">
        <v>0</v>
      </c>
      <c r="DA793" s="2" t="n">
        <v>0</v>
      </c>
      <c r="DB793" s="2" t="n">
        <v>0</v>
      </c>
      <c r="DC793" s="2" t="n">
        <v>0</v>
      </c>
      <c r="DD793" s="2" t="n">
        <v>0</v>
      </c>
      <c r="DE793" s="2" t="n">
        <v>0</v>
      </c>
      <c r="DF793" s="2" t="n">
        <v>0</v>
      </c>
      <c r="DG793" s="2" t="n">
        <v>0</v>
      </c>
      <c r="DH793" s="2" t="n">
        <v>0</v>
      </c>
      <c r="DI793" s="2" t="n">
        <v>0</v>
      </c>
      <c r="DJ793" s="2" t="n">
        <v>0</v>
      </c>
      <c r="DK793" s="2" t="n">
        <v>0</v>
      </c>
      <c r="DL793" s="2" t="n">
        <v>0</v>
      </c>
      <c r="DM793" s="2" t="n">
        <v>4</v>
      </c>
      <c r="DN793" s="2" t="n">
        <v>14</v>
      </c>
      <c r="DO793" s="2" t="n">
        <v>0</v>
      </c>
      <c r="DP793" s="2" t="n">
        <v>40</v>
      </c>
      <c r="DQ793" s="2" t="n">
        <v>40</v>
      </c>
      <c r="DR793" s="2" t="n">
        <v>0</v>
      </c>
      <c r="DS793" s="2" t="n">
        <v>70</v>
      </c>
      <c r="DT793" s="2" t="n">
        <v>80</v>
      </c>
      <c r="DU793" s="2" t="n">
        <v>0</v>
      </c>
      <c r="DV793" s="2" t="n">
        <v>80</v>
      </c>
      <c r="DW793" s="2" t="n">
        <v>80</v>
      </c>
      <c r="DX793" s="2" t="n">
        <v>0</v>
      </c>
      <c r="DY793" s="2" t="n">
        <v>91</v>
      </c>
      <c r="DZ793" s="2" t="n">
        <v>96</v>
      </c>
      <c r="EA793" s="2" t="n">
        <v>0</v>
      </c>
      <c r="EB793" s="2" t="n">
        <v>100</v>
      </c>
      <c r="EC793" s="2" t="n">
        <v>100</v>
      </c>
      <c r="ED793" s="2" t="n">
        <v>0</v>
      </c>
      <c r="EE793" s="2" t="n">
        <v>100</v>
      </c>
      <c r="EF793" s="2" t="n">
        <v>100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</row>
    <row r="794">
      <c r="A794" s="2" t="n">
        <v>3</v>
      </c>
      <c r="B794" s="2" t="inlineStr">
        <is>
          <t>32.03.01</t>
        </is>
      </c>
      <c r="C794" s="2" t="inlineStr">
        <is>
          <t>Tratamento de concreto aparente</t>
        </is>
      </c>
      <c r="D794" s="2" t="inlineStr">
        <is>
          <t>22/06/2028</t>
        </is>
      </c>
      <c r="E794" s="2" t="inlineStr">
        <is>
          <t>07/11/2028</t>
        </is>
      </c>
      <c r="F794" s="2" t="n">
        <v>1233220</v>
      </c>
      <c r="G794" s="2" t="n">
        <v>0</v>
      </c>
      <c r="H794" s="2" t="n">
        <v>1233220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</v>
      </c>
      <c r="CV794" s="2" t="n">
        <v>0</v>
      </c>
      <c r="CW794" s="2" t="n">
        <v>0</v>
      </c>
      <c r="CX794" s="2" t="n">
        <v>0</v>
      </c>
      <c r="CY794" s="2" t="n">
        <v>0</v>
      </c>
      <c r="CZ794" s="2" t="n">
        <v>0</v>
      </c>
      <c r="DA794" s="2" t="n">
        <v>0</v>
      </c>
      <c r="DB794" s="2" t="n">
        <v>0</v>
      </c>
      <c r="DC794" s="2" t="n">
        <v>0</v>
      </c>
      <c r="DD794" s="2" t="n">
        <v>0</v>
      </c>
      <c r="DE794" s="2" t="n">
        <v>0</v>
      </c>
      <c r="DF794" s="2" t="n">
        <v>0</v>
      </c>
      <c r="DG794" s="2" t="n">
        <v>0</v>
      </c>
      <c r="DH794" s="2" t="n">
        <v>0</v>
      </c>
      <c r="DI794" s="2" t="n">
        <v>0</v>
      </c>
      <c r="DJ794" s="2" t="n">
        <v>0</v>
      </c>
      <c r="DK794" s="2" t="n">
        <v>0</v>
      </c>
      <c r="DL794" s="2" t="n">
        <v>0</v>
      </c>
      <c r="DM794" s="2" t="n">
        <v>4</v>
      </c>
      <c r="DN794" s="2" t="n">
        <v>14</v>
      </c>
      <c r="DO794" s="2" t="n">
        <v>0</v>
      </c>
      <c r="DP794" s="2" t="n">
        <v>40</v>
      </c>
      <c r="DQ794" s="2" t="n">
        <v>40</v>
      </c>
      <c r="DR794" s="2" t="n">
        <v>0</v>
      </c>
      <c r="DS794" s="2" t="n">
        <v>70</v>
      </c>
      <c r="DT794" s="2" t="n">
        <v>80</v>
      </c>
      <c r="DU794" s="2" t="n">
        <v>0</v>
      </c>
      <c r="DV794" s="2" t="n">
        <v>80</v>
      </c>
      <c r="DW794" s="2" t="n">
        <v>80</v>
      </c>
      <c r="DX794" s="2" t="n">
        <v>0</v>
      </c>
      <c r="DY794" s="2" t="n">
        <v>91</v>
      </c>
      <c r="DZ794" s="2" t="n">
        <v>96</v>
      </c>
      <c r="EA794" s="2" t="n">
        <v>0</v>
      </c>
      <c r="EB794" s="2" t="n">
        <v>100</v>
      </c>
      <c r="EC794" s="2" t="n">
        <v>100</v>
      </c>
      <c r="ED794" s="2" t="n">
        <v>0</v>
      </c>
      <c r="EE794" s="2" t="n">
        <v>100</v>
      </c>
      <c r="EF794" s="2" t="n">
        <v>100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</row>
    <row r="795">
      <c r="A795" s="2" t="n">
        <v>3</v>
      </c>
      <c r="B795" s="2" t="inlineStr">
        <is>
          <t>32.03.02</t>
        </is>
      </c>
      <c r="C795" s="2" t="inlineStr">
        <is>
          <t>Tratamento de concreto aparante</t>
        </is>
      </c>
      <c r="D795" s="2" t="inlineStr">
        <is>
          <t>22/06/2028</t>
        </is>
      </c>
      <c r="E795" s="2" t="inlineStr">
        <is>
          <t>07/11/2028</t>
        </is>
      </c>
      <c r="F795" s="2" t="n">
        <v>215813.5</v>
      </c>
      <c r="G795" s="2" t="n">
        <v>0</v>
      </c>
      <c r="H795" s="2" t="n">
        <v>215813.5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</v>
      </c>
      <c r="CV795" s="2" t="n">
        <v>0</v>
      </c>
      <c r="CW795" s="2" t="n">
        <v>0</v>
      </c>
      <c r="CX795" s="2" t="n">
        <v>0</v>
      </c>
      <c r="CY795" s="2" t="n">
        <v>0</v>
      </c>
      <c r="CZ795" s="2" t="n">
        <v>0</v>
      </c>
      <c r="DA795" s="2" t="n">
        <v>0</v>
      </c>
      <c r="DB795" s="2" t="n">
        <v>0</v>
      </c>
      <c r="DC795" s="2" t="n">
        <v>0</v>
      </c>
      <c r="DD795" s="2" t="n">
        <v>0</v>
      </c>
      <c r="DE795" s="2" t="n">
        <v>0</v>
      </c>
      <c r="DF795" s="2" t="n">
        <v>0</v>
      </c>
      <c r="DG795" s="2" t="n">
        <v>0</v>
      </c>
      <c r="DH795" s="2" t="n">
        <v>0</v>
      </c>
      <c r="DI795" s="2" t="n">
        <v>0</v>
      </c>
      <c r="DJ795" s="2" t="n">
        <v>0</v>
      </c>
      <c r="DK795" s="2" t="n">
        <v>0</v>
      </c>
      <c r="DL795" s="2" t="n">
        <v>0</v>
      </c>
      <c r="DM795" s="2" t="n">
        <v>4</v>
      </c>
      <c r="DN795" s="2" t="n">
        <v>14</v>
      </c>
      <c r="DO795" s="2" t="n">
        <v>0</v>
      </c>
      <c r="DP795" s="2" t="n">
        <v>40</v>
      </c>
      <c r="DQ795" s="2" t="n">
        <v>40</v>
      </c>
      <c r="DR795" s="2" t="n">
        <v>0</v>
      </c>
      <c r="DS795" s="2" t="n">
        <v>70</v>
      </c>
      <c r="DT795" s="2" t="n">
        <v>80</v>
      </c>
      <c r="DU795" s="2" t="n">
        <v>0</v>
      </c>
      <c r="DV795" s="2" t="n">
        <v>80</v>
      </c>
      <c r="DW795" s="2" t="n">
        <v>80</v>
      </c>
      <c r="DX795" s="2" t="n">
        <v>0</v>
      </c>
      <c r="DY795" s="2" t="n">
        <v>91</v>
      </c>
      <c r="DZ795" s="2" t="n">
        <v>96</v>
      </c>
      <c r="EA795" s="2" t="n">
        <v>0</v>
      </c>
      <c r="EB795" s="2" t="n">
        <v>100</v>
      </c>
      <c r="EC795" s="2" t="n">
        <v>100</v>
      </c>
      <c r="ED795" s="2" t="n">
        <v>0</v>
      </c>
      <c r="EE795" s="2" t="n">
        <v>100</v>
      </c>
      <c r="EF795" s="2" t="n">
        <v>100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</row>
    <row r="796">
      <c r="A796" s="2" t="n">
        <v>2</v>
      </c>
      <c r="B796" s="2" t="inlineStr">
        <is>
          <t>32.04</t>
        </is>
      </c>
      <c r="C796" s="2" t="inlineStr">
        <is>
          <t>Pintura para Fachadas</t>
        </is>
      </c>
      <c r="D796" s="2" t="inlineStr">
        <is>
          <t>27/03/2028</t>
        </is>
      </c>
      <c r="E796" s="2" t="inlineStr">
        <is>
          <t>27/02/2029</t>
        </is>
      </c>
      <c r="F796" s="2" t="n">
        <v>103212.8064768393</v>
      </c>
      <c r="G796" s="2" t="n">
        <v>0</v>
      </c>
      <c r="H796" s="2" t="n">
        <v>103212.8064768393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</v>
      </c>
      <c r="CV796" s="2" t="n">
        <v>0</v>
      </c>
      <c r="CW796" s="2" t="n">
        <v>0</v>
      </c>
      <c r="CX796" s="2" t="n">
        <v>0</v>
      </c>
      <c r="CY796" s="2" t="n">
        <v>0</v>
      </c>
      <c r="CZ796" s="2" t="n">
        <v>0</v>
      </c>
      <c r="DA796" s="2" t="n">
        <v>0</v>
      </c>
      <c r="DB796" s="2" t="n">
        <v>0</v>
      </c>
      <c r="DC796" s="2" t="n">
        <v>0</v>
      </c>
      <c r="DD796" s="2" t="n">
        <v>0</v>
      </c>
      <c r="DE796" s="2" t="n">
        <v>2.22</v>
      </c>
      <c r="DF796" s="2" t="n">
        <v>0</v>
      </c>
      <c r="DG796" s="2" t="n">
        <v>8</v>
      </c>
      <c r="DH796" s="2" t="n">
        <v>10.22</v>
      </c>
      <c r="DI796" s="2" t="n">
        <v>0</v>
      </c>
      <c r="DJ796" s="2" t="n">
        <v>17.78</v>
      </c>
      <c r="DK796" s="2" t="n">
        <v>20</v>
      </c>
      <c r="DL796" s="2" t="n">
        <v>0</v>
      </c>
      <c r="DM796" s="2" t="n">
        <v>27.11</v>
      </c>
      <c r="DN796" s="2" t="n">
        <v>29.33</v>
      </c>
      <c r="DO796" s="2" t="n">
        <v>0</v>
      </c>
      <c r="DP796" s="2" t="n">
        <v>36.44</v>
      </c>
      <c r="DQ796" s="2" t="n">
        <v>38.67</v>
      </c>
      <c r="DR796" s="2" t="n">
        <v>0</v>
      </c>
      <c r="DS796" s="2" t="n">
        <v>46.22</v>
      </c>
      <c r="DT796" s="2" t="n">
        <v>48.44</v>
      </c>
      <c r="DU796" s="2" t="n">
        <v>0</v>
      </c>
      <c r="DV796" s="2" t="n">
        <v>55.11</v>
      </c>
      <c r="DW796" s="2" t="n">
        <v>57.33</v>
      </c>
      <c r="DX796" s="2" t="n">
        <v>0</v>
      </c>
      <c r="DY796" s="2" t="n">
        <v>64.44</v>
      </c>
      <c r="DZ796" s="2" t="n">
        <v>66.67</v>
      </c>
      <c r="EA796" s="2" t="n">
        <v>0</v>
      </c>
      <c r="EB796" s="2" t="n">
        <v>72.89</v>
      </c>
      <c r="EC796" s="2" t="n">
        <v>75.11</v>
      </c>
      <c r="ED796" s="2" t="n">
        <v>0</v>
      </c>
      <c r="EE796" s="2" t="n">
        <v>79.56</v>
      </c>
      <c r="EF796" s="2" t="n">
        <v>81.78</v>
      </c>
      <c r="EG796" s="2" t="n">
        <v>0</v>
      </c>
      <c r="EH796" s="2" t="n">
        <v>89.33</v>
      </c>
      <c r="EI796" s="2" t="n">
        <v>91.56</v>
      </c>
      <c r="EJ796" s="2" t="n">
        <v>0</v>
      </c>
      <c r="EK796" s="2" t="n">
        <v>98.73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</row>
    <row r="797">
      <c r="A797" s="2" t="n">
        <v>3</v>
      </c>
      <c r="B797" s="2" t="inlineStr">
        <is>
          <t>32.04.01</t>
        </is>
      </c>
      <c r="C797" s="2" t="inlineStr">
        <is>
          <t>Pintura acrílica fosca, cor Mármore. Ref. Suvinil (Varandas)</t>
        </is>
      </c>
      <c r="D797" s="2" t="inlineStr">
        <is>
          <t>27/03/2028</t>
        </is>
      </c>
      <c r="E797" s="2" t="inlineStr">
        <is>
          <t>27/02/2029</t>
        </is>
      </c>
      <c r="F797" s="2" t="n">
        <v>72838.02099815555</v>
      </c>
      <c r="G797" s="2" t="n">
        <v>0</v>
      </c>
      <c r="H797" s="2" t="n">
        <v>72838.02099815555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</v>
      </c>
      <c r="CV797" s="2" t="n">
        <v>0</v>
      </c>
      <c r="CW797" s="2" t="n">
        <v>0</v>
      </c>
      <c r="CX797" s="2" t="n">
        <v>0</v>
      </c>
      <c r="CY797" s="2" t="n">
        <v>0</v>
      </c>
      <c r="CZ797" s="2" t="n">
        <v>0</v>
      </c>
      <c r="DA797" s="2" t="n">
        <v>0</v>
      </c>
      <c r="DB797" s="2" t="n">
        <v>0</v>
      </c>
      <c r="DC797" s="2" t="n">
        <v>0</v>
      </c>
      <c r="DD797" s="2" t="n">
        <v>0</v>
      </c>
      <c r="DE797" s="2" t="n">
        <v>2.22</v>
      </c>
      <c r="DF797" s="2" t="n">
        <v>0</v>
      </c>
      <c r="DG797" s="2" t="n">
        <v>8</v>
      </c>
      <c r="DH797" s="2" t="n">
        <v>10.22</v>
      </c>
      <c r="DI797" s="2" t="n">
        <v>0</v>
      </c>
      <c r="DJ797" s="2" t="n">
        <v>17.78</v>
      </c>
      <c r="DK797" s="2" t="n">
        <v>20</v>
      </c>
      <c r="DL797" s="2" t="n">
        <v>0</v>
      </c>
      <c r="DM797" s="2" t="n">
        <v>27.11</v>
      </c>
      <c r="DN797" s="2" t="n">
        <v>29.33</v>
      </c>
      <c r="DO797" s="2" t="n">
        <v>0</v>
      </c>
      <c r="DP797" s="2" t="n">
        <v>36.44</v>
      </c>
      <c r="DQ797" s="2" t="n">
        <v>38.67</v>
      </c>
      <c r="DR797" s="2" t="n">
        <v>0</v>
      </c>
      <c r="DS797" s="2" t="n">
        <v>46.22</v>
      </c>
      <c r="DT797" s="2" t="n">
        <v>48.44</v>
      </c>
      <c r="DU797" s="2" t="n">
        <v>0</v>
      </c>
      <c r="DV797" s="2" t="n">
        <v>55.11</v>
      </c>
      <c r="DW797" s="2" t="n">
        <v>57.33</v>
      </c>
      <c r="DX797" s="2" t="n">
        <v>0</v>
      </c>
      <c r="DY797" s="2" t="n">
        <v>64.44</v>
      </c>
      <c r="DZ797" s="2" t="n">
        <v>66.67</v>
      </c>
      <c r="EA797" s="2" t="n">
        <v>0</v>
      </c>
      <c r="EB797" s="2" t="n">
        <v>72.89</v>
      </c>
      <c r="EC797" s="2" t="n">
        <v>75.11</v>
      </c>
      <c r="ED797" s="2" t="n">
        <v>0</v>
      </c>
      <c r="EE797" s="2" t="n">
        <v>79.56</v>
      </c>
      <c r="EF797" s="2" t="n">
        <v>81.78</v>
      </c>
      <c r="EG797" s="2" t="n">
        <v>0</v>
      </c>
      <c r="EH797" s="2" t="n">
        <v>89.33</v>
      </c>
      <c r="EI797" s="2" t="n">
        <v>91.56</v>
      </c>
      <c r="EJ797" s="2" t="n">
        <v>0</v>
      </c>
      <c r="EK797" s="2" t="n">
        <v>98.73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</row>
    <row r="798">
      <c r="A798" s="2" t="n">
        <v>3</v>
      </c>
      <c r="B798" s="2" t="inlineStr">
        <is>
          <t>32.04.02</t>
        </is>
      </c>
      <c r="C798" s="2" t="inlineStr">
        <is>
          <t>Pintura a definir - Barrilete| Cx d'agua| Muros e muretas</t>
        </is>
      </c>
      <c r="D798" s="2" t="inlineStr">
        <is>
          <t>27/03/2028</t>
        </is>
      </c>
      <c r="E798" s="2" t="inlineStr">
        <is>
          <t>27/02/2029</t>
        </is>
      </c>
      <c r="F798" s="2" t="n">
        <v>9629.884013367817</v>
      </c>
      <c r="G798" s="2" t="n">
        <v>0</v>
      </c>
      <c r="H798" s="2" t="n">
        <v>9629.884013367817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</v>
      </c>
      <c r="CV798" s="2" t="n">
        <v>0</v>
      </c>
      <c r="CW798" s="2" t="n">
        <v>0</v>
      </c>
      <c r="CX798" s="2" t="n">
        <v>0</v>
      </c>
      <c r="CY798" s="2" t="n">
        <v>0</v>
      </c>
      <c r="CZ798" s="2" t="n">
        <v>0</v>
      </c>
      <c r="DA798" s="2" t="n">
        <v>0</v>
      </c>
      <c r="DB798" s="2" t="n">
        <v>0</v>
      </c>
      <c r="DC798" s="2" t="n">
        <v>0</v>
      </c>
      <c r="DD798" s="2" t="n">
        <v>0</v>
      </c>
      <c r="DE798" s="2" t="n">
        <v>2.22</v>
      </c>
      <c r="DF798" s="2" t="n">
        <v>0</v>
      </c>
      <c r="DG798" s="2" t="n">
        <v>8</v>
      </c>
      <c r="DH798" s="2" t="n">
        <v>10.22</v>
      </c>
      <c r="DI798" s="2" t="n">
        <v>0</v>
      </c>
      <c r="DJ798" s="2" t="n">
        <v>17.78</v>
      </c>
      <c r="DK798" s="2" t="n">
        <v>20</v>
      </c>
      <c r="DL798" s="2" t="n">
        <v>0</v>
      </c>
      <c r="DM798" s="2" t="n">
        <v>27.11</v>
      </c>
      <c r="DN798" s="2" t="n">
        <v>29.33</v>
      </c>
      <c r="DO798" s="2" t="n">
        <v>0</v>
      </c>
      <c r="DP798" s="2" t="n">
        <v>36.44</v>
      </c>
      <c r="DQ798" s="2" t="n">
        <v>38.67</v>
      </c>
      <c r="DR798" s="2" t="n">
        <v>0</v>
      </c>
      <c r="DS798" s="2" t="n">
        <v>46.22</v>
      </c>
      <c r="DT798" s="2" t="n">
        <v>48.44</v>
      </c>
      <c r="DU798" s="2" t="n">
        <v>0</v>
      </c>
      <c r="DV798" s="2" t="n">
        <v>55.11</v>
      </c>
      <c r="DW798" s="2" t="n">
        <v>57.33</v>
      </c>
      <c r="DX798" s="2" t="n">
        <v>0</v>
      </c>
      <c r="DY798" s="2" t="n">
        <v>64.44</v>
      </c>
      <c r="DZ798" s="2" t="n">
        <v>66.67</v>
      </c>
      <c r="EA798" s="2" t="n">
        <v>0</v>
      </c>
      <c r="EB798" s="2" t="n">
        <v>72.89</v>
      </c>
      <c r="EC798" s="2" t="n">
        <v>75.11</v>
      </c>
      <c r="ED798" s="2" t="n">
        <v>0</v>
      </c>
      <c r="EE798" s="2" t="n">
        <v>79.56</v>
      </c>
      <c r="EF798" s="2" t="n">
        <v>81.78</v>
      </c>
      <c r="EG798" s="2" t="n">
        <v>0</v>
      </c>
      <c r="EH798" s="2" t="n">
        <v>89.33</v>
      </c>
      <c r="EI798" s="2" t="n">
        <v>91.56</v>
      </c>
      <c r="EJ798" s="2" t="n">
        <v>0</v>
      </c>
      <c r="EK798" s="2" t="n">
        <v>98.73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</row>
    <row r="799">
      <c r="A799" s="2" t="n">
        <v>3</v>
      </c>
      <c r="B799" s="2" t="inlineStr">
        <is>
          <t>32.04.03</t>
        </is>
      </c>
      <c r="C799" s="2" t="inlineStr">
        <is>
          <t>Pintura preta sob brises e pele de vidro</t>
        </is>
      </c>
      <c r="D799" s="2" t="inlineStr">
        <is>
          <t>27/03/2028</t>
        </is>
      </c>
      <c r="E799" s="2" t="inlineStr">
        <is>
          <t>27/02/2029</t>
        </is>
      </c>
      <c r="F799" s="2" t="n">
        <v>20744.90146531595</v>
      </c>
      <c r="G799" s="2" t="n">
        <v>0</v>
      </c>
      <c r="H799" s="2" t="n">
        <v>20744.90146531595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</v>
      </c>
      <c r="CV799" s="2" t="n">
        <v>0</v>
      </c>
      <c r="CW799" s="2" t="n">
        <v>0</v>
      </c>
      <c r="CX799" s="2" t="n">
        <v>0</v>
      </c>
      <c r="CY799" s="2" t="n">
        <v>0</v>
      </c>
      <c r="CZ799" s="2" t="n">
        <v>0</v>
      </c>
      <c r="DA799" s="2" t="n">
        <v>0</v>
      </c>
      <c r="DB799" s="2" t="n">
        <v>0</v>
      </c>
      <c r="DC799" s="2" t="n">
        <v>0</v>
      </c>
      <c r="DD799" s="2" t="n">
        <v>0</v>
      </c>
      <c r="DE799" s="2" t="n">
        <v>2.22</v>
      </c>
      <c r="DF799" s="2" t="n">
        <v>0</v>
      </c>
      <c r="DG799" s="2" t="n">
        <v>8</v>
      </c>
      <c r="DH799" s="2" t="n">
        <v>10.22</v>
      </c>
      <c r="DI799" s="2" t="n">
        <v>0</v>
      </c>
      <c r="DJ799" s="2" t="n">
        <v>17.78</v>
      </c>
      <c r="DK799" s="2" t="n">
        <v>20</v>
      </c>
      <c r="DL799" s="2" t="n">
        <v>0</v>
      </c>
      <c r="DM799" s="2" t="n">
        <v>27.11</v>
      </c>
      <c r="DN799" s="2" t="n">
        <v>29.33</v>
      </c>
      <c r="DO799" s="2" t="n">
        <v>0</v>
      </c>
      <c r="DP799" s="2" t="n">
        <v>36.44</v>
      </c>
      <c r="DQ799" s="2" t="n">
        <v>38.67</v>
      </c>
      <c r="DR799" s="2" t="n">
        <v>0</v>
      </c>
      <c r="DS799" s="2" t="n">
        <v>46.22</v>
      </c>
      <c r="DT799" s="2" t="n">
        <v>48.44</v>
      </c>
      <c r="DU799" s="2" t="n">
        <v>0</v>
      </c>
      <c r="DV799" s="2" t="n">
        <v>55.11</v>
      </c>
      <c r="DW799" s="2" t="n">
        <v>57.33</v>
      </c>
      <c r="DX799" s="2" t="n">
        <v>0</v>
      </c>
      <c r="DY799" s="2" t="n">
        <v>64.44</v>
      </c>
      <c r="DZ799" s="2" t="n">
        <v>66.67</v>
      </c>
      <c r="EA799" s="2" t="n">
        <v>0</v>
      </c>
      <c r="EB799" s="2" t="n">
        <v>72.89</v>
      </c>
      <c r="EC799" s="2" t="n">
        <v>75.11</v>
      </c>
      <c r="ED799" s="2" t="n">
        <v>0</v>
      </c>
      <c r="EE799" s="2" t="n">
        <v>79.56</v>
      </c>
      <c r="EF799" s="2" t="n">
        <v>81.78</v>
      </c>
      <c r="EG799" s="2" t="n">
        <v>0</v>
      </c>
      <c r="EH799" s="2" t="n">
        <v>89.33</v>
      </c>
      <c r="EI799" s="2" t="n">
        <v>91.56</v>
      </c>
      <c r="EJ799" s="2" t="n">
        <v>0</v>
      </c>
      <c r="EK799" s="2" t="n">
        <v>98.73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</row>
    <row r="800">
      <c r="A800" s="2" t="n">
        <v>2</v>
      </c>
      <c r="B800" s="2" t="inlineStr">
        <is>
          <t>32.05</t>
        </is>
      </c>
      <c r="C800" s="2" t="inlineStr">
        <is>
          <t>Diversos</t>
        </is>
      </c>
      <c r="D800" s="2" t="inlineStr">
        <is>
          <t>18/08/2027</t>
        </is>
      </c>
      <c r="E800" s="2" t="inlineStr">
        <is>
          <t>06/06/2028</t>
        </is>
      </c>
      <c r="F800" s="2" t="n">
        <v>177406.4618619411</v>
      </c>
      <c r="G800" s="2" t="n">
        <v>0</v>
      </c>
      <c r="H800" s="2" t="n">
        <v>177406.4618619411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6.67</v>
      </c>
      <c r="CJ800" s="2" t="n">
        <v>13.33</v>
      </c>
      <c r="CK800" s="2" t="n">
        <v>0</v>
      </c>
      <c r="CL800" s="2" t="n">
        <v>20</v>
      </c>
      <c r="CM800" s="2" t="n">
        <v>20</v>
      </c>
      <c r="CN800" s="2" t="n">
        <v>0</v>
      </c>
      <c r="CO800" s="2" t="n">
        <v>29.33</v>
      </c>
      <c r="CP800" s="2" t="n">
        <v>36</v>
      </c>
      <c r="CQ800" s="2" t="n">
        <v>0</v>
      </c>
      <c r="CR800" s="2" t="n">
        <v>40</v>
      </c>
      <c r="CS800" s="2" t="n">
        <v>40</v>
      </c>
      <c r="CT800" s="2" t="n">
        <v>0</v>
      </c>
      <c r="CU800" s="2" t="n">
        <v>40</v>
      </c>
      <c r="CV800" s="2" t="n">
        <v>40</v>
      </c>
      <c r="CW800" s="2" t="n">
        <v>0</v>
      </c>
      <c r="CX800" s="2" t="n">
        <v>40</v>
      </c>
      <c r="CY800" s="2" t="n">
        <v>40</v>
      </c>
      <c r="CZ800" s="2" t="n">
        <v>0</v>
      </c>
      <c r="DA800" s="2" t="n">
        <v>47</v>
      </c>
      <c r="DB800" s="2" t="n">
        <v>52</v>
      </c>
      <c r="DC800" s="2" t="n">
        <v>0</v>
      </c>
      <c r="DD800" s="2" t="n">
        <v>61</v>
      </c>
      <c r="DE800" s="2" t="n">
        <v>66</v>
      </c>
      <c r="DF800" s="2" t="n">
        <v>0</v>
      </c>
      <c r="DG800" s="2" t="n">
        <v>79</v>
      </c>
      <c r="DH800" s="2" t="n">
        <v>80</v>
      </c>
      <c r="DI800" s="2" t="n">
        <v>0</v>
      </c>
      <c r="DJ800" s="2" t="n">
        <v>91</v>
      </c>
      <c r="DK800" s="2" t="n">
        <v>96</v>
      </c>
      <c r="DL800" s="2" t="n">
        <v>0</v>
      </c>
      <c r="DM800" s="2" t="n">
        <v>100</v>
      </c>
      <c r="DN800" s="2" t="n">
        <v>100</v>
      </c>
      <c r="DO800" s="2" t="n">
        <v>0</v>
      </c>
      <c r="DP800" s="2" t="n">
        <v>100</v>
      </c>
      <c r="DQ800" s="2" t="n">
        <v>100</v>
      </c>
      <c r="DR800" s="2" t="n">
        <v>0</v>
      </c>
      <c r="DS800" s="2" t="n">
        <v>100</v>
      </c>
      <c r="DT800" s="2" t="n">
        <v>100</v>
      </c>
      <c r="DU800" s="2" t="n">
        <v>0</v>
      </c>
      <c r="DV800" s="2" t="n">
        <v>100</v>
      </c>
      <c r="DW800" s="2" t="n">
        <v>100</v>
      </c>
      <c r="DX800" s="2" t="n">
        <v>0</v>
      </c>
      <c r="DY800" s="2" t="n">
        <v>100</v>
      </c>
      <c r="DZ800" s="2" t="n">
        <v>100</v>
      </c>
      <c r="EA800" s="2" t="n">
        <v>0</v>
      </c>
      <c r="EB800" s="2" t="n">
        <v>100</v>
      </c>
      <c r="EC800" s="2" t="n">
        <v>100</v>
      </c>
      <c r="ED800" s="2" t="n">
        <v>0</v>
      </c>
      <c r="EE800" s="2" t="n">
        <v>100</v>
      </c>
      <c r="EF800" s="2" t="n">
        <v>100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</row>
    <row r="801">
      <c r="A801" s="2" t="n">
        <v>3</v>
      </c>
      <c r="B801" s="2" t="inlineStr">
        <is>
          <t>32.05.01</t>
        </is>
      </c>
      <c r="C801" s="2" t="inlineStr">
        <is>
          <t>Junta de dilatação horizontal para fachadas</t>
        </is>
      </c>
      <c r="D801" s="2" t="inlineStr">
        <is>
          <t>18/08/2027</t>
        </is>
      </c>
      <c r="E801" s="2" t="inlineStr">
        <is>
          <t>06/06/2028</t>
        </is>
      </c>
      <c r="F801" s="2" t="n">
        <v>135433.2389602211</v>
      </c>
      <c r="G801" s="2" t="n">
        <v>0</v>
      </c>
      <c r="H801" s="2" t="n">
        <v>135433.2389602211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6.67</v>
      </c>
      <c r="CJ801" s="2" t="n">
        <v>13.33</v>
      </c>
      <c r="CK801" s="2" t="n">
        <v>0</v>
      </c>
      <c r="CL801" s="2" t="n">
        <v>20</v>
      </c>
      <c r="CM801" s="2" t="n">
        <v>20</v>
      </c>
      <c r="CN801" s="2" t="n">
        <v>0</v>
      </c>
      <c r="CO801" s="2" t="n">
        <v>29.33</v>
      </c>
      <c r="CP801" s="2" t="n">
        <v>36</v>
      </c>
      <c r="CQ801" s="2" t="n">
        <v>0</v>
      </c>
      <c r="CR801" s="2" t="n">
        <v>40</v>
      </c>
      <c r="CS801" s="2" t="n">
        <v>40</v>
      </c>
      <c r="CT801" s="2" t="n">
        <v>0</v>
      </c>
      <c r="CU801" s="2" t="n">
        <v>40</v>
      </c>
      <c r="CV801" s="2" t="n">
        <v>40</v>
      </c>
      <c r="CW801" s="2" t="n">
        <v>0</v>
      </c>
      <c r="CX801" s="2" t="n">
        <v>40</v>
      </c>
      <c r="CY801" s="2" t="n">
        <v>40</v>
      </c>
      <c r="CZ801" s="2" t="n">
        <v>0</v>
      </c>
      <c r="DA801" s="2" t="n">
        <v>47</v>
      </c>
      <c r="DB801" s="2" t="n">
        <v>52</v>
      </c>
      <c r="DC801" s="2" t="n">
        <v>0</v>
      </c>
      <c r="DD801" s="2" t="n">
        <v>61</v>
      </c>
      <c r="DE801" s="2" t="n">
        <v>66</v>
      </c>
      <c r="DF801" s="2" t="n">
        <v>0</v>
      </c>
      <c r="DG801" s="2" t="n">
        <v>79</v>
      </c>
      <c r="DH801" s="2" t="n">
        <v>80</v>
      </c>
      <c r="DI801" s="2" t="n">
        <v>0</v>
      </c>
      <c r="DJ801" s="2" t="n">
        <v>91</v>
      </c>
      <c r="DK801" s="2" t="n">
        <v>96</v>
      </c>
      <c r="DL801" s="2" t="n">
        <v>0</v>
      </c>
      <c r="DM801" s="2" t="n">
        <v>100</v>
      </c>
      <c r="DN801" s="2" t="n">
        <v>100</v>
      </c>
      <c r="DO801" s="2" t="n">
        <v>0</v>
      </c>
      <c r="DP801" s="2" t="n">
        <v>100</v>
      </c>
      <c r="DQ801" s="2" t="n">
        <v>100</v>
      </c>
      <c r="DR801" s="2" t="n">
        <v>0</v>
      </c>
      <c r="DS801" s="2" t="n">
        <v>100</v>
      </c>
      <c r="DT801" s="2" t="n">
        <v>100</v>
      </c>
      <c r="DU801" s="2" t="n">
        <v>0</v>
      </c>
      <c r="DV801" s="2" t="n">
        <v>100</v>
      </c>
      <c r="DW801" s="2" t="n">
        <v>100</v>
      </c>
      <c r="DX801" s="2" t="n">
        <v>0</v>
      </c>
      <c r="DY801" s="2" t="n">
        <v>100</v>
      </c>
      <c r="DZ801" s="2" t="n">
        <v>100</v>
      </c>
      <c r="EA801" s="2" t="n">
        <v>0</v>
      </c>
      <c r="EB801" s="2" t="n">
        <v>100</v>
      </c>
      <c r="EC801" s="2" t="n">
        <v>100</v>
      </c>
      <c r="ED801" s="2" t="n">
        <v>0</v>
      </c>
      <c r="EE801" s="2" t="n">
        <v>100</v>
      </c>
      <c r="EF801" s="2" t="n">
        <v>100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</row>
    <row r="802">
      <c r="A802" s="2" t="n">
        <v>3</v>
      </c>
      <c r="B802" s="2" t="inlineStr">
        <is>
          <t>32.05.02</t>
        </is>
      </c>
      <c r="C802" s="2" t="inlineStr">
        <is>
          <t>Junta de dilatação vertical pra fachadas</t>
        </is>
      </c>
      <c r="D802" s="2" t="inlineStr">
        <is>
          <t>18/08/2027</t>
        </is>
      </c>
      <c r="E802" s="2" t="inlineStr">
        <is>
          <t>06/06/2028</t>
        </is>
      </c>
      <c r="F802" s="2" t="n">
        <v>12979.78429758804</v>
      </c>
      <c r="G802" s="2" t="n">
        <v>0</v>
      </c>
      <c r="H802" s="2" t="n">
        <v>12979.78429758804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6.67</v>
      </c>
      <c r="CJ802" s="2" t="n">
        <v>13.33</v>
      </c>
      <c r="CK802" s="2" t="n">
        <v>0</v>
      </c>
      <c r="CL802" s="2" t="n">
        <v>20</v>
      </c>
      <c r="CM802" s="2" t="n">
        <v>20</v>
      </c>
      <c r="CN802" s="2" t="n">
        <v>0</v>
      </c>
      <c r="CO802" s="2" t="n">
        <v>29.33</v>
      </c>
      <c r="CP802" s="2" t="n">
        <v>36</v>
      </c>
      <c r="CQ802" s="2" t="n">
        <v>0</v>
      </c>
      <c r="CR802" s="2" t="n">
        <v>40</v>
      </c>
      <c r="CS802" s="2" t="n">
        <v>40</v>
      </c>
      <c r="CT802" s="2" t="n">
        <v>0</v>
      </c>
      <c r="CU802" s="2" t="n">
        <v>40</v>
      </c>
      <c r="CV802" s="2" t="n">
        <v>40</v>
      </c>
      <c r="CW802" s="2" t="n">
        <v>0</v>
      </c>
      <c r="CX802" s="2" t="n">
        <v>40</v>
      </c>
      <c r="CY802" s="2" t="n">
        <v>40</v>
      </c>
      <c r="CZ802" s="2" t="n">
        <v>0</v>
      </c>
      <c r="DA802" s="2" t="n">
        <v>47</v>
      </c>
      <c r="DB802" s="2" t="n">
        <v>52</v>
      </c>
      <c r="DC802" s="2" t="n">
        <v>0</v>
      </c>
      <c r="DD802" s="2" t="n">
        <v>61</v>
      </c>
      <c r="DE802" s="2" t="n">
        <v>66</v>
      </c>
      <c r="DF802" s="2" t="n">
        <v>0</v>
      </c>
      <c r="DG802" s="2" t="n">
        <v>79</v>
      </c>
      <c r="DH802" s="2" t="n">
        <v>80</v>
      </c>
      <c r="DI802" s="2" t="n">
        <v>0</v>
      </c>
      <c r="DJ802" s="2" t="n">
        <v>91</v>
      </c>
      <c r="DK802" s="2" t="n">
        <v>96</v>
      </c>
      <c r="DL802" s="2" t="n">
        <v>0</v>
      </c>
      <c r="DM802" s="2" t="n">
        <v>100</v>
      </c>
      <c r="DN802" s="2" t="n">
        <v>100</v>
      </c>
      <c r="DO802" s="2" t="n">
        <v>0</v>
      </c>
      <c r="DP802" s="2" t="n">
        <v>100</v>
      </c>
      <c r="DQ802" s="2" t="n">
        <v>100</v>
      </c>
      <c r="DR802" s="2" t="n">
        <v>0</v>
      </c>
      <c r="DS802" s="2" t="n">
        <v>100</v>
      </c>
      <c r="DT802" s="2" t="n">
        <v>100</v>
      </c>
      <c r="DU802" s="2" t="n">
        <v>0</v>
      </c>
      <c r="DV802" s="2" t="n">
        <v>100</v>
      </c>
      <c r="DW802" s="2" t="n">
        <v>100</v>
      </c>
      <c r="DX802" s="2" t="n">
        <v>0</v>
      </c>
      <c r="DY802" s="2" t="n">
        <v>100</v>
      </c>
      <c r="DZ802" s="2" t="n">
        <v>100</v>
      </c>
      <c r="EA802" s="2" t="n">
        <v>0</v>
      </c>
      <c r="EB802" s="2" t="n">
        <v>100</v>
      </c>
      <c r="EC802" s="2" t="n">
        <v>100</v>
      </c>
      <c r="ED802" s="2" t="n">
        <v>0</v>
      </c>
      <c r="EE802" s="2" t="n">
        <v>100</v>
      </c>
      <c r="EF802" s="2" t="n">
        <v>100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</row>
    <row r="803">
      <c r="A803" s="2" t="n">
        <v>3</v>
      </c>
      <c r="B803" s="2" t="inlineStr">
        <is>
          <t>32.05.03</t>
        </is>
      </c>
      <c r="C803" s="2" t="inlineStr">
        <is>
          <t>Desbaste de rebarbas, estuque e aplicação de silicone hidrofugante sobre superfícies de concreto aparente (2 demãos silicone incolor hidrofugante)</t>
        </is>
      </c>
      <c r="D803" s="2" t="inlineStr">
        <is>
          <t>18/08/2027</t>
        </is>
      </c>
      <c r="E803" s="2" t="inlineStr">
        <is>
          <t>06/06/2028</t>
        </is>
      </c>
      <c r="F803" s="2" t="n">
        <v>28993.43860413191</v>
      </c>
      <c r="G803" s="2" t="n">
        <v>0</v>
      </c>
      <c r="H803" s="2" t="n">
        <v>28993.43860413191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6.67</v>
      </c>
      <c r="CJ803" s="2" t="n">
        <v>13.33</v>
      </c>
      <c r="CK803" s="2" t="n">
        <v>0</v>
      </c>
      <c r="CL803" s="2" t="n">
        <v>20</v>
      </c>
      <c r="CM803" s="2" t="n">
        <v>20</v>
      </c>
      <c r="CN803" s="2" t="n">
        <v>0</v>
      </c>
      <c r="CO803" s="2" t="n">
        <v>29.33</v>
      </c>
      <c r="CP803" s="2" t="n">
        <v>36</v>
      </c>
      <c r="CQ803" s="2" t="n">
        <v>0</v>
      </c>
      <c r="CR803" s="2" t="n">
        <v>40</v>
      </c>
      <c r="CS803" s="2" t="n">
        <v>40</v>
      </c>
      <c r="CT803" s="2" t="n">
        <v>0</v>
      </c>
      <c r="CU803" s="2" t="n">
        <v>40</v>
      </c>
      <c r="CV803" s="2" t="n">
        <v>40</v>
      </c>
      <c r="CW803" s="2" t="n">
        <v>0</v>
      </c>
      <c r="CX803" s="2" t="n">
        <v>40</v>
      </c>
      <c r="CY803" s="2" t="n">
        <v>40</v>
      </c>
      <c r="CZ803" s="2" t="n">
        <v>0</v>
      </c>
      <c r="DA803" s="2" t="n">
        <v>47</v>
      </c>
      <c r="DB803" s="2" t="n">
        <v>52</v>
      </c>
      <c r="DC803" s="2" t="n">
        <v>0</v>
      </c>
      <c r="DD803" s="2" t="n">
        <v>61</v>
      </c>
      <c r="DE803" s="2" t="n">
        <v>66</v>
      </c>
      <c r="DF803" s="2" t="n">
        <v>0</v>
      </c>
      <c r="DG803" s="2" t="n">
        <v>79</v>
      </c>
      <c r="DH803" s="2" t="n">
        <v>80</v>
      </c>
      <c r="DI803" s="2" t="n">
        <v>0</v>
      </c>
      <c r="DJ803" s="2" t="n">
        <v>91</v>
      </c>
      <c r="DK803" s="2" t="n">
        <v>96</v>
      </c>
      <c r="DL803" s="2" t="n">
        <v>0</v>
      </c>
      <c r="DM803" s="2" t="n">
        <v>100</v>
      </c>
      <c r="DN803" s="2" t="n">
        <v>100</v>
      </c>
      <c r="DO803" s="2" t="n">
        <v>0</v>
      </c>
      <c r="DP803" s="2" t="n">
        <v>100</v>
      </c>
      <c r="DQ803" s="2" t="n">
        <v>100</v>
      </c>
      <c r="DR803" s="2" t="n">
        <v>0</v>
      </c>
      <c r="DS803" s="2" t="n">
        <v>100</v>
      </c>
      <c r="DT803" s="2" t="n">
        <v>100</v>
      </c>
      <c r="DU803" s="2" t="n">
        <v>0</v>
      </c>
      <c r="DV803" s="2" t="n">
        <v>100</v>
      </c>
      <c r="DW803" s="2" t="n">
        <v>100</v>
      </c>
      <c r="DX803" s="2" t="n">
        <v>0</v>
      </c>
      <c r="DY803" s="2" t="n">
        <v>100</v>
      </c>
      <c r="DZ803" s="2" t="n">
        <v>100</v>
      </c>
      <c r="EA803" s="2" t="n">
        <v>0</v>
      </c>
      <c r="EB803" s="2" t="n">
        <v>100</v>
      </c>
      <c r="EC803" s="2" t="n">
        <v>100</v>
      </c>
      <c r="ED803" s="2" t="n">
        <v>0</v>
      </c>
      <c r="EE803" s="2" t="n">
        <v>100</v>
      </c>
      <c r="EF803" s="2" t="n">
        <v>100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</row>
    <row r="804">
      <c r="A804" s="2" t="n">
        <v>2</v>
      </c>
      <c r="B804" s="2" t="inlineStr">
        <is>
          <t>32.06</t>
        </is>
      </c>
      <c r="C804" s="2" t="inlineStr">
        <is>
          <t>Muros</t>
        </is>
      </c>
      <c r="D804" s="2" t="inlineStr">
        <is>
          <t>30/11/2027</t>
        </is>
      </c>
      <c r="E804" s="2" t="inlineStr">
        <is>
          <t>09/03/2028</t>
        </is>
      </c>
      <c r="F804" s="2" t="n">
        <v>320257.6302040482</v>
      </c>
      <c r="G804" s="2" t="n">
        <v>0</v>
      </c>
      <c r="H804" s="2" t="n">
        <v>320257.6302040482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1.52</v>
      </c>
      <c r="CT804" s="2" t="n">
        <v>0</v>
      </c>
      <c r="CU804" s="2" t="n">
        <v>24.24</v>
      </c>
      <c r="CV804" s="2" t="n">
        <v>25.76</v>
      </c>
      <c r="CW804" s="2" t="n">
        <v>0</v>
      </c>
      <c r="CX804" s="2" t="n">
        <v>56.06</v>
      </c>
      <c r="CY804" s="2" t="n">
        <v>57.58</v>
      </c>
      <c r="CZ804" s="2" t="n">
        <v>0</v>
      </c>
      <c r="DA804" s="2" t="n">
        <v>87.88</v>
      </c>
      <c r="DB804" s="2" t="n">
        <v>89.39</v>
      </c>
      <c r="DC804" s="2" t="n">
        <v>0</v>
      </c>
      <c r="DD804" s="2" t="n">
        <v>100</v>
      </c>
      <c r="DE804" s="2" t="n">
        <v>100</v>
      </c>
      <c r="DF804" s="2" t="n">
        <v>0</v>
      </c>
      <c r="DG804" s="2" t="n">
        <v>100</v>
      </c>
      <c r="DH804" s="2" t="n">
        <v>100</v>
      </c>
      <c r="DI804" s="2" t="n">
        <v>0</v>
      </c>
      <c r="DJ804" s="2" t="n">
        <v>100</v>
      </c>
      <c r="DK804" s="2" t="n">
        <v>100</v>
      </c>
      <c r="DL804" s="2" t="n">
        <v>0</v>
      </c>
      <c r="DM804" s="2" t="n">
        <v>100</v>
      </c>
      <c r="DN804" s="2" t="n">
        <v>100</v>
      </c>
      <c r="DO804" s="2" t="n">
        <v>0</v>
      </c>
      <c r="DP804" s="2" t="n">
        <v>100</v>
      </c>
      <c r="DQ804" s="2" t="n">
        <v>100</v>
      </c>
      <c r="DR804" s="2" t="n">
        <v>0</v>
      </c>
      <c r="DS804" s="2" t="n">
        <v>100</v>
      </c>
      <c r="DT804" s="2" t="n">
        <v>100</v>
      </c>
      <c r="DU804" s="2" t="n">
        <v>0</v>
      </c>
      <c r="DV804" s="2" t="n">
        <v>100</v>
      </c>
      <c r="DW804" s="2" t="n">
        <v>100</v>
      </c>
      <c r="DX804" s="2" t="n">
        <v>0</v>
      </c>
      <c r="DY804" s="2" t="n">
        <v>100</v>
      </c>
      <c r="DZ804" s="2" t="n">
        <v>100</v>
      </c>
      <c r="EA804" s="2" t="n">
        <v>0</v>
      </c>
      <c r="EB804" s="2" t="n">
        <v>100</v>
      </c>
      <c r="EC804" s="2" t="n">
        <v>100</v>
      </c>
      <c r="ED804" s="2" t="n">
        <v>0</v>
      </c>
      <c r="EE804" s="2" t="n">
        <v>100</v>
      </c>
      <c r="EF804" s="2" t="n">
        <v>100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</row>
    <row r="805">
      <c r="A805" s="2" t="n">
        <v>3</v>
      </c>
      <c r="B805" s="2" t="inlineStr">
        <is>
          <t>32.06.01</t>
        </is>
      </c>
      <c r="C805" s="2" t="inlineStr">
        <is>
          <t>Pilaretes e cintas de concreto seção de 15x15cm</t>
        </is>
      </c>
      <c r="D805" s="2" t="inlineStr">
        <is>
          <t>30/11/2027</t>
        </is>
      </c>
      <c r="E805" s="2" t="inlineStr">
        <is>
          <t>09/03/2028</t>
        </is>
      </c>
      <c r="F805" s="2" t="n">
        <v>67765.57690952934</v>
      </c>
      <c r="G805" s="2" t="n">
        <v>0</v>
      </c>
      <c r="H805" s="2" t="n">
        <v>67765.57690952934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1.52</v>
      </c>
      <c r="CT805" s="2" t="n">
        <v>0</v>
      </c>
      <c r="CU805" s="2" t="n">
        <v>24.24</v>
      </c>
      <c r="CV805" s="2" t="n">
        <v>25.76</v>
      </c>
      <c r="CW805" s="2" t="n">
        <v>0</v>
      </c>
      <c r="CX805" s="2" t="n">
        <v>56.06</v>
      </c>
      <c r="CY805" s="2" t="n">
        <v>57.58</v>
      </c>
      <c r="CZ805" s="2" t="n">
        <v>0</v>
      </c>
      <c r="DA805" s="2" t="n">
        <v>87.88</v>
      </c>
      <c r="DB805" s="2" t="n">
        <v>89.39</v>
      </c>
      <c r="DC805" s="2" t="n">
        <v>0</v>
      </c>
      <c r="DD805" s="2" t="n">
        <v>100</v>
      </c>
      <c r="DE805" s="2" t="n">
        <v>100</v>
      </c>
      <c r="DF805" s="2" t="n">
        <v>0</v>
      </c>
      <c r="DG805" s="2" t="n">
        <v>100</v>
      </c>
      <c r="DH805" s="2" t="n">
        <v>100</v>
      </c>
      <c r="DI805" s="2" t="n">
        <v>0</v>
      </c>
      <c r="DJ805" s="2" t="n">
        <v>100</v>
      </c>
      <c r="DK805" s="2" t="n">
        <v>100</v>
      </c>
      <c r="DL805" s="2" t="n">
        <v>0</v>
      </c>
      <c r="DM805" s="2" t="n">
        <v>100</v>
      </c>
      <c r="DN805" s="2" t="n">
        <v>100</v>
      </c>
      <c r="DO805" s="2" t="n">
        <v>0</v>
      </c>
      <c r="DP805" s="2" t="n">
        <v>100</v>
      </c>
      <c r="DQ805" s="2" t="n">
        <v>100</v>
      </c>
      <c r="DR805" s="2" t="n">
        <v>0</v>
      </c>
      <c r="DS805" s="2" t="n">
        <v>100</v>
      </c>
      <c r="DT805" s="2" t="n">
        <v>100</v>
      </c>
      <c r="DU805" s="2" t="n">
        <v>0</v>
      </c>
      <c r="DV805" s="2" t="n">
        <v>100</v>
      </c>
      <c r="DW805" s="2" t="n">
        <v>100</v>
      </c>
      <c r="DX805" s="2" t="n">
        <v>0</v>
      </c>
      <c r="DY805" s="2" t="n">
        <v>100</v>
      </c>
      <c r="DZ805" s="2" t="n">
        <v>100</v>
      </c>
      <c r="EA805" s="2" t="n">
        <v>0</v>
      </c>
      <c r="EB805" s="2" t="n">
        <v>100</v>
      </c>
      <c r="EC805" s="2" t="n">
        <v>100</v>
      </c>
      <c r="ED805" s="2" t="n">
        <v>0</v>
      </c>
      <c r="EE805" s="2" t="n">
        <v>100</v>
      </c>
      <c r="EF805" s="2" t="n">
        <v>100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</row>
    <row r="806">
      <c r="A806" s="2" t="n">
        <v>4</v>
      </c>
      <c r="B806" s="2" t="inlineStr">
        <is>
          <t>32.06.01.01</t>
        </is>
      </c>
      <c r="C806" s="2" t="inlineStr">
        <is>
          <t>Armadura Ca-50</t>
        </is>
      </c>
      <c r="D806" s="2" t="inlineStr">
        <is>
          <t>30/11/2027</t>
        </is>
      </c>
      <c r="E806" s="2" t="inlineStr">
        <is>
          <t>09/03/2028</t>
        </is>
      </c>
      <c r="F806" s="2" t="n">
        <v>33358.22481591628</v>
      </c>
      <c r="G806" s="2" t="n">
        <v>0</v>
      </c>
      <c r="H806" s="2" t="n">
        <v>33358.22481591628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1.52</v>
      </c>
      <c r="CT806" s="2" t="n">
        <v>0</v>
      </c>
      <c r="CU806" s="2" t="n">
        <v>24.24</v>
      </c>
      <c r="CV806" s="2" t="n">
        <v>25.76</v>
      </c>
      <c r="CW806" s="2" t="n">
        <v>0</v>
      </c>
      <c r="CX806" s="2" t="n">
        <v>56.06</v>
      </c>
      <c r="CY806" s="2" t="n">
        <v>57.58</v>
      </c>
      <c r="CZ806" s="2" t="n">
        <v>0</v>
      </c>
      <c r="DA806" s="2" t="n">
        <v>87.88</v>
      </c>
      <c r="DB806" s="2" t="n">
        <v>89.39</v>
      </c>
      <c r="DC806" s="2" t="n">
        <v>0</v>
      </c>
      <c r="DD806" s="2" t="n">
        <v>100</v>
      </c>
      <c r="DE806" s="2" t="n">
        <v>100</v>
      </c>
      <c r="DF806" s="2" t="n">
        <v>0</v>
      </c>
      <c r="DG806" s="2" t="n">
        <v>100</v>
      </c>
      <c r="DH806" s="2" t="n">
        <v>100</v>
      </c>
      <c r="DI806" s="2" t="n">
        <v>0</v>
      </c>
      <c r="DJ806" s="2" t="n">
        <v>100</v>
      </c>
      <c r="DK806" s="2" t="n">
        <v>100</v>
      </c>
      <c r="DL806" s="2" t="n">
        <v>0</v>
      </c>
      <c r="DM806" s="2" t="n">
        <v>100</v>
      </c>
      <c r="DN806" s="2" t="n">
        <v>100</v>
      </c>
      <c r="DO806" s="2" t="n">
        <v>0</v>
      </c>
      <c r="DP806" s="2" t="n">
        <v>100</v>
      </c>
      <c r="DQ806" s="2" t="n">
        <v>100</v>
      </c>
      <c r="DR806" s="2" t="n">
        <v>0</v>
      </c>
      <c r="DS806" s="2" t="n">
        <v>100</v>
      </c>
      <c r="DT806" s="2" t="n">
        <v>100</v>
      </c>
      <c r="DU806" s="2" t="n">
        <v>0</v>
      </c>
      <c r="DV806" s="2" t="n">
        <v>100</v>
      </c>
      <c r="DW806" s="2" t="n">
        <v>100</v>
      </c>
      <c r="DX806" s="2" t="n">
        <v>0</v>
      </c>
      <c r="DY806" s="2" t="n">
        <v>100</v>
      </c>
      <c r="DZ806" s="2" t="n">
        <v>100</v>
      </c>
      <c r="EA806" s="2" t="n">
        <v>0</v>
      </c>
      <c r="EB806" s="2" t="n">
        <v>100</v>
      </c>
      <c r="EC806" s="2" t="n">
        <v>100</v>
      </c>
      <c r="ED806" s="2" t="n">
        <v>0</v>
      </c>
      <c r="EE806" s="2" t="n">
        <v>100</v>
      </c>
      <c r="EF806" s="2" t="n">
        <v>100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</row>
    <row r="807">
      <c r="A807" s="2" t="n">
        <v>4</v>
      </c>
      <c r="B807" s="2" t="inlineStr">
        <is>
          <t>32.06.01.02</t>
        </is>
      </c>
      <c r="C807" s="2" t="inlineStr">
        <is>
          <t>Armadura Ca-60</t>
        </is>
      </c>
      <c r="D807" s="2" t="inlineStr">
        <is>
          <t>30/11/2027</t>
        </is>
      </c>
      <c r="E807" s="2" t="inlineStr">
        <is>
          <t>09/03/2028</t>
        </is>
      </c>
      <c r="F807" s="2" t="n">
        <v>3819.808378696357</v>
      </c>
      <c r="G807" s="2" t="n">
        <v>0</v>
      </c>
      <c r="H807" s="2" t="n">
        <v>3819.808378696357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1.52</v>
      </c>
      <c r="CT807" s="2" t="n">
        <v>0</v>
      </c>
      <c r="CU807" s="2" t="n">
        <v>24.24</v>
      </c>
      <c r="CV807" s="2" t="n">
        <v>25.76</v>
      </c>
      <c r="CW807" s="2" t="n">
        <v>0</v>
      </c>
      <c r="CX807" s="2" t="n">
        <v>56.06</v>
      </c>
      <c r="CY807" s="2" t="n">
        <v>57.58</v>
      </c>
      <c r="CZ807" s="2" t="n">
        <v>0</v>
      </c>
      <c r="DA807" s="2" t="n">
        <v>87.88</v>
      </c>
      <c r="DB807" s="2" t="n">
        <v>89.39</v>
      </c>
      <c r="DC807" s="2" t="n">
        <v>0</v>
      </c>
      <c r="DD807" s="2" t="n">
        <v>100</v>
      </c>
      <c r="DE807" s="2" t="n">
        <v>100</v>
      </c>
      <c r="DF807" s="2" t="n">
        <v>0</v>
      </c>
      <c r="DG807" s="2" t="n">
        <v>100</v>
      </c>
      <c r="DH807" s="2" t="n">
        <v>100</v>
      </c>
      <c r="DI807" s="2" t="n">
        <v>0</v>
      </c>
      <c r="DJ807" s="2" t="n">
        <v>100</v>
      </c>
      <c r="DK807" s="2" t="n">
        <v>100</v>
      </c>
      <c r="DL807" s="2" t="n">
        <v>0</v>
      </c>
      <c r="DM807" s="2" t="n">
        <v>100</v>
      </c>
      <c r="DN807" s="2" t="n">
        <v>100</v>
      </c>
      <c r="DO807" s="2" t="n">
        <v>0</v>
      </c>
      <c r="DP807" s="2" t="n">
        <v>100</v>
      </c>
      <c r="DQ807" s="2" t="n">
        <v>100</v>
      </c>
      <c r="DR807" s="2" t="n">
        <v>0</v>
      </c>
      <c r="DS807" s="2" t="n">
        <v>100</v>
      </c>
      <c r="DT807" s="2" t="n">
        <v>100</v>
      </c>
      <c r="DU807" s="2" t="n">
        <v>0</v>
      </c>
      <c r="DV807" s="2" t="n">
        <v>100</v>
      </c>
      <c r="DW807" s="2" t="n">
        <v>100</v>
      </c>
      <c r="DX807" s="2" t="n">
        <v>0</v>
      </c>
      <c r="DY807" s="2" t="n">
        <v>100</v>
      </c>
      <c r="DZ807" s="2" t="n">
        <v>100</v>
      </c>
      <c r="EA807" s="2" t="n">
        <v>0</v>
      </c>
      <c r="EB807" s="2" t="n">
        <v>100</v>
      </c>
      <c r="EC807" s="2" t="n">
        <v>100</v>
      </c>
      <c r="ED807" s="2" t="n">
        <v>0</v>
      </c>
      <c r="EE807" s="2" t="n">
        <v>100</v>
      </c>
      <c r="EF807" s="2" t="n">
        <v>100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</row>
    <row r="808">
      <c r="A808" s="2" t="n">
        <v>4</v>
      </c>
      <c r="B808" s="2" t="inlineStr">
        <is>
          <t>32.06.01.03</t>
        </is>
      </c>
      <c r="C808" s="2" t="inlineStr">
        <is>
          <t>Concreto preparado na obra, controle "A", brita 1 e 2, fck 20 Mpa</t>
        </is>
      </c>
      <c r="D808" s="2" t="inlineStr">
        <is>
          <t>30/11/2027</t>
        </is>
      </c>
      <c r="E808" s="2" t="inlineStr">
        <is>
          <t>09/03/2028</t>
        </is>
      </c>
      <c r="F808" s="2" t="n">
        <v>30587.54371491671</v>
      </c>
      <c r="G808" s="2" t="n">
        <v>0</v>
      </c>
      <c r="H808" s="2" t="n">
        <v>30587.54371491671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1.52</v>
      </c>
      <c r="CT808" s="2" t="n">
        <v>0</v>
      </c>
      <c r="CU808" s="2" t="n">
        <v>24.24</v>
      </c>
      <c r="CV808" s="2" t="n">
        <v>25.76</v>
      </c>
      <c r="CW808" s="2" t="n">
        <v>0</v>
      </c>
      <c r="CX808" s="2" t="n">
        <v>56.06</v>
      </c>
      <c r="CY808" s="2" t="n">
        <v>57.58</v>
      </c>
      <c r="CZ808" s="2" t="n">
        <v>0</v>
      </c>
      <c r="DA808" s="2" t="n">
        <v>87.88</v>
      </c>
      <c r="DB808" s="2" t="n">
        <v>89.39</v>
      </c>
      <c r="DC808" s="2" t="n">
        <v>0</v>
      </c>
      <c r="DD808" s="2" t="n">
        <v>100</v>
      </c>
      <c r="DE808" s="2" t="n">
        <v>100</v>
      </c>
      <c r="DF808" s="2" t="n">
        <v>0</v>
      </c>
      <c r="DG808" s="2" t="n">
        <v>100</v>
      </c>
      <c r="DH808" s="2" t="n">
        <v>100</v>
      </c>
      <c r="DI808" s="2" t="n">
        <v>0</v>
      </c>
      <c r="DJ808" s="2" t="n">
        <v>100</v>
      </c>
      <c r="DK808" s="2" t="n">
        <v>100</v>
      </c>
      <c r="DL808" s="2" t="n">
        <v>0</v>
      </c>
      <c r="DM808" s="2" t="n">
        <v>100</v>
      </c>
      <c r="DN808" s="2" t="n">
        <v>100</v>
      </c>
      <c r="DO808" s="2" t="n">
        <v>0</v>
      </c>
      <c r="DP808" s="2" t="n">
        <v>100</v>
      </c>
      <c r="DQ808" s="2" t="n">
        <v>100</v>
      </c>
      <c r="DR808" s="2" t="n">
        <v>0</v>
      </c>
      <c r="DS808" s="2" t="n">
        <v>100</v>
      </c>
      <c r="DT808" s="2" t="n">
        <v>100</v>
      </c>
      <c r="DU808" s="2" t="n">
        <v>0</v>
      </c>
      <c r="DV808" s="2" t="n">
        <v>100</v>
      </c>
      <c r="DW808" s="2" t="n">
        <v>100</v>
      </c>
      <c r="DX808" s="2" t="n">
        <v>0</v>
      </c>
      <c r="DY808" s="2" t="n">
        <v>100</v>
      </c>
      <c r="DZ808" s="2" t="n">
        <v>100</v>
      </c>
      <c r="EA808" s="2" t="n">
        <v>0</v>
      </c>
      <c r="EB808" s="2" t="n">
        <v>100</v>
      </c>
      <c r="EC808" s="2" t="n">
        <v>100</v>
      </c>
      <c r="ED808" s="2" t="n">
        <v>0</v>
      </c>
      <c r="EE808" s="2" t="n">
        <v>100</v>
      </c>
      <c r="EF808" s="2" t="n">
        <v>100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</row>
    <row r="809">
      <c r="A809" s="2" t="n">
        <v>3</v>
      </c>
      <c r="B809" s="2" t="inlineStr">
        <is>
          <t>32.06.02</t>
        </is>
      </c>
      <c r="C809" s="2" t="inlineStr">
        <is>
          <t>Alvenaria de vedação com blocos de concreto esp. 14cm</t>
        </is>
      </c>
      <c r="D809" s="2" t="inlineStr">
        <is>
          <t>30/11/2027</t>
        </is>
      </c>
      <c r="E809" s="2" t="inlineStr">
        <is>
          <t>09/03/2028</t>
        </is>
      </c>
      <c r="F809" s="2" t="n">
        <v>113433.5770520989</v>
      </c>
      <c r="G809" s="2" t="n">
        <v>0</v>
      </c>
      <c r="H809" s="2" t="n">
        <v>113433.5770520989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1.52</v>
      </c>
      <c r="CT809" s="2" t="n">
        <v>0</v>
      </c>
      <c r="CU809" s="2" t="n">
        <v>24.24</v>
      </c>
      <c r="CV809" s="2" t="n">
        <v>25.76</v>
      </c>
      <c r="CW809" s="2" t="n">
        <v>0</v>
      </c>
      <c r="CX809" s="2" t="n">
        <v>56.06</v>
      </c>
      <c r="CY809" s="2" t="n">
        <v>57.58</v>
      </c>
      <c r="CZ809" s="2" t="n">
        <v>0</v>
      </c>
      <c r="DA809" s="2" t="n">
        <v>87.88</v>
      </c>
      <c r="DB809" s="2" t="n">
        <v>89.39</v>
      </c>
      <c r="DC809" s="2" t="n">
        <v>0</v>
      </c>
      <c r="DD809" s="2" t="n">
        <v>100</v>
      </c>
      <c r="DE809" s="2" t="n">
        <v>100</v>
      </c>
      <c r="DF809" s="2" t="n">
        <v>0</v>
      </c>
      <c r="DG809" s="2" t="n">
        <v>100</v>
      </c>
      <c r="DH809" s="2" t="n">
        <v>100</v>
      </c>
      <c r="DI809" s="2" t="n">
        <v>0</v>
      </c>
      <c r="DJ809" s="2" t="n">
        <v>100</v>
      </c>
      <c r="DK809" s="2" t="n">
        <v>100</v>
      </c>
      <c r="DL809" s="2" t="n">
        <v>0</v>
      </c>
      <c r="DM809" s="2" t="n">
        <v>100</v>
      </c>
      <c r="DN809" s="2" t="n">
        <v>100</v>
      </c>
      <c r="DO809" s="2" t="n">
        <v>0</v>
      </c>
      <c r="DP809" s="2" t="n">
        <v>100</v>
      </c>
      <c r="DQ809" s="2" t="n">
        <v>100</v>
      </c>
      <c r="DR809" s="2" t="n">
        <v>0</v>
      </c>
      <c r="DS809" s="2" t="n">
        <v>100</v>
      </c>
      <c r="DT809" s="2" t="n">
        <v>100</v>
      </c>
      <c r="DU809" s="2" t="n">
        <v>0</v>
      </c>
      <c r="DV809" s="2" t="n">
        <v>100</v>
      </c>
      <c r="DW809" s="2" t="n">
        <v>100</v>
      </c>
      <c r="DX809" s="2" t="n">
        <v>0</v>
      </c>
      <c r="DY809" s="2" t="n">
        <v>100</v>
      </c>
      <c r="DZ809" s="2" t="n">
        <v>100</v>
      </c>
      <c r="EA809" s="2" t="n">
        <v>0</v>
      </c>
      <c r="EB809" s="2" t="n">
        <v>100</v>
      </c>
      <c r="EC809" s="2" t="n">
        <v>100</v>
      </c>
      <c r="ED809" s="2" t="n">
        <v>0</v>
      </c>
      <c r="EE809" s="2" t="n">
        <v>100</v>
      </c>
      <c r="EF809" s="2" t="n">
        <v>100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</row>
    <row r="810">
      <c r="A810" s="2" t="n">
        <v>4</v>
      </c>
      <c r="B810" s="2" t="inlineStr">
        <is>
          <t>32.06.02.01</t>
        </is>
      </c>
      <c r="C810" s="2" t="inlineStr">
        <is>
          <t>Alvenaria de vedação com blocos de concreto esp. 14m</t>
        </is>
      </c>
      <c r="D810" s="2" t="inlineStr">
        <is>
          <t>30/11/2027</t>
        </is>
      </c>
      <c r="E810" s="2" t="inlineStr">
        <is>
          <t>09/03/2028</t>
        </is>
      </c>
      <c r="F810" s="2" t="n">
        <v>113433.5770520989</v>
      </c>
      <c r="G810" s="2" t="n">
        <v>0</v>
      </c>
      <c r="H810" s="2" t="n">
        <v>113433.5770520989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1.52</v>
      </c>
      <c r="CT810" s="2" t="n">
        <v>0</v>
      </c>
      <c r="CU810" s="2" t="n">
        <v>24.24</v>
      </c>
      <c r="CV810" s="2" t="n">
        <v>25.76</v>
      </c>
      <c r="CW810" s="2" t="n">
        <v>0</v>
      </c>
      <c r="CX810" s="2" t="n">
        <v>56.06</v>
      </c>
      <c r="CY810" s="2" t="n">
        <v>57.58</v>
      </c>
      <c r="CZ810" s="2" t="n">
        <v>0</v>
      </c>
      <c r="DA810" s="2" t="n">
        <v>87.88</v>
      </c>
      <c r="DB810" s="2" t="n">
        <v>89.39</v>
      </c>
      <c r="DC810" s="2" t="n">
        <v>0</v>
      </c>
      <c r="DD810" s="2" t="n">
        <v>100</v>
      </c>
      <c r="DE810" s="2" t="n">
        <v>100</v>
      </c>
      <c r="DF810" s="2" t="n">
        <v>0</v>
      </c>
      <c r="DG810" s="2" t="n">
        <v>100</v>
      </c>
      <c r="DH810" s="2" t="n">
        <v>100</v>
      </c>
      <c r="DI810" s="2" t="n">
        <v>0</v>
      </c>
      <c r="DJ810" s="2" t="n">
        <v>100</v>
      </c>
      <c r="DK810" s="2" t="n">
        <v>100</v>
      </c>
      <c r="DL810" s="2" t="n">
        <v>0</v>
      </c>
      <c r="DM810" s="2" t="n">
        <v>100</v>
      </c>
      <c r="DN810" s="2" t="n">
        <v>100</v>
      </c>
      <c r="DO810" s="2" t="n">
        <v>0</v>
      </c>
      <c r="DP810" s="2" t="n">
        <v>100</v>
      </c>
      <c r="DQ810" s="2" t="n">
        <v>100</v>
      </c>
      <c r="DR810" s="2" t="n">
        <v>0</v>
      </c>
      <c r="DS810" s="2" t="n">
        <v>100</v>
      </c>
      <c r="DT810" s="2" t="n">
        <v>100</v>
      </c>
      <c r="DU810" s="2" t="n">
        <v>0</v>
      </c>
      <c r="DV810" s="2" t="n">
        <v>100</v>
      </c>
      <c r="DW810" s="2" t="n">
        <v>100</v>
      </c>
      <c r="DX810" s="2" t="n">
        <v>0</v>
      </c>
      <c r="DY810" s="2" t="n">
        <v>100</v>
      </c>
      <c r="DZ810" s="2" t="n">
        <v>100</v>
      </c>
      <c r="EA810" s="2" t="n">
        <v>0</v>
      </c>
      <c r="EB810" s="2" t="n">
        <v>100</v>
      </c>
      <c r="EC810" s="2" t="n">
        <v>100</v>
      </c>
      <c r="ED810" s="2" t="n">
        <v>0</v>
      </c>
      <c r="EE810" s="2" t="n">
        <v>100</v>
      </c>
      <c r="EF810" s="2" t="n">
        <v>100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</row>
    <row r="811">
      <c r="A811" s="2" t="n">
        <v>3</v>
      </c>
      <c r="B811" s="2" t="inlineStr">
        <is>
          <t>32.06.03</t>
        </is>
      </c>
      <c r="C811" s="2" t="inlineStr">
        <is>
          <t>Revestimento do muro com argamassa de cimento e areia</t>
        </is>
      </c>
      <c r="D811" s="2" t="inlineStr">
        <is>
          <t>30/11/2027</t>
        </is>
      </c>
      <c r="E811" s="2" t="inlineStr">
        <is>
          <t>09/03/2028</t>
        </is>
      </c>
      <c r="F811" s="2" t="n">
        <v>139058.47624242</v>
      </c>
      <c r="G811" s="2" t="n">
        <v>0</v>
      </c>
      <c r="H811" s="2" t="n">
        <v>139058.47624242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1.52</v>
      </c>
      <c r="CT811" s="2" t="n">
        <v>0</v>
      </c>
      <c r="CU811" s="2" t="n">
        <v>24.24</v>
      </c>
      <c r="CV811" s="2" t="n">
        <v>25.76</v>
      </c>
      <c r="CW811" s="2" t="n">
        <v>0</v>
      </c>
      <c r="CX811" s="2" t="n">
        <v>56.06</v>
      </c>
      <c r="CY811" s="2" t="n">
        <v>57.58</v>
      </c>
      <c r="CZ811" s="2" t="n">
        <v>0</v>
      </c>
      <c r="DA811" s="2" t="n">
        <v>87.88</v>
      </c>
      <c r="DB811" s="2" t="n">
        <v>89.39</v>
      </c>
      <c r="DC811" s="2" t="n">
        <v>0</v>
      </c>
      <c r="DD811" s="2" t="n">
        <v>100</v>
      </c>
      <c r="DE811" s="2" t="n">
        <v>100</v>
      </c>
      <c r="DF811" s="2" t="n">
        <v>0</v>
      </c>
      <c r="DG811" s="2" t="n">
        <v>100</v>
      </c>
      <c r="DH811" s="2" t="n">
        <v>100</v>
      </c>
      <c r="DI811" s="2" t="n">
        <v>0</v>
      </c>
      <c r="DJ811" s="2" t="n">
        <v>100</v>
      </c>
      <c r="DK811" s="2" t="n">
        <v>100</v>
      </c>
      <c r="DL811" s="2" t="n">
        <v>0</v>
      </c>
      <c r="DM811" s="2" t="n">
        <v>100</v>
      </c>
      <c r="DN811" s="2" t="n">
        <v>100</v>
      </c>
      <c r="DO811" s="2" t="n">
        <v>0</v>
      </c>
      <c r="DP811" s="2" t="n">
        <v>100</v>
      </c>
      <c r="DQ811" s="2" t="n">
        <v>100</v>
      </c>
      <c r="DR811" s="2" t="n">
        <v>0</v>
      </c>
      <c r="DS811" s="2" t="n">
        <v>100</v>
      </c>
      <c r="DT811" s="2" t="n">
        <v>100</v>
      </c>
      <c r="DU811" s="2" t="n">
        <v>0</v>
      </c>
      <c r="DV811" s="2" t="n">
        <v>100</v>
      </c>
      <c r="DW811" s="2" t="n">
        <v>100</v>
      </c>
      <c r="DX811" s="2" t="n">
        <v>0</v>
      </c>
      <c r="DY811" s="2" t="n">
        <v>100</v>
      </c>
      <c r="DZ811" s="2" t="n">
        <v>100</v>
      </c>
      <c r="EA811" s="2" t="n">
        <v>0</v>
      </c>
      <c r="EB811" s="2" t="n">
        <v>100</v>
      </c>
      <c r="EC811" s="2" t="n">
        <v>100</v>
      </c>
      <c r="ED811" s="2" t="n">
        <v>0</v>
      </c>
      <c r="EE811" s="2" t="n">
        <v>100</v>
      </c>
      <c r="EF811" s="2" t="n">
        <v>100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</row>
    <row r="812">
      <c r="A812" s="2" t="n">
        <v>4</v>
      </c>
      <c r="B812" s="2" t="inlineStr">
        <is>
          <t>32.06.03.01</t>
        </is>
      </c>
      <c r="C812" s="2" t="inlineStr">
        <is>
          <t>Taliscamento de Parede</t>
        </is>
      </c>
      <c r="D812" s="2" t="inlineStr">
        <is>
          <t>30/11/2027</t>
        </is>
      </c>
      <c r="E812" s="2" t="inlineStr">
        <is>
          <t>09/03/2028</t>
        </is>
      </c>
      <c r="F812" s="2" t="n">
        <v>14209.3262745</v>
      </c>
      <c r="G812" s="2" t="n">
        <v>0</v>
      </c>
      <c r="H812" s="2" t="n">
        <v>14209.3262745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1.52</v>
      </c>
      <c r="CT812" s="2" t="n">
        <v>0</v>
      </c>
      <c r="CU812" s="2" t="n">
        <v>24.24</v>
      </c>
      <c r="CV812" s="2" t="n">
        <v>25.76</v>
      </c>
      <c r="CW812" s="2" t="n">
        <v>0</v>
      </c>
      <c r="CX812" s="2" t="n">
        <v>56.06</v>
      </c>
      <c r="CY812" s="2" t="n">
        <v>57.58</v>
      </c>
      <c r="CZ812" s="2" t="n">
        <v>0</v>
      </c>
      <c r="DA812" s="2" t="n">
        <v>87.88</v>
      </c>
      <c r="DB812" s="2" t="n">
        <v>89.39</v>
      </c>
      <c r="DC812" s="2" t="n">
        <v>0</v>
      </c>
      <c r="DD812" s="2" t="n">
        <v>100</v>
      </c>
      <c r="DE812" s="2" t="n">
        <v>100</v>
      </c>
      <c r="DF812" s="2" t="n">
        <v>0</v>
      </c>
      <c r="DG812" s="2" t="n">
        <v>100</v>
      </c>
      <c r="DH812" s="2" t="n">
        <v>100</v>
      </c>
      <c r="DI812" s="2" t="n">
        <v>0</v>
      </c>
      <c r="DJ812" s="2" t="n">
        <v>100</v>
      </c>
      <c r="DK812" s="2" t="n">
        <v>100</v>
      </c>
      <c r="DL812" s="2" t="n">
        <v>0</v>
      </c>
      <c r="DM812" s="2" t="n">
        <v>100</v>
      </c>
      <c r="DN812" s="2" t="n">
        <v>100</v>
      </c>
      <c r="DO812" s="2" t="n">
        <v>0</v>
      </c>
      <c r="DP812" s="2" t="n">
        <v>100</v>
      </c>
      <c r="DQ812" s="2" t="n">
        <v>100</v>
      </c>
      <c r="DR812" s="2" t="n">
        <v>0</v>
      </c>
      <c r="DS812" s="2" t="n">
        <v>100</v>
      </c>
      <c r="DT812" s="2" t="n">
        <v>100</v>
      </c>
      <c r="DU812" s="2" t="n">
        <v>0</v>
      </c>
      <c r="DV812" s="2" t="n">
        <v>100</v>
      </c>
      <c r="DW812" s="2" t="n">
        <v>100</v>
      </c>
      <c r="DX812" s="2" t="n">
        <v>0</v>
      </c>
      <c r="DY812" s="2" t="n">
        <v>100</v>
      </c>
      <c r="DZ812" s="2" t="n">
        <v>100</v>
      </c>
      <c r="EA812" s="2" t="n">
        <v>0</v>
      </c>
      <c r="EB812" s="2" t="n">
        <v>100</v>
      </c>
      <c r="EC812" s="2" t="n">
        <v>100</v>
      </c>
      <c r="ED812" s="2" t="n">
        <v>0</v>
      </c>
      <c r="EE812" s="2" t="n">
        <v>100</v>
      </c>
      <c r="EF812" s="2" t="n">
        <v>100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</row>
    <row r="813">
      <c r="A813" s="2" t="n">
        <v>4</v>
      </c>
      <c r="B813" s="2" t="inlineStr">
        <is>
          <t>32.06.03.02</t>
        </is>
      </c>
      <c r="C813" s="2" t="inlineStr">
        <is>
          <t>Chapisco</t>
        </is>
      </c>
      <c r="D813" s="2" t="inlineStr">
        <is>
          <t>30/11/2027</t>
        </is>
      </c>
      <c r="E813" s="2" t="inlineStr">
        <is>
          <t>09/03/2028</t>
        </is>
      </c>
      <c r="F813" s="2" t="n">
        <v>20556.12651792</v>
      </c>
      <c r="G813" s="2" t="n">
        <v>0</v>
      </c>
      <c r="H813" s="2" t="n">
        <v>20556.12651792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1.52</v>
      </c>
      <c r="CT813" s="2" t="n">
        <v>0</v>
      </c>
      <c r="CU813" s="2" t="n">
        <v>24.24</v>
      </c>
      <c r="CV813" s="2" t="n">
        <v>25.76</v>
      </c>
      <c r="CW813" s="2" t="n">
        <v>0</v>
      </c>
      <c r="CX813" s="2" t="n">
        <v>56.06</v>
      </c>
      <c r="CY813" s="2" t="n">
        <v>57.58</v>
      </c>
      <c r="CZ813" s="2" t="n">
        <v>0</v>
      </c>
      <c r="DA813" s="2" t="n">
        <v>87.88</v>
      </c>
      <c r="DB813" s="2" t="n">
        <v>89.39</v>
      </c>
      <c r="DC813" s="2" t="n">
        <v>0</v>
      </c>
      <c r="DD813" s="2" t="n">
        <v>100</v>
      </c>
      <c r="DE813" s="2" t="n">
        <v>100</v>
      </c>
      <c r="DF813" s="2" t="n">
        <v>0</v>
      </c>
      <c r="DG813" s="2" t="n">
        <v>100</v>
      </c>
      <c r="DH813" s="2" t="n">
        <v>100</v>
      </c>
      <c r="DI813" s="2" t="n">
        <v>0</v>
      </c>
      <c r="DJ813" s="2" t="n">
        <v>100</v>
      </c>
      <c r="DK813" s="2" t="n">
        <v>100</v>
      </c>
      <c r="DL813" s="2" t="n">
        <v>0</v>
      </c>
      <c r="DM813" s="2" t="n">
        <v>100</v>
      </c>
      <c r="DN813" s="2" t="n">
        <v>100</v>
      </c>
      <c r="DO813" s="2" t="n">
        <v>0</v>
      </c>
      <c r="DP813" s="2" t="n">
        <v>100</v>
      </c>
      <c r="DQ813" s="2" t="n">
        <v>100</v>
      </c>
      <c r="DR813" s="2" t="n">
        <v>0</v>
      </c>
      <c r="DS813" s="2" t="n">
        <v>100</v>
      </c>
      <c r="DT813" s="2" t="n">
        <v>100</v>
      </c>
      <c r="DU813" s="2" t="n">
        <v>0</v>
      </c>
      <c r="DV813" s="2" t="n">
        <v>100</v>
      </c>
      <c r="DW813" s="2" t="n">
        <v>100</v>
      </c>
      <c r="DX813" s="2" t="n">
        <v>0</v>
      </c>
      <c r="DY813" s="2" t="n">
        <v>100</v>
      </c>
      <c r="DZ813" s="2" t="n">
        <v>100</v>
      </c>
      <c r="EA813" s="2" t="n">
        <v>0</v>
      </c>
      <c r="EB813" s="2" t="n">
        <v>100</v>
      </c>
      <c r="EC813" s="2" t="n">
        <v>100</v>
      </c>
      <c r="ED813" s="2" t="n">
        <v>0</v>
      </c>
      <c r="EE813" s="2" t="n">
        <v>100</v>
      </c>
      <c r="EF813" s="2" t="n">
        <v>100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</row>
    <row r="814">
      <c r="A814" s="2" t="n">
        <v>4</v>
      </c>
      <c r="B814" s="2" t="inlineStr">
        <is>
          <t>32.06.03.03</t>
        </is>
      </c>
      <c r="C814" s="2" t="inlineStr">
        <is>
          <t>Reboco</t>
        </is>
      </c>
      <c r="D814" s="2" t="inlineStr">
        <is>
          <t>30/11/2027</t>
        </is>
      </c>
      <c r="E814" s="2" t="inlineStr">
        <is>
          <t>09/03/2028</t>
        </is>
      </c>
      <c r="F814" s="2" t="n">
        <v>104293.02345</v>
      </c>
      <c r="G814" s="2" t="n">
        <v>0</v>
      </c>
      <c r="H814" s="2" t="n">
        <v>104293.02345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1.52</v>
      </c>
      <c r="CT814" s="2" t="n">
        <v>0</v>
      </c>
      <c r="CU814" s="2" t="n">
        <v>24.24</v>
      </c>
      <c r="CV814" s="2" t="n">
        <v>25.76</v>
      </c>
      <c r="CW814" s="2" t="n">
        <v>0</v>
      </c>
      <c r="CX814" s="2" t="n">
        <v>56.06</v>
      </c>
      <c r="CY814" s="2" t="n">
        <v>57.58</v>
      </c>
      <c r="CZ814" s="2" t="n">
        <v>0</v>
      </c>
      <c r="DA814" s="2" t="n">
        <v>87.88</v>
      </c>
      <c r="DB814" s="2" t="n">
        <v>89.39</v>
      </c>
      <c r="DC814" s="2" t="n">
        <v>0</v>
      </c>
      <c r="DD814" s="2" t="n">
        <v>100</v>
      </c>
      <c r="DE814" s="2" t="n">
        <v>100</v>
      </c>
      <c r="DF814" s="2" t="n">
        <v>0</v>
      </c>
      <c r="DG814" s="2" t="n">
        <v>100</v>
      </c>
      <c r="DH814" s="2" t="n">
        <v>100</v>
      </c>
      <c r="DI814" s="2" t="n">
        <v>0</v>
      </c>
      <c r="DJ814" s="2" t="n">
        <v>100</v>
      </c>
      <c r="DK814" s="2" t="n">
        <v>100</v>
      </c>
      <c r="DL814" s="2" t="n">
        <v>0</v>
      </c>
      <c r="DM814" s="2" t="n">
        <v>100</v>
      </c>
      <c r="DN814" s="2" t="n">
        <v>100</v>
      </c>
      <c r="DO814" s="2" t="n">
        <v>0</v>
      </c>
      <c r="DP814" s="2" t="n">
        <v>100</v>
      </c>
      <c r="DQ814" s="2" t="n">
        <v>100</v>
      </c>
      <c r="DR814" s="2" t="n">
        <v>0</v>
      </c>
      <c r="DS814" s="2" t="n">
        <v>100</v>
      </c>
      <c r="DT814" s="2" t="n">
        <v>100</v>
      </c>
      <c r="DU814" s="2" t="n">
        <v>0</v>
      </c>
      <c r="DV814" s="2" t="n">
        <v>100</v>
      </c>
      <c r="DW814" s="2" t="n">
        <v>100</v>
      </c>
      <c r="DX814" s="2" t="n">
        <v>0</v>
      </c>
      <c r="DY814" s="2" t="n">
        <v>100</v>
      </c>
      <c r="DZ814" s="2" t="n">
        <v>100</v>
      </c>
      <c r="EA814" s="2" t="n">
        <v>0</v>
      </c>
      <c r="EB814" s="2" t="n">
        <v>100</v>
      </c>
      <c r="EC814" s="2" t="n">
        <v>100</v>
      </c>
      <c r="ED814" s="2" t="n">
        <v>0</v>
      </c>
      <c r="EE814" s="2" t="n">
        <v>100</v>
      </c>
      <c r="EF814" s="2" t="n">
        <v>100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</row>
    <row r="815">
      <c r="A815" s="2" t="n">
        <v>1</v>
      </c>
      <c r="B815" s="2" t="inlineStr">
        <is>
          <t>33</t>
        </is>
      </c>
      <c r="C815" s="2" t="inlineStr">
        <is>
          <t>FORROS DIVERSOS</t>
        </is>
      </c>
      <c r="D815" s="2" t="inlineStr">
        <is>
          <t>15/10/2027</t>
        </is>
      </c>
      <c r="E815" s="2" t="inlineStr">
        <is>
          <t>03/11/2028</t>
        </is>
      </c>
      <c r="F815" s="2" t="n">
        <v>1690544.877226372</v>
      </c>
      <c r="G815" s="2" t="n">
        <v>0</v>
      </c>
      <c r="H815" s="2" t="n">
        <v>1690544.877226372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2.12</v>
      </c>
      <c r="CP815" s="2" t="n">
        <v>3.89</v>
      </c>
      <c r="CQ815" s="2" t="n">
        <v>0</v>
      </c>
      <c r="CR815" s="2" t="n">
        <v>9.779999999999999</v>
      </c>
      <c r="CS815" s="2" t="n">
        <v>11.59</v>
      </c>
      <c r="CT815" s="2" t="n">
        <v>0</v>
      </c>
      <c r="CU815" s="2" t="n">
        <v>16.33</v>
      </c>
      <c r="CV815" s="2" t="n">
        <v>18.17</v>
      </c>
      <c r="CW815" s="2" t="n">
        <v>0</v>
      </c>
      <c r="CX815" s="2" t="n">
        <v>24.98</v>
      </c>
      <c r="CY815" s="2" t="n">
        <v>26.79</v>
      </c>
      <c r="CZ815" s="2" t="n">
        <v>0</v>
      </c>
      <c r="DA815" s="2" t="n">
        <v>34.65</v>
      </c>
      <c r="DB815" s="2" t="n">
        <v>36.81</v>
      </c>
      <c r="DC815" s="2" t="n">
        <v>0</v>
      </c>
      <c r="DD815" s="2" t="n">
        <v>51.63</v>
      </c>
      <c r="DE815" s="2" t="n">
        <v>53.78</v>
      </c>
      <c r="DF815" s="2" t="n">
        <v>0</v>
      </c>
      <c r="DG815" s="2" t="n">
        <v>60.52</v>
      </c>
      <c r="DH815" s="2" t="n">
        <v>62.3</v>
      </c>
      <c r="DI815" s="2" t="n">
        <v>0</v>
      </c>
      <c r="DJ815" s="2" t="n">
        <v>69.73999999999999</v>
      </c>
      <c r="DK815" s="2" t="n">
        <v>71.51000000000001</v>
      </c>
      <c r="DL815" s="2" t="n">
        <v>0</v>
      </c>
      <c r="DM815" s="2" t="n">
        <v>77.18000000000001</v>
      </c>
      <c r="DN815" s="2" t="n">
        <v>79.36</v>
      </c>
      <c r="DO815" s="2" t="n">
        <v>0</v>
      </c>
      <c r="DP815" s="2" t="n">
        <v>85.03</v>
      </c>
      <c r="DQ815" s="2" t="n">
        <v>86.84999999999999</v>
      </c>
      <c r="DR815" s="2" t="n">
        <v>0</v>
      </c>
      <c r="DS815" s="2" t="n">
        <v>92.65000000000001</v>
      </c>
      <c r="DT815" s="2" t="n">
        <v>95.09999999999999</v>
      </c>
      <c r="DU815" s="2" t="n">
        <v>0</v>
      </c>
      <c r="DV815" s="2" t="n">
        <v>95.78</v>
      </c>
      <c r="DW815" s="2" t="n">
        <v>96.81</v>
      </c>
      <c r="DX815" s="2" t="n">
        <v>0</v>
      </c>
      <c r="DY815" s="2" t="n">
        <v>96.81</v>
      </c>
      <c r="DZ815" s="2" t="n">
        <v>99.09</v>
      </c>
      <c r="EA815" s="2" t="n">
        <v>0</v>
      </c>
      <c r="EB815" s="2" t="n">
        <v>100</v>
      </c>
      <c r="EC815" s="2" t="n">
        <v>100</v>
      </c>
      <c r="ED815" s="2" t="n">
        <v>0</v>
      </c>
      <c r="EE815" s="2" t="n">
        <v>100</v>
      </c>
      <c r="EF815" s="2" t="n">
        <v>100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</row>
    <row r="816">
      <c r="A816" s="2" t="n">
        <v>2</v>
      </c>
      <c r="B816" s="2" t="inlineStr">
        <is>
          <t>33.01</t>
        </is>
      </c>
      <c r="C816" s="2" t="inlineStr">
        <is>
          <t>Forro de Gesso</t>
        </is>
      </c>
      <c r="D816" s="2" t="inlineStr">
        <is>
          <t>15/10/2027</t>
        </is>
      </c>
      <c r="E816" s="2" t="inlineStr">
        <is>
          <t>03/11/2028</t>
        </is>
      </c>
      <c r="F816" s="2" t="n">
        <v>1690544.877226372</v>
      </c>
      <c r="G816" s="2" t="n">
        <v>0</v>
      </c>
      <c r="H816" s="2" t="n">
        <v>1690544.877226372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2.12</v>
      </c>
      <c r="CP816" s="2" t="n">
        <v>3.89</v>
      </c>
      <c r="CQ816" s="2" t="n">
        <v>0</v>
      </c>
      <c r="CR816" s="2" t="n">
        <v>9.779999999999999</v>
      </c>
      <c r="CS816" s="2" t="n">
        <v>11.59</v>
      </c>
      <c r="CT816" s="2" t="n">
        <v>0</v>
      </c>
      <c r="CU816" s="2" t="n">
        <v>16.33</v>
      </c>
      <c r="CV816" s="2" t="n">
        <v>18.17</v>
      </c>
      <c r="CW816" s="2" t="n">
        <v>0</v>
      </c>
      <c r="CX816" s="2" t="n">
        <v>24.98</v>
      </c>
      <c r="CY816" s="2" t="n">
        <v>26.79</v>
      </c>
      <c r="CZ816" s="2" t="n">
        <v>0</v>
      </c>
      <c r="DA816" s="2" t="n">
        <v>34.65</v>
      </c>
      <c r="DB816" s="2" t="n">
        <v>36.81</v>
      </c>
      <c r="DC816" s="2" t="n">
        <v>0</v>
      </c>
      <c r="DD816" s="2" t="n">
        <v>51.63</v>
      </c>
      <c r="DE816" s="2" t="n">
        <v>53.78</v>
      </c>
      <c r="DF816" s="2" t="n">
        <v>0</v>
      </c>
      <c r="DG816" s="2" t="n">
        <v>60.52</v>
      </c>
      <c r="DH816" s="2" t="n">
        <v>62.3</v>
      </c>
      <c r="DI816" s="2" t="n">
        <v>0</v>
      </c>
      <c r="DJ816" s="2" t="n">
        <v>69.73999999999999</v>
      </c>
      <c r="DK816" s="2" t="n">
        <v>71.51000000000001</v>
      </c>
      <c r="DL816" s="2" t="n">
        <v>0</v>
      </c>
      <c r="DM816" s="2" t="n">
        <v>77.18000000000001</v>
      </c>
      <c r="DN816" s="2" t="n">
        <v>79.36</v>
      </c>
      <c r="DO816" s="2" t="n">
        <v>0</v>
      </c>
      <c r="DP816" s="2" t="n">
        <v>85.03</v>
      </c>
      <c r="DQ816" s="2" t="n">
        <v>86.84999999999999</v>
      </c>
      <c r="DR816" s="2" t="n">
        <v>0</v>
      </c>
      <c r="DS816" s="2" t="n">
        <v>92.65000000000001</v>
      </c>
      <c r="DT816" s="2" t="n">
        <v>95.09999999999999</v>
      </c>
      <c r="DU816" s="2" t="n">
        <v>0</v>
      </c>
      <c r="DV816" s="2" t="n">
        <v>95.78</v>
      </c>
      <c r="DW816" s="2" t="n">
        <v>96.81</v>
      </c>
      <c r="DX816" s="2" t="n">
        <v>0</v>
      </c>
      <c r="DY816" s="2" t="n">
        <v>96.81</v>
      </c>
      <c r="DZ816" s="2" t="n">
        <v>99.09</v>
      </c>
      <c r="EA816" s="2" t="n">
        <v>0</v>
      </c>
      <c r="EB816" s="2" t="n">
        <v>100</v>
      </c>
      <c r="EC816" s="2" t="n">
        <v>100</v>
      </c>
      <c r="ED816" s="2" t="n">
        <v>0</v>
      </c>
      <c r="EE816" s="2" t="n">
        <v>100</v>
      </c>
      <c r="EF816" s="2" t="n">
        <v>100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</row>
    <row r="817">
      <c r="A817" s="2" t="n">
        <v>3</v>
      </c>
      <c r="B817" s="2" t="inlineStr">
        <is>
          <t>33.01.01</t>
        </is>
      </c>
      <c r="C817" s="2" t="inlineStr">
        <is>
          <t>Chapisco rolado</t>
        </is>
      </c>
      <c r="D817" s="2" t="inlineStr">
        <is>
          <t>15/10/2027</t>
        </is>
      </c>
      <c r="E817" s="2" t="inlineStr">
        <is>
          <t>03/11/2028</t>
        </is>
      </c>
      <c r="F817" s="2" t="n">
        <v>166.08329732272</v>
      </c>
      <c r="G817" s="2" t="n">
        <v>0</v>
      </c>
      <c r="H817" s="2" t="n">
        <v>166.08329732272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2.12</v>
      </c>
      <c r="CP817" s="2" t="n">
        <v>3.89</v>
      </c>
      <c r="CQ817" s="2" t="n">
        <v>0</v>
      </c>
      <c r="CR817" s="2" t="n">
        <v>9.779999999999999</v>
      </c>
      <c r="CS817" s="2" t="n">
        <v>11.59</v>
      </c>
      <c r="CT817" s="2" t="n">
        <v>0</v>
      </c>
      <c r="CU817" s="2" t="n">
        <v>16.33</v>
      </c>
      <c r="CV817" s="2" t="n">
        <v>18.17</v>
      </c>
      <c r="CW817" s="2" t="n">
        <v>0</v>
      </c>
      <c r="CX817" s="2" t="n">
        <v>24.98</v>
      </c>
      <c r="CY817" s="2" t="n">
        <v>26.79</v>
      </c>
      <c r="CZ817" s="2" t="n">
        <v>0</v>
      </c>
      <c r="DA817" s="2" t="n">
        <v>34.65</v>
      </c>
      <c r="DB817" s="2" t="n">
        <v>36.81</v>
      </c>
      <c r="DC817" s="2" t="n">
        <v>0</v>
      </c>
      <c r="DD817" s="2" t="n">
        <v>51.63</v>
      </c>
      <c r="DE817" s="2" t="n">
        <v>53.78</v>
      </c>
      <c r="DF817" s="2" t="n">
        <v>0</v>
      </c>
      <c r="DG817" s="2" t="n">
        <v>60.52</v>
      </c>
      <c r="DH817" s="2" t="n">
        <v>62.3</v>
      </c>
      <c r="DI817" s="2" t="n">
        <v>0</v>
      </c>
      <c r="DJ817" s="2" t="n">
        <v>69.73999999999999</v>
      </c>
      <c r="DK817" s="2" t="n">
        <v>71.51000000000001</v>
      </c>
      <c r="DL817" s="2" t="n">
        <v>0</v>
      </c>
      <c r="DM817" s="2" t="n">
        <v>77.18000000000001</v>
      </c>
      <c r="DN817" s="2" t="n">
        <v>79.36</v>
      </c>
      <c r="DO817" s="2" t="n">
        <v>0</v>
      </c>
      <c r="DP817" s="2" t="n">
        <v>85.03</v>
      </c>
      <c r="DQ817" s="2" t="n">
        <v>86.84999999999999</v>
      </c>
      <c r="DR817" s="2" t="n">
        <v>0</v>
      </c>
      <c r="DS817" s="2" t="n">
        <v>92.65000000000001</v>
      </c>
      <c r="DT817" s="2" t="n">
        <v>95.09999999999999</v>
      </c>
      <c r="DU817" s="2" t="n">
        <v>0</v>
      </c>
      <c r="DV817" s="2" t="n">
        <v>95.78</v>
      </c>
      <c r="DW817" s="2" t="n">
        <v>96.81</v>
      </c>
      <c r="DX817" s="2" t="n">
        <v>0</v>
      </c>
      <c r="DY817" s="2" t="n">
        <v>96.81</v>
      </c>
      <c r="DZ817" s="2" t="n">
        <v>99.09</v>
      </c>
      <c r="EA817" s="2" t="n">
        <v>0</v>
      </c>
      <c r="EB817" s="2" t="n">
        <v>100</v>
      </c>
      <c r="EC817" s="2" t="n">
        <v>100</v>
      </c>
      <c r="ED817" s="2" t="n">
        <v>0</v>
      </c>
      <c r="EE817" s="2" t="n">
        <v>100</v>
      </c>
      <c r="EF817" s="2" t="n">
        <v>100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</row>
    <row r="818">
      <c r="A818" s="2" t="n">
        <v>3</v>
      </c>
      <c r="B818" s="2" t="inlineStr">
        <is>
          <t>33.01.02</t>
        </is>
      </c>
      <c r="C818" s="2" t="inlineStr">
        <is>
          <t>Gesso Corrido em Tetos</t>
        </is>
      </c>
      <c r="D818" s="2" t="inlineStr">
        <is>
          <t>15/10/2027</t>
        </is>
      </c>
      <c r="E818" s="2" t="inlineStr">
        <is>
          <t>03/11/2028</t>
        </is>
      </c>
      <c r="F818" s="2" t="n">
        <v>453.1109290490664</v>
      </c>
      <c r="G818" s="2" t="n">
        <v>0</v>
      </c>
      <c r="H818" s="2" t="n">
        <v>453.1109290490664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2.12</v>
      </c>
      <c r="CP818" s="2" t="n">
        <v>3.89</v>
      </c>
      <c r="CQ818" s="2" t="n">
        <v>0</v>
      </c>
      <c r="CR818" s="2" t="n">
        <v>9.779999999999999</v>
      </c>
      <c r="CS818" s="2" t="n">
        <v>11.59</v>
      </c>
      <c r="CT818" s="2" t="n">
        <v>0</v>
      </c>
      <c r="CU818" s="2" t="n">
        <v>16.33</v>
      </c>
      <c r="CV818" s="2" t="n">
        <v>18.17</v>
      </c>
      <c r="CW818" s="2" t="n">
        <v>0</v>
      </c>
      <c r="CX818" s="2" t="n">
        <v>24.98</v>
      </c>
      <c r="CY818" s="2" t="n">
        <v>26.79</v>
      </c>
      <c r="CZ818" s="2" t="n">
        <v>0</v>
      </c>
      <c r="DA818" s="2" t="n">
        <v>34.65</v>
      </c>
      <c r="DB818" s="2" t="n">
        <v>36.81</v>
      </c>
      <c r="DC818" s="2" t="n">
        <v>0</v>
      </c>
      <c r="DD818" s="2" t="n">
        <v>51.63</v>
      </c>
      <c r="DE818" s="2" t="n">
        <v>53.78</v>
      </c>
      <c r="DF818" s="2" t="n">
        <v>0</v>
      </c>
      <c r="DG818" s="2" t="n">
        <v>60.52</v>
      </c>
      <c r="DH818" s="2" t="n">
        <v>62.3</v>
      </c>
      <c r="DI818" s="2" t="n">
        <v>0</v>
      </c>
      <c r="DJ818" s="2" t="n">
        <v>69.73999999999999</v>
      </c>
      <c r="DK818" s="2" t="n">
        <v>71.51000000000001</v>
      </c>
      <c r="DL818" s="2" t="n">
        <v>0</v>
      </c>
      <c r="DM818" s="2" t="n">
        <v>77.18000000000001</v>
      </c>
      <c r="DN818" s="2" t="n">
        <v>79.36</v>
      </c>
      <c r="DO818" s="2" t="n">
        <v>0</v>
      </c>
      <c r="DP818" s="2" t="n">
        <v>85.03</v>
      </c>
      <c r="DQ818" s="2" t="n">
        <v>86.84999999999999</v>
      </c>
      <c r="DR818" s="2" t="n">
        <v>0</v>
      </c>
      <c r="DS818" s="2" t="n">
        <v>92.65000000000001</v>
      </c>
      <c r="DT818" s="2" t="n">
        <v>95.09999999999999</v>
      </c>
      <c r="DU818" s="2" t="n">
        <v>0</v>
      </c>
      <c r="DV818" s="2" t="n">
        <v>95.78</v>
      </c>
      <c r="DW818" s="2" t="n">
        <v>96.81</v>
      </c>
      <c r="DX818" s="2" t="n">
        <v>0</v>
      </c>
      <c r="DY818" s="2" t="n">
        <v>96.81</v>
      </c>
      <c r="DZ818" s="2" t="n">
        <v>99.09</v>
      </c>
      <c r="EA818" s="2" t="n">
        <v>0</v>
      </c>
      <c r="EB818" s="2" t="n">
        <v>100</v>
      </c>
      <c r="EC818" s="2" t="n">
        <v>100</v>
      </c>
      <c r="ED818" s="2" t="n">
        <v>0</v>
      </c>
      <c r="EE818" s="2" t="n">
        <v>100</v>
      </c>
      <c r="EF818" s="2" t="n">
        <v>100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</row>
    <row r="819">
      <c r="A819" s="2" t="n">
        <v>3</v>
      </c>
      <c r="B819" s="2" t="inlineStr">
        <is>
          <t>33.01.03</t>
        </is>
      </c>
      <c r="C819" s="2" t="inlineStr">
        <is>
          <t>Forro de gesso acartonado</t>
        </is>
      </c>
      <c r="D819" s="2" t="inlineStr">
        <is>
          <t>15/10/2027</t>
        </is>
      </c>
      <c r="E819" s="2" t="inlineStr">
        <is>
          <t>03/11/2028</t>
        </is>
      </c>
      <c r="F819" s="2" t="n">
        <v>1071671.256</v>
      </c>
      <c r="G819" s="2" t="n">
        <v>0</v>
      </c>
      <c r="H819" s="2" t="n">
        <v>1071671.256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2.12</v>
      </c>
      <c r="CP819" s="2" t="n">
        <v>3.89</v>
      </c>
      <c r="CQ819" s="2" t="n">
        <v>0</v>
      </c>
      <c r="CR819" s="2" t="n">
        <v>9.779999999999999</v>
      </c>
      <c r="CS819" s="2" t="n">
        <v>11.59</v>
      </c>
      <c r="CT819" s="2" t="n">
        <v>0</v>
      </c>
      <c r="CU819" s="2" t="n">
        <v>16.33</v>
      </c>
      <c r="CV819" s="2" t="n">
        <v>18.17</v>
      </c>
      <c r="CW819" s="2" t="n">
        <v>0</v>
      </c>
      <c r="CX819" s="2" t="n">
        <v>24.98</v>
      </c>
      <c r="CY819" s="2" t="n">
        <v>26.79</v>
      </c>
      <c r="CZ819" s="2" t="n">
        <v>0</v>
      </c>
      <c r="DA819" s="2" t="n">
        <v>34.65</v>
      </c>
      <c r="DB819" s="2" t="n">
        <v>36.81</v>
      </c>
      <c r="DC819" s="2" t="n">
        <v>0</v>
      </c>
      <c r="DD819" s="2" t="n">
        <v>51.63</v>
      </c>
      <c r="DE819" s="2" t="n">
        <v>53.78</v>
      </c>
      <c r="DF819" s="2" t="n">
        <v>0</v>
      </c>
      <c r="DG819" s="2" t="n">
        <v>60.52</v>
      </c>
      <c r="DH819" s="2" t="n">
        <v>62.3</v>
      </c>
      <c r="DI819" s="2" t="n">
        <v>0</v>
      </c>
      <c r="DJ819" s="2" t="n">
        <v>69.73999999999999</v>
      </c>
      <c r="DK819" s="2" t="n">
        <v>71.51000000000001</v>
      </c>
      <c r="DL819" s="2" t="n">
        <v>0</v>
      </c>
      <c r="DM819" s="2" t="n">
        <v>77.18000000000001</v>
      </c>
      <c r="DN819" s="2" t="n">
        <v>79.36</v>
      </c>
      <c r="DO819" s="2" t="n">
        <v>0</v>
      </c>
      <c r="DP819" s="2" t="n">
        <v>85.03</v>
      </c>
      <c r="DQ819" s="2" t="n">
        <v>86.84999999999999</v>
      </c>
      <c r="DR819" s="2" t="n">
        <v>0</v>
      </c>
      <c r="DS819" s="2" t="n">
        <v>92.65000000000001</v>
      </c>
      <c r="DT819" s="2" t="n">
        <v>95.09999999999999</v>
      </c>
      <c r="DU819" s="2" t="n">
        <v>0</v>
      </c>
      <c r="DV819" s="2" t="n">
        <v>95.78</v>
      </c>
      <c r="DW819" s="2" t="n">
        <v>96.81</v>
      </c>
      <c r="DX819" s="2" t="n">
        <v>0</v>
      </c>
      <c r="DY819" s="2" t="n">
        <v>96.81</v>
      </c>
      <c r="DZ819" s="2" t="n">
        <v>99.09</v>
      </c>
      <c r="EA819" s="2" t="n">
        <v>0</v>
      </c>
      <c r="EB819" s="2" t="n">
        <v>100</v>
      </c>
      <c r="EC819" s="2" t="n">
        <v>100</v>
      </c>
      <c r="ED819" s="2" t="n">
        <v>0</v>
      </c>
      <c r="EE819" s="2" t="n">
        <v>100</v>
      </c>
      <c r="EF819" s="2" t="n">
        <v>100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</row>
    <row r="820">
      <c r="A820" s="2" t="n">
        <v>3</v>
      </c>
      <c r="B820" s="2" t="inlineStr">
        <is>
          <t>33.01.04</t>
        </is>
      </c>
      <c r="C820" s="2" t="inlineStr">
        <is>
          <t>Sanca renovação de ar</t>
        </is>
      </c>
      <c r="D820" s="2" t="inlineStr">
        <is>
          <t>15/10/2027</t>
        </is>
      </c>
      <c r="E820" s="2" t="inlineStr">
        <is>
          <t>03/11/2028</t>
        </is>
      </c>
      <c r="F820" s="2" t="n">
        <v>1880.28</v>
      </c>
      <c r="G820" s="2" t="n">
        <v>0</v>
      </c>
      <c r="H820" s="2" t="n">
        <v>1880.28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2.12</v>
      </c>
      <c r="CP820" s="2" t="n">
        <v>3.89</v>
      </c>
      <c r="CQ820" s="2" t="n">
        <v>0</v>
      </c>
      <c r="CR820" s="2" t="n">
        <v>9.779999999999999</v>
      </c>
      <c r="CS820" s="2" t="n">
        <v>11.59</v>
      </c>
      <c r="CT820" s="2" t="n">
        <v>0</v>
      </c>
      <c r="CU820" s="2" t="n">
        <v>16.33</v>
      </c>
      <c r="CV820" s="2" t="n">
        <v>18.17</v>
      </c>
      <c r="CW820" s="2" t="n">
        <v>0</v>
      </c>
      <c r="CX820" s="2" t="n">
        <v>24.98</v>
      </c>
      <c r="CY820" s="2" t="n">
        <v>26.79</v>
      </c>
      <c r="CZ820" s="2" t="n">
        <v>0</v>
      </c>
      <c r="DA820" s="2" t="n">
        <v>34.65</v>
      </c>
      <c r="DB820" s="2" t="n">
        <v>36.81</v>
      </c>
      <c r="DC820" s="2" t="n">
        <v>0</v>
      </c>
      <c r="DD820" s="2" t="n">
        <v>51.63</v>
      </c>
      <c r="DE820" s="2" t="n">
        <v>53.78</v>
      </c>
      <c r="DF820" s="2" t="n">
        <v>0</v>
      </c>
      <c r="DG820" s="2" t="n">
        <v>60.52</v>
      </c>
      <c r="DH820" s="2" t="n">
        <v>62.3</v>
      </c>
      <c r="DI820" s="2" t="n">
        <v>0</v>
      </c>
      <c r="DJ820" s="2" t="n">
        <v>69.73999999999999</v>
      </c>
      <c r="DK820" s="2" t="n">
        <v>71.51000000000001</v>
      </c>
      <c r="DL820" s="2" t="n">
        <v>0</v>
      </c>
      <c r="DM820" s="2" t="n">
        <v>77.18000000000001</v>
      </c>
      <c r="DN820" s="2" t="n">
        <v>79.36</v>
      </c>
      <c r="DO820" s="2" t="n">
        <v>0</v>
      </c>
      <c r="DP820" s="2" t="n">
        <v>85.03</v>
      </c>
      <c r="DQ820" s="2" t="n">
        <v>86.84999999999999</v>
      </c>
      <c r="DR820" s="2" t="n">
        <v>0</v>
      </c>
      <c r="DS820" s="2" t="n">
        <v>92.65000000000001</v>
      </c>
      <c r="DT820" s="2" t="n">
        <v>95.09999999999999</v>
      </c>
      <c r="DU820" s="2" t="n">
        <v>0</v>
      </c>
      <c r="DV820" s="2" t="n">
        <v>95.78</v>
      </c>
      <c r="DW820" s="2" t="n">
        <v>96.81</v>
      </c>
      <c r="DX820" s="2" t="n">
        <v>0</v>
      </c>
      <c r="DY820" s="2" t="n">
        <v>96.81</v>
      </c>
      <c r="DZ820" s="2" t="n">
        <v>99.09</v>
      </c>
      <c r="EA820" s="2" t="n">
        <v>0</v>
      </c>
      <c r="EB820" s="2" t="n">
        <v>100</v>
      </c>
      <c r="EC820" s="2" t="n">
        <v>100</v>
      </c>
      <c r="ED820" s="2" t="n">
        <v>0</v>
      </c>
      <c r="EE820" s="2" t="n">
        <v>100</v>
      </c>
      <c r="EF820" s="2" t="n">
        <v>100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</row>
    <row r="821">
      <c r="A821" s="2" t="n">
        <v>3</v>
      </c>
      <c r="B821" s="2" t="inlineStr">
        <is>
          <t>33.01.05</t>
        </is>
      </c>
      <c r="C821" s="2" t="inlineStr">
        <is>
          <t>Moldura de 50cm</t>
        </is>
      </c>
      <c r="D821" s="2" t="inlineStr">
        <is>
          <t>15/10/2027</t>
        </is>
      </c>
      <c r="E821" s="2" t="inlineStr">
        <is>
          <t>03/11/2028</t>
        </is>
      </c>
      <c r="F821" s="2" t="n">
        <v>4171.416</v>
      </c>
      <c r="G821" s="2" t="n">
        <v>0</v>
      </c>
      <c r="H821" s="2" t="n">
        <v>4171.416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2.12</v>
      </c>
      <c r="CP821" s="2" t="n">
        <v>3.89</v>
      </c>
      <c r="CQ821" s="2" t="n">
        <v>0</v>
      </c>
      <c r="CR821" s="2" t="n">
        <v>9.779999999999999</v>
      </c>
      <c r="CS821" s="2" t="n">
        <v>11.59</v>
      </c>
      <c r="CT821" s="2" t="n">
        <v>0</v>
      </c>
      <c r="CU821" s="2" t="n">
        <v>16.33</v>
      </c>
      <c r="CV821" s="2" t="n">
        <v>18.17</v>
      </c>
      <c r="CW821" s="2" t="n">
        <v>0</v>
      </c>
      <c r="CX821" s="2" t="n">
        <v>24.98</v>
      </c>
      <c r="CY821" s="2" t="n">
        <v>26.79</v>
      </c>
      <c r="CZ821" s="2" t="n">
        <v>0</v>
      </c>
      <c r="DA821" s="2" t="n">
        <v>34.65</v>
      </c>
      <c r="DB821" s="2" t="n">
        <v>36.81</v>
      </c>
      <c r="DC821" s="2" t="n">
        <v>0</v>
      </c>
      <c r="DD821" s="2" t="n">
        <v>51.63</v>
      </c>
      <c r="DE821" s="2" t="n">
        <v>53.78</v>
      </c>
      <c r="DF821" s="2" t="n">
        <v>0</v>
      </c>
      <c r="DG821" s="2" t="n">
        <v>60.52</v>
      </c>
      <c r="DH821" s="2" t="n">
        <v>62.3</v>
      </c>
      <c r="DI821" s="2" t="n">
        <v>0</v>
      </c>
      <c r="DJ821" s="2" t="n">
        <v>69.73999999999999</v>
      </c>
      <c r="DK821" s="2" t="n">
        <v>71.51000000000001</v>
      </c>
      <c r="DL821" s="2" t="n">
        <v>0</v>
      </c>
      <c r="DM821" s="2" t="n">
        <v>77.18000000000001</v>
      </c>
      <c r="DN821" s="2" t="n">
        <v>79.36</v>
      </c>
      <c r="DO821" s="2" t="n">
        <v>0</v>
      </c>
      <c r="DP821" s="2" t="n">
        <v>85.03</v>
      </c>
      <c r="DQ821" s="2" t="n">
        <v>86.84999999999999</v>
      </c>
      <c r="DR821" s="2" t="n">
        <v>0</v>
      </c>
      <c r="DS821" s="2" t="n">
        <v>92.65000000000001</v>
      </c>
      <c r="DT821" s="2" t="n">
        <v>95.09999999999999</v>
      </c>
      <c r="DU821" s="2" t="n">
        <v>0</v>
      </c>
      <c r="DV821" s="2" t="n">
        <v>95.78</v>
      </c>
      <c r="DW821" s="2" t="n">
        <v>96.81</v>
      </c>
      <c r="DX821" s="2" t="n">
        <v>0</v>
      </c>
      <c r="DY821" s="2" t="n">
        <v>96.81</v>
      </c>
      <c r="DZ821" s="2" t="n">
        <v>99.09</v>
      </c>
      <c r="EA821" s="2" t="n">
        <v>0</v>
      </c>
      <c r="EB821" s="2" t="n">
        <v>100</v>
      </c>
      <c r="EC821" s="2" t="n">
        <v>100</v>
      </c>
      <c r="ED821" s="2" t="n">
        <v>0</v>
      </c>
      <c r="EE821" s="2" t="n">
        <v>100</v>
      </c>
      <c r="EF821" s="2" t="n">
        <v>100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</row>
    <row r="822">
      <c r="A822" s="2" t="n">
        <v>3</v>
      </c>
      <c r="B822" s="2" t="inlineStr">
        <is>
          <t>33.01.06</t>
        </is>
      </c>
      <c r="C822" s="2" t="inlineStr">
        <is>
          <t>Tabica Metálica</t>
        </is>
      </c>
      <c r="D822" s="2" t="inlineStr">
        <is>
          <t>15/10/2027</t>
        </is>
      </c>
      <c r="E822" s="2" t="inlineStr">
        <is>
          <t>03/11/2028</t>
        </is>
      </c>
      <c r="F822" s="2" t="n">
        <v>612202.731</v>
      </c>
      <c r="G822" s="2" t="n">
        <v>0</v>
      </c>
      <c r="H822" s="2" t="n">
        <v>612202.731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2.12</v>
      </c>
      <c r="CP822" s="2" t="n">
        <v>3.89</v>
      </c>
      <c r="CQ822" s="2" t="n">
        <v>0</v>
      </c>
      <c r="CR822" s="2" t="n">
        <v>9.779999999999999</v>
      </c>
      <c r="CS822" s="2" t="n">
        <v>11.59</v>
      </c>
      <c r="CT822" s="2" t="n">
        <v>0</v>
      </c>
      <c r="CU822" s="2" t="n">
        <v>16.33</v>
      </c>
      <c r="CV822" s="2" t="n">
        <v>18.17</v>
      </c>
      <c r="CW822" s="2" t="n">
        <v>0</v>
      </c>
      <c r="CX822" s="2" t="n">
        <v>24.98</v>
      </c>
      <c r="CY822" s="2" t="n">
        <v>26.79</v>
      </c>
      <c r="CZ822" s="2" t="n">
        <v>0</v>
      </c>
      <c r="DA822" s="2" t="n">
        <v>34.65</v>
      </c>
      <c r="DB822" s="2" t="n">
        <v>36.81</v>
      </c>
      <c r="DC822" s="2" t="n">
        <v>0</v>
      </c>
      <c r="DD822" s="2" t="n">
        <v>51.63</v>
      </c>
      <c r="DE822" s="2" t="n">
        <v>53.78</v>
      </c>
      <c r="DF822" s="2" t="n">
        <v>0</v>
      </c>
      <c r="DG822" s="2" t="n">
        <v>60.52</v>
      </c>
      <c r="DH822" s="2" t="n">
        <v>62.3</v>
      </c>
      <c r="DI822" s="2" t="n">
        <v>0</v>
      </c>
      <c r="DJ822" s="2" t="n">
        <v>69.73999999999999</v>
      </c>
      <c r="DK822" s="2" t="n">
        <v>71.51000000000001</v>
      </c>
      <c r="DL822" s="2" t="n">
        <v>0</v>
      </c>
      <c r="DM822" s="2" t="n">
        <v>77.18000000000001</v>
      </c>
      <c r="DN822" s="2" t="n">
        <v>79.36</v>
      </c>
      <c r="DO822" s="2" t="n">
        <v>0</v>
      </c>
      <c r="DP822" s="2" t="n">
        <v>85.03</v>
      </c>
      <c r="DQ822" s="2" t="n">
        <v>86.84999999999999</v>
      </c>
      <c r="DR822" s="2" t="n">
        <v>0</v>
      </c>
      <c r="DS822" s="2" t="n">
        <v>92.65000000000001</v>
      </c>
      <c r="DT822" s="2" t="n">
        <v>95.09999999999999</v>
      </c>
      <c r="DU822" s="2" t="n">
        <v>0</v>
      </c>
      <c r="DV822" s="2" t="n">
        <v>95.78</v>
      </c>
      <c r="DW822" s="2" t="n">
        <v>96.81</v>
      </c>
      <c r="DX822" s="2" t="n">
        <v>0</v>
      </c>
      <c r="DY822" s="2" t="n">
        <v>96.81</v>
      </c>
      <c r="DZ822" s="2" t="n">
        <v>99.09</v>
      </c>
      <c r="EA822" s="2" t="n">
        <v>0</v>
      </c>
      <c r="EB822" s="2" t="n">
        <v>100</v>
      </c>
      <c r="EC822" s="2" t="n">
        <v>100</v>
      </c>
      <c r="ED822" s="2" t="n">
        <v>0</v>
      </c>
      <c r="EE822" s="2" t="n">
        <v>100</v>
      </c>
      <c r="EF822" s="2" t="n">
        <v>100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</row>
    <row r="823">
      <c r="A823" s="2" t="n">
        <v>1</v>
      </c>
      <c r="B823" s="2" t="inlineStr">
        <is>
          <t>34</t>
        </is>
      </c>
      <c r="C823" s="2" t="inlineStr">
        <is>
          <t>LOUÇAS E METAIS</t>
        </is>
      </c>
      <c r="D823" s="2" t="inlineStr">
        <is>
          <t>01/03/2028</t>
        </is>
      </c>
      <c r="E823" s="2" t="inlineStr">
        <is>
          <t>05/02/2029</t>
        </is>
      </c>
      <c r="F823" s="2" t="n">
        <v>2050613.496965477</v>
      </c>
      <c r="G823" s="2" t="n">
        <v>0</v>
      </c>
      <c r="H823" s="2" t="n">
        <v>2050613.496965477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</v>
      </c>
      <c r="CV823" s="2" t="n">
        <v>0</v>
      </c>
      <c r="CW823" s="2" t="n">
        <v>0</v>
      </c>
      <c r="CX823" s="2" t="n">
        <v>0</v>
      </c>
      <c r="CY823" s="2" t="n">
        <v>0</v>
      </c>
      <c r="CZ823" s="2" t="n">
        <v>0</v>
      </c>
      <c r="DA823" s="2" t="n">
        <v>0</v>
      </c>
      <c r="DB823" s="2" t="n">
        <v>0</v>
      </c>
      <c r="DC823" s="2" t="n">
        <v>0</v>
      </c>
      <c r="DD823" s="2" t="n">
        <v>7.49</v>
      </c>
      <c r="DE823" s="2" t="n">
        <v>9.6</v>
      </c>
      <c r="DF823" s="2" t="n">
        <v>0</v>
      </c>
      <c r="DG823" s="2" t="n">
        <v>15.71</v>
      </c>
      <c r="DH823" s="2" t="n">
        <v>17.85</v>
      </c>
      <c r="DI823" s="2" t="n">
        <v>0</v>
      </c>
      <c r="DJ823" s="2" t="n">
        <v>26.39</v>
      </c>
      <c r="DK823" s="2" t="n">
        <v>28.5</v>
      </c>
      <c r="DL823" s="2" t="n">
        <v>0</v>
      </c>
      <c r="DM823" s="2" t="n">
        <v>36.13</v>
      </c>
      <c r="DN823" s="2" t="n">
        <v>38.25</v>
      </c>
      <c r="DO823" s="2" t="n">
        <v>0</v>
      </c>
      <c r="DP823" s="2" t="n">
        <v>45.85</v>
      </c>
      <c r="DQ823" s="2" t="n">
        <v>48.04</v>
      </c>
      <c r="DR823" s="2" t="n">
        <v>0</v>
      </c>
      <c r="DS823" s="2" t="n">
        <v>55.92</v>
      </c>
      <c r="DT823" s="2" t="n">
        <v>57.97</v>
      </c>
      <c r="DU823" s="2" t="n">
        <v>0</v>
      </c>
      <c r="DV823" s="2" t="n">
        <v>64.14</v>
      </c>
      <c r="DW823" s="2" t="n">
        <v>66.20999999999999</v>
      </c>
      <c r="DX823" s="2" t="n">
        <v>0</v>
      </c>
      <c r="DY823" s="2" t="n">
        <v>72.79000000000001</v>
      </c>
      <c r="DZ823" s="2" t="n">
        <v>75.18000000000001</v>
      </c>
      <c r="EA823" s="2" t="n">
        <v>0</v>
      </c>
      <c r="EB823" s="2" t="n">
        <v>80.93000000000001</v>
      </c>
      <c r="EC823" s="2" t="n">
        <v>84.2</v>
      </c>
      <c r="ED823" s="2" t="n">
        <v>0</v>
      </c>
      <c r="EE823" s="2" t="n">
        <v>87.59</v>
      </c>
      <c r="EF823" s="2" t="n">
        <v>90.55</v>
      </c>
      <c r="EG823" s="2" t="n">
        <v>0</v>
      </c>
      <c r="EH823" s="2" t="n">
        <v>96.19</v>
      </c>
      <c r="EI823" s="2" t="n">
        <v>98.68000000000001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</row>
    <row r="824">
      <c r="A824" s="2" t="n">
        <v>2</v>
      </c>
      <c r="B824" s="2" t="inlineStr">
        <is>
          <t>34.01</t>
        </is>
      </c>
      <c r="C824" s="2" t="inlineStr">
        <is>
          <t>Vaso sanitario</t>
        </is>
      </c>
      <c r="D824" s="2" t="inlineStr">
        <is>
          <t>01/03/2028</t>
        </is>
      </c>
      <c r="E824" s="2" t="inlineStr">
        <is>
          <t>05/02/2029</t>
        </is>
      </c>
      <c r="F824" s="2" t="n">
        <v>759214.8249782419</v>
      </c>
      <c r="G824" s="2" t="n">
        <v>0</v>
      </c>
      <c r="H824" s="2" t="n">
        <v>759214.8249782419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</v>
      </c>
      <c r="CV824" s="2" t="n">
        <v>0</v>
      </c>
      <c r="CW824" s="2" t="n">
        <v>0</v>
      </c>
      <c r="CX824" s="2" t="n">
        <v>0</v>
      </c>
      <c r="CY824" s="2" t="n">
        <v>0</v>
      </c>
      <c r="CZ824" s="2" t="n">
        <v>0</v>
      </c>
      <c r="DA824" s="2" t="n">
        <v>0</v>
      </c>
      <c r="DB824" s="2" t="n">
        <v>0</v>
      </c>
      <c r="DC824" s="2" t="n">
        <v>0</v>
      </c>
      <c r="DD824" s="2" t="n">
        <v>7.49</v>
      </c>
      <c r="DE824" s="2" t="n">
        <v>9.6</v>
      </c>
      <c r="DF824" s="2" t="n">
        <v>0</v>
      </c>
      <c r="DG824" s="2" t="n">
        <v>15.71</v>
      </c>
      <c r="DH824" s="2" t="n">
        <v>17.85</v>
      </c>
      <c r="DI824" s="2" t="n">
        <v>0</v>
      </c>
      <c r="DJ824" s="2" t="n">
        <v>26.39</v>
      </c>
      <c r="DK824" s="2" t="n">
        <v>28.5</v>
      </c>
      <c r="DL824" s="2" t="n">
        <v>0</v>
      </c>
      <c r="DM824" s="2" t="n">
        <v>36.13</v>
      </c>
      <c r="DN824" s="2" t="n">
        <v>38.25</v>
      </c>
      <c r="DO824" s="2" t="n">
        <v>0</v>
      </c>
      <c r="DP824" s="2" t="n">
        <v>45.85</v>
      </c>
      <c r="DQ824" s="2" t="n">
        <v>48.04</v>
      </c>
      <c r="DR824" s="2" t="n">
        <v>0</v>
      </c>
      <c r="DS824" s="2" t="n">
        <v>55.92</v>
      </c>
      <c r="DT824" s="2" t="n">
        <v>57.97</v>
      </c>
      <c r="DU824" s="2" t="n">
        <v>0</v>
      </c>
      <c r="DV824" s="2" t="n">
        <v>64.14</v>
      </c>
      <c r="DW824" s="2" t="n">
        <v>66.20999999999999</v>
      </c>
      <c r="DX824" s="2" t="n">
        <v>0</v>
      </c>
      <c r="DY824" s="2" t="n">
        <v>72.79000000000001</v>
      </c>
      <c r="DZ824" s="2" t="n">
        <v>75.18000000000001</v>
      </c>
      <c r="EA824" s="2" t="n">
        <v>0</v>
      </c>
      <c r="EB824" s="2" t="n">
        <v>80.93000000000001</v>
      </c>
      <c r="EC824" s="2" t="n">
        <v>84.2</v>
      </c>
      <c r="ED824" s="2" t="n">
        <v>0</v>
      </c>
      <c r="EE824" s="2" t="n">
        <v>87.59</v>
      </c>
      <c r="EF824" s="2" t="n">
        <v>90.55</v>
      </c>
      <c r="EG824" s="2" t="n">
        <v>0</v>
      </c>
      <c r="EH824" s="2" t="n">
        <v>96.19</v>
      </c>
      <c r="EI824" s="2" t="n">
        <v>98.68000000000001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</row>
    <row r="825">
      <c r="A825" s="2" t="n">
        <v>3</v>
      </c>
      <c r="B825" s="2" t="inlineStr">
        <is>
          <t>34.01.01</t>
        </is>
      </c>
      <c r="C825" s="2" t="inlineStr">
        <is>
          <t>Bacia com caixa acoplada Deca linha Level cor branco</t>
        </is>
      </c>
      <c r="D825" s="2" t="inlineStr">
        <is>
          <t>01/03/2028</t>
        </is>
      </c>
      <c r="E825" s="2" t="inlineStr">
        <is>
          <t>05/02/2029</t>
        </is>
      </c>
      <c r="F825" s="2" t="n">
        <v>414156.8439858553</v>
      </c>
      <c r="G825" s="2" t="n">
        <v>0</v>
      </c>
      <c r="H825" s="2" t="n">
        <v>414156.8439858553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</v>
      </c>
      <c r="CV825" s="2" t="n">
        <v>0</v>
      </c>
      <c r="CW825" s="2" t="n">
        <v>0</v>
      </c>
      <c r="CX825" s="2" t="n">
        <v>0</v>
      </c>
      <c r="CY825" s="2" t="n">
        <v>0</v>
      </c>
      <c r="CZ825" s="2" t="n">
        <v>0</v>
      </c>
      <c r="DA825" s="2" t="n">
        <v>0</v>
      </c>
      <c r="DB825" s="2" t="n">
        <v>0</v>
      </c>
      <c r="DC825" s="2" t="n">
        <v>0</v>
      </c>
      <c r="DD825" s="2" t="n">
        <v>7.49</v>
      </c>
      <c r="DE825" s="2" t="n">
        <v>9.6</v>
      </c>
      <c r="DF825" s="2" t="n">
        <v>0</v>
      </c>
      <c r="DG825" s="2" t="n">
        <v>15.71</v>
      </c>
      <c r="DH825" s="2" t="n">
        <v>17.85</v>
      </c>
      <c r="DI825" s="2" t="n">
        <v>0</v>
      </c>
      <c r="DJ825" s="2" t="n">
        <v>26.39</v>
      </c>
      <c r="DK825" s="2" t="n">
        <v>28.5</v>
      </c>
      <c r="DL825" s="2" t="n">
        <v>0</v>
      </c>
      <c r="DM825" s="2" t="n">
        <v>36.13</v>
      </c>
      <c r="DN825" s="2" t="n">
        <v>38.25</v>
      </c>
      <c r="DO825" s="2" t="n">
        <v>0</v>
      </c>
      <c r="DP825" s="2" t="n">
        <v>45.85</v>
      </c>
      <c r="DQ825" s="2" t="n">
        <v>48.04</v>
      </c>
      <c r="DR825" s="2" t="n">
        <v>0</v>
      </c>
      <c r="DS825" s="2" t="n">
        <v>55.92</v>
      </c>
      <c r="DT825" s="2" t="n">
        <v>57.97</v>
      </c>
      <c r="DU825" s="2" t="n">
        <v>0</v>
      </c>
      <c r="DV825" s="2" t="n">
        <v>64.14</v>
      </c>
      <c r="DW825" s="2" t="n">
        <v>66.20999999999999</v>
      </c>
      <c r="DX825" s="2" t="n">
        <v>0</v>
      </c>
      <c r="DY825" s="2" t="n">
        <v>72.79000000000001</v>
      </c>
      <c r="DZ825" s="2" t="n">
        <v>75.18000000000001</v>
      </c>
      <c r="EA825" s="2" t="n">
        <v>0</v>
      </c>
      <c r="EB825" s="2" t="n">
        <v>80.93000000000001</v>
      </c>
      <c r="EC825" s="2" t="n">
        <v>84.2</v>
      </c>
      <c r="ED825" s="2" t="n">
        <v>0</v>
      </c>
      <c r="EE825" s="2" t="n">
        <v>87.59</v>
      </c>
      <c r="EF825" s="2" t="n">
        <v>90.55</v>
      </c>
      <c r="EG825" s="2" t="n">
        <v>0</v>
      </c>
      <c r="EH825" s="2" t="n">
        <v>96.19</v>
      </c>
      <c r="EI825" s="2" t="n">
        <v>98.68000000000001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</row>
    <row r="826">
      <c r="A826" s="2" t="n">
        <v>3</v>
      </c>
      <c r="B826" s="2" t="inlineStr">
        <is>
          <t>34.01.02</t>
        </is>
      </c>
      <c r="C826" s="2" t="inlineStr">
        <is>
          <t>Bacia com caixa acoplada Deca linha Izy cor branco</t>
        </is>
      </c>
      <c r="D826" s="2" t="inlineStr">
        <is>
          <t>01/03/2028</t>
        </is>
      </c>
      <c r="E826" s="2" t="inlineStr">
        <is>
          <t>05/02/2029</t>
        </is>
      </c>
      <c r="F826" s="2" t="n">
        <v>84463.84865253586</v>
      </c>
      <c r="G826" s="2" t="n">
        <v>0</v>
      </c>
      <c r="H826" s="2" t="n">
        <v>84463.84865253586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</v>
      </c>
      <c r="CV826" s="2" t="n">
        <v>0</v>
      </c>
      <c r="CW826" s="2" t="n">
        <v>0</v>
      </c>
      <c r="CX826" s="2" t="n">
        <v>0</v>
      </c>
      <c r="CY826" s="2" t="n">
        <v>0</v>
      </c>
      <c r="CZ826" s="2" t="n">
        <v>0</v>
      </c>
      <c r="DA826" s="2" t="n">
        <v>0</v>
      </c>
      <c r="DB826" s="2" t="n">
        <v>0</v>
      </c>
      <c r="DC826" s="2" t="n">
        <v>0</v>
      </c>
      <c r="DD826" s="2" t="n">
        <v>7.49</v>
      </c>
      <c r="DE826" s="2" t="n">
        <v>9.6</v>
      </c>
      <c r="DF826" s="2" t="n">
        <v>0</v>
      </c>
      <c r="DG826" s="2" t="n">
        <v>15.71</v>
      </c>
      <c r="DH826" s="2" t="n">
        <v>17.85</v>
      </c>
      <c r="DI826" s="2" t="n">
        <v>0</v>
      </c>
      <c r="DJ826" s="2" t="n">
        <v>26.39</v>
      </c>
      <c r="DK826" s="2" t="n">
        <v>28.5</v>
      </c>
      <c r="DL826" s="2" t="n">
        <v>0</v>
      </c>
      <c r="DM826" s="2" t="n">
        <v>36.13</v>
      </c>
      <c r="DN826" s="2" t="n">
        <v>38.25</v>
      </c>
      <c r="DO826" s="2" t="n">
        <v>0</v>
      </c>
      <c r="DP826" s="2" t="n">
        <v>45.85</v>
      </c>
      <c r="DQ826" s="2" t="n">
        <v>48.04</v>
      </c>
      <c r="DR826" s="2" t="n">
        <v>0</v>
      </c>
      <c r="DS826" s="2" t="n">
        <v>55.92</v>
      </c>
      <c r="DT826" s="2" t="n">
        <v>57.97</v>
      </c>
      <c r="DU826" s="2" t="n">
        <v>0</v>
      </c>
      <c r="DV826" s="2" t="n">
        <v>64.14</v>
      </c>
      <c r="DW826" s="2" t="n">
        <v>66.20999999999999</v>
      </c>
      <c r="DX826" s="2" t="n">
        <v>0</v>
      </c>
      <c r="DY826" s="2" t="n">
        <v>72.79000000000001</v>
      </c>
      <c r="DZ826" s="2" t="n">
        <v>75.18000000000001</v>
      </c>
      <c r="EA826" s="2" t="n">
        <v>0</v>
      </c>
      <c r="EB826" s="2" t="n">
        <v>80.93000000000001</v>
      </c>
      <c r="EC826" s="2" t="n">
        <v>84.2</v>
      </c>
      <c r="ED826" s="2" t="n">
        <v>0</v>
      </c>
      <c r="EE826" s="2" t="n">
        <v>87.59</v>
      </c>
      <c r="EF826" s="2" t="n">
        <v>90.55</v>
      </c>
      <c r="EG826" s="2" t="n">
        <v>0</v>
      </c>
      <c r="EH826" s="2" t="n">
        <v>96.19</v>
      </c>
      <c r="EI826" s="2" t="n">
        <v>98.68000000000001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</row>
    <row r="827">
      <c r="A827" s="2" t="n">
        <v>3</v>
      </c>
      <c r="B827" s="2" t="inlineStr">
        <is>
          <t>34.01.03</t>
        </is>
      </c>
      <c r="C827" s="2" t="inlineStr">
        <is>
          <t>Vaso sanitário de louça branca com caixa acoplada (Guarita, IS zeladoria)</t>
        </is>
      </c>
      <c r="D827" s="2" t="inlineStr">
        <is>
          <t>01/03/2028</t>
        </is>
      </c>
      <c r="E827" s="2" t="inlineStr">
        <is>
          <t>05/02/2029</t>
        </is>
      </c>
      <c r="F827" s="2" t="n">
        <v>421.535573446269</v>
      </c>
      <c r="G827" s="2" t="n">
        <v>0</v>
      </c>
      <c r="H827" s="2" t="n">
        <v>421.535573446269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</v>
      </c>
      <c r="CV827" s="2" t="n">
        <v>0</v>
      </c>
      <c r="CW827" s="2" t="n">
        <v>0</v>
      </c>
      <c r="CX827" s="2" t="n">
        <v>0</v>
      </c>
      <c r="CY827" s="2" t="n">
        <v>0</v>
      </c>
      <c r="CZ827" s="2" t="n">
        <v>0</v>
      </c>
      <c r="DA827" s="2" t="n">
        <v>0</v>
      </c>
      <c r="DB827" s="2" t="n">
        <v>0</v>
      </c>
      <c r="DC827" s="2" t="n">
        <v>0</v>
      </c>
      <c r="DD827" s="2" t="n">
        <v>7.49</v>
      </c>
      <c r="DE827" s="2" t="n">
        <v>9.6</v>
      </c>
      <c r="DF827" s="2" t="n">
        <v>0</v>
      </c>
      <c r="DG827" s="2" t="n">
        <v>15.71</v>
      </c>
      <c r="DH827" s="2" t="n">
        <v>17.85</v>
      </c>
      <c r="DI827" s="2" t="n">
        <v>0</v>
      </c>
      <c r="DJ827" s="2" t="n">
        <v>26.39</v>
      </c>
      <c r="DK827" s="2" t="n">
        <v>28.5</v>
      </c>
      <c r="DL827" s="2" t="n">
        <v>0</v>
      </c>
      <c r="DM827" s="2" t="n">
        <v>36.13</v>
      </c>
      <c r="DN827" s="2" t="n">
        <v>38.25</v>
      </c>
      <c r="DO827" s="2" t="n">
        <v>0</v>
      </c>
      <c r="DP827" s="2" t="n">
        <v>45.85</v>
      </c>
      <c r="DQ827" s="2" t="n">
        <v>48.04</v>
      </c>
      <c r="DR827" s="2" t="n">
        <v>0</v>
      </c>
      <c r="DS827" s="2" t="n">
        <v>55.92</v>
      </c>
      <c r="DT827" s="2" t="n">
        <v>57.97</v>
      </c>
      <c r="DU827" s="2" t="n">
        <v>0</v>
      </c>
      <c r="DV827" s="2" t="n">
        <v>64.14</v>
      </c>
      <c r="DW827" s="2" t="n">
        <v>66.20999999999999</v>
      </c>
      <c r="DX827" s="2" t="n">
        <v>0</v>
      </c>
      <c r="DY827" s="2" t="n">
        <v>72.79000000000001</v>
      </c>
      <c r="DZ827" s="2" t="n">
        <v>75.18000000000001</v>
      </c>
      <c r="EA827" s="2" t="n">
        <v>0</v>
      </c>
      <c r="EB827" s="2" t="n">
        <v>80.93000000000001</v>
      </c>
      <c r="EC827" s="2" t="n">
        <v>84.2</v>
      </c>
      <c r="ED827" s="2" t="n">
        <v>0</v>
      </c>
      <c r="EE827" s="2" t="n">
        <v>87.59</v>
      </c>
      <c r="EF827" s="2" t="n">
        <v>90.55</v>
      </c>
      <c r="EG827" s="2" t="n">
        <v>0</v>
      </c>
      <c r="EH827" s="2" t="n">
        <v>96.19</v>
      </c>
      <c r="EI827" s="2" t="n">
        <v>98.68000000000001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</row>
    <row r="828">
      <c r="A828" s="2" t="n">
        <v>3</v>
      </c>
      <c r="B828" s="2" t="inlineStr">
        <is>
          <t>34.01.04</t>
        </is>
      </c>
      <c r="C828" s="2" t="inlineStr">
        <is>
          <t>Bacia c/ Caixa Acoplada _Deca Vogue Plus Conforto_ Branca Cód.:  P.515.17</t>
        </is>
      </c>
      <c r="D828" s="2" t="inlineStr">
        <is>
          <t>01/03/2028</t>
        </is>
      </c>
      <c r="E828" s="2" t="inlineStr">
        <is>
          <t>05/02/2029</t>
        </is>
      </c>
      <c r="F828" s="2" t="n">
        <v>5670</v>
      </c>
      <c r="G828" s="2" t="n">
        <v>0</v>
      </c>
      <c r="H828" s="2" t="n">
        <v>5670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</v>
      </c>
      <c r="CV828" s="2" t="n">
        <v>0</v>
      </c>
      <c r="CW828" s="2" t="n">
        <v>0</v>
      </c>
      <c r="CX828" s="2" t="n">
        <v>0</v>
      </c>
      <c r="CY828" s="2" t="n">
        <v>0</v>
      </c>
      <c r="CZ828" s="2" t="n">
        <v>0</v>
      </c>
      <c r="DA828" s="2" t="n">
        <v>0</v>
      </c>
      <c r="DB828" s="2" t="n">
        <v>0</v>
      </c>
      <c r="DC828" s="2" t="n">
        <v>0</v>
      </c>
      <c r="DD828" s="2" t="n">
        <v>7.49</v>
      </c>
      <c r="DE828" s="2" t="n">
        <v>9.6</v>
      </c>
      <c r="DF828" s="2" t="n">
        <v>0</v>
      </c>
      <c r="DG828" s="2" t="n">
        <v>15.71</v>
      </c>
      <c r="DH828" s="2" t="n">
        <v>17.85</v>
      </c>
      <c r="DI828" s="2" t="n">
        <v>0</v>
      </c>
      <c r="DJ828" s="2" t="n">
        <v>26.39</v>
      </c>
      <c r="DK828" s="2" t="n">
        <v>28.5</v>
      </c>
      <c r="DL828" s="2" t="n">
        <v>0</v>
      </c>
      <c r="DM828" s="2" t="n">
        <v>36.13</v>
      </c>
      <c r="DN828" s="2" t="n">
        <v>38.25</v>
      </c>
      <c r="DO828" s="2" t="n">
        <v>0</v>
      </c>
      <c r="DP828" s="2" t="n">
        <v>45.85</v>
      </c>
      <c r="DQ828" s="2" t="n">
        <v>48.04</v>
      </c>
      <c r="DR828" s="2" t="n">
        <v>0</v>
      </c>
      <c r="DS828" s="2" t="n">
        <v>55.92</v>
      </c>
      <c r="DT828" s="2" t="n">
        <v>57.97</v>
      </c>
      <c r="DU828" s="2" t="n">
        <v>0</v>
      </c>
      <c r="DV828" s="2" t="n">
        <v>64.14</v>
      </c>
      <c r="DW828" s="2" t="n">
        <v>66.20999999999999</v>
      </c>
      <c r="DX828" s="2" t="n">
        <v>0</v>
      </c>
      <c r="DY828" s="2" t="n">
        <v>72.79000000000001</v>
      </c>
      <c r="DZ828" s="2" t="n">
        <v>75.18000000000001</v>
      </c>
      <c r="EA828" s="2" t="n">
        <v>0</v>
      </c>
      <c r="EB828" s="2" t="n">
        <v>80.93000000000001</v>
      </c>
      <c r="EC828" s="2" t="n">
        <v>84.2</v>
      </c>
      <c r="ED828" s="2" t="n">
        <v>0</v>
      </c>
      <c r="EE828" s="2" t="n">
        <v>87.59</v>
      </c>
      <c r="EF828" s="2" t="n">
        <v>90.55</v>
      </c>
      <c r="EG828" s="2" t="n">
        <v>0</v>
      </c>
      <c r="EH828" s="2" t="n">
        <v>96.19</v>
      </c>
      <c r="EI828" s="2" t="n">
        <v>98.68000000000001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</row>
    <row r="829">
      <c r="A829" s="2" t="n">
        <v>3</v>
      </c>
      <c r="B829" s="2" t="inlineStr">
        <is>
          <t>34.01.05</t>
        </is>
      </c>
      <c r="C829" s="2" t="inlineStr">
        <is>
          <t>Ligação flexível cromada 40cm</t>
        </is>
      </c>
      <c r="D829" s="2" t="inlineStr">
        <is>
          <t>01/03/2028</t>
        </is>
      </c>
      <c r="E829" s="2" t="inlineStr">
        <is>
          <t>05/02/2029</t>
        </is>
      </c>
      <c r="F829" s="2" t="n">
        <v>16065.83332891097</v>
      </c>
      <c r="G829" s="2" t="n">
        <v>0</v>
      </c>
      <c r="H829" s="2" t="n">
        <v>16065.83332891097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</v>
      </c>
      <c r="CV829" s="2" t="n">
        <v>0</v>
      </c>
      <c r="CW829" s="2" t="n">
        <v>0</v>
      </c>
      <c r="CX829" s="2" t="n">
        <v>0</v>
      </c>
      <c r="CY829" s="2" t="n">
        <v>0</v>
      </c>
      <c r="CZ829" s="2" t="n">
        <v>0</v>
      </c>
      <c r="DA829" s="2" t="n">
        <v>0</v>
      </c>
      <c r="DB829" s="2" t="n">
        <v>0</v>
      </c>
      <c r="DC829" s="2" t="n">
        <v>0</v>
      </c>
      <c r="DD829" s="2" t="n">
        <v>7.49</v>
      </c>
      <c r="DE829" s="2" t="n">
        <v>9.6</v>
      </c>
      <c r="DF829" s="2" t="n">
        <v>0</v>
      </c>
      <c r="DG829" s="2" t="n">
        <v>15.71</v>
      </c>
      <c r="DH829" s="2" t="n">
        <v>17.85</v>
      </c>
      <c r="DI829" s="2" t="n">
        <v>0</v>
      </c>
      <c r="DJ829" s="2" t="n">
        <v>26.39</v>
      </c>
      <c r="DK829" s="2" t="n">
        <v>28.5</v>
      </c>
      <c r="DL829" s="2" t="n">
        <v>0</v>
      </c>
      <c r="DM829" s="2" t="n">
        <v>36.13</v>
      </c>
      <c r="DN829" s="2" t="n">
        <v>38.25</v>
      </c>
      <c r="DO829" s="2" t="n">
        <v>0</v>
      </c>
      <c r="DP829" s="2" t="n">
        <v>45.85</v>
      </c>
      <c r="DQ829" s="2" t="n">
        <v>48.04</v>
      </c>
      <c r="DR829" s="2" t="n">
        <v>0</v>
      </c>
      <c r="DS829" s="2" t="n">
        <v>55.92</v>
      </c>
      <c r="DT829" s="2" t="n">
        <v>57.97</v>
      </c>
      <c r="DU829" s="2" t="n">
        <v>0</v>
      </c>
      <c r="DV829" s="2" t="n">
        <v>64.14</v>
      </c>
      <c r="DW829" s="2" t="n">
        <v>66.20999999999999</v>
      </c>
      <c r="DX829" s="2" t="n">
        <v>0</v>
      </c>
      <c r="DY829" s="2" t="n">
        <v>72.79000000000001</v>
      </c>
      <c r="DZ829" s="2" t="n">
        <v>75.18000000000001</v>
      </c>
      <c r="EA829" s="2" t="n">
        <v>0</v>
      </c>
      <c r="EB829" s="2" t="n">
        <v>80.93000000000001</v>
      </c>
      <c r="EC829" s="2" t="n">
        <v>84.2</v>
      </c>
      <c r="ED829" s="2" t="n">
        <v>0</v>
      </c>
      <c r="EE829" s="2" t="n">
        <v>87.59</v>
      </c>
      <c r="EF829" s="2" t="n">
        <v>90.55</v>
      </c>
      <c r="EG829" s="2" t="n">
        <v>0</v>
      </c>
      <c r="EH829" s="2" t="n">
        <v>96.19</v>
      </c>
      <c r="EI829" s="2" t="n">
        <v>98.68000000000001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</row>
    <row r="830">
      <c r="A830" s="2" t="n">
        <v>3</v>
      </c>
      <c r="B830" s="2" t="inlineStr">
        <is>
          <t>34.01.06</t>
        </is>
      </c>
      <c r="C830" s="2" t="inlineStr">
        <is>
          <t>Ducha higiênica despressurizada, acabamento cromado; ref.: Deca 1948.C.ACT.CR</t>
        </is>
      </c>
      <c r="D830" s="2" t="inlineStr">
        <is>
          <t>01/03/2028</t>
        </is>
      </c>
      <c r="E830" s="2" t="inlineStr">
        <is>
          <t>05/02/2029</t>
        </is>
      </c>
      <c r="F830" s="2" t="n">
        <v>167713.9946212878</v>
      </c>
      <c r="G830" s="2" t="n">
        <v>0</v>
      </c>
      <c r="H830" s="2" t="n">
        <v>167713.9946212878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</v>
      </c>
      <c r="CV830" s="2" t="n">
        <v>0</v>
      </c>
      <c r="CW830" s="2" t="n">
        <v>0</v>
      </c>
      <c r="CX830" s="2" t="n">
        <v>0</v>
      </c>
      <c r="CY830" s="2" t="n">
        <v>0</v>
      </c>
      <c r="CZ830" s="2" t="n">
        <v>0</v>
      </c>
      <c r="DA830" s="2" t="n">
        <v>0</v>
      </c>
      <c r="DB830" s="2" t="n">
        <v>0</v>
      </c>
      <c r="DC830" s="2" t="n">
        <v>0</v>
      </c>
      <c r="DD830" s="2" t="n">
        <v>7.49</v>
      </c>
      <c r="DE830" s="2" t="n">
        <v>9.6</v>
      </c>
      <c r="DF830" s="2" t="n">
        <v>0</v>
      </c>
      <c r="DG830" s="2" t="n">
        <v>15.71</v>
      </c>
      <c r="DH830" s="2" t="n">
        <v>17.85</v>
      </c>
      <c r="DI830" s="2" t="n">
        <v>0</v>
      </c>
      <c r="DJ830" s="2" t="n">
        <v>26.39</v>
      </c>
      <c r="DK830" s="2" t="n">
        <v>28.5</v>
      </c>
      <c r="DL830" s="2" t="n">
        <v>0</v>
      </c>
      <c r="DM830" s="2" t="n">
        <v>36.13</v>
      </c>
      <c r="DN830" s="2" t="n">
        <v>38.25</v>
      </c>
      <c r="DO830" s="2" t="n">
        <v>0</v>
      </c>
      <c r="DP830" s="2" t="n">
        <v>45.85</v>
      </c>
      <c r="DQ830" s="2" t="n">
        <v>48.04</v>
      </c>
      <c r="DR830" s="2" t="n">
        <v>0</v>
      </c>
      <c r="DS830" s="2" t="n">
        <v>55.92</v>
      </c>
      <c r="DT830" s="2" t="n">
        <v>57.97</v>
      </c>
      <c r="DU830" s="2" t="n">
        <v>0</v>
      </c>
      <c r="DV830" s="2" t="n">
        <v>64.14</v>
      </c>
      <c r="DW830" s="2" t="n">
        <v>66.20999999999999</v>
      </c>
      <c r="DX830" s="2" t="n">
        <v>0</v>
      </c>
      <c r="DY830" s="2" t="n">
        <v>72.79000000000001</v>
      </c>
      <c r="DZ830" s="2" t="n">
        <v>75.18000000000001</v>
      </c>
      <c r="EA830" s="2" t="n">
        <v>0</v>
      </c>
      <c r="EB830" s="2" t="n">
        <v>80.93000000000001</v>
      </c>
      <c r="EC830" s="2" t="n">
        <v>84.2</v>
      </c>
      <c r="ED830" s="2" t="n">
        <v>0</v>
      </c>
      <c r="EE830" s="2" t="n">
        <v>87.59</v>
      </c>
      <c r="EF830" s="2" t="n">
        <v>90.55</v>
      </c>
      <c r="EG830" s="2" t="n">
        <v>0</v>
      </c>
      <c r="EH830" s="2" t="n">
        <v>96.19</v>
      </c>
      <c r="EI830" s="2" t="n">
        <v>98.68000000000001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</row>
    <row r="831">
      <c r="A831" s="2" t="n">
        <v>3</v>
      </c>
      <c r="B831" s="2" t="inlineStr">
        <is>
          <t>34.01.07</t>
        </is>
      </c>
      <c r="C831" s="2" t="inlineStr">
        <is>
          <t>(Ducha sauna) Ducha Higiênica Despressurizada Deca Universal – Cromado, Cód.: 1948.C.ACT.CR;</t>
        </is>
      </c>
      <c r="D831" s="2" t="inlineStr">
        <is>
          <t>01/03/2028</t>
        </is>
      </c>
      <c r="E831" s="2" t="inlineStr">
        <is>
          <t>05/02/2029</t>
        </is>
      </c>
      <c r="F831" s="2" t="n">
        <v>673.5501792019591</v>
      </c>
      <c r="G831" s="2" t="n">
        <v>0</v>
      </c>
      <c r="H831" s="2" t="n">
        <v>673.5501792019591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</v>
      </c>
      <c r="CV831" s="2" t="n">
        <v>0</v>
      </c>
      <c r="CW831" s="2" t="n">
        <v>0</v>
      </c>
      <c r="CX831" s="2" t="n">
        <v>0</v>
      </c>
      <c r="CY831" s="2" t="n">
        <v>0</v>
      </c>
      <c r="CZ831" s="2" t="n">
        <v>0</v>
      </c>
      <c r="DA831" s="2" t="n">
        <v>0</v>
      </c>
      <c r="DB831" s="2" t="n">
        <v>0</v>
      </c>
      <c r="DC831" s="2" t="n">
        <v>0</v>
      </c>
      <c r="DD831" s="2" t="n">
        <v>7.49</v>
      </c>
      <c r="DE831" s="2" t="n">
        <v>9.6</v>
      </c>
      <c r="DF831" s="2" t="n">
        <v>0</v>
      </c>
      <c r="DG831" s="2" t="n">
        <v>15.71</v>
      </c>
      <c r="DH831" s="2" t="n">
        <v>17.85</v>
      </c>
      <c r="DI831" s="2" t="n">
        <v>0</v>
      </c>
      <c r="DJ831" s="2" t="n">
        <v>26.39</v>
      </c>
      <c r="DK831" s="2" t="n">
        <v>28.5</v>
      </c>
      <c r="DL831" s="2" t="n">
        <v>0</v>
      </c>
      <c r="DM831" s="2" t="n">
        <v>36.13</v>
      </c>
      <c r="DN831" s="2" t="n">
        <v>38.25</v>
      </c>
      <c r="DO831" s="2" t="n">
        <v>0</v>
      </c>
      <c r="DP831" s="2" t="n">
        <v>45.85</v>
      </c>
      <c r="DQ831" s="2" t="n">
        <v>48.04</v>
      </c>
      <c r="DR831" s="2" t="n">
        <v>0</v>
      </c>
      <c r="DS831" s="2" t="n">
        <v>55.92</v>
      </c>
      <c r="DT831" s="2" t="n">
        <v>57.97</v>
      </c>
      <c r="DU831" s="2" t="n">
        <v>0</v>
      </c>
      <c r="DV831" s="2" t="n">
        <v>64.14</v>
      </c>
      <c r="DW831" s="2" t="n">
        <v>66.20999999999999</v>
      </c>
      <c r="DX831" s="2" t="n">
        <v>0</v>
      </c>
      <c r="DY831" s="2" t="n">
        <v>72.79000000000001</v>
      </c>
      <c r="DZ831" s="2" t="n">
        <v>75.18000000000001</v>
      </c>
      <c r="EA831" s="2" t="n">
        <v>0</v>
      </c>
      <c r="EB831" s="2" t="n">
        <v>80.93000000000001</v>
      </c>
      <c r="EC831" s="2" t="n">
        <v>84.2</v>
      </c>
      <c r="ED831" s="2" t="n">
        <v>0</v>
      </c>
      <c r="EE831" s="2" t="n">
        <v>87.59</v>
      </c>
      <c r="EF831" s="2" t="n">
        <v>90.55</v>
      </c>
      <c r="EG831" s="2" t="n">
        <v>0</v>
      </c>
      <c r="EH831" s="2" t="n">
        <v>96.19</v>
      </c>
      <c r="EI831" s="2" t="n">
        <v>98.68000000000001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</row>
    <row r="832">
      <c r="A832" s="2" t="n">
        <v>3</v>
      </c>
      <c r="B832" s="2" t="inlineStr">
        <is>
          <t>34.01.08</t>
        </is>
      </c>
      <c r="C832" s="2" t="inlineStr">
        <is>
          <t>Ducha higiênica despressurizada, acabamento cromado; ref.: Deca 1948.C.ACT.CR</t>
        </is>
      </c>
      <c r="D832" s="2" t="inlineStr">
        <is>
          <t>01/03/2028</t>
        </is>
      </c>
      <c r="E832" s="2" t="inlineStr">
        <is>
          <t>05/02/2029</t>
        </is>
      </c>
      <c r="F832" s="2" t="n">
        <v>70049.21863700374</v>
      </c>
      <c r="G832" s="2" t="n">
        <v>0</v>
      </c>
      <c r="H832" s="2" t="n">
        <v>70049.21863700374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</v>
      </c>
      <c r="CV832" s="2" t="n">
        <v>0</v>
      </c>
      <c r="CW832" s="2" t="n">
        <v>0</v>
      </c>
      <c r="CX832" s="2" t="n">
        <v>0</v>
      </c>
      <c r="CY832" s="2" t="n">
        <v>0</v>
      </c>
      <c r="CZ832" s="2" t="n">
        <v>0</v>
      </c>
      <c r="DA832" s="2" t="n">
        <v>0</v>
      </c>
      <c r="DB832" s="2" t="n">
        <v>0</v>
      </c>
      <c r="DC832" s="2" t="n">
        <v>0</v>
      </c>
      <c r="DD832" s="2" t="n">
        <v>7.49</v>
      </c>
      <c r="DE832" s="2" t="n">
        <v>9.6</v>
      </c>
      <c r="DF832" s="2" t="n">
        <v>0</v>
      </c>
      <c r="DG832" s="2" t="n">
        <v>15.71</v>
      </c>
      <c r="DH832" s="2" t="n">
        <v>17.85</v>
      </c>
      <c r="DI832" s="2" t="n">
        <v>0</v>
      </c>
      <c r="DJ832" s="2" t="n">
        <v>26.39</v>
      </c>
      <c r="DK832" s="2" t="n">
        <v>28.5</v>
      </c>
      <c r="DL832" s="2" t="n">
        <v>0</v>
      </c>
      <c r="DM832" s="2" t="n">
        <v>36.13</v>
      </c>
      <c r="DN832" s="2" t="n">
        <v>38.25</v>
      </c>
      <c r="DO832" s="2" t="n">
        <v>0</v>
      </c>
      <c r="DP832" s="2" t="n">
        <v>45.85</v>
      </c>
      <c r="DQ832" s="2" t="n">
        <v>48.04</v>
      </c>
      <c r="DR832" s="2" t="n">
        <v>0</v>
      </c>
      <c r="DS832" s="2" t="n">
        <v>55.92</v>
      </c>
      <c r="DT832" s="2" t="n">
        <v>57.97</v>
      </c>
      <c r="DU832" s="2" t="n">
        <v>0</v>
      </c>
      <c r="DV832" s="2" t="n">
        <v>64.14</v>
      </c>
      <c r="DW832" s="2" t="n">
        <v>66.20999999999999</v>
      </c>
      <c r="DX832" s="2" t="n">
        <v>0</v>
      </c>
      <c r="DY832" s="2" t="n">
        <v>72.79000000000001</v>
      </c>
      <c r="DZ832" s="2" t="n">
        <v>75.18000000000001</v>
      </c>
      <c r="EA832" s="2" t="n">
        <v>0</v>
      </c>
      <c r="EB832" s="2" t="n">
        <v>80.93000000000001</v>
      </c>
      <c r="EC832" s="2" t="n">
        <v>84.2</v>
      </c>
      <c r="ED832" s="2" t="n">
        <v>0</v>
      </c>
      <c r="EE832" s="2" t="n">
        <v>87.59</v>
      </c>
      <c r="EF832" s="2" t="n">
        <v>90.55</v>
      </c>
      <c r="EG832" s="2" t="n">
        <v>0</v>
      </c>
      <c r="EH832" s="2" t="n">
        <v>96.19</v>
      </c>
      <c r="EI832" s="2" t="n">
        <v>98.68000000000001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</row>
    <row r="833">
      <c r="A833" s="2" t="n">
        <v>2</v>
      </c>
      <c r="B833" s="2" t="inlineStr">
        <is>
          <t>34.02</t>
        </is>
      </c>
      <c r="C833" s="2" t="inlineStr">
        <is>
          <t>Lavatorio</t>
        </is>
      </c>
      <c r="D833" s="2" t="inlineStr">
        <is>
          <t>01/03/2028</t>
        </is>
      </c>
      <c r="E833" s="2" t="inlineStr">
        <is>
          <t>05/02/2029</t>
        </is>
      </c>
      <c r="F833" s="2" t="n">
        <v>575925.0247102351</v>
      </c>
      <c r="G833" s="2" t="n">
        <v>0</v>
      </c>
      <c r="H833" s="2" t="n">
        <v>575925.0247102351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</v>
      </c>
      <c r="CV833" s="2" t="n">
        <v>0</v>
      </c>
      <c r="CW833" s="2" t="n">
        <v>0</v>
      </c>
      <c r="CX833" s="2" t="n">
        <v>0</v>
      </c>
      <c r="CY833" s="2" t="n">
        <v>0</v>
      </c>
      <c r="CZ833" s="2" t="n">
        <v>0</v>
      </c>
      <c r="DA833" s="2" t="n">
        <v>0</v>
      </c>
      <c r="DB833" s="2" t="n">
        <v>0</v>
      </c>
      <c r="DC833" s="2" t="n">
        <v>0</v>
      </c>
      <c r="DD833" s="2" t="n">
        <v>7.49</v>
      </c>
      <c r="DE833" s="2" t="n">
        <v>9.6</v>
      </c>
      <c r="DF833" s="2" t="n">
        <v>0</v>
      </c>
      <c r="DG833" s="2" t="n">
        <v>15.71</v>
      </c>
      <c r="DH833" s="2" t="n">
        <v>17.85</v>
      </c>
      <c r="DI833" s="2" t="n">
        <v>0</v>
      </c>
      <c r="DJ833" s="2" t="n">
        <v>26.39</v>
      </c>
      <c r="DK833" s="2" t="n">
        <v>28.5</v>
      </c>
      <c r="DL833" s="2" t="n">
        <v>0</v>
      </c>
      <c r="DM833" s="2" t="n">
        <v>36.13</v>
      </c>
      <c r="DN833" s="2" t="n">
        <v>38.25</v>
      </c>
      <c r="DO833" s="2" t="n">
        <v>0</v>
      </c>
      <c r="DP833" s="2" t="n">
        <v>45.85</v>
      </c>
      <c r="DQ833" s="2" t="n">
        <v>48.04</v>
      </c>
      <c r="DR833" s="2" t="n">
        <v>0</v>
      </c>
      <c r="DS833" s="2" t="n">
        <v>55.92</v>
      </c>
      <c r="DT833" s="2" t="n">
        <v>57.97</v>
      </c>
      <c r="DU833" s="2" t="n">
        <v>0</v>
      </c>
      <c r="DV833" s="2" t="n">
        <v>64.14</v>
      </c>
      <c r="DW833" s="2" t="n">
        <v>66.20999999999999</v>
      </c>
      <c r="DX833" s="2" t="n">
        <v>0</v>
      </c>
      <c r="DY833" s="2" t="n">
        <v>72.79000000000001</v>
      </c>
      <c r="DZ833" s="2" t="n">
        <v>75.18000000000001</v>
      </c>
      <c r="EA833" s="2" t="n">
        <v>0</v>
      </c>
      <c r="EB833" s="2" t="n">
        <v>80.93000000000001</v>
      </c>
      <c r="EC833" s="2" t="n">
        <v>84.2</v>
      </c>
      <c r="ED833" s="2" t="n">
        <v>0</v>
      </c>
      <c r="EE833" s="2" t="n">
        <v>87.59</v>
      </c>
      <c r="EF833" s="2" t="n">
        <v>90.55</v>
      </c>
      <c r="EG833" s="2" t="n">
        <v>0</v>
      </c>
      <c r="EH833" s="2" t="n">
        <v>96.19</v>
      </c>
      <c r="EI833" s="2" t="n">
        <v>98.68000000000001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</row>
    <row r="834">
      <c r="A834" s="2" t="n">
        <v>3</v>
      </c>
      <c r="B834" s="2" t="inlineStr">
        <is>
          <t>34.02.01</t>
        </is>
      </c>
      <c r="C834" s="2" t="inlineStr">
        <is>
          <t>Lavatório com Coluna Suspensa para banheiro de Deficiente Físico</t>
        </is>
      </c>
      <c r="D834" s="2" t="inlineStr">
        <is>
          <t>01/03/2028</t>
        </is>
      </c>
      <c r="E834" s="2" t="inlineStr">
        <is>
          <t>05/02/2029</t>
        </is>
      </c>
      <c r="F834" s="2" t="n">
        <v>694.3211468925381</v>
      </c>
      <c r="G834" s="2" t="n">
        <v>0</v>
      </c>
      <c r="H834" s="2" t="n">
        <v>694.3211468925381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</v>
      </c>
      <c r="CV834" s="2" t="n">
        <v>0</v>
      </c>
      <c r="CW834" s="2" t="n">
        <v>0</v>
      </c>
      <c r="CX834" s="2" t="n">
        <v>0</v>
      </c>
      <c r="CY834" s="2" t="n">
        <v>0</v>
      </c>
      <c r="CZ834" s="2" t="n">
        <v>0</v>
      </c>
      <c r="DA834" s="2" t="n">
        <v>0</v>
      </c>
      <c r="DB834" s="2" t="n">
        <v>0</v>
      </c>
      <c r="DC834" s="2" t="n">
        <v>0</v>
      </c>
      <c r="DD834" s="2" t="n">
        <v>7.49</v>
      </c>
      <c r="DE834" s="2" t="n">
        <v>9.6</v>
      </c>
      <c r="DF834" s="2" t="n">
        <v>0</v>
      </c>
      <c r="DG834" s="2" t="n">
        <v>15.71</v>
      </c>
      <c r="DH834" s="2" t="n">
        <v>17.85</v>
      </c>
      <c r="DI834" s="2" t="n">
        <v>0</v>
      </c>
      <c r="DJ834" s="2" t="n">
        <v>26.39</v>
      </c>
      <c r="DK834" s="2" t="n">
        <v>28.5</v>
      </c>
      <c r="DL834" s="2" t="n">
        <v>0</v>
      </c>
      <c r="DM834" s="2" t="n">
        <v>36.13</v>
      </c>
      <c r="DN834" s="2" t="n">
        <v>38.25</v>
      </c>
      <c r="DO834" s="2" t="n">
        <v>0</v>
      </c>
      <c r="DP834" s="2" t="n">
        <v>45.85</v>
      </c>
      <c r="DQ834" s="2" t="n">
        <v>48.04</v>
      </c>
      <c r="DR834" s="2" t="n">
        <v>0</v>
      </c>
      <c r="DS834" s="2" t="n">
        <v>55.92</v>
      </c>
      <c r="DT834" s="2" t="n">
        <v>57.97</v>
      </c>
      <c r="DU834" s="2" t="n">
        <v>0</v>
      </c>
      <c r="DV834" s="2" t="n">
        <v>64.14</v>
      </c>
      <c r="DW834" s="2" t="n">
        <v>66.20999999999999</v>
      </c>
      <c r="DX834" s="2" t="n">
        <v>0</v>
      </c>
      <c r="DY834" s="2" t="n">
        <v>72.79000000000001</v>
      </c>
      <c r="DZ834" s="2" t="n">
        <v>75.18000000000001</v>
      </c>
      <c r="EA834" s="2" t="n">
        <v>0</v>
      </c>
      <c r="EB834" s="2" t="n">
        <v>80.93000000000001</v>
      </c>
      <c r="EC834" s="2" t="n">
        <v>84.2</v>
      </c>
      <c r="ED834" s="2" t="n">
        <v>0</v>
      </c>
      <c r="EE834" s="2" t="n">
        <v>87.59</v>
      </c>
      <c r="EF834" s="2" t="n">
        <v>90.55</v>
      </c>
      <c r="EG834" s="2" t="n">
        <v>0</v>
      </c>
      <c r="EH834" s="2" t="n">
        <v>96.19</v>
      </c>
      <c r="EI834" s="2" t="n">
        <v>98.68000000000001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</row>
    <row r="835">
      <c r="A835" s="2" t="n">
        <v>3</v>
      </c>
      <c r="B835" s="2" t="inlineStr">
        <is>
          <t>34.02.02</t>
        </is>
      </c>
      <c r="C835" s="2" t="inlineStr">
        <is>
          <t>Lavatório suspenso de canto, Deca Izy branco, L.101.17</t>
        </is>
      </c>
      <c r="D835" s="2" t="inlineStr">
        <is>
          <t>01/03/2028</t>
        </is>
      </c>
      <c r="E835" s="2" t="inlineStr">
        <is>
          <t>05/02/2029</t>
        </is>
      </c>
      <c r="F835" s="2" t="n">
        <v>18831.73619773436</v>
      </c>
      <c r="G835" s="2" t="n">
        <v>0</v>
      </c>
      <c r="H835" s="2" t="n">
        <v>18831.73619773436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</v>
      </c>
      <c r="CV835" s="2" t="n">
        <v>0</v>
      </c>
      <c r="CW835" s="2" t="n">
        <v>0</v>
      </c>
      <c r="CX835" s="2" t="n">
        <v>0</v>
      </c>
      <c r="CY835" s="2" t="n">
        <v>0</v>
      </c>
      <c r="CZ835" s="2" t="n">
        <v>0</v>
      </c>
      <c r="DA835" s="2" t="n">
        <v>0</v>
      </c>
      <c r="DB835" s="2" t="n">
        <v>0</v>
      </c>
      <c r="DC835" s="2" t="n">
        <v>0</v>
      </c>
      <c r="DD835" s="2" t="n">
        <v>7.49</v>
      </c>
      <c r="DE835" s="2" t="n">
        <v>9.6</v>
      </c>
      <c r="DF835" s="2" t="n">
        <v>0</v>
      </c>
      <c r="DG835" s="2" t="n">
        <v>15.71</v>
      </c>
      <c r="DH835" s="2" t="n">
        <v>17.85</v>
      </c>
      <c r="DI835" s="2" t="n">
        <v>0</v>
      </c>
      <c r="DJ835" s="2" t="n">
        <v>26.39</v>
      </c>
      <c r="DK835" s="2" t="n">
        <v>28.5</v>
      </c>
      <c r="DL835" s="2" t="n">
        <v>0</v>
      </c>
      <c r="DM835" s="2" t="n">
        <v>36.13</v>
      </c>
      <c r="DN835" s="2" t="n">
        <v>38.25</v>
      </c>
      <c r="DO835" s="2" t="n">
        <v>0</v>
      </c>
      <c r="DP835" s="2" t="n">
        <v>45.85</v>
      </c>
      <c r="DQ835" s="2" t="n">
        <v>48.04</v>
      </c>
      <c r="DR835" s="2" t="n">
        <v>0</v>
      </c>
      <c r="DS835" s="2" t="n">
        <v>55.92</v>
      </c>
      <c r="DT835" s="2" t="n">
        <v>57.97</v>
      </c>
      <c r="DU835" s="2" t="n">
        <v>0</v>
      </c>
      <c r="DV835" s="2" t="n">
        <v>64.14</v>
      </c>
      <c r="DW835" s="2" t="n">
        <v>66.20999999999999</v>
      </c>
      <c r="DX835" s="2" t="n">
        <v>0</v>
      </c>
      <c r="DY835" s="2" t="n">
        <v>72.79000000000001</v>
      </c>
      <c r="DZ835" s="2" t="n">
        <v>75.18000000000001</v>
      </c>
      <c r="EA835" s="2" t="n">
        <v>0</v>
      </c>
      <c r="EB835" s="2" t="n">
        <v>80.93000000000001</v>
      </c>
      <c r="EC835" s="2" t="n">
        <v>84.2</v>
      </c>
      <c r="ED835" s="2" t="n">
        <v>0</v>
      </c>
      <c r="EE835" s="2" t="n">
        <v>87.59</v>
      </c>
      <c r="EF835" s="2" t="n">
        <v>90.55</v>
      </c>
      <c r="EG835" s="2" t="n">
        <v>0</v>
      </c>
      <c r="EH835" s="2" t="n">
        <v>96.19</v>
      </c>
      <c r="EI835" s="2" t="n">
        <v>98.68000000000001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</row>
    <row r="836">
      <c r="A836" s="2" t="n">
        <v>3</v>
      </c>
      <c r="B836" s="2" t="inlineStr">
        <is>
          <t>34.02.03</t>
        </is>
      </c>
      <c r="C836" s="2" t="inlineStr">
        <is>
          <t>Lavatório de louça suspensa (Lavabo guarita)</t>
        </is>
      </c>
      <c r="D836" s="2" t="inlineStr">
        <is>
          <t>01/03/2028</t>
        </is>
      </c>
      <c r="E836" s="2" t="inlineStr">
        <is>
          <t>05/02/2029</t>
        </is>
      </c>
      <c r="F836" s="2" t="n">
        <v>192.160573446269</v>
      </c>
      <c r="G836" s="2" t="n">
        <v>0</v>
      </c>
      <c r="H836" s="2" t="n">
        <v>192.160573446269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</v>
      </c>
      <c r="CV836" s="2" t="n">
        <v>0</v>
      </c>
      <c r="CW836" s="2" t="n">
        <v>0</v>
      </c>
      <c r="CX836" s="2" t="n">
        <v>0</v>
      </c>
      <c r="CY836" s="2" t="n">
        <v>0</v>
      </c>
      <c r="CZ836" s="2" t="n">
        <v>0</v>
      </c>
      <c r="DA836" s="2" t="n">
        <v>0</v>
      </c>
      <c r="DB836" s="2" t="n">
        <v>0</v>
      </c>
      <c r="DC836" s="2" t="n">
        <v>0</v>
      </c>
      <c r="DD836" s="2" t="n">
        <v>7.49</v>
      </c>
      <c r="DE836" s="2" t="n">
        <v>9.6</v>
      </c>
      <c r="DF836" s="2" t="n">
        <v>0</v>
      </c>
      <c r="DG836" s="2" t="n">
        <v>15.71</v>
      </c>
      <c r="DH836" s="2" t="n">
        <v>17.85</v>
      </c>
      <c r="DI836" s="2" t="n">
        <v>0</v>
      </c>
      <c r="DJ836" s="2" t="n">
        <v>26.39</v>
      </c>
      <c r="DK836" s="2" t="n">
        <v>28.5</v>
      </c>
      <c r="DL836" s="2" t="n">
        <v>0</v>
      </c>
      <c r="DM836" s="2" t="n">
        <v>36.13</v>
      </c>
      <c r="DN836" s="2" t="n">
        <v>38.25</v>
      </c>
      <c r="DO836" s="2" t="n">
        <v>0</v>
      </c>
      <c r="DP836" s="2" t="n">
        <v>45.85</v>
      </c>
      <c r="DQ836" s="2" t="n">
        <v>48.04</v>
      </c>
      <c r="DR836" s="2" t="n">
        <v>0</v>
      </c>
      <c r="DS836" s="2" t="n">
        <v>55.92</v>
      </c>
      <c r="DT836" s="2" t="n">
        <v>57.97</v>
      </c>
      <c r="DU836" s="2" t="n">
        <v>0</v>
      </c>
      <c r="DV836" s="2" t="n">
        <v>64.14</v>
      </c>
      <c r="DW836" s="2" t="n">
        <v>66.20999999999999</v>
      </c>
      <c r="DX836" s="2" t="n">
        <v>0</v>
      </c>
      <c r="DY836" s="2" t="n">
        <v>72.79000000000001</v>
      </c>
      <c r="DZ836" s="2" t="n">
        <v>75.18000000000001</v>
      </c>
      <c r="EA836" s="2" t="n">
        <v>0</v>
      </c>
      <c r="EB836" s="2" t="n">
        <v>80.93000000000001</v>
      </c>
      <c r="EC836" s="2" t="n">
        <v>84.2</v>
      </c>
      <c r="ED836" s="2" t="n">
        <v>0</v>
      </c>
      <c r="EE836" s="2" t="n">
        <v>87.59</v>
      </c>
      <c r="EF836" s="2" t="n">
        <v>90.55</v>
      </c>
      <c r="EG836" s="2" t="n">
        <v>0</v>
      </c>
      <c r="EH836" s="2" t="n">
        <v>96.19</v>
      </c>
      <c r="EI836" s="2" t="n">
        <v>98.68000000000001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</row>
    <row r="837">
      <c r="A837" s="2" t="n">
        <v>3</v>
      </c>
      <c r="B837" s="2" t="inlineStr">
        <is>
          <t>34.02.04</t>
        </is>
      </c>
      <c r="C837" s="2" t="inlineStr">
        <is>
          <t>Lavatório suspenso, Deca Izy branco, L.100.17</t>
        </is>
      </c>
      <c r="D837" s="2" t="inlineStr">
        <is>
          <t>01/03/2028</t>
        </is>
      </c>
      <c r="E837" s="2" t="inlineStr">
        <is>
          <t>05/02/2029</t>
        </is>
      </c>
      <c r="F837" s="2" t="n">
        <v>2305.926881355228</v>
      </c>
      <c r="G837" s="2" t="n">
        <v>0</v>
      </c>
      <c r="H837" s="2" t="n">
        <v>2305.926881355228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0</v>
      </c>
      <c r="CY837" s="2" t="n">
        <v>0</v>
      </c>
      <c r="CZ837" s="2" t="n">
        <v>0</v>
      </c>
      <c r="DA837" s="2" t="n">
        <v>0</v>
      </c>
      <c r="DB837" s="2" t="n">
        <v>0</v>
      </c>
      <c r="DC837" s="2" t="n">
        <v>0</v>
      </c>
      <c r="DD837" s="2" t="n">
        <v>7.49</v>
      </c>
      <c r="DE837" s="2" t="n">
        <v>9.6</v>
      </c>
      <c r="DF837" s="2" t="n">
        <v>0</v>
      </c>
      <c r="DG837" s="2" t="n">
        <v>15.71</v>
      </c>
      <c r="DH837" s="2" t="n">
        <v>17.85</v>
      </c>
      <c r="DI837" s="2" t="n">
        <v>0</v>
      </c>
      <c r="DJ837" s="2" t="n">
        <v>26.39</v>
      </c>
      <c r="DK837" s="2" t="n">
        <v>28.5</v>
      </c>
      <c r="DL837" s="2" t="n">
        <v>0</v>
      </c>
      <c r="DM837" s="2" t="n">
        <v>36.13</v>
      </c>
      <c r="DN837" s="2" t="n">
        <v>38.25</v>
      </c>
      <c r="DO837" s="2" t="n">
        <v>0</v>
      </c>
      <c r="DP837" s="2" t="n">
        <v>45.85</v>
      </c>
      <c r="DQ837" s="2" t="n">
        <v>48.04</v>
      </c>
      <c r="DR837" s="2" t="n">
        <v>0</v>
      </c>
      <c r="DS837" s="2" t="n">
        <v>55.92</v>
      </c>
      <c r="DT837" s="2" t="n">
        <v>57.97</v>
      </c>
      <c r="DU837" s="2" t="n">
        <v>0</v>
      </c>
      <c r="DV837" s="2" t="n">
        <v>64.14</v>
      </c>
      <c r="DW837" s="2" t="n">
        <v>66.20999999999999</v>
      </c>
      <c r="DX837" s="2" t="n">
        <v>0</v>
      </c>
      <c r="DY837" s="2" t="n">
        <v>72.79000000000001</v>
      </c>
      <c r="DZ837" s="2" t="n">
        <v>75.18000000000001</v>
      </c>
      <c r="EA837" s="2" t="n">
        <v>0</v>
      </c>
      <c r="EB837" s="2" t="n">
        <v>80.93000000000001</v>
      </c>
      <c r="EC837" s="2" t="n">
        <v>84.2</v>
      </c>
      <c r="ED837" s="2" t="n">
        <v>0</v>
      </c>
      <c r="EE837" s="2" t="n">
        <v>87.59</v>
      </c>
      <c r="EF837" s="2" t="n">
        <v>90.55</v>
      </c>
      <c r="EG837" s="2" t="n">
        <v>0</v>
      </c>
      <c r="EH837" s="2" t="n">
        <v>96.19</v>
      </c>
      <c r="EI837" s="2" t="n">
        <v>98.68000000000001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</row>
    <row r="838">
      <c r="A838" s="2" t="n">
        <v>3</v>
      </c>
      <c r="B838" s="2" t="inlineStr">
        <is>
          <t>34.02.05</t>
        </is>
      </c>
      <c r="C838" s="2" t="inlineStr">
        <is>
          <t>Cuba de embutir retangular branco, Deca L.375.17</t>
        </is>
      </c>
      <c r="D838" s="2" t="inlineStr">
        <is>
          <t>01/03/2028</t>
        </is>
      </c>
      <c r="E838" s="2" t="inlineStr">
        <is>
          <t>05/02/2029</t>
        </is>
      </c>
      <c r="F838" s="2" t="n">
        <v>65</v>
      </c>
      <c r="G838" s="2" t="n">
        <v>0</v>
      </c>
      <c r="H838" s="2" t="n">
        <v>65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0</v>
      </c>
      <c r="CY838" s="2" t="n">
        <v>0</v>
      </c>
      <c r="CZ838" s="2" t="n">
        <v>0</v>
      </c>
      <c r="DA838" s="2" t="n">
        <v>0</v>
      </c>
      <c r="DB838" s="2" t="n">
        <v>0</v>
      </c>
      <c r="DC838" s="2" t="n">
        <v>0</v>
      </c>
      <c r="DD838" s="2" t="n">
        <v>7.49</v>
      </c>
      <c r="DE838" s="2" t="n">
        <v>9.6</v>
      </c>
      <c r="DF838" s="2" t="n">
        <v>0</v>
      </c>
      <c r="DG838" s="2" t="n">
        <v>15.71</v>
      </c>
      <c r="DH838" s="2" t="n">
        <v>17.85</v>
      </c>
      <c r="DI838" s="2" t="n">
        <v>0</v>
      </c>
      <c r="DJ838" s="2" t="n">
        <v>26.39</v>
      </c>
      <c r="DK838" s="2" t="n">
        <v>28.5</v>
      </c>
      <c r="DL838" s="2" t="n">
        <v>0</v>
      </c>
      <c r="DM838" s="2" t="n">
        <v>36.13</v>
      </c>
      <c r="DN838" s="2" t="n">
        <v>38.25</v>
      </c>
      <c r="DO838" s="2" t="n">
        <v>0</v>
      </c>
      <c r="DP838" s="2" t="n">
        <v>45.85</v>
      </c>
      <c r="DQ838" s="2" t="n">
        <v>48.04</v>
      </c>
      <c r="DR838" s="2" t="n">
        <v>0</v>
      </c>
      <c r="DS838" s="2" t="n">
        <v>55.92</v>
      </c>
      <c r="DT838" s="2" t="n">
        <v>57.97</v>
      </c>
      <c r="DU838" s="2" t="n">
        <v>0</v>
      </c>
      <c r="DV838" s="2" t="n">
        <v>64.14</v>
      </c>
      <c r="DW838" s="2" t="n">
        <v>66.20999999999999</v>
      </c>
      <c r="DX838" s="2" t="n">
        <v>0</v>
      </c>
      <c r="DY838" s="2" t="n">
        <v>72.79000000000001</v>
      </c>
      <c r="DZ838" s="2" t="n">
        <v>75.18000000000001</v>
      </c>
      <c r="EA838" s="2" t="n">
        <v>0</v>
      </c>
      <c r="EB838" s="2" t="n">
        <v>80.93000000000001</v>
      </c>
      <c r="EC838" s="2" t="n">
        <v>84.2</v>
      </c>
      <c r="ED838" s="2" t="n">
        <v>0</v>
      </c>
      <c r="EE838" s="2" t="n">
        <v>87.59</v>
      </c>
      <c r="EF838" s="2" t="n">
        <v>90.55</v>
      </c>
      <c r="EG838" s="2" t="n">
        <v>0</v>
      </c>
      <c r="EH838" s="2" t="n">
        <v>96.19</v>
      </c>
      <c r="EI838" s="2" t="n">
        <v>98.68000000000001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</row>
    <row r="839">
      <c r="A839" s="2" t="n">
        <v>3</v>
      </c>
      <c r="B839" s="2" t="inlineStr">
        <is>
          <t>34.02.06</t>
        </is>
      </c>
      <c r="C839" s="2" t="inlineStr">
        <is>
          <t>Cuba de semi encaixe quadrada com mesa, Deca l.61040.M.17 branca</t>
        </is>
      </c>
      <c r="D839" s="2" t="inlineStr">
        <is>
          <t>01/03/2028</t>
        </is>
      </c>
      <c r="E839" s="2" t="inlineStr">
        <is>
          <t>05/02/2029</t>
        </is>
      </c>
      <c r="F839" s="2" t="n">
        <v>211650</v>
      </c>
      <c r="G839" s="2" t="n">
        <v>0</v>
      </c>
      <c r="H839" s="2" t="n">
        <v>211650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0</v>
      </c>
      <c r="CY839" s="2" t="n">
        <v>0</v>
      </c>
      <c r="CZ839" s="2" t="n">
        <v>0</v>
      </c>
      <c r="DA839" s="2" t="n">
        <v>0</v>
      </c>
      <c r="DB839" s="2" t="n">
        <v>0</v>
      </c>
      <c r="DC839" s="2" t="n">
        <v>0</v>
      </c>
      <c r="DD839" s="2" t="n">
        <v>7.49</v>
      </c>
      <c r="DE839" s="2" t="n">
        <v>9.6</v>
      </c>
      <c r="DF839" s="2" t="n">
        <v>0</v>
      </c>
      <c r="DG839" s="2" t="n">
        <v>15.71</v>
      </c>
      <c r="DH839" s="2" t="n">
        <v>17.85</v>
      </c>
      <c r="DI839" s="2" t="n">
        <v>0</v>
      </c>
      <c r="DJ839" s="2" t="n">
        <v>26.39</v>
      </c>
      <c r="DK839" s="2" t="n">
        <v>28.5</v>
      </c>
      <c r="DL839" s="2" t="n">
        <v>0</v>
      </c>
      <c r="DM839" s="2" t="n">
        <v>36.13</v>
      </c>
      <c r="DN839" s="2" t="n">
        <v>38.25</v>
      </c>
      <c r="DO839" s="2" t="n">
        <v>0</v>
      </c>
      <c r="DP839" s="2" t="n">
        <v>45.85</v>
      </c>
      <c r="DQ839" s="2" t="n">
        <v>48.04</v>
      </c>
      <c r="DR839" s="2" t="n">
        <v>0</v>
      </c>
      <c r="DS839" s="2" t="n">
        <v>55.92</v>
      </c>
      <c r="DT839" s="2" t="n">
        <v>57.97</v>
      </c>
      <c r="DU839" s="2" t="n">
        <v>0</v>
      </c>
      <c r="DV839" s="2" t="n">
        <v>64.14</v>
      </c>
      <c r="DW839" s="2" t="n">
        <v>66.20999999999999</v>
      </c>
      <c r="DX839" s="2" t="n">
        <v>0</v>
      </c>
      <c r="DY839" s="2" t="n">
        <v>72.79000000000001</v>
      </c>
      <c r="DZ839" s="2" t="n">
        <v>75.18000000000001</v>
      </c>
      <c r="EA839" s="2" t="n">
        <v>0</v>
      </c>
      <c r="EB839" s="2" t="n">
        <v>80.93000000000001</v>
      </c>
      <c r="EC839" s="2" t="n">
        <v>84.2</v>
      </c>
      <c r="ED839" s="2" t="n">
        <v>0</v>
      </c>
      <c r="EE839" s="2" t="n">
        <v>87.59</v>
      </c>
      <c r="EF839" s="2" t="n">
        <v>90.55</v>
      </c>
      <c r="EG839" s="2" t="n">
        <v>0</v>
      </c>
      <c r="EH839" s="2" t="n">
        <v>96.19</v>
      </c>
      <c r="EI839" s="2" t="n">
        <v>98.68000000000001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</row>
    <row r="840">
      <c r="A840" s="2" t="n">
        <v>3</v>
      </c>
      <c r="B840" s="2" t="inlineStr">
        <is>
          <t>34.02.07</t>
        </is>
      </c>
      <c r="C840" s="2" t="inlineStr">
        <is>
          <t>Torneira de mesa bica baixa, para lavatório, ref.: Deca Level 1197.C26, cromado</t>
        </is>
      </c>
      <c r="D840" s="2" t="inlineStr">
        <is>
          <t>01/03/2028</t>
        </is>
      </c>
      <c r="E840" s="2" t="inlineStr">
        <is>
          <t>05/02/2029</t>
        </is>
      </c>
      <c r="F840" s="2" t="n">
        <v>54051.91756179199</v>
      </c>
      <c r="G840" s="2" t="n">
        <v>0</v>
      </c>
      <c r="H840" s="2" t="n">
        <v>54051.91756179199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0</v>
      </c>
      <c r="CY840" s="2" t="n">
        <v>0</v>
      </c>
      <c r="CZ840" s="2" t="n">
        <v>0</v>
      </c>
      <c r="DA840" s="2" t="n">
        <v>0</v>
      </c>
      <c r="DB840" s="2" t="n">
        <v>0</v>
      </c>
      <c r="DC840" s="2" t="n">
        <v>0</v>
      </c>
      <c r="DD840" s="2" t="n">
        <v>7.49</v>
      </c>
      <c r="DE840" s="2" t="n">
        <v>9.6</v>
      </c>
      <c r="DF840" s="2" t="n">
        <v>0</v>
      </c>
      <c r="DG840" s="2" t="n">
        <v>15.71</v>
      </c>
      <c r="DH840" s="2" t="n">
        <v>17.85</v>
      </c>
      <c r="DI840" s="2" t="n">
        <v>0</v>
      </c>
      <c r="DJ840" s="2" t="n">
        <v>26.39</v>
      </c>
      <c r="DK840" s="2" t="n">
        <v>28.5</v>
      </c>
      <c r="DL840" s="2" t="n">
        <v>0</v>
      </c>
      <c r="DM840" s="2" t="n">
        <v>36.13</v>
      </c>
      <c r="DN840" s="2" t="n">
        <v>38.25</v>
      </c>
      <c r="DO840" s="2" t="n">
        <v>0</v>
      </c>
      <c r="DP840" s="2" t="n">
        <v>45.85</v>
      </c>
      <c r="DQ840" s="2" t="n">
        <v>48.04</v>
      </c>
      <c r="DR840" s="2" t="n">
        <v>0</v>
      </c>
      <c r="DS840" s="2" t="n">
        <v>55.92</v>
      </c>
      <c r="DT840" s="2" t="n">
        <v>57.97</v>
      </c>
      <c r="DU840" s="2" t="n">
        <v>0</v>
      </c>
      <c r="DV840" s="2" t="n">
        <v>64.14</v>
      </c>
      <c r="DW840" s="2" t="n">
        <v>66.20999999999999</v>
      </c>
      <c r="DX840" s="2" t="n">
        <v>0</v>
      </c>
      <c r="DY840" s="2" t="n">
        <v>72.79000000000001</v>
      </c>
      <c r="DZ840" s="2" t="n">
        <v>75.18000000000001</v>
      </c>
      <c r="EA840" s="2" t="n">
        <v>0</v>
      </c>
      <c r="EB840" s="2" t="n">
        <v>80.93000000000001</v>
      </c>
      <c r="EC840" s="2" t="n">
        <v>84.2</v>
      </c>
      <c r="ED840" s="2" t="n">
        <v>0</v>
      </c>
      <c r="EE840" s="2" t="n">
        <v>87.59</v>
      </c>
      <c r="EF840" s="2" t="n">
        <v>90.55</v>
      </c>
      <c r="EG840" s="2" t="n">
        <v>0</v>
      </c>
      <c r="EH840" s="2" t="n">
        <v>96.19</v>
      </c>
      <c r="EI840" s="2" t="n">
        <v>98.68000000000001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</row>
    <row r="841">
      <c r="A841" s="2" t="n">
        <v>3</v>
      </c>
      <c r="B841" s="2" t="inlineStr">
        <is>
          <t>34.02.08</t>
        </is>
      </c>
      <c r="C841" s="2" t="inlineStr">
        <is>
          <t>Torneira cromada para lavatório (Lavabo guarita)</t>
        </is>
      </c>
      <c r="D841" s="2" t="inlineStr">
        <is>
          <t>01/03/2028</t>
        </is>
      </c>
      <c r="E841" s="2" t="inlineStr">
        <is>
          <t>05/02/2029</t>
        </is>
      </c>
      <c r="F841" s="2" t="n">
        <v>315.5501792019591</v>
      </c>
      <c r="G841" s="2" t="n">
        <v>0</v>
      </c>
      <c r="H841" s="2" t="n">
        <v>315.5501792019591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0</v>
      </c>
      <c r="CY841" s="2" t="n">
        <v>0</v>
      </c>
      <c r="CZ841" s="2" t="n">
        <v>0</v>
      </c>
      <c r="DA841" s="2" t="n">
        <v>0</v>
      </c>
      <c r="DB841" s="2" t="n">
        <v>0</v>
      </c>
      <c r="DC841" s="2" t="n">
        <v>0</v>
      </c>
      <c r="DD841" s="2" t="n">
        <v>7.49</v>
      </c>
      <c r="DE841" s="2" t="n">
        <v>9.6</v>
      </c>
      <c r="DF841" s="2" t="n">
        <v>0</v>
      </c>
      <c r="DG841" s="2" t="n">
        <v>15.71</v>
      </c>
      <c r="DH841" s="2" t="n">
        <v>17.85</v>
      </c>
      <c r="DI841" s="2" t="n">
        <v>0</v>
      </c>
      <c r="DJ841" s="2" t="n">
        <v>26.39</v>
      </c>
      <c r="DK841" s="2" t="n">
        <v>28.5</v>
      </c>
      <c r="DL841" s="2" t="n">
        <v>0</v>
      </c>
      <c r="DM841" s="2" t="n">
        <v>36.13</v>
      </c>
      <c r="DN841" s="2" t="n">
        <v>38.25</v>
      </c>
      <c r="DO841" s="2" t="n">
        <v>0</v>
      </c>
      <c r="DP841" s="2" t="n">
        <v>45.85</v>
      </c>
      <c r="DQ841" s="2" t="n">
        <v>48.04</v>
      </c>
      <c r="DR841" s="2" t="n">
        <v>0</v>
      </c>
      <c r="DS841" s="2" t="n">
        <v>55.92</v>
      </c>
      <c r="DT841" s="2" t="n">
        <v>57.97</v>
      </c>
      <c r="DU841" s="2" t="n">
        <v>0</v>
      </c>
      <c r="DV841" s="2" t="n">
        <v>64.14</v>
      </c>
      <c r="DW841" s="2" t="n">
        <v>66.20999999999999</v>
      </c>
      <c r="DX841" s="2" t="n">
        <v>0</v>
      </c>
      <c r="DY841" s="2" t="n">
        <v>72.79000000000001</v>
      </c>
      <c r="DZ841" s="2" t="n">
        <v>75.18000000000001</v>
      </c>
      <c r="EA841" s="2" t="n">
        <v>0</v>
      </c>
      <c r="EB841" s="2" t="n">
        <v>80.93000000000001</v>
      </c>
      <c r="EC841" s="2" t="n">
        <v>84.2</v>
      </c>
      <c r="ED841" s="2" t="n">
        <v>0</v>
      </c>
      <c r="EE841" s="2" t="n">
        <v>87.59</v>
      </c>
      <c r="EF841" s="2" t="n">
        <v>90.55</v>
      </c>
      <c r="EG841" s="2" t="n">
        <v>0</v>
      </c>
      <c r="EH841" s="2" t="n">
        <v>96.19</v>
      </c>
      <c r="EI841" s="2" t="n">
        <v>98.68000000000001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</row>
    <row r="842">
      <c r="A842" s="2" t="n">
        <v>3</v>
      </c>
      <c r="B842" s="2" t="inlineStr">
        <is>
          <t>34.02.09</t>
        </is>
      </c>
      <c r="C842" s="2" t="inlineStr">
        <is>
          <t>Torneira de mesa bica baixa, para lavatório, ref.: Deca Link 1197.C.LNK, cromado</t>
        </is>
      </c>
      <c r="D842" s="2" t="inlineStr">
        <is>
          <t>01/03/2028</t>
        </is>
      </c>
      <c r="E842" s="2" t="inlineStr">
        <is>
          <t>05/02/2029</t>
        </is>
      </c>
      <c r="F842" s="2" t="n">
        <v>30923.91756179199</v>
      </c>
      <c r="G842" s="2" t="n">
        <v>0</v>
      </c>
      <c r="H842" s="2" t="n">
        <v>30923.91756179199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0</v>
      </c>
      <c r="CY842" s="2" t="n">
        <v>0</v>
      </c>
      <c r="CZ842" s="2" t="n">
        <v>0</v>
      </c>
      <c r="DA842" s="2" t="n">
        <v>0</v>
      </c>
      <c r="DB842" s="2" t="n">
        <v>0</v>
      </c>
      <c r="DC842" s="2" t="n">
        <v>0</v>
      </c>
      <c r="DD842" s="2" t="n">
        <v>7.49</v>
      </c>
      <c r="DE842" s="2" t="n">
        <v>9.6</v>
      </c>
      <c r="DF842" s="2" t="n">
        <v>0</v>
      </c>
      <c r="DG842" s="2" t="n">
        <v>15.71</v>
      </c>
      <c r="DH842" s="2" t="n">
        <v>17.85</v>
      </c>
      <c r="DI842" s="2" t="n">
        <v>0</v>
      </c>
      <c r="DJ842" s="2" t="n">
        <v>26.39</v>
      </c>
      <c r="DK842" s="2" t="n">
        <v>28.5</v>
      </c>
      <c r="DL842" s="2" t="n">
        <v>0</v>
      </c>
      <c r="DM842" s="2" t="n">
        <v>36.13</v>
      </c>
      <c r="DN842" s="2" t="n">
        <v>38.25</v>
      </c>
      <c r="DO842" s="2" t="n">
        <v>0</v>
      </c>
      <c r="DP842" s="2" t="n">
        <v>45.85</v>
      </c>
      <c r="DQ842" s="2" t="n">
        <v>48.04</v>
      </c>
      <c r="DR842" s="2" t="n">
        <v>0</v>
      </c>
      <c r="DS842" s="2" t="n">
        <v>55.92</v>
      </c>
      <c r="DT842" s="2" t="n">
        <v>57.97</v>
      </c>
      <c r="DU842" s="2" t="n">
        <v>0</v>
      </c>
      <c r="DV842" s="2" t="n">
        <v>64.14</v>
      </c>
      <c r="DW842" s="2" t="n">
        <v>66.20999999999999</v>
      </c>
      <c r="DX842" s="2" t="n">
        <v>0</v>
      </c>
      <c r="DY842" s="2" t="n">
        <v>72.79000000000001</v>
      </c>
      <c r="DZ842" s="2" t="n">
        <v>75.18000000000001</v>
      </c>
      <c r="EA842" s="2" t="n">
        <v>0</v>
      </c>
      <c r="EB842" s="2" t="n">
        <v>80.93000000000001</v>
      </c>
      <c r="EC842" s="2" t="n">
        <v>84.2</v>
      </c>
      <c r="ED842" s="2" t="n">
        <v>0</v>
      </c>
      <c r="EE842" s="2" t="n">
        <v>87.59</v>
      </c>
      <c r="EF842" s="2" t="n">
        <v>90.55</v>
      </c>
      <c r="EG842" s="2" t="n">
        <v>0</v>
      </c>
      <c r="EH842" s="2" t="n">
        <v>96.19</v>
      </c>
      <c r="EI842" s="2" t="n">
        <v>98.68000000000001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</row>
    <row r="843">
      <c r="A843" s="2" t="n">
        <v>3</v>
      </c>
      <c r="B843" s="2" t="inlineStr">
        <is>
          <t>34.02.10</t>
        </is>
      </c>
      <c r="C843" s="2" t="inlineStr">
        <is>
          <t>Torneira de mesa com fechamento automático para lavatório, ref.: Deca, Decamatic Eco 1173.C, cromado</t>
        </is>
      </c>
      <c r="D843" s="2" t="inlineStr">
        <is>
          <t>01/03/2028</t>
        </is>
      </c>
      <c r="E843" s="2" t="inlineStr">
        <is>
          <t>05/02/2029</t>
        </is>
      </c>
      <c r="F843" s="2" t="n">
        <v>10335</v>
      </c>
      <c r="G843" s="2" t="n">
        <v>0</v>
      </c>
      <c r="H843" s="2" t="n">
        <v>10335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0</v>
      </c>
      <c r="CY843" s="2" t="n">
        <v>0</v>
      </c>
      <c r="CZ843" s="2" t="n">
        <v>0</v>
      </c>
      <c r="DA843" s="2" t="n">
        <v>0</v>
      </c>
      <c r="DB843" s="2" t="n">
        <v>0</v>
      </c>
      <c r="DC843" s="2" t="n">
        <v>0</v>
      </c>
      <c r="DD843" s="2" t="n">
        <v>7.49</v>
      </c>
      <c r="DE843" s="2" t="n">
        <v>9.6</v>
      </c>
      <c r="DF843" s="2" t="n">
        <v>0</v>
      </c>
      <c r="DG843" s="2" t="n">
        <v>15.71</v>
      </c>
      <c r="DH843" s="2" t="n">
        <v>17.85</v>
      </c>
      <c r="DI843" s="2" t="n">
        <v>0</v>
      </c>
      <c r="DJ843" s="2" t="n">
        <v>26.39</v>
      </c>
      <c r="DK843" s="2" t="n">
        <v>28.5</v>
      </c>
      <c r="DL843" s="2" t="n">
        <v>0</v>
      </c>
      <c r="DM843" s="2" t="n">
        <v>36.13</v>
      </c>
      <c r="DN843" s="2" t="n">
        <v>38.25</v>
      </c>
      <c r="DO843" s="2" t="n">
        <v>0</v>
      </c>
      <c r="DP843" s="2" t="n">
        <v>45.85</v>
      </c>
      <c r="DQ843" s="2" t="n">
        <v>48.04</v>
      </c>
      <c r="DR843" s="2" t="n">
        <v>0</v>
      </c>
      <c r="DS843" s="2" t="n">
        <v>55.92</v>
      </c>
      <c r="DT843" s="2" t="n">
        <v>57.97</v>
      </c>
      <c r="DU843" s="2" t="n">
        <v>0</v>
      </c>
      <c r="DV843" s="2" t="n">
        <v>64.14</v>
      </c>
      <c r="DW843" s="2" t="n">
        <v>66.20999999999999</v>
      </c>
      <c r="DX843" s="2" t="n">
        <v>0</v>
      </c>
      <c r="DY843" s="2" t="n">
        <v>72.79000000000001</v>
      </c>
      <c r="DZ843" s="2" t="n">
        <v>75.18000000000001</v>
      </c>
      <c r="EA843" s="2" t="n">
        <v>0</v>
      </c>
      <c r="EB843" s="2" t="n">
        <v>80.93000000000001</v>
      </c>
      <c r="EC843" s="2" t="n">
        <v>84.2</v>
      </c>
      <c r="ED843" s="2" t="n">
        <v>0</v>
      </c>
      <c r="EE843" s="2" t="n">
        <v>87.59</v>
      </c>
      <c r="EF843" s="2" t="n">
        <v>90.55</v>
      </c>
      <c r="EG843" s="2" t="n">
        <v>0</v>
      </c>
      <c r="EH843" s="2" t="n">
        <v>96.19</v>
      </c>
      <c r="EI843" s="2" t="n">
        <v>98.68000000000001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</row>
    <row r="844">
      <c r="A844" s="2" t="n">
        <v>3</v>
      </c>
      <c r="B844" s="2" t="inlineStr">
        <is>
          <t>34.02.11</t>
        </is>
      </c>
      <c r="C844" s="2" t="inlineStr">
        <is>
          <t>Torneira De Mesa Com Fechamento Automático Para Lavatório DECA Decamatic Eco Conforto Cromado Cód.: 1173.C.CONF</t>
        </is>
      </c>
      <c r="D844" s="2" t="inlineStr">
        <is>
          <t>01/03/2028</t>
        </is>
      </c>
      <c r="E844" s="2" t="inlineStr">
        <is>
          <t>05/02/2029</t>
        </is>
      </c>
      <c r="F844" s="2" t="n">
        <v>4770</v>
      </c>
      <c r="G844" s="2" t="n">
        <v>0</v>
      </c>
      <c r="H844" s="2" t="n">
        <v>4770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0</v>
      </c>
      <c r="CY844" s="2" t="n">
        <v>0</v>
      </c>
      <c r="CZ844" s="2" t="n">
        <v>0</v>
      </c>
      <c r="DA844" s="2" t="n">
        <v>0</v>
      </c>
      <c r="DB844" s="2" t="n">
        <v>0</v>
      </c>
      <c r="DC844" s="2" t="n">
        <v>0</v>
      </c>
      <c r="DD844" s="2" t="n">
        <v>7.49</v>
      </c>
      <c r="DE844" s="2" t="n">
        <v>9.6</v>
      </c>
      <c r="DF844" s="2" t="n">
        <v>0</v>
      </c>
      <c r="DG844" s="2" t="n">
        <v>15.71</v>
      </c>
      <c r="DH844" s="2" t="n">
        <v>17.85</v>
      </c>
      <c r="DI844" s="2" t="n">
        <v>0</v>
      </c>
      <c r="DJ844" s="2" t="n">
        <v>26.39</v>
      </c>
      <c r="DK844" s="2" t="n">
        <v>28.5</v>
      </c>
      <c r="DL844" s="2" t="n">
        <v>0</v>
      </c>
      <c r="DM844" s="2" t="n">
        <v>36.13</v>
      </c>
      <c r="DN844" s="2" t="n">
        <v>38.25</v>
      </c>
      <c r="DO844" s="2" t="n">
        <v>0</v>
      </c>
      <c r="DP844" s="2" t="n">
        <v>45.85</v>
      </c>
      <c r="DQ844" s="2" t="n">
        <v>48.04</v>
      </c>
      <c r="DR844" s="2" t="n">
        <v>0</v>
      </c>
      <c r="DS844" s="2" t="n">
        <v>55.92</v>
      </c>
      <c r="DT844" s="2" t="n">
        <v>57.97</v>
      </c>
      <c r="DU844" s="2" t="n">
        <v>0</v>
      </c>
      <c r="DV844" s="2" t="n">
        <v>64.14</v>
      </c>
      <c r="DW844" s="2" t="n">
        <v>66.20999999999999</v>
      </c>
      <c r="DX844" s="2" t="n">
        <v>0</v>
      </c>
      <c r="DY844" s="2" t="n">
        <v>72.79000000000001</v>
      </c>
      <c r="DZ844" s="2" t="n">
        <v>75.18000000000001</v>
      </c>
      <c r="EA844" s="2" t="n">
        <v>0</v>
      </c>
      <c r="EB844" s="2" t="n">
        <v>80.93000000000001</v>
      </c>
      <c r="EC844" s="2" t="n">
        <v>84.2</v>
      </c>
      <c r="ED844" s="2" t="n">
        <v>0</v>
      </c>
      <c r="EE844" s="2" t="n">
        <v>87.59</v>
      </c>
      <c r="EF844" s="2" t="n">
        <v>90.55</v>
      </c>
      <c r="EG844" s="2" t="n">
        <v>0</v>
      </c>
      <c r="EH844" s="2" t="n">
        <v>96.19</v>
      </c>
      <c r="EI844" s="2" t="n">
        <v>98.68000000000001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</row>
    <row r="845">
      <c r="A845" s="2" t="n">
        <v>3</v>
      </c>
      <c r="B845" s="2" t="inlineStr">
        <is>
          <t>34.02.12</t>
        </is>
      </c>
      <c r="C845" s="2" t="inlineStr">
        <is>
          <t>Misturador monocomando de mesa bica baixa, para lavatório; ref.: Deca Level 2875.C26, cromado</t>
        </is>
      </c>
      <c r="D845" s="2" t="inlineStr">
        <is>
          <t>01/03/2028</t>
        </is>
      </c>
      <c r="E845" s="2" t="inlineStr">
        <is>
          <t>05/02/2029</t>
        </is>
      </c>
      <c r="F845" s="2" t="n">
        <v>119656.9946212878</v>
      </c>
      <c r="G845" s="2" t="n">
        <v>0</v>
      </c>
      <c r="H845" s="2" t="n">
        <v>119656.9946212878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0</v>
      </c>
      <c r="CY845" s="2" t="n">
        <v>0</v>
      </c>
      <c r="CZ845" s="2" t="n">
        <v>0</v>
      </c>
      <c r="DA845" s="2" t="n">
        <v>0</v>
      </c>
      <c r="DB845" s="2" t="n">
        <v>0</v>
      </c>
      <c r="DC845" s="2" t="n">
        <v>0</v>
      </c>
      <c r="DD845" s="2" t="n">
        <v>7.49</v>
      </c>
      <c r="DE845" s="2" t="n">
        <v>9.6</v>
      </c>
      <c r="DF845" s="2" t="n">
        <v>0</v>
      </c>
      <c r="DG845" s="2" t="n">
        <v>15.71</v>
      </c>
      <c r="DH845" s="2" t="n">
        <v>17.85</v>
      </c>
      <c r="DI845" s="2" t="n">
        <v>0</v>
      </c>
      <c r="DJ845" s="2" t="n">
        <v>26.39</v>
      </c>
      <c r="DK845" s="2" t="n">
        <v>28.5</v>
      </c>
      <c r="DL845" s="2" t="n">
        <v>0</v>
      </c>
      <c r="DM845" s="2" t="n">
        <v>36.13</v>
      </c>
      <c r="DN845" s="2" t="n">
        <v>38.25</v>
      </c>
      <c r="DO845" s="2" t="n">
        <v>0</v>
      </c>
      <c r="DP845" s="2" t="n">
        <v>45.85</v>
      </c>
      <c r="DQ845" s="2" t="n">
        <v>48.04</v>
      </c>
      <c r="DR845" s="2" t="n">
        <v>0</v>
      </c>
      <c r="DS845" s="2" t="n">
        <v>55.92</v>
      </c>
      <c r="DT845" s="2" t="n">
        <v>57.97</v>
      </c>
      <c r="DU845" s="2" t="n">
        <v>0</v>
      </c>
      <c r="DV845" s="2" t="n">
        <v>64.14</v>
      </c>
      <c r="DW845" s="2" t="n">
        <v>66.20999999999999</v>
      </c>
      <c r="DX845" s="2" t="n">
        <v>0</v>
      </c>
      <c r="DY845" s="2" t="n">
        <v>72.79000000000001</v>
      </c>
      <c r="DZ845" s="2" t="n">
        <v>75.18000000000001</v>
      </c>
      <c r="EA845" s="2" t="n">
        <v>0</v>
      </c>
      <c r="EB845" s="2" t="n">
        <v>80.93000000000001</v>
      </c>
      <c r="EC845" s="2" t="n">
        <v>84.2</v>
      </c>
      <c r="ED845" s="2" t="n">
        <v>0</v>
      </c>
      <c r="EE845" s="2" t="n">
        <v>87.59</v>
      </c>
      <c r="EF845" s="2" t="n">
        <v>90.55</v>
      </c>
      <c r="EG845" s="2" t="n">
        <v>0</v>
      </c>
      <c r="EH845" s="2" t="n">
        <v>96.19</v>
      </c>
      <c r="EI845" s="2" t="n">
        <v>98.68000000000001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</row>
    <row r="846">
      <c r="A846" s="2" t="n">
        <v>3</v>
      </c>
      <c r="B846" s="2" t="inlineStr">
        <is>
          <t>34.02.13</t>
        </is>
      </c>
      <c r="C846" s="2" t="inlineStr">
        <is>
          <t>Ligação flexível cromada 40cm</t>
        </is>
      </c>
      <c r="D846" s="2" t="inlineStr">
        <is>
          <t>01/03/2028</t>
        </is>
      </c>
      <c r="E846" s="2" t="inlineStr">
        <is>
          <t>05/02/2029</t>
        </is>
      </c>
      <c r="F846" s="2" t="n">
        <v>16065.83332891097</v>
      </c>
      <c r="G846" s="2" t="n">
        <v>0</v>
      </c>
      <c r="H846" s="2" t="n">
        <v>16065.83332891097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</v>
      </c>
      <c r="CS846" s="2" t="n">
        <v>0</v>
      </c>
      <c r="CT846" s="2" t="n">
        <v>0</v>
      </c>
      <c r="CU846" s="2" t="n">
        <v>0</v>
      </c>
      <c r="CV846" s="2" t="n">
        <v>0</v>
      </c>
      <c r="CW846" s="2" t="n">
        <v>0</v>
      </c>
      <c r="CX846" s="2" t="n">
        <v>0</v>
      </c>
      <c r="CY846" s="2" t="n">
        <v>0</v>
      </c>
      <c r="CZ846" s="2" t="n">
        <v>0</v>
      </c>
      <c r="DA846" s="2" t="n">
        <v>0</v>
      </c>
      <c r="DB846" s="2" t="n">
        <v>0</v>
      </c>
      <c r="DC846" s="2" t="n">
        <v>0</v>
      </c>
      <c r="DD846" s="2" t="n">
        <v>7.49</v>
      </c>
      <c r="DE846" s="2" t="n">
        <v>9.6</v>
      </c>
      <c r="DF846" s="2" t="n">
        <v>0</v>
      </c>
      <c r="DG846" s="2" t="n">
        <v>15.71</v>
      </c>
      <c r="DH846" s="2" t="n">
        <v>17.85</v>
      </c>
      <c r="DI846" s="2" t="n">
        <v>0</v>
      </c>
      <c r="DJ846" s="2" t="n">
        <v>26.39</v>
      </c>
      <c r="DK846" s="2" t="n">
        <v>28.5</v>
      </c>
      <c r="DL846" s="2" t="n">
        <v>0</v>
      </c>
      <c r="DM846" s="2" t="n">
        <v>36.13</v>
      </c>
      <c r="DN846" s="2" t="n">
        <v>38.25</v>
      </c>
      <c r="DO846" s="2" t="n">
        <v>0</v>
      </c>
      <c r="DP846" s="2" t="n">
        <v>45.85</v>
      </c>
      <c r="DQ846" s="2" t="n">
        <v>48.04</v>
      </c>
      <c r="DR846" s="2" t="n">
        <v>0</v>
      </c>
      <c r="DS846" s="2" t="n">
        <v>55.92</v>
      </c>
      <c r="DT846" s="2" t="n">
        <v>57.97</v>
      </c>
      <c r="DU846" s="2" t="n">
        <v>0</v>
      </c>
      <c r="DV846" s="2" t="n">
        <v>64.14</v>
      </c>
      <c r="DW846" s="2" t="n">
        <v>66.20999999999999</v>
      </c>
      <c r="DX846" s="2" t="n">
        <v>0</v>
      </c>
      <c r="DY846" s="2" t="n">
        <v>72.79000000000001</v>
      </c>
      <c r="DZ846" s="2" t="n">
        <v>75.18000000000001</v>
      </c>
      <c r="EA846" s="2" t="n">
        <v>0</v>
      </c>
      <c r="EB846" s="2" t="n">
        <v>80.93000000000001</v>
      </c>
      <c r="EC846" s="2" t="n">
        <v>84.2</v>
      </c>
      <c r="ED846" s="2" t="n">
        <v>0</v>
      </c>
      <c r="EE846" s="2" t="n">
        <v>87.59</v>
      </c>
      <c r="EF846" s="2" t="n">
        <v>90.55</v>
      </c>
      <c r="EG846" s="2" t="n">
        <v>0</v>
      </c>
      <c r="EH846" s="2" t="n">
        <v>96.19</v>
      </c>
      <c r="EI846" s="2" t="n">
        <v>98.68000000000001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</row>
    <row r="847">
      <c r="A847" s="2" t="n">
        <v>3</v>
      </c>
      <c r="B847" s="2" t="inlineStr">
        <is>
          <t>34.02.14</t>
        </is>
      </c>
      <c r="C847" s="2" t="inlineStr">
        <is>
          <t>Válvula cromada para lavatório</t>
        </is>
      </c>
      <c r="D847" s="2" t="inlineStr">
        <is>
          <t>01/03/2028</t>
        </is>
      </c>
      <c r="E847" s="2" t="inlineStr">
        <is>
          <t>05/02/2029</t>
        </is>
      </c>
      <c r="F847" s="2" t="n">
        <v>53496.53225369921</v>
      </c>
      <c r="G847" s="2" t="n">
        <v>0</v>
      </c>
      <c r="H847" s="2" t="n">
        <v>53496.53225369921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</v>
      </c>
      <c r="CS847" s="2" t="n">
        <v>0</v>
      </c>
      <c r="CT847" s="2" t="n">
        <v>0</v>
      </c>
      <c r="CU847" s="2" t="n">
        <v>0</v>
      </c>
      <c r="CV847" s="2" t="n">
        <v>0</v>
      </c>
      <c r="CW847" s="2" t="n">
        <v>0</v>
      </c>
      <c r="CX847" s="2" t="n">
        <v>0</v>
      </c>
      <c r="CY847" s="2" t="n">
        <v>0</v>
      </c>
      <c r="CZ847" s="2" t="n">
        <v>0</v>
      </c>
      <c r="DA847" s="2" t="n">
        <v>0</v>
      </c>
      <c r="DB847" s="2" t="n">
        <v>0</v>
      </c>
      <c r="DC847" s="2" t="n">
        <v>0</v>
      </c>
      <c r="DD847" s="2" t="n">
        <v>7.49</v>
      </c>
      <c r="DE847" s="2" t="n">
        <v>9.6</v>
      </c>
      <c r="DF847" s="2" t="n">
        <v>0</v>
      </c>
      <c r="DG847" s="2" t="n">
        <v>15.71</v>
      </c>
      <c r="DH847" s="2" t="n">
        <v>17.85</v>
      </c>
      <c r="DI847" s="2" t="n">
        <v>0</v>
      </c>
      <c r="DJ847" s="2" t="n">
        <v>26.39</v>
      </c>
      <c r="DK847" s="2" t="n">
        <v>28.5</v>
      </c>
      <c r="DL847" s="2" t="n">
        <v>0</v>
      </c>
      <c r="DM847" s="2" t="n">
        <v>36.13</v>
      </c>
      <c r="DN847" s="2" t="n">
        <v>38.25</v>
      </c>
      <c r="DO847" s="2" t="n">
        <v>0</v>
      </c>
      <c r="DP847" s="2" t="n">
        <v>45.85</v>
      </c>
      <c r="DQ847" s="2" t="n">
        <v>48.04</v>
      </c>
      <c r="DR847" s="2" t="n">
        <v>0</v>
      </c>
      <c r="DS847" s="2" t="n">
        <v>55.92</v>
      </c>
      <c r="DT847" s="2" t="n">
        <v>57.97</v>
      </c>
      <c r="DU847" s="2" t="n">
        <v>0</v>
      </c>
      <c r="DV847" s="2" t="n">
        <v>64.14</v>
      </c>
      <c r="DW847" s="2" t="n">
        <v>66.20999999999999</v>
      </c>
      <c r="DX847" s="2" t="n">
        <v>0</v>
      </c>
      <c r="DY847" s="2" t="n">
        <v>72.79000000000001</v>
      </c>
      <c r="DZ847" s="2" t="n">
        <v>75.18000000000001</v>
      </c>
      <c r="EA847" s="2" t="n">
        <v>0</v>
      </c>
      <c r="EB847" s="2" t="n">
        <v>80.93000000000001</v>
      </c>
      <c r="EC847" s="2" t="n">
        <v>84.2</v>
      </c>
      <c r="ED847" s="2" t="n">
        <v>0</v>
      </c>
      <c r="EE847" s="2" t="n">
        <v>87.59</v>
      </c>
      <c r="EF847" s="2" t="n">
        <v>90.55</v>
      </c>
      <c r="EG847" s="2" t="n">
        <v>0</v>
      </c>
      <c r="EH847" s="2" t="n">
        <v>96.19</v>
      </c>
      <c r="EI847" s="2" t="n">
        <v>98.68000000000001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</row>
    <row r="848">
      <c r="A848" s="2" t="n">
        <v>3</v>
      </c>
      <c r="B848" s="2" t="inlineStr">
        <is>
          <t>34.02.15</t>
        </is>
      </c>
      <c r="C848" s="2" t="inlineStr">
        <is>
          <t>Válvula de Escoamento Click para Lavatório, Cuba e Bidê Cromado, Cód.: 1601.C.CLI</t>
        </is>
      </c>
      <c r="D848" s="2" t="inlineStr">
        <is>
          <t>01/03/2028</t>
        </is>
      </c>
      <c r="E848" s="2" t="inlineStr">
        <is>
          <t>05/02/2029</t>
        </is>
      </c>
      <c r="F848" s="2" t="n">
        <v>699.3010752117544</v>
      </c>
      <c r="G848" s="2" t="n">
        <v>0</v>
      </c>
      <c r="H848" s="2" t="n">
        <v>699.3010752117544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</v>
      </c>
      <c r="CS848" s="2" t="n">
        <v>0</v>
      </c>
      <c r="CT848" s="2" t="n">
        <v>0</v>
      </c>
      <c r="CU848" s="2" t="n">
        <v>0</v>
      </c>
      <c r="CV848" s="2" t="n">
        <v>0</v>
      </c>
      <c r="CW848" s="2" t="n">
        <v>0</v>
      </c>
      <c r="CX848" s="2" t="n">
        <v>0</v>
      </c>
      <c r="CY848" s="2" t="n">
        <v>0</v>
      </c>
      <c r="CZ848" s="2" t="n">
        <v>0</v>
      </c>
      <c r="DA848" s="2" t="n">
        <v>0</v>
      </c>
      <c r="DB848" s="2" t="n">
        <v>0</v>
      </c>
      <c r="DC848" s="2" t="n">
        <v>0</v>
      </c>
      <c r="DD848" s="2" t="n">
        <v>7.49</v>
      </c>
      <c r="DE848" s="2" t="n">
        <v>9.6</v>
      </c>
      <c r="DF848" s="2" t="n">
        <v>0</v>
      </c>
      <c r="DG848" s="2" t="n">
        <v>15.71</v>
      </c>
      <c r="DH848" s="2" t="n">
        <v>17.85</v>
      </c>
      <c r="DI848" s="2" t="n">
        <v>0</v>
      </c>
      <c r="DJ848" s="2" t="n">
        <v>26.39</v>
      </c>
      <c r="DK848" s="2" t="n">
        <v>28.5</v>
      </c>
      <c r="DL848" s="2" t="n">
        <v>0</v>
      </c>
      <c r="DM848" s="2" t="n">
        <v>36.13</v>
      </c>
      <c r="DN848" s="2" t="n">
        <v>38.25</v>
      </c>
      <c r="DO848" s="2" t="n">
        <v>0</v>
      </c>
      <c r="DP848" s="2" t="n">
        <v>45.85</v>
      </c>
      <c r="DQ848" s="2" t="n">
        <v>48.04</v>
      </c>
      <c r="DR848" s="2" t="n">
        <v>0</v>
      </c>
      <c r="DS848" s="2" t="n">
        <v>55.92</v>
      </c>
      <c r="DT848" s="2" t="n">
        <v>57.97</v>
      </c>
      <c r="DU848" s="2" t="n">
        <v>0</v>
      </c>
      <c r="DV848" s="2" t="n">
        <v>64.14</v>
      </c>
      <c r="DW848" s="2" t="n">
        <v>66.20999999999999</v>
      </c>
      <c r="DX848" s="2" t="n">
        <v>0</v>
      </c>
      <c r="DY848" s="2" t="n">
        <v>72.79000000000001</v>
      </c>
      <c r="DZ848" s="2" t="n">
        <v>75.18000000000001</v>
      </c>
      <c r="EA848" s="2" t="n">
        <v>0</v>
      </c>
      <c r="EB848" s="2" t="n">
        <v>80.93000000000001</v>
      </c>
      <c r="EC848" s="2" t="n">
        <v>84.2</v>
      </c>
      <c r="ED848" s="2" t="n">
        <v>0</v>
      </c>
      <c r="EE848" s="2" t="n">
        <v>87.59</v>
      </c>
      <c r="EF848" s="2" t="n">
        <v>90.55</v>
      </c>
      <c r="EG848" s="2" t="n">
        <v>0</v>
      </c>
      <c r="EH848" s="2" t="n">
        <v>96.19</v>
      </c>
      <c r="EI848" s="2" t="n">
        <v>98.68000000000001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</row>
    <row r="849">
      <c r="A849" s="2" t="n">
        <v>3</v>
      </c>
      <c r="B849" s="2" t="inlineStr">
        <is>
          <t>34.02.16</t>
        </is>
      </c>
      <c r="C849" s="2" t="inlineStr">
        <is>
          <t>Sifão cromado para lavatório</t>
        </is>
      </c>
      <c r="D849" s="2" t="inlineStr">
        <is>
          <t>01/03/2028</t>
        </is>
      </c>
      <c r="E849" s="2" t="inlineStr">
        <is>
          <t>05/02/2029</t>
        </is>
      </c>
      <c r="F849" s="2" t="n">
        <v>51201.53225369921</v>
      </c>
      <c r="G849" s="2" t="n">
        <v>0</v>
      </c>
      <c r="H849" s="2" t="n">
        <v>51201.53225369921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</v>
      </c>
      <c r="CS849" s="2" t="n">
        <v>0</v>
      </c>
      <c r="CT849" s="2" t="n">
        <v>0</v>
      </c>
      <c r="CU849" s="2" t="n">
        <v>0</v>
      </c>
      <c r="CV849" s="2" t="n">
        <v>0</v>
      </c>
      <c r="CW849" s="2" t="n">
        <v>0</v>
      </c>
      <c r="CX849" s="2" t="n">
        <v>0</v>
      </c>
      <c r="CY849" s="2" t="n">
        <v>0</v>
      </c>
      <c r="CZ849" s="2" t="n">
        <v>0</v>
      </c>
      <c r="DA849" s="2" t="n">
        <v>0</v>
      </c>
      <c r="DB849" s="2" t="n">
        <v>0</v>
      </c>
      <c r="DC849" s="2" t="n">
        <v>0</v>
      </c>
      <c r="DD849" s="2" t="n">
        <v>7.49</v>
      </c>
      <c r="DE849" s="2" t="n">
        <v>9.6</v>
      </c>
      <c r="DF849" s="2" t="n">
        <v>0</v>
      </c>
      <c r="DG849" s="2" t="n">
        <v>15.71</v>
      </c>
      <c r="DH849" s="2" t="n">
        <v>17.85</v>
      </c>
      <c r="DI849" s="2" t="n">
        <v>0</v>
      </c>
      <c r="DJ849" s="2" t="n">
        <v>26.39</v>
      </c>
      <c r="DK849" s="2" t="n">
        <v>28.5</v>
      </c>
      <c r="DL849" s="2" t="n">
        <v>0</v>
      </c>
      <c r="DM849" s="2" t="n">
        <v>36.13</v>
      </c>
      <c r="DN849" s="2" t="n">
        <v>38.25</v>
      </c>
      <c r="DO849" s="2" t="n">
        <v>0</v>
      </c>
      <c r="DP849" s="2" t="n">
        <v>45.85</v>
      </c>
      <c r="DQ849" s="2" t="n">
        <v>48.04</v>
      </c>
      <c r="DR849" s="2" t="n">
        <v>0</v>
      </c>
      <c r="DS849" s="2" t="n">
        <v>55.92</v>
      </c>
      <c r="DT849" s="2" t="n">
        <v>57.97</v>
      </c>
      <c r="DU849" s="2" t="n">
        <v>0</v>
      </c>
      <c r="DV849" s="2" t="n">
        <v>64.14</v>
      </c>
      <c r="DW849" s="2" t="n">
        <v>66.20999999999999</v>
      </c>
      <c r="DX849" s="2" t="n">
        <v>0</v>
      </c>
      <c r="DY849" s="2" t="n">
        <v>72.79000000000001</v>
      </c>
      <c r="DZ849" s="2" t="n">
        <v>75.18000000000001</v>
      </c>
      <c r="EA849" s="2" t="n">
        <v>0</v>
      </c>
      <c r="EB849" s="2" t="n">
        <v>80.93000000000001</v>
      </c>
      <c r="EC849" s="2" t="n">
        <v>84.2</v>
      </c>
      <c r="ED849" s="2" t="n">
        <v>0</v>
      </c>
      <c r="EE849" s="2" t="n">
        <v>87.59</v>
      </c>
      <c r="EF849" s="2" t="n">
        <v>90.55</v>
      </c>
      <c r="EG849" s="2" t="n">
        <v>0</v>
      </c>
      <c r="EH849" s="2" t="n">
        <v>96.19</v>
      </c>
      <c r="EI849" s="2" t="n">
        <v>98.68000000000001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</row>
    <row r="850">
      <c r="A850" s="2" t="n">
        <v>3</v>
      </c>
      <c r="B850" s="2" t="inlineStr">
        <is>
          <t>34.02.17</t>
        </is>
      </c>
      <c r="C850" s="2" t="inlineStr">
        <is>
          <t>Sifão Articulado Cromado, Deca, Cód.: 1682.C.100.112</t>
        </is>
      </c>
      <c r="D850" s="2" t="inlineStr">
        <is>
          <t>01/03/2028</t>
        </is>
      </c>
      <c r="E850" s="2" t="inlineStr">
        <is>
          <t>05/02/2029</t>
        </is>
      </c>
      <c r="F850" s="2" t="n">
        <v>669.3010752117544</v>
      </c>
      <c r="G850" s="2" t="n">
        <v>0</v>
      </c>
      <c r="H850" s="2" t="n">
        <v>669.3010752117544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</v>
      </c>
      <c r="CS850" s="2" t="n">
        <v>0</v>
      </c>
      <c r="CT850" s="2" t="n">
        <v>0</v>
      </c>
      <c r="CU850" s="2" t="n">
        <v>0</v>
      </c>
      <c r="CV850" s="2" t="n">
        <v>0</v>
      </c>
      <c r="CW850" s="2" t="n">
        <v>0</v>
      </c>
      <c r="CX850" s="2" t="n">
        <v>0</v>
      </c>
      <c r="CY850" s="2" t="n">
        <v>0</v>
      </c>
      <c r="CZ850" s="2" t="n">
        <v>0</v>
      </c>
      <c r="DA850" s="2" t="n">
        <v>0</v>
      </c>
      <c r="DB850" s="2" t="n">
        <v>0</v>
      </c>
      <c r="DC850" s="2" t="n">
        <v>0</v>
      </c>
      <c r="DD850" s="2" t="n">
        <v>7.49</v>
      </c>
      <c r="DE850" s="2" t="n">
        <v>9.6</v>
      </c>
      <c r="DF850" s="2" t="n">
        <v>0</v>
      </c>
      <c r="DG850" s="2" t="n">
        <v>15.71</v>
      </c>
      <c r="DH850" s="2" t="n">
        <v>17.85</v>
      </c>
      <c r="DI850" s="2" t="n">
        <v>0</v>
      </c>
      <c r="DJ850" s="2" t="n">
        <v>26.39</v>
      </c>
      <c r="DK850" s="2" t="n">
        <v>28.5</v>
      </c>
      <c r="DL850" s="2" t="n">
        <v>0</v>
      </c>
      <c r="DM850" s="2" t="n">
        <v>36.13</v>
      </c>
      <c r="DN850" s="2" t="n">
        <v>38.25</v>
      </c>
      <c r="DO850" s="2" t="n">
        <v>0</v>
      </c>
      <c r="DP850" s="2" t="n">
        <v>45.85</v>
      </c>
      <c r="DQ850" s="2" t="n">
        <v>48.04</v>
      </c>
      <c r="DR850" s="2" t="n">
        <v>0</v>
      </c>
      <c r="DS850" s="2" t="n">
        <v>55.92</v>
      </c>
      <c r="DT850" s="2" t="n">
        <v>57.97</v>
      </c>
      <c r="DU850" s="2" t="n">
        <v>0</v>
      </c>
      <c r="DV850" s="2" t="n">
        <v>64.14</v>
      </c>
      <c r="DW850" s="2" t="n">
        <v>66.20999999999999</v>
      </c>
      <c r="DX850" s="2" t="n">
        <v>0</v>
      </c>
      <c r="DY850" s="2" t="n">
        <v>72.79000000000001</v>
      </c>
      <c r="DZ850" s="2" t="n">
        <v>75.18000000000001</v>
      </c>
      <c r="EA850" s="2" t="n">
        <v>0</v>
      </c>
      <c r="EB850" s="2" t="n">
        <v>80.93000000000001</v>
      </c>
      <c r="EC850" s="2" t="n">
        <v>84.2</v>
      </c>
      <c r="ED850" s="2" t="n">
        <v>0</v>
      </c>
      <c r="EE850" s="2" t="n">
        <v>87.59</v>
      </c>
      <c r="EF850" s="2" t="n">
        <v>90.55</v>
      </c>
      <c r="EG850" s="2" t="n">
        <v>0</v>
      </c>
      <c r="EH850" s="2" t="n">
        <v>96.19</v>
      </c>
      <c r="EI850" s="2" t="n">
        <v>98.68000000000001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</row>
    <row r="851">
      <c r="A851" s="2" t="n">
        <v>2</v>
      </c>
      <c r="B851" s="2" t="inlineStr">
        <is>
          <t>34.03</t>
        </is>
      </c>
      <c r="C851" s="2" t="inlineStr">
        <is>
          <t>Pias</t>
        </is>
      </c>
      <c r="D851" s="2" t="inlineStr">
        <is>
          <t>01/03/2028</t>
        </is>
      </c>
      <c r="E851" s="2" t="inlineStr">
        <is>
          <t>05/02/2029</t>
        </is>
      </c>
      <c r="F851" s="2" t="n">
        <v>141118.324368813</v>
      </c>
      <c r="G851" s="2" t="n">
        <v>0</v>
      </c>
      <c r="H851" s="2" t="n">
        <v>141118.324368813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</v>
      </c>
      <c r="CS851" s="2" t="n">
        <v>0</v>
      </c>
      <c r="CT851" s="2" t="n">
        <v>0</v>
      </c>
      <c r="CU851" s="2" t="n">
        <v>0</v>
      </c>
      <c r="CV851" s="2" t="n">
        <v>0</v>
      </c>
      <c r="CW851" s="2" t="n">
        <v>0</v>
      </c>
      <c r="CX851" s="2" t="n">
        <v>0</v>
      </c>
      <c r="CY851" s="2" t="n">
        <v>0</v>
      </c>
      <c r="CZ851" s="2" t="n">
        <v>0</v>
      </c>
      <c r="DA851" s="2" t="n">
        <v>0</v>
      </c>
      <c r="DB851" s="2" t="n">
        <v>0</v>
      </c>
      <c r="DC851" s="2" t="n">
        <v>0</v>
      </c>
      <c r="DD851" s="2" t="n">
        <v>7.49</v>
      </c>
      <c r="DE851" s="2" t="n">
        <v>9.6</v>
      </c>
      <c r="DF851" s="2" t="n">
        <v>0</v>
      </c>
      <c r="DG851" s="2" t="n">
        <v>15.71</v>
      </c>
      <c r="DH851" s="2" t="n">
        <v>17.85</v>
      </c>
      <c r="DI851" s="2" t="n">
        <v>0</v>
      </c>
      <c r="DJ851" s="2" t="n">
        <v>26.39</v>
      </c>
      <c r="DK851" s="2" t="n">
        <v>28.5</v>
      </c>
      <c r="DL851" s="2" t="n">
        <v>0</v>
      </c>
      <c r="DM851" s="2" t="n">
        <v>36.13</v>
      </c>
      <c r="DN851" s="2" t="n">
        <v>38.25</v>
      </c>
      <c r="DO851" s="2" t="n">
        <v>0</v>
      </c>
      <c r="DP851" s="2" t="n">
        <v>45.85</v>
      </c>
      <c r="DQ851" s="2" t="n">
        <v>48.04</v>
      </c>
      <c r="DR851" s="2" t="n">
        <v>0</v>
      </c>
      <c r="DS851" s="2" t="n">
        <v>55.92</v>
      </c>
      <c r="DT851" s="2" t="n">
        <v>57.97</v>
      </c>
      <c r="DU851" s="2" t="n">
        <v>0</v>
      </c>
      <c r="DV851" s="2" t="n">
        <v>64.14</v>
      </c>
      <c r="DW851" s="2" t="n">
        <v>66.20999999999999</v>
      </c>
      <c r="DX851" s="2" t="n">
        <v>0</v>
      </c>
      <c r="DY851" s="2" t="n">
        <v>72.79000000000001</v>
      </c>
      <c r="DZ851" s="2" t="n">
        <v>75.18000000000001</v>
      </c>
      <c r="EA851" s="2" t="n">
        <v>0</v>
      </c>
      <c r="EB851" s="2" t="n">
        <v>80.93000000000001</v>
      </c>
      <c r="EC851" s="2" t="n">
        <v>84.2</v>
      </c>
      <c r="ED851" s="2" t="n">
        <v>0</v>
      </c>
      <c r="EE851" s="2" t="n">
        <v>87.59</v>
      </c>
      <c r="EF851" s="2" t="n">
        <v>90.55</v>
      </c>
      <c r="EG851" s="2" t="n">
        <v>0</v>
      </c>
      <c r="EH851" s="2" t="n">
        <v>96.19</v>
      </c>
      <c r="EI851" s="2" t="n">
        <v>98.68000000000001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</row>
    <row r="852">
      <c r="A852" s="2" t="n">
        <v>3</v>
      </c>
      <c r="B852" s="2" t="inlineStr">
        <is>
          <t>34.03.01</t>
        </is>
      </c>
      <c r="C852" s="2" t="inlineStr">
        <is>
          <t>Cuba simples de embutir, em aço inox escovado 56x34x18cm, Mekal CS-2</t>
        </is>
      </c>
      <c r="D852" s="2" t="inlineStr">
        <is>
          <t>01/03/2028</t>
        </is>
      </c>
      <c r="E852" s="2" t="inlineStr">
        <is>
          <t>05/02/2029</t>
        </is>
      </c>
      <c r="F852" s="2" t="n">
        <v>44550</v>
      </c>
      <c r="G852" s="2" t="n">
        <v>0</v>
      </c>
      <c r="H852" s="2" t="n">
        <v>44550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</v>
      </c>
      <c r="CS852" s="2" t="n">
        <v>0</v>
      </c>
      <c r="CT852" s="2" t="n">
        <v>0</v>
      </c>
      <c r="CU852" s="2" t="n">
        <v>0</v>
      </c>
      <c r="CV852" s="2" t="n">
        <v>0</v>
      </c>
      <c r="CW852" s="2" t="n">
        <v>0</v>
      </c>
      <c r="CX852" s="2" t="n">
        <v>0</v>
      </c>
      <c r="CY852" s="2" t="n">
        <v>0</v>
      </c>
      <c r="CZ852" s="2" t="n">
        <v>0</v>
      </c>
      <c r="DA852" s="2" t="n">
        <v>0</v>
      </c>
      <c r="DB852" s="2" t="n">
        <v>0</v>
      </c>
      <c r="DC852" s="2" t="n">
        <v>0</v>
      </c>
      <c r="DD852" s="2" t="n">
        <v>7.49</v>
      </c>
      <c r="DE852" s="2" t="n">
        <v>9.6</v>
      </c>
      <c r="DF852" s="2" t="n">
        <v>0</v>
      </c>
      <c r="DG852" s="2" t="n">
        <v>15.71</v>
      </c>
      <c r="DH852" s="2" t="n">
        <v>17.85</v>
      </c>
      <c r="DI852" s="2" t="n">
        <v>0</v>
      </c>
      <c r="DJ852" s="2" t="n">
        <v>26.39</v>
      </c>
      <c r="DK852" s="2" t="n">
        <v>28.5</v>
      </c>
      <c r="DL852" s="2" t="n">
        <v>0</v>
      </c>
      <c r="DM852" s="2" t="n">
        <v>36.13</v>
      </c>
      <c r="DN852" s="2" t="n">
        <v>38.25</v>
      </c>
      <c r="DO852" s="2" t="n">
        <v>0</v>
      </c>
      <c r="DP852" s="2" t="n">
        <v>45.85</v>
      </c>
      <c r="DQ852" s="2" t="n">
        <v>48.04</v>
      </c>
      <c r="DR852" s="2" t="n">
        <v>0</v>
      </c>
      <c r="DS852" s="2" t="n">
        <v>55.92</v>
      </c>
      <c r="DT852" s="2" t="n">
        <v>57.97</v>
      </c>
      <c r="DU852" s="2" t="n">
        <v>0</v>
      </c>
      <c r="DV852" s="2" t="n">
        <v>64.14</v>
      </c>
      <c r="DW852" s="2" t="n">
        <v>66.20999999999999</v>
      </c>
      <c r="DX852" s="2" t="n">
        <v>0</v>
      </c>
      <c r="DY852" s="2" t="n">
        <v>72.79000000000001</v>
      </c>
      <c r="DZ852" s="2" t="n">
        <v>75.18000000000001</v>
      </c>
      <c r="EA852" s="2" t="n">
        <v>0</v>
      </c>
      <c r="EB852" s="2" t="n">
        <v>80.93000000000001</v>
      </c>
      <c r="EC852" s="2" t="n">
        <v>84.2</v>
      </c>
      <c r="ED852" s="2" t="n">
        <v>0</v>
      </c>
      <c r="EE852" s="2" t="n">
        <v>87.59</v>
      </c>
      <c r="EF852" s="2" t="n">
        <v>90.55</v>
      </c>
      <c r="EG852" s="2" t="n">
        <v>0</v>
      </c>
      <c r="EH852" s="2" t="n">
        <v>96.19</v>
      </c>
      <c r="EI852" s="2" t="n">
        <v>98.68000000000001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</row>
    <row r="853">
      <c r="A853" s="2" t="n">
        <v>3</v>
      </c>
      <c r="B853" s="2" t="inlineStr">
        <is>
          <t>34.03.02</t>
        </is>
      </c>
      <c r="C853" s="2" t="inlineStr">
        <is>
          <t>Cuba de aço inox a definir (Copa SS)</t>
        </is>
      </c>
      <c r="D853" s="2" t="inlineStr">
        <is>
          <t>01/03/2028</t>
        </is>
      </c>
      <c r="E853" s="2" t="inlineStr">
        <is>
          <t>05/02/2029</t>
        </is>
      </c>
      <c r="F853" s="2" t="n">
        <v>450</v>
      </c>
      <c r="G853" s="2" t="n">
        <v>0</v>
      </c>
      <c r="H853" s="2" t="n">
        <v>450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</v>
      </c>
      <c r="CS853" s="2" t="n">
        <v>0</v>
      </c>
      <c r="CT853" s="2" t="n">
        <v>0</v>
      </c>
      <c r="CU853" s="2" t="n">
        <v>0</v>
      </c>
      <c r="CV853" s="2" t="n">
        <v>0</v>
      </c>
      <c r="CW853" s="2" t="n">
        <v>0</v>
      </c>
      <c r="CX853" s="2" t="n">
        <v>0</v>
      </c>
      <c r="CY853" s="2" t="n">
        <v>0</v>
      </c>
      <c r="CZ853" s="2" t="n">
        <v>0</v>
      </c>
      <c r="DA853" s="2" t="n">
        <v>0</v>
      </c>
      <c r="DB853" s="2" t="n">
        <v>0</v>
      </c>
      <c r="DC853" s="2" t="n">
        <v>0</v>
      </c>
      <c r="DD853" s="2" t="n">
        <v>7.49</v>
      </c>
      <c r="DE853" s="2" t="n">
        <v>9.6</v>
      </c>
      <c r="DF853" s="2" t="n">
        <v>0</v>
      </c>
      <c r="DG853" s="2" t="n">
        <v>15.71</v>
      </c>
      <c r="DH853" s="2" t="n">
        <v>17.85</v>
      </c>
      <c r="DI853" s="2" t="n">
        <v>0</v>
      </c>
      <c r="DJ853" s="2" t="n">
        <v>26.39</v>
      </c>
      <c r="DK853" s="2" t="n">
        <v>28.5</v>
      </c>
      <c r="DL853" s="2" t="n">
        <v>0</v>
      </c>
      <c r="DM853" s="2" t="n">
        <v>36.13</v>
      </c>
      <c r="DN853" s="2" t="n">
        <v>38.25</v>
      </c>
      <c r="DO853" s="2" t="n">
        <v>0</v>
      </c>
      <c r="DP853" s="2" t="n">
        <v>45.85</v>
      </c>
      <c r="DQ853" s="2" t="n">
        <v>48.04</v>
      </c>
      <c r="DR853" s="2" t="n">
        <v>0</v>
      </c>
      <c r="DS853" s="2" t="n">
        <v>55.92</v>
      </c>
      <c r="DT853" s="2" t="n">
        <v>57.97</v>
      </c>
      <c r="DU853" s="2" t="n">
        <v>0</v>
      </c>
      <c r="DV853" s="2" t="n">
        <v>64.14</v>
      </c>
      <c r="DW853" s="2" t="n">
        <v>66.20999999999999</v>
      </c>
      <c r="DX853" s="2" t="n">
        <v>0</v>
      </c>
      <c r="DY853" s="2" t="n">
        <v>72.79000000000001</v>
      </c>
      <c r="DZ853" s="2" t="n">
        <v>75.18000000000001</v>
      </c>
      <c r="EA853" s="2" t="n">
        <v>0</v>
      </c>
      <c r="EB853" s="2" t="n">
        <v>80.93000000000001</v>
      </c>
      <c r="EC853" s="2" t="n">
        <v>84.2</v>
      </c>
      <c r="ED853" s="2" t="n">
        <v>0</v>
      </c>
      <c r="EE853" s="2" t="n">
        <v>87.59</v>
      </c>
      <c r="EF853" s="2" t="n">
        <v>90.55</v>
      </c>
      <c r="EG853" s="2" t="n">
        <v>0</v>
      </c>
      <c r="EH853" s="2" t="n">
        <v>96.19</v>
      </c>
      <c r="EI853" s="2" t="n">
        <v>98.68000000000001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</row>
    <row r="854">
      <c r="A854" s="2" t="n">
        <v>3</v>
      </c>
      <c r="B854" s="2" t="inlineStr">
        <is>
          <t>34.03.03</t>
        </is>
      </c>
      <c r="C854" s="2" t="inlineStr">
        <is>
          <t>Cuba Inox Mekal Retta LR-50 R10 Cód.: 01035516; Ralo Quadrado Elegance 17,5x17,5cm Escovado Mozaik Cód.: RBLE1520;</t>
        </is>
      </c>
      <c r="D854" s="2" t="inlineStr">
        <is>
          <t>01/03/2028</t>
        </is>
      </c>
      <c r="E854" s="2" t="inlineStr">
        <is>
          <t>05/02/2029</t>
        </is>
      </c>
      <c r="F854" s="2" t="n">
        <v>13225</v>
      </c>
      <c r="G854" s="2" t="n">
        <v>0</v>
      </c>
      <c r="H854" s="2" t="n">
        <v>13225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</v>
      </c>
      <c r="CS854" s="2" t="n">
        <v>0</v>
      </c>
      <c r="CT854" s="2" t="n">
        <v>0</v>
      </c>
      <c r="CU854" s="2" t="n">
        <v>0</v>
      </c>
      <c r="CV854" s="2" t="n">
        <v>0</v>
      </c>
      <c r="CW854" s="2" t="n">
        <v>0</v>
      </c>
      <c r="CX854" s="2" t="n">
        <v>0</v>
      </c>
      <c r="CY854" s="2" t="n">
        <v>0</v>
      </c>
      <c r="CZ854" s="2" t="n">
        <v>0</v>
      </c>
      <c r="DA854" s="2" t="n">
        <v>0</v>
      </c>
      <c r="DB854" s="2" t="n">
        <v>0</v>
      </c>
      <c r="DC854" s="2" t="n">
        <v>0</v>
      </c>
      <c r="DD854" s="2" t="n">
        <v>7.49</v>
      </c>
      <c r="DE854" s="2" t="n">
        <v>9.6</v>
      </c>
      <c r="DF854" s="2" t="n">
        <v>0</v>
      </c>
      <c r="DG854" s="2" t="n">
        <v>15.71</v>
      </c>
      <c r="DH854" s="2" t="n">
        <v>17.85</v>
      </c>
      <c r="DI854" s="2" t="n">
        <v>0</v>
      </c>
      <c r="DJ854" s="2" t="n">
        <v>26.39</v>
      </c>
      <c r="DK854" s="2" t="n">
        <v>28.5</v>
      </c>
      <c r="DL854" s="2" t="n">
        <v>0</v>
      </c>
      <c r="DM854" s="2" t="n">
        <v>36.13</v>
      </c>
      <c r="DN854" s="2" t="n">
        <v>38.25</v>
      </c>
      <c r="DO854" s="2" t="n">
        <v>0</v>
      </c>
      <c r="DP854" s="2" t="n">
        <v>45.85</v>
      </c>
      <c r="DQ854" s="2" t="n">
        <v>48.04</v>
      </c>
      <c r="DR854" s="2" t="n">
        <v>0</v>
      </c>
      <c r="DS854" s="2" t="n">
        <v>55.92</v>
      </c>
      <c r="DT854" s="2" t="n">
        <v>57.97</v>
      </c>
      <c r="DU854" s="2" t="n">
        <v>0</v>
      </c>
      <c r="DV854" s="2" t="n">
        <v>64.14</v>
      </c>
      <c r="DW854" s="2" t="n">
        <v>66.20999999999999</v>
      </c>
      <c r="DX854" s="2" t="n">
        <v>0</v>
      </c>
      <c r="DY854" s="2" t="n">
        <v>72.79000000000001</v>
      </c>
      <c r="DZ854" s="2" t="n">
        <v>75.18000000000001</v>
      </c>
      <c r="EA854" s="2" t="n">
        <v>0</v>
      </c>
      <c r="EB854" s="2" t="n">
        <v>80.93000000000001</v>
      </c>
      <c r="EC854" s="2" t="n">
        <v>84.2</v>
      </c>
      <c r="ED854" s="2" t="n">
        <v>0</v>
      </c>
      <c r="EE854" s="2" t="n">
        <v>87.59</v>
      </c>
      <c r="EF854" s="2" t="n">
        <v>90.55</v>
      </c>
      <c r="EG854" s="2" t="n">
        <v>0</v>
      </c>
      <c r="EH854" s="2" t="n">
        <v>96.19</v>
      </c>
      <c r="EI854" s="2" t="n">
        <v>98.68000000000001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</row>
    <row r="855">
      <c r="A855" s="2" t="n">
        <v>3</v>
      </c>
      <c r="B855" s="2" t="inlineStr">
        <is>
          <t>34.03.04</t>
        </is>
      </c>
      <c r="C855" s="2" t="inlineStr">
        <is>
          <t>Torneira de mesa bica móvel 90°, ref.: Deca Link 1166.C.LNK, cromado</t>
        </is>
      </c>
      <c r="D855" s="2" t="inlineStr">
        <is>
          <t>01/03/2028</t>
        </is>
      </c>
      <c r="E855" s="2" t="inlineStr">
        <is>
          <t>05/02/2029</t>
        </is>
      </c>
      <c r="F855" s="2" t="n">
        <v>51039.46774099395</v>
      </c>
      <c r="G855" s="2" t="n">
        <v>0</v>
      </c>
      <c r="H855" s="2" t="n">
        <v>51039.46774099395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</v>
      </c>
      <c r="CS855" s="2" t="n">
        <v>0</v>
      </c>
      <c r="CT855" s="2" t="n">
        <v>0</v>
      </c>
      <c r="CU855" s="2" t="n">
        <v>0</v>
      </c>
      <c r="CV855" s="2" t="n">
        <v>0</v>
      </c>
      <c r="CW855" s="2" t="n">
        <v>0</v>
      </c>
      <c r="CX855" s="2" t="n">
        <v>0</v>
      </c>
      <c r="CY855" s="2" t="n">
        <v>0</v>
      </c>
      <c r="CZ855" s="2" t="n">
        <v>0</v>
      </c>
      <c r="DA855" s="2" t="n">
        <v>0</v>
      </c>
      <c r="DB855" s="2" t="n">
        <v>0</v>
      </c>
      <c r="DC855" s="2" t="n">
        <v>0</v>
      </c>
      <c r="DD855" s="2" t="n">
        <v>7.49</v>
      </c>
      <c r="DE855" s="2" t="n">
        <v>9.6</v>
      </c>
      <c r="DF855" s="2" t="n">
        <v>0</v>
      </c>
      <c r="DG855" s="2" t="n">
        <v>15.71</v>
      </c>
      <c r="DH855" s="2" t="n">
        <v>17.85</v>
      </c>
      <c r="DI855" s="2" t="n">
        <v>0</v>
      </c>
      <c r="DJ855" s="2" t="n">
        <v>26.39</v>
      </c>
      <c r="DK855" s="2" t="n">
        <v>28.5</v>
      </c>
      <c r="DL855" s="2" t="n">
        <v>0</v>
      </c>
      <c r="DM855" s="2" t="n">
        <v>36.13</v>
      </c>
      <c r="DN855" s="2" t="n">
        <v>38.25</v>
      </c>
      <c r="DO855" s="2" t="n">
        <v>0</v>
      </c>
      <c r="DP855" s="2" t="n">
        <v>45.85</v>
      </c>
      <c r="DQ855" s="2" t="n">
        <v>48.04</v>
      </c>
      <c r="DR855" s="2" t="n">
        <v>0</v>
      </c>
      <c r="DS855" s="2" t="n">
        <v>55.92</v>
      </c>
      <c r="DT855" s="2" t="n">
        <v>57.97</v>
      </c>
      <c r="DU855" s="2" t="n">
        <v>0</v>
      </c>
      <c r="DV855" s="2" t="n">
        <v>64.14</v>
      </c>
      <c r="DW855" s="2" t="n">
        <v>66.20999999999999</v>
      </c>
      <c r="DX855" s="2" t="n">
        <v>0</v>
      </c>
      <c r="DY855" s="2" t="n">
        <v>72.79000000000001</v>
      </c>
      <c r="DZ855" s="2" t="n">
        <v>75.18000000000001</v>
      </c>
      <c r="EA855" s="2" t="n">
        <v>0</v>
      </c>
      <c r="EB855" s="2" t="n">
        <v>80.93000000000001</v>
      </c>
      <c r="EC855" s="2" t="n">
        <v>84.2</v>
      </c>
      <c r="ED855" s="2" t="n">
        <v>0</v>
      </c>
      <c r="EE855" s="2" t="n">
        <v>87.59</v>
      </c>
      <c r="EF855" s="2" t="n">
        <v>90.55</v>
      </c>
      <c r="EG855" s="2" t="n">
        <v>0</v>
      </c>
      <c r="EH855" s="2" t="n">
        <v>96.19</v>
      </c>
      <c r="EI855" s="2" t="n">
        <v>98.68000000000001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</row>
    <row r="856">
      <c r="A856" s="2" t="n">
        <v>3</v>
      </c>
      <c r="B856" s="2" t="inlineStr">
        <is>
          <t>34.03.05</t>
        </is>
      </c>
      <c r="C856" s="2" t="inlineStr">
        <is>
          <t>Torneira cromada para pia de cozinha (Copa SS)</t>
        </is>
      </c>
      <c r="D856" s="2" t="inlineStr">
        <is>
          <t>01/03/2028</t>
        </is>
      </c>
      <c r="E856" s="2" t="inlineStr">
        <is>
          <t>05/02/2029</t>
        </is>
      </c>
      <c r="F856" s="2" t="n">
        <v>415.5501792019591</v>
      </c>
      <c r="G856" s="2" t="n">
        <v>0</v>
      </c>
      <c r="H856" s="2" t="n">
        <v>415.5501792019591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</v>
      </c>
      <c r="CS856" s="2" t="n">
        <v>0</v>
      </c>
      <c r="CT856" s="2" t="n">
        <v>0</v>
      </c>
      <c r="CU856" s="2" t="n">
        <v>0</v>
      </c>
      <c r="CV856" s="2" t="n">
        <v>0</v>
      </c>
      <c r="CW856" s="2" t="n">
        <v>0</v>
      </c>
      <c r="CX856" s="2" t="n">
        <v>0</v>
      </c>
      <c r="CY856" s="2" t="n">
        <v>0</v>
      </c>
      <c r="CZ856" s="2" t="n">
        <v>0</v>
      </c>
      <c r="DA856" s="2" t="n">
        <v>0</v>
      </c>
      <c r="DB856" s="2" t="n">
        <v>0</v>
      </c>
      <c r="DC856" s="2" t="n">
        <v>0</v>
      </c>
      <c r="DD856" s="2" t="n">
        <v>7.49</v>
      </c>
      <c r="DE856" s="2" t="n">
        <v>9.6</v>
      </c>
      <c r="DF856" s="2" t="n">
        <v>0</v>
      </c>
      <c r="DG856" s="2" t="n">
        <v>15.71</v>
      </c>
      <c r="DH856" s="2" t="n">
        <v>17.85</v>
      </c>
      <c r="DI856" s="2" t="n">
        <v>0</v>
      </c>
      <c r="DJ856" s="2" t="n">
        <v>26.39</v>
      </c>
      <c r="DK856" s="2" t="n">
        <v>28.5</v>
      </c>
      <c r="DL856" s="2" t="n">
        <v>0</v>
      </c>
      <c r="DM856" s="2" t="n">
        <v>36.13</v>
      </c>
      <c r="DN856" s="2" t="n">
        <v>38.25</v>
      </c>
      <c r="DO856" s="2" t="n">
        <v>0</v>
      </c>
      <c r="DP856" s="2" t="n">
        <v>45.85</v>
      </c>
      <c r="DQ856" s="2" t="n">
        <v>48.04</v>
      </c>
      <c r="DR856" s="2" t="n">
        <v>0</v>
      </c>
      <c r="DS856" s="2" t="n">
        <v>55.92</v>
      </c>
      <c r="DT856" s="2" t="n">
        <v>57.97</v>
      </c>
      <c r="DU856" s="2" t="n">
        <v>0</v>
      </c>
      <c r="DV856" s="2" t="n">
        <v>64.14</v>
      </c>
      <c r="DW856" s="2" t="n">
        <v>66.20999999999999</v>
      </c>
      <c r="DX856" s="2" t="n">
        <v>0</v>
      </c>
      <c r="DY856" s="2" t="n">
        <v>72.79000000000001</v>
      </c>
      <c r="DZ856" s="2" t="n">
        <v>75.18000000000001</v>
      </c>
      <c r="EA856" s="2" t="n">
        <v>0</v>
      </c>
      <c r="EB856" s="2" t="n">
        <v>80.93000000000001</v>
      </c>
      <c r="EC856" s="2" t="n">
        <v>84.2</v>
      </c>
      <c r="ED856" s="2" t="n">
        <v>0</v>
      </c>
      <c r="EE856" s="2" t="n">
        <v>87.59</v>
      </c>
      <c r="EF856" s="2" t="n">
        <v>90.55</v>
      </c>
      <c r="EG856" s="2" t="n">
        <v>0</v>
      </c>
      <c r="EH856" s="2" t="n">
        <v>96.19</v>
      </c>
      <c r="EI856" s="2" t="n">
        <v>98.68000000000001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</row>
    <row r="857">
      <c r="A857" s="2" t="n">
        <v>3</v>
      </c>
      <c r="B857" s="2" t="inlineStr">
        <is>
          <t>34.03.06</t>
        </is>
      </c>
      <c r="C857" s="2" t="inlineStr">
        <is>
          <t>Torneira bica alta de mesa para cozinha Docol Doc cromado/preto Cód.: 00738957</t>
        </is>
      </c>
      <c r="D857" s="2" t="inlineStr">
        <is>
          <t>01/03/2028</t>
        </is>
      </c>
      <c r="E857" s="2" t="inlineStr">
        <is>
          <t>05/02/2029</t>
        </is>
      </c>
      <c r="F857" s="2" t="n">
        <v>7535</v>
      </c>
      <c r="G857" s="2" t="n">
        <v>0</v>
      </c>
      <c r="H857" s="2" t="n">
        <v>7535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</v>
      </c>
      <c r="CS857" s="2" t="n">
        <v>0</v>
      </c>
      <c r="CT857" s="2" t="n">
        <v>0</v>
      </c>
      <c r="CU857" s="2" t="n">
        <v>0</v>
      </c>
      <c r="CV857" s="2" t="n">
        <v>0</v>
      </c>
      <c r="CW857" s="2" t="n">
        <v>0</v>
      </c>
      <c r="CX857" s="2" t="n">
        <v>0</v>
      </c>
      <c r="CY857" s="2" t="n">
        <v>0</v>
      </c>
      <c r="CZ857" s="2" t="n">
        <v>0</v>
      </c>
      <c r="DA857" s="2" t="n">
        <v>0</v>
      </c>
      <c r="DB857" s="2" t="n">
        <v>0</v>
      </c>
      <c r="DC857" s="2" t="n">
        <v>0</v>
      </c>
      <c r="DD857" s="2" t="n">
        <v>7.49</v>
      </c>
      <c r="DE857" s="2" t="n">
        <v>9.6</v>
      </c>
      <c r="DF857" s="2" t="n">
        <v>0</v>
      </c>
      <c r="DG857" s="2" t="n">
        <v>15.71</v>
      </c>
      <c r="DH857" s="2" t="n">
        <v>17.85</v>
      </c>
      <c r="DI857" s="2" t="n">
        <v>0</v>
      </c>
      <c r="DJ857" s="2" t="n">
        <v>26.39</v>
      </c>
      <c r="DK857" s="2" t="n">
        <v>28.5</v>
      </c>
      <c r="DL857" s="2" t="n">
        <v>0</v>
      </c>
      <c r="DM857" s="2" t="n">
        <v>36.13</v>
      </c>
      <c r="DN857" s="2" t="n">
        <v>38.25</v>
      </c>
      <c r="DO857" s="2" t="n">
        <v>0</v>
      </c>
      <c r="DP857" s="2" t="n">
        <v>45.85</v>
      </c>
      <c r="DQ857" s="2" t="n">
        <v>48.04</v>
      </c>
      <c r="DR857" s="2" t="n">
        <v>0</v>
      </c>
      <c r="DS857" s="2" t="n">
        <v>55.92</v>
      </c>
      <c r="DT857" s="2" t="n">
        <v>57.97</v>
      </c>
      <c r="DU857" s="2" t="n">
        <v>0</v>
      </c>
      <c r="DV857" s="2" t="n">
        <v>64.14</v>
      </c>
      <c r="DW857" s="2" t="n">
        <v>66.20999999999999</v>
      </c>
      <c r="DX857" s="2" t="n">
        <v>0</v>
      </c>
      <c r="DY857" s="2" t="n">
        <v>72.79000000000001</v>
      </c>
      <c r="DZ857" s="2" t="n">
        <v>75.18000000000001</v>
      </c>
      <c r="EA857" s="2" t="n">
        <v>0</v>
      </c>
      <c r="EB857" s="2" t="n">
        <v>80.93000000000001</v>
      </c>
      <c r="EC857" s="2" t="n">
        <v>84.2</v>
      </c>
      <c r="ED857" s="2" t="n">
        <v>0</v>
      </c>
      <c r="EE857" s="2" t="n">
        <v>87.59</v>
      </c>
      <c r="EF857" s="2" t="n">
        <v>90.55</v>
      </c>
      <c r="EG857" s="2" t="n">
        <v>0</v>
      </c>
      <c r="EH857" s="2" t="n">
        <v>96.19</v>
      </c>
      <c r="EI857" s="2" t="n">
        <v>98.68000000000001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</row>
    <row r="858">
      <c r="A858" s="2" t="n">
        <v>3</v>
      </c>
      <c r="B858" s="2" t="inlineStr">
        <is>
          <t>34.03.07</t>
        </is>
      </c>
      <c r="C858" s="2" t="inlineStr">
        <is>
          <t>Ligação flexível cromada 40cm</t>
        </is>
      </c>
      <c r="D858" s="2" t="inlineStr">
        <is>
          <t>01/03/2028</t>
        </is>
      </c>
      <c r="E858" s="2" t="inlineStr">
        <is>
          <t>05/02/2029</t>
        </is>
      </c>
      <c r="F858" s="2" t="n">
        <v>3627.768816205702</v>
      </c>
      <c r="G858" s="2" t="n">
        <v>0</v>
      </c>
      <c r="H858" s="2" t="n">
        <v>3627.768816205702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</v>
      </c>
      <c r="CS858" s="2" t="n">
        <v>0</v>
      </c>
      <c r="CT858" s="2" t="n">
        <v>0</v>
      </c>
      <c r="CU858" s="2" t="n">
        <v>0</v>
      </c>
      <c r="CV858" s="2" t="n">
        <v>0</v>
      </c>
      <c r="CW858" s="2" t="n">
        <v>0</v>
      </c>
      <c r="CX858" s="2" t="n">
        <v>0</v>
      </c>
      <c r="CY858" s="2" t="n">
        <v>0</v>
      </c>
      <c r="CZ858" s="2" t="n">
        <v>0</v>
      </c>
      <c r="DA858" s="2" t="n">
        <v>0</v>
      </c>
      <c r="DB858" s="2" t="n">
        <v>0</v>
      </c>
      <c r="DC858" s="2" t="n">
        <v>0</v>
      </c>
      <c r="DD858" s="2" t="n">
        <v>7.49</v>
      </c>
      <c r="DE858" s="2" t="n">
        <v>9.6</v>
      </c>
      <c r="DF858" s="2" t="n">
        <v>0</v>
      </c>
      <c r="DG858" s="2" t="n">
        <v>15.71</v>
      </c>
      <c r="DH858" s="2" t="n">
        <v>17.85</v>
      </c>
      <c r="DI858" s="2" t="n">
        <v>0</v>
      </c>
      <c r="DJ858" s="2" t="n">
        <v>26.39</v>
      </c>
      <c r="DK858" s="2" t="n">
        <v>28.5</v>
      </c>
      <c r="DL858" s="2" t="n">
        <v>0</v>
      </c>
      <c r="DM858" s="2" t="n">
        <v>36.13</v>
      </c>
      <c r="DN858" s="2" t="n">
        <v>38.25</v>
      </c>
      <c r="DO858" s="2" t="n">
        <v>0</v>
      </c>
      <c r="DP858" s="2" t="n">
        <v>45.85</v>
      </c>
      <c r="DQ858" s="2" t="n">
        <v>48.04</v>
      </c>
      <c r="DR858" s="2" t="n">
        <v>0</v>
      </c>
      <c r="DS858" s="2" t="n">
        <v>55.92</v>
      </c>
      <c r="DT858" s="2" t="n">
        <v>57.97</v>
      </c>
      <c r="DU858" s="2" t="n">
        <v>0</v>
      </c>
      <c r="DV858" s="2" t="n">
        <v>64.14</v>
      </c>
      <c r="DW858" s="2" t="n">
        <v>66.20999999999999</v>
      </c>
      <c r="DX858" s="2" t="n">
        <v>0</v>
      </c>
      <c r="DY858" s="2" t="n">
        <v>72.79000000000001</v>
      </c>
      <c r="DZ858" s="2" t="n">
        <v>75.18000000000001</v>
      </c>
      <c r="EA858" s="2" t="n">
        <v>0</v>
      </c>
      <c r="EB858" s="2" t="n">
        <v>80.93000000000001</v>
      </c>
      <c r="EC858" s="2" t="n">
        <v>84.2</v>
      </c>
      <c r="ED858" s="2" t="n">
        <v>0</v>
      </c>
      <c r="EE858" s="2" t="n">
        <v>87.59</v>
      </c>
      <c r="EF858" s="2" t="n">
        <v>90.55</v>
      </c>
      <c r="EG858" s="2" t="n">
        <v>0</v>
      </c>
      <c r="EH858" s="2" t="n">
        <v>96.19</v>
      </c>
      <c r="EI858" s="2" t="n">
        <v>98.68000000000001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</row>
    <row r="859">
      <c r="A859" s="2" t="n">
        <v>3</v>
      </c>
      <c r="B859" s="2" t="inlineStr">
        <is>
          <t>34.03.08</t>
        </is>
      </c>
      <c r="C859" s="2" t="inlineStr">
        <is>
          <t>Válvula de aço inox para pia americana</t>
        </is>
      </c>
      <c r="D859" s="2" t="inlineStr">
        <is>
          <t>01/03/2028</t>
        </is>
      </c>
      <c r="E859" s="2" t="inlineStr">
        <is>
          <t>05/02/2029</t>
        </is>
      </c>
      <c r="F859" s="2" t="n">
        <v>8562.768816205702</v>
      </c>
      <c r="G859" s="2" t="n">
        <v>0</v>
      </c>
      <c r="H859" s="2" t="n">
        <v>8562.768816205702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</v>
      </c>
      <c r="CS859" s="2" t="n">
        <v>0</v>
      </c>
      <c r="CT859" s="2" t="n">
        <v>0</v>
      </c>
      <c r="CU859" s="2" t="n">
        <v>0</v>
      </c>
      <c r="CV859" s="2" t="n">
        <v>0</v>
      </c>
      <c r="CW859" s="2" t="n">
        <v>0</v>
      </c>
      <c r="CX859" s="2" t="n">
        <v>0</v>
      </c>
      <c r="CY859" s="2" t="n">
        <v>0</v>
      </c>
      <c r="CZ859" s="2" t="n">
        <v>0</v>
      </c>
      <c r="DA859" s="2" t="n">
        <v>0</v>
      </c>
      <c r="DB859" s="2" t="n">
        <v>0</v>
      </c>
      <c r="DC859" s="2" t="n">
        <v>0</v>
      </c>
      <c r="DD859" s="2" t="n">
        <v>7.49</v>
      </c>
      <c r="DE859" s="2" t="n">
        <v>9.6</v>
      </c>
      <c r="DF859" s="2" t="n">
        <v>0</v>
      </c>
      <c r="DG859" s="2" t="n">
        <v>15.71</v>
      </c>
      <c r="DH859" s="2" t="n">
        <v>17.85</v>
      </c>
      <c r="DI859" s="2" t="n">
        <v>0</v>
      </c>
      <c r="DJ859" s="2" t="n">
        <v>26.39</v>
      </c>
      <c r="DK859" s="2" t="n">
        <v>28.5</v>
      </c>
      <c r="DL859" s="2" t="n">
        <v>0</v>
      </c>
      <c r="DM859" s="2" t="n">
        <v>36.13</v>
      </c>
      <c r="DN859" s="2" t="n">
        <v>38.25</v>
      </c>
      <c r="DO859" s="2" t="n">
        <v>0</v>
      </c>
      <c r="DP859" s="2" t="n">
        <v>45.85</v>
      </c>
      <c r="DQ859" s="2" t="n">
        <v>48.04</v>
      </c>
      <c r="DR859" s="2" t="n">
        <v>0</v>
      </c>
      <c r="DS859" s="2" t="n">
        <v>55.92</v>
      </c>
      <c r="DT859" s="2" t="n">
        <v>57.97</v>
      </c>
      <c r="DU859" s="2" t="n">
        <v>0</v>
      </c>
      <c r="DV859" s="2" t="n">
        <v>64.14</v>
      </c>
      <c r="DW859" s="2" t="n">
        <v>66.20999999999999</v>
      </c>
      <c r="DX859" s="2" t="n">
        <v>0</v>
      </c>
      <c r="DY859" s="2" t="n">
        <v>72.79000000000001</v>
      </c>
      <c r="DZ859" s="2" t="n">
        <v>75.18000000000001</v>
      </c>
      <c r="EA859" s="2" t="n">
        <v>0</v>
      </c>
      <c r="EB859" s="2" t="n">
        <v>80.93000000000001</v>
      </c>
      <c r="EC859" s="2" t="n">
        <v>84.2</v>
      </c>
      <c r="ED859" s="2" t="n">
        <v>0</v>
      </c>
      <c r="EE859" s="2" t="n">
        <v>87.59</v>
      </c>
      <c r="EF859" s="2" t="n">
        <v>90.55</v>
      </c>
      <c r="EG859" s="2" t="n">
        <v>0</v>
      </c>
      <c r="EH859" s="2" t="n">
        <v>96.19</v>
      </c>
      <c r="EI859" s="2" t="n">
        <v>98.68000000000001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</row>
    <row r="860">
      <c r="A860" s="2" t="n">
        <v>3</v>
      </c>
      <c r="B860" s="2" t="inlineStr">
        <is>
          <t>34.03.09</t>
        </is>
      </c>
      <c r="C860" s="2" t="inlineStr">
        <is>
          <t>Sifão cromado para pia de cozinha</t>
        </is>
      </c>
      <c r="D860" s="2" t="inlineStr">
        <is>
          <t>01/03/2028</t>
        </is>
      </c>
      <c r="E860" s="2" t="inlineStr">
        <is>
          <t>05/02/2029</t>
        </is>
      </c>
      <c r="F860" s="2" t="n">
        <v>11155.01792019591</v>
      </c>
      <c r="G860" s="2" t="n">
        <v>0</v>
      </c>
      <c r="H860" s="2" t="n">
        <v>11155.01792019591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</v>
      </c>
      <c r="CS860" s="2" t="n">
        <v>0</v>
      </c>
      <c r="CT860" s="2" t="n">
        <v>0</v>
      </c>
      <c r="CU860" s="2" t="n">
        <v>0</v>
      </c>
      <c r="CV860" s="2" t="n">
        <v>0</v>
      </c>
      <c r="CW860" s="2" t="n">
        <v>0</v>
      </c>
      <c r="CX860" s="2" t="n">
        <v>0</v>
      </c>
      <c r="CY860" s="2" t="n">
        <v>0</v>
      </c>
      <c r="CZ860" s="2" t="n">
        <v>0</v>
      </c>
      <c r="DA860" s="2" t="n">
        <v>0</v>
      </c>
      <c r="DB860" s="2" t="n">
        <v>0</v>
      </c>
      <c r="DC860" s="2" t="n">
        <v>0</v>
      </c>
      <c r="DD860" s="2" t="n">
        <v>7.49</v>
      </c>
      <c r="DE860" s="2" t="n">
        <v>9.6</v>
      </c>
      <c r="DF860" s="2" t="n">
        <v>0</v>
      </c>
      <c r="DG860" s="2" t="n">
        <v>15.71</v>
      </c>
      <c r="DH860" s="2" t="n">
        <v>17.85</v>
      </c>
      <c r="DI860" s="2" t="n">
        <v>0</v>
      </c>
      <c r="DJ860" s="2" t="n">
        <v>26.39</v>
      </c>
      <c r="DK860" s="2" t="n">
        <v>28.5</v>
      </c>
      <c r="DL860" s="2" t="n">
        <v>0</v>
      </c>
      <c r="DM860" s="2" t="n">
        <v>36.13</v>
      </c>
      <c r="DN860" s="2" t="n">
        <v>38.25</v>
      </c>
      <c r="DO860" s="2" t="n">
        <v>0</v>
      </c>
      <c r="DP860" s="2" t="n">
        <v>45.85</v>
      </c>
      <c r="DQ860" s="2" t="n">
        <v>48.04</v>
      </c>
      <c r="DR860" s="2" t="n">
        <v>0</v>
      </c>
      <c r="DS860" s="2" t="n">
        <v>55.92</v>
      </c>
      <c r="DT860" s="2" t="n">
        <v>57.97</v>
      </c>
      <c r="DU860" s="2" t="n">
        <v>0</v>
      </c>
      <c r="DV860" s="2" t="n">
        <v>64.14</v>
      </c>
      <c r="DW860" s="2" t="n">
        <v>66.20999999999999</v>
      </c>
      <c r="DX860" s="2" t="n">
        <v>0</v>
      </c>
      <c r="DY860" s="2" t="n">
        <v>72.79000000000001</v>
      </c>
      <c r="DZ860" s="2" t="n">
        <v>75.18000000000001</v>
      </c>
      <c r="EA860" s="2" t="n">
        <v>0</v>
      </c>
      <c r="EB860" s="2" t="n">
        <v>80.93000000000001</v>
      </c>
      <c r="EC860" s="2" t="n">
        <v>84.2</v>
      </c>
      <c r="ED860" s="2" t="n">
        <v>0</v>
      </c>
      <c r="EE860" s="2" t="n">
        <v>87.59</v>
      </c>
      <c r="EF860" s="2" t="n">
        <v>90.55</v>
      </c>
      <c r="EG860" s="2" t="n">
        <v>0</v>
      </c>
      <c r="EH860" s="2" t="n">
        <v>96.19</v>
      </c>
      <c r="EI860" s="2" t="n">
        <v>98.68000000000001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</row>
    <row r="861">
      <c r="A861" s="2" t="n">
        <v>3</v>
      </c>
      <c r="B861" s="2" t="inlineStr">
        <is>
          <t>34.03.10</t>
        </is>
      </c>
      <c r="C861" s="2" t="inlineStr">
        <is>
          <t>Sifão Articulado Cromado, Deca, Cód.: 1682.C.112</t>
        </is>
      </c>
      <c r="D861" s="2" t="inlineStr">
        <is>
          <t>01/03/2028</t>
        </is>
      </c>
      <c r="E861" s="2" t="inlineStr">
        <is>
          <t>05/02/2029</t>
        </is>
      </c>
      <c r="F861" s="2" t="n">
        <v>557.7508960097954</v>
      </c>
      <c r="G861" s="2" t="n">
        <v>0</v>
      </c>
      <c r="H861" s="2" t="n">
        <v>557.7508960097954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0</v>
      </c>
      <c r="CH861" s="2" t="n">
        <v>0</v>
      </c>
      <c r="CI861" s="2" t="n">
        <v>0</v>
      </c>
      <c r="CJ861" s="2" t="n">
        <v>0</v>
      </c>
      <c r="CK861" s="2" t="n">
        <v>0</v>
      </c>
      <c r="CL861" s="2" t="n">
        <v>0</v>
      </c>
      <c r="CM861" s="2" t="n">
        <v>0</v>
      </c>
      <c r="CN861" s="2" t="n">
        <v>0</v>
      </c>
      <c r="CO861" s="2" t="n">
        <v>0</v>
      </c>
      <c r="CP861" s="2" t="n">
        <v>0</v>
      </c>
      <c r="CQ861" s="2" t="n">
        <v>0</v>
      </c>
      <c r="CR861" s="2" t="n">
        <v>0</v>
      </c>
      <c r="CS861" s="2" t="n">
        <v>0</v>
      </c>
      <c r="CT861" s="2" t="n">
        <v>0</v>
      </c>
      <c r="CU861" s="2" t="n">
        <v>0</v>
      </c>
      <c r="CV861" s="2" t="n">
        <v>0</v>
      </c>
      <c r="CW861" s="2" t="n">
        <v>0</v>
      </c>
      <c r="CX861" s="2" t="n">
        <v>0</v>
      </c>
      <c r="CY861" s="2" t="n">
        <v>0</v>
      </c>
      <c r="CZ861" s="2" t="n">
        <v>0</v>
      </c>
      <c r="DA861" s="2" t="n">
        <v>0</v>
      </c>
      <c r="DB861" s="2" t="n">
        <v>0</v>
      </c>
      <c r="DC861" s="2" t="n">
        <v>0</v>
      </c>
      <c r="DD861" s="2" t="n">
        <v>7.49</v>
      </c>
      <c r="DE861" s="2" t="n">
        <v>9.6</v>
      </c>
      <c r="DF861" s="2" t="n">
        <v>0</v>
      </c>
      <c r="DG861" s="2" t="n">
        <v>15.71</v>
      </c>
      <c r="DH861" s="2" t="n">
        <v>17.85</v>
      </c>
      <c r="DI861" s="2" t="n">
        <v>0</v>
      </c>
      <c r="DJ861" s="2" t="n">
        <v>26.39</v>
      </c>
      <c r="DK861" s="2" t="n">
        <v>28.5</v>
      </c>
      <c r="DL861" s="2" t="n">
        <v>0</v>
      </c>
      <c r="DM861" s="2" t="n">
        <v>36.13</v>
      </c>
      <c r="DN861" s="2" t="n">
        <v>38.25</v>
      </c>
      <c r="DO861" s="2" t="n">
        <v>0</v>
      </c>
      <c r="DP861" s="2" t="n">
        <v>45.85</v>
      </c>
      <c r="DQ861" s="2" t="n">
        <v>48.04</v>
      </c>
      <c r="DR861" s="2" t="n">
        <v>0</v>
      </c>
      <c r="DS861" s="2" t="n">
        <v>55.92</v>
      </c>
      <c r="DT861" s="2" t="n">
        <v>57.97</v>
      </c>
      <c r="DU861" s="2" t="n">
        <v>0</v>
      </c>
      <c r="DV861" s="2" t="n">
        <v>64.14</v>
      </c>
      <c r="DW861" s="2" t="n">
        <v>66.20999999999999</v>
      </c>
      <c r="DX861" s="2" t="n">
        <v>0</v>
      </c>
      <c r="DY861" s="2" t="n">
        <v>72.79000000000001</v>
      </c>
      <c r="DZ861" s="2" t="n">
        <v>75.18000000000001</v>
      </c>
      <c r="EA861" s="2" t="n">
        <v>0</v>
      </c>
      <c r="EB861" s="2" t="n">
        <v>80.93000000000001</v>
      </c>
      <c r="EC861" s="2" t="n">
        <v>84.2</v>
      </c>
      <c r="ED861" s="2" t="n">
        <v>0</v>
      </c>
      <c r="EE861" s="2" t="n">
        <v>87.59</v>
      </c>
      <c r="EF861" s="2" t="n">
        <v>90.55</v>
      </c>
      <c r="EG861" s="2" t="n">
        <v>0</v>
      </c>
      <c r="EH861" s="2" t="n">
        <v>96.19</v>
      </c>
      <c r="EI861" s="2" t="n">
        <v>98.68000000000001</v>
      </c>
      <c r="EJ861" s="2" t="n">
        <v>0</v>
      </c>
      <c r="EK861" s="2" t="n">
        <v>100</v>
      </c>
      <c r="EL861" s="2" t="n">
        <v>100</v>
      </c>
      <c r="EM861" s="2" t="n">
        <v>0</v>
      </c>
      <c r="EN861" s="2" t="n">
        <v>100</v>
      </c>
      <c r="EO861" s="2" t="n">
        <v>100</v>
      </c>
      <c r="EP861" s="2" t="n">
        <v>0</v>
      </c>
      <c r="EQ861" s="2" t="n">
        <v>100</v>
      </c>
      <c r="ER861" s="2" t="n">
        <v>100</v>
      </c>
      <c r="ES861" s="2" t="n">
        <v>0</v>
      </c>
    </row>
    <row r="862">
      <c r="A862" s="2" t="n">
        <v>2</v>
      </c>
      <c r="B862" s="2" t="inlineStr">
        <is>
          <t>34.04</t>
        </is>
      </c>
      <c r="C862" s="2" t="inlineStr">
        <is>
          <t>Tanque</t>
        </is>
      </c>
      <c r="D862" s="2" t="inlineStr">
        <is>
          <t>01/03/2028</t>
        </is>
      </c>
      <c r="E862" s="2" t="inlineStr">
        <is>
          <t>05/02/2029</t>
        </is>
      </c>
      <c r="F862" s="2" t="n">
        <v>145390.4121804264</v>
      </c>
      <c r="G862" s="2" t="n">
        <v>0</v>
      </c>
      <c r="H862" s="2" t="n">
        <v>145390.4121804264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0</v>
      </c>
      <c r="CH862" s="2" t="n">
        <v>0</v>
      </c>
      <c r="CI862" s="2" t="n">
        <v>0</v>
      </c>
      <c r="CJ862" s="2" t="n">
        <v>0</v>
      </c>
      <c r="CK862" s="2" t="n">
        <v>0</v>
      </c>
      <c r="CL862" s="2" t="n">
        <v>0</v>
      </c>
      <c r="CM862" s="2" t="n">
        <v>0</v>
      </c>
      <c r="CN862" s="2" t="n">
        <v>0</v>
      </c>
      <c r="CO862" s="2" t="n">
        <v>0</v>
      </c>
      <c r="CP862" s="2" t="n">
        <v>0</v>
      </c>
      <c r="CQ862" s="2" t="n">
        <v>0</v>
      </c>
      <c r="CR862" s="2" t="n">
        <v>0</v>
      </c>
      <c r="CS862" s="2" t="n">
        <v>0</v>
      </c>
      <c r="CT862" s="2" t="n">
        <v>0</v>
      </c>
      <c r="CU862" s="2" t="n">
        <v>0</v>
      </c>
      <c r="CV862" s="2" t="n">
        <v>0</v>
      </c>
      <c r="CW862" s="2" t="n">
        <v>0</v>
      </c>
      <c r="CX862" s="2" t="n">
        <v>0</v>
      </c>
      <c r="CY862" s="2" t="n">
        <v>0</v>
      </c>
      <c r="CZ862" s="2" t="n">
        <v>0</v>
      </c>
      <c r="DA862" s="2" t="n">
        <v>0</v>
      </c>
      <c r="DB862" s="2" t="n">
        <v>0</v>
      </c>
      <c r="DC862" s="2" t="n">
        <v>0</v>
      </c>
      <c r="DD862" s="2" t="n">
        <v>7.49</v>
      </c>
      <c r="DE862" s="2" t="n">
        <v>9.6</v>
      </c>
      <c r="DF862" s="2" t="n">
        <v>0</v>
      </c>
      <c r="DG862" s="2" t="n">
        <v>15.71</v>
      </c>
      <c r="DH862" s="2" t="n">
        <v>17.85</v>
      </c>
      <c r="DI862" s="2" t="n">
        <v>0</v>
      </c>
      <c r="DJ862" s="2" t="n">
        <v>26.39</v>
      </c>
      <c r="DK862" s="2" t="n">
        <v>28.5</v>
      </c>
      <c r="DL862" s="2" t="n">
        <v>0</v>
      </c>
      <c r="DM862" s="2" t="n">
        <v>36.13</v>
      </c>
      <c r="DN862" s="2" t="n">
        <v>38.25</v>
      </c>
      <c r="DO862" s="2" t="n">
        <v>0</v>
      </c>
      <c r="DP862" s="2" t="n">
        <v>45.85</v>
      </c>
      <c r="DQ862" s="2" t="n">
        <v>48.04</v>
      </c>
      <c r="DR862" s="2" t="n">
        <v>0</v>
      </c>
      <c r="DS862" s="2" t="n">
        <v>55.92</v>
      </c>
      <c r="DT862" s="2" t="n">
        <v>57.97</v>
      </c>
      <c r="DU862" s="2" t="n">
        <v>0</v>
      </c>
      <c r="DV862" s="2" t="n">
        <v>64.14</v>
      </c>
      <c r="DW862" s="2" t="n">
        <v>66.20999999999999</v>
      </c>
      <c r="DX862" s="2" t="n">
        <v>0</v>
      </c>
      <c r="DY862" s="2" t="n">
        <v>72.79000000000001</v>
      </c>
      <c r="DZ862" s="2" t="n">
        <v>75.18000000000001</v>
      </c>
      <c r="EA862" s="2" t="n">
        <v>0</v>
      </c>
      <c r="EB862" s="2" t="n">
        <v>80.93000000000001</v>
      </c>
      <c r="EC862" s="2" t="n">
        <v>84.2</v>
      </c>
      <c r="ED862" s="2" t="n">
        <v>0</v>
      </c>
      <c r="EE862" s="2" t="n">
        <v>87.59</v>
      </c>
      <c r="EF862" s="2" t="n">
        <v>90.55</v>
      </c>
      <c r="EG862" s="2" t="n">
        <v>0</v>
      </c>
      <c r="EH862" s="2" t="n">
        <v>96.19</v>
      </c>
      <c r="EI862" s="2" t="n">
        <v>98.68000000000001</v>
      </c>
      <c r="EJ862" s="2" t="n">
        <v>0</v>
      </c>
      <c r="EK862" s="2" t="n">
        <v>100</v>
      </c>
      <c r="EL862" s="2" t="n">
        <v>100</v>
      </c>
      <c r="EM862" s="2" t="n">
        <v>0</v>
      </c>
      <c r="EN862" s="2" t="n">
        <v>100</v>
      </c>
      <c r="EO862" s="2" t="n">
        <v>100</v>
      </c>
      <c r="EP862" s="2" t="n">
        <v>0</v>
      </c>
      <c r="EQ862" s="2" t="n">
        <v>100</v>
      </c>
      <c r="ER862" s="2" t="n">
        <v>100</v>
      </c>
      <c r="ES862" s="2" t="n">
        <v>0</v>
      </c>
    </row>
    <row r="863">
      <c r="A863" s="2" t="n">
        <v>3</v>
      </c>
      <c r="B863" s="2" t="inlineStr">
        <is>
          <t>34.04.01</t>
        </is>
      </c>
      <c r="C863" s="2" t="inlineStr">
        <is>
          <t>Tanque para lavanderia, capacidade 32L, 50x40cm, em aço inox escovado, Mekal CT-5</t>
        </is>
      </c>
      <c r="D863" s="2" t="inlineStr">
        <is>
          <t>01/03/2028</t>
        </is>
      </c>
      <c r="E863" s="2" t="inlineStr">
        <is>
          <t>05/02/2029</t>
        </is>
      </c>
      <c r="F863" s="2" t="n">
        <v>102621.7361977344</v>
      </c>
      <c r="G863" s="2" t="n">
        <v>0</v>
      </c>
      <c r="H863" s="2" t="n">
        <v>102621.7361977344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0</v>
      </c>
      <c r="CH863" s="2" t="n">
        <v>0</v>
      </c>
      <c r="CI863" s="2" t="n">
        <v>0</v>
      </c>
      <c r="CJ863" s="2" t="n">
        <v>0</v>
      </c>
      <c r="CK863" s="2" t="n">
        <v>0</v>
      </c>
      <c r="CL863" s="2" t="n">
        <v>0</v>
      </c>
      <c r="CM863" s="2" t="n">
        <v>0</v>
      </c>
      <c r="CN863" s="2" t="n">
        <v>0</v>
      </c>
      <c r="CO863" s="2" t="n">
        <v>0</v>
      </c>
      <c r="CP863" s="2" t="n">
        <v>0</v>
      </c>
      <c r="CQ863" s="2" t="n">
        <v>0</v>
      </c>
      <c r="CR863" s="2" t="n">
        <v>0</v>
      </c>
      <c r="CS863" s="2" t="n">
        <v>0</v>
      </c>
      <c r="CT863" s="2" t="n">
        <v>0</v>
      </c>
      <c r="CU863" s="2" t="n">
        <v>0</v>
      </c>
      <c r="CV863" s="2" t="n">
        <v>0</v>
      </c>
      <c r="CW863" s="2" t="n">
        <v>0</v>
      </c>
      <c r="CX863" s="2" t="n">
        <v>0</v>
      </c>
      <c r="CY863" s="2" t="n">
        <v>0</v>
      </c>
      <c r="CZ863" s="2" t="n">
        <v>0</v>
      </c>
      <c r="DA863" s="2" t="n">
        <v>0</v>
      </c>
      <c r="DB863" s="2" t="n">
        <v>0</v>
      </c>
      <c r="DC863" s="2" t="n">
        <v>0</v>
      </c>
      <c r="DD863" s="2" t="n">
        <v>7.49</v>
      </c>
      <c r="DE863" s="2" t="n">
        <v>9.6</v>
      </c>
      <c r="DF863" s="2" t="n">
        <v>0</v>
      </c>
      <c r="DG863" s="2" t="n">
        <v>15.71</v>
      </c>
      <c r="DH863" s="2" t="n">
        <v>17.85</v>
      </c>
      <c r="DI863" s="2" t="n">
        <v>0</v>
      </c>
      <c r="DJ863" s="2" t="n">
        <v>26.39</v>
      </c>
      <c r="DK863" s="2" t="n">
        <v>28.5</v>
      </c>
      <c r="DL863" s="2" t="n">
        <v>0</v>
      </c>
      <c r="DM863" s="2" t="n">
        <v>36.13</v>
      </c>
      <c r="DN863" s="2" t="n">
        <v>38.25</v>
      </c>
      <c r="DO863" s="2" t="n">
        <v>0</v>
      </c>
      <c r="DP863" s="2" t="n">
        <v>45.85</v>
      </c>
      <c r="DQ863" s="2" t="n">
        <v>48.04</v>
      </c>
      <c r="DR863" s="2" t="n">
        <v>0</v>
      </c>
      <c r="DS863" s="2" t="n">
        <v>55.92</v>
      </c>
      <c r="DT863" s="2" t="n">
        <v>57.97</v>
      </c>
      <c r="DU863" s="2" t="n">
        <v>0</v>
      </c>
      <c r="DV863" s="2" t="n">
        <v>64.14</v>
      </c>
      <c r="DW863" s="2" t="n">
        <v>66.20999999999999</v>
      </c>
      <c r="DX863" s="2" t="n">
        <v>0</v>
      </c>
      <c r="DY863" s="2" t="n">
        <v>72.79000000000001</v>
      </c>
      <c r="DZ863" s="2" t="n">
        <v>75.18000000000001</v>
      </c>
      <c r="EA863" s="2" t="n">
        <v>0</v>
      </c>
      <c r="EB863" s="2" t="n">
        <v>80.93000000000001</v>
      </c>
      <c r="EC863" s="2" t="n">
        <v>84.2</v>
      </c>
      <c r="ED863" s="2" t="n">
        <v>0</v>
      </c>
      <c r="EE863" s="2" t="n">
        <v>87.59</v>
      </c>
      <c r="EF863" s="2" t="n">
        <v>90.55</v>
      </c>
      <c r="EG863" s="2" t="n">
        <v>0</v>
      </c>
      <c r="EH863" s="2" t="n">
        <v>96.19</v>
      </c>
      <c r="EI863" s="2" t="n">
        <v>98.68000000000001</v>
      </c>
      <c r="EJ863" s="2" t="n">
        <v>0</v>
      </c>
      <c r="EK863" s="2" t="n">
        <v>100</v>
      </c>
      <c r="EL863" s="2" t="n">
        <v>100</v>
      </c>
      <c r="EM863" s="2" t="n">
        <v>0</v>
      </c>
      <c r="EN863" s="2" t="n">
        <v>100</v>
      </c>
      <c r="EO863" s="2" t="n">
        <v>100</v>
      </c>
      <c r="EP863" s="2" t="n">
        <v>0</v>
      </c>
      <c r="EQ863" s="2" t="n">
        <v>100</v>
      </c>
      <c r="ER863" s="2" t="n">
        <v>100</v>
      </c>
      <c r="ES863" s="2" t="n">
        <v>0</v>
      </c>
    </row>
    <row r="864">
      <c r="A864" s="2" t="n">
        <v>3</v>
      </c>
      <c r="B864" s="2" t="inlineStr">
        <is>
          <t>34.04.02</t>
        </is>
      </c>
      <c r="C864" s="2" t="inlineStr">
        <is>
          <t>Tanque 30L branco, Deca, TQ.02.17</t>
        </is>
      </c>
      <c r="D864" s="2" t="inlineStr">
        <is>
          <t>01/03/2028</t>
        </is>
      </c>
      <c r="E864" s="2" t="inlineStr">
        <is>
          <t>05/02/2029</t>
        </is>
      </c>
      <c r="F864" s="2" t="n">
        <v>444.3211468925381</v>
      </c>
      <c r="G864" s="2" t="n">
        <v>0</v>
      </c>
      <c r="H864" s="2" t="n">
        <v>444.3211468925381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0</v>
      </c>
      <c r="CH864" s="2" t="n">
        <v>0</v>
      </c>
      <c r="CI864" s="2" t="n">
        <v>0</v>
      </c>
      <c r="CJ864" s="2" t="n">
        <v>0</v>
      </c>
      <c r="CK864" s="2" t="n">
        <v>0</v>
      </c>
      <c r="CL864" s="2" t="n">
        <v>0</v>
      </c>
      <c r="CM864" s="2" t="n">
        <v>0</v>
      </c>
      <c r="CN864" s="2" t="n">
        <v>0</v>
      </c>
      <c r="CO864" s="2" t="n">
        <v>0</v>
      </c>
      <c r="CP864" s="2" t="n">
        <v>0</v>
      </c>
      <c r="CQ864" s="2" t="n">
        <v>0</v>
      </c>
      <c r="CR864" s="2" t="n">
        <v>0</v>
      </c>
      <c r="CS864" s="2" t="n">
        <v>0</v>
      </c>
      <c r="CT864" s="2" t="n">
        <v>0</v>
      </c>
      <c r="CU864" s="2" t="n">
        <v>0</v>
      </c>
      <c r="CV864" s="2" t="n">
        <v>0</v>
      </c>
      <c r="CW864" s="2" t="n">
        <v>0</v>
      </c>
      <c r="CX864" s="2" t="n">
        <v>0</v>
      </c>
      <c r="CY864" s="2" t="n">
        <v>0</v>
      </c>
      <c r="CZ864" s="2" t="n">
        <v>0</v>
      </c>
      <c r="DA864" s="2" t="n">
        <v>0</v>
      </c>
      <c r="DB864" s="2" t="n">
        <v>0</v>
      </c>
      <c r="DC864" s="2" t="n">
        <v>0</v>
      </c>
      <c r="DD864" s="2" t="n">
        <v>7.49</v>
      </c>
      <c r="DE864" s="2" t="n">
        <v>9.6</v>
      </c>
      <c r="DF864" s="2" t="n">
        <v>0</v>
      </c>
      <c r="DG864" s="2" t="n">
        <v>15.71</v>
      </c>
      <c r="DH864" s="2" t="n">
        <v>17.85</v>
      </c>
      <c r="DI864" s="2" t="n">
        <v>0</v>
      </c>
      <c r="DJ864" s="2" t="n">
        <v>26.39</v>
      </c>
      <c r="DK864" s="2" t="n">
        <v>28.5</v>
      </c>
      <c r="DL864" s="2" t="n">
        <v>0</v>
      </c>
      <c r="DM864" s="2" t="n">
        <v>36.13</v>
      </c>
      <c r="DN864" s="2" t="n">
        <v>38.25</v>
      </c>
      <c r="DO864" s="2" t="n">
        <v>0</v>
      </c>
      <c r="DP864" s="2" t="n">
        <v>45.85</v>
      </c>
      <c r="DQ864" s="2" t="n">
        <v>48.04</v>
      </c>
      <c r="DR864" s="2" t="n">
        <v>0</v>
      </c>
      <c r="DS864" s="2" t="n">
        <v>55.92</v>
      </c>
      <c r="DT864" s="2" t="n">
        <v>57.97</v>
      </c>
      <c r="DU864" s="2" t="n">
        <v>0</v>
      </c>
      <c r="DV864" s="2" t="n">
        <v>64.14</v>
      </c>
      <c r="DW864" s="2" t="n">
        <v>66.20999999999999</v>
      </c>
      <c r="DX864" s="2" t="n">
        <v>0</v>
      </c>
      <c r="DY864" s="2" t="n">
        <v>72.79000000000001</v>
      </c>
      <c r="DZ864" s="2" t="n">
        <v>75.18000000000001</v>
      </c>
      <c r="EA864" s="2" t="n">
        <v>0</v>
      </c>
      <c r="EB864" s="2" t="n">
        <v>80.93000000000001</v>
      </c>
      <c r="EC864" s="2" t="n">
        <v>84.2</v>
      </c>
      <c r="ED864" s="2" t="n">
        <v>0</v>
      </c>
      <c r="EE864" s="2" t="n">
        <v>87.59</v>
      </c>
      <c r="EF864" s="2" t="n">
        <v>90.55</v>
      </c>
      <c r="EG864" s="2" t="n">
        <v>0</v>
      </c>
      <c r="EH864" s="2" t="n">
        <v>96.19</v>
      </c>
      <c r="EI864" s="2" t="n">
        <v>98.68000000000001</v>
      </c>
      <c r="EJ864" s="2" t="n">
        <v>0</v>
      </c>
      <c r="EK864" s="2" t="n">
        <v>100</v>
      </c>
      <c r="EL864" s="2" t="n">
        <v>100</v>
      </c>
      <c r="EM864" s="2" t="n">
        <v>0</v>
      </c>
      <c r="EN864" s="2" t="n">
        <v>100</v>
      </c>
      <c r="EO864" s="2" t="n">
        <v>100</v>
      </c>
      <c r="EP864" s="2" t="n">
        <v>0</v>
      </c>
      <c r="EQ864" s="2" t="n">
        <v>100</v>
      </c>
      <c r="ER864" s="2" t="n">
        <v>100</v>
      </c>
      <c r="ES864" s="2" t="n">
        <v>0</v>
      </c>
    </row>
    <row r="865">
      <c r="A865" s="2" t="n">
        <v>3</v>
      </c>
      <c r="B865" s="2" t="inlineStr">
        <is>
          <t>34.04.03</t>
        </is>
      </c>
      <c r="C865" s="2" t="inlineStr">
        <is>
          <t>Torneira de mesa bica móvel 90°, ref.: Deca Link 1166.C.LNK, cromado</t>
        </is>
      </c>
      <c r="D865" s="2" t="inlineStr">
        <is>
          <t>01/03/2028</t>
        </is>
      </c>
      <c r="E865" s="2" t="inlineStr">
        <is>
          <t>05/02/2029</t>
        </is>
      </c>
      <c r="F865" s="2" t="n">
        <v>26655.0179201959</v>
      </c>
      <c r="G865" s="2" t="n">
        <v>0</v>
      </c>
      <c r="H865" s="2" t="n">
        <v>26655.0179201959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0</v>
      </c>
      <c r="CH865" s="2" t="n">
        <v>0</v>
      </c>
      <c r="CI865" s="2" t="n">
        <v>0</v>
      </c>
      <c r="CJ865" s="2" t="n">
        <v>0</v>
      </c>
      <c r="CK865" s="2" t="n">
        <v>0</v>
      </c>
      <c r="CL865" s="2" t="n">
        <v>0</v>
      </c>
      <c r="CM865" s="2" t="n">
        <v>0</v>
      </c>
      <c r="CN865" s="2" t="n">
        <v>0</v>
      </c>
      <c r="CO865" s="2" t="n">
        <v>0</v>
      </c>
      <c r="CP865" s="2" t="n">
        <v>0</v>
      </c>
      <c r="CQ865" s="2" t="n">
        <v>0</v>
      </c>
      <c r="CR865" s="2" t="n">
        <v>0</v>
      </c>
      <c r="CS865" s="2" t="n">
        <v>0</v>
      </c>
      <c r="CT865" s="2" t="n">
        <v>0</v>
      </c>
      <c r="CU865" s="2" t="n">
        <v>0</v>
      </c>
      <c r="CV865" s="2" t="n">
        <v>0</v>
      </c>
      <c r="CW865" s="2" t="n">
        <v>0</v>
      </c>
      <c r="CX865" s="2" t="n">
        <v>0</v>
      </c>
      <c r="CY865" s="2" t="n">
        <v>0</v>
      </c>
      <c r="CZ865" s="2" t="n">
        <v>0</v>
      </c>
      <c r="DA865" s="2" t="n">
        <v>0</v>
      </c>
      <c r="DB865" s="2" t="n">
        <v>0</v>
      </c>
      <c r="DC865" s="2" t="n">
        <v>0</v>
      </c>
      <c r="DD865" s="2" t="n">
        <v>7.49</v>
      </c>
      <c r="DE865" s="2" t="n">
        <v>9.6</v>
      </c>
      <c r="DF865" s="2" t="n">
        <v>0</v>
      </c>
      <c r="DG865" s="2" t="n">
        <v>15.71</v>
      </c>
      <c r="DH865" s="2" t="n">
        <v>17.85</v>
      </c>
      <c r="DI865" s="2" t="n">
        <v>0</v>
      </c>
      <c r="DJ865" s="2" t="n">
        <v>26.39</v>
      </c>
      <c r="DK865" s="2" t="n">
        <v>28.5</v>
      </c>
      <c r="DL865" s="2" t="n">
        <v>0</v>
      </c>
      <c r="DM865" s="2" t="n">
        <v>36.13</v>
      </c>
      <c r="DN865" s="2" t="n">
        <v>38.25</v>
      </c>
      <c r="DO865" s="2" t="n">
        <v>0</v>
      </c>
      <c r="DP865" s="2" t="n">
        <v>45.85</v>
      </c>
      <c r="DQ865" s="2" t="n">
        <v>48.04</v>
      </c>
      <c r="DR865" s="2" t="n">
        <v>0</v>
      </c>
      <c r="DS865" s="2" t="n">
        <v>55.92</v>
      </c>
      <c r="DT865" s="2" t="n">
        <v>57.97</v>
      </c>
      <c r="DU865" s="2" t="n">
        <v>0</v>
      </c>
      <c r="DV865" s="2" t="n">
        <v>64.14</v>
      </c>
      <c r="DW865" s="2" t="n">
        <v>66.20999999999999</v>
      </c>
      <c r="DX865" s="2" t="n">
        <v>0</v>
      </c>
      <c r="DY865" s="2" t="n">
        <v>72.79000000000001</v>
      </c>
      <c r="DZ865" s="2" t="n">
        <v>75.18000000000001</v>
      </c>
      <c r="EA865" s="2" t="n">
        <v>0</v>
      </c>
      <c r="EB865" s="2" t="n">
        <v>80.93000000000001</v>
      </c>
      <c r="EC865" s="2" t="n">
        <v>84.2</v>
      </c>
      <c r="ED865" s="2" t="n">
        <v>0</v>
      </c>
      <c r="EE865" s="2" t="n">
        <v>87.59</v>
      </c>
      <c r="EF865" s="2" t="n">
        <v>90.55</v>
      </c>
      <c r="EG865" s="2" t="n">
        <v>0</v>
      </c>
      <c r="EH865" s="2" t="n">
        <v>96.19</v>
      </c>
      <c r="EI865" s="2" t="n">
        <v>98.68000000000001</v>
      </c>
      <c r="EJ865" s="2" t="n">
        <v>0</v>
      </c>
      <c r="EK865" s="2" t="n">
        <v>100</v>
      </c>
      <c r="EL865" s="2" t="n">
        <v>100</v>
      </c>
      <c r="EM865" s="2" t="n">
        <v>0</v>
      </c>
      <c r="EN865" s="2" t="n">
        <v>100</v>
      </c>
      <c r="EO865" s="2" t="n">
        <v>100</v>
      </c>
      <c r="EP865" s="2" t="n">
        <v>0</v>
      </c>
      <c r="EQ865" s="2" t="n">
        <v>100</v>
      </c>
      <c r="ER865" s="2" t="n">
        <v>100</v>
      </c>
      <c r="ES865" s="2" t="n">
        <v>0</v>
      </c>
    </row>
    <row r="866">
      <c r="A866" s="2" t="n">
        <v>3</v>
      </c>
      <c r="B866" s="2" t="inlineStr">
        <is>
          <t>34.04.04</t>
        </is>
      </c>
      <c r="C866" s="2" t="inlineStr">
        <is>
          <t>Torneira  de parede para Jardim e Tanque com Adaptador de Mangueira  Deca Standard Cromado Cód.: 1153.C39</t>
        </is>
      </c>
      <c r="D866" s="2" t="inlineStr">
        <is>
          <t>01/03/2028</t>
        </is>
      </c>
      <c r="E866" s="2" t="inlineStr">
        <is>
          <t>05/02/2029</t>
        </is>
      </c>
      <c r="F866" s="2" t="n">
        <v>203.1003584039181</v>
      </c>
      <c r="G866" s="2" t="n">
        <v>0</v>
      </c>
      <c r="H866" s="2" t="n">
        <v>203.1003584039181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0</v>
      </c>
      <c r="CH866" s="2" t="n">
        <v>0</v>
      </c>
      <c r="CI866" s="2" t="n">
        <v>0</v>
      </c>
      <c r="CJ866" s="2" t="n">
        <v>0</v>
      </c>
      <c r="CK866" s="2" t="n">
        <v>0</v>
      </c>
      <c r="CL866" s="2" t="n">
        <v>0</v>
      </c>
      <c r="CM866" s="2" t="n">
        <v>0</v>
      </c>
      <c r="CN866" s="2" t="n">
        <v>0</v>
      </c>
      <c r="CO866" s="2" t="n">
        <v>0</v>
      </c>
      <c r="CP866" s="2" t="n">
        <v>0</v>
      </c>
      <c r="CQ866" s="2" t="n">
        <v>0</v>
      </c>
      <c r="CR866" s="2" t="n">
        <v>0</v>
      </c>
      <c r="CS866" s="2" t="n">
        <v>0</v>
      </c>
      <c r="CT866" s="2" t="n">
        <v>0</v>
      </c>
      <c r="CU866" s="2" t="n">
        <v>0</v>
      </c>
      <c r="CV866" s="2" t="n">
        <v>0</v>
      </c>
      <c r="CW866" s="2" t="n">
        <v>0</v>
      </c>
      <c r="CX866" s="2" t="n">
        <v>0</v>
      </c>
      <c r="CY866" s="2" t="n">
        <v>0</v>
      </c>
      <c r="CZ866" s="2" t="n">
        <v>0</v>
      </c>
      <c r="DA866" s="2" t="n">
        <v>0</v>
      </c>
      <c r="DB866" s="2" t="n">
        <v>0</v>
      </c>
      <c r="DC866" s="2" t="n">
        <v>0</v>
      </c>
      <c r="DD866" s="2" t="n">
        <v>7.49</v>
      </c>
      <c r="DE866" s="2" t="n">
        <v>9.6</v>
      </c>
      <c r="DF866" s="2" t="n">
        <v>0</v>
      </c>
      <c r="DG866" s="2" t="n">
        <v>15.71</v>
      </c>
      <c r="DH866" s="2" t="n">
        <v>17.85</v>
      </c>
      <c r="DI866" s="2" t="n">
        <v>0</v>
      </c>
      <c r="DJ866" s="2" t="n">
        <v>26.39</v>
      </c>
      <c r="DK866" s="2" t="n">
        <v>28.5</v>
      </c>
      <c r="DL866" s="2" t="n">
        <v>0</v>
      </c>
      <c r="DM866" s="2" t="n">
        <v>36.13</v>
      </c>
      <c r="DN866" s="2" t="n">
        <v>38.25</v>
      </c>
      <c r="DO866" s="2" t="n">
        <v>0</v>
      </c>
      <c r="DP866" s="2" t="n">
        <v>45.85</v>
      </c>
      <c r="DQ866" s="2" t="n">
        <v>48.04</v>
      </c>
      <c r="DR866" s="2" t="n">
        <v>0</v>
      </c>
      <c r="DS866" s="2" t="n">
        <v>55.92</v>
      </c>
      <c r="DT866" s="2" t="n">
        <v>57.97</v>
      </c>
      <c r="DU866" s="2" t="n">
        <v>0</v>
      </c>
      <c r="DV866" s="2" t="n">
        <v>64.14</v>
      </c>
      <c r="DW866" s="2" t="n">
        <v>66.20999999999999</v>
      </c>
      <c r="DX866" s="2" t="n">
        <v>0</v>
      </c>
      <c r="DY866" s="2" t="n">
        <v>72.79000000000001</v>
      </c>
      <c r="DZ866" s="2" t="n">
        <v>75.18000000000001</v>
      </c>
      <c r="EA866" s="2" t="n">
        <v>0</v>
      </c>
      <c r="EB866" s="2" t="n">
        <v>80.93000000000001</v>
      </c>
      <c r="EC866" s="2" t="n">
        <v>84.2</v>
      </c>
      <c r="ED866" s="2" t="n">
        <v>0</v>
      </c>
      <c r="EE866" s="2" t="n">
        <v>87.59</v>
      </c>
      <c r="EF866" s="2" t="n">
        <v>90.55</v>
      </c>
      <c r="EG866" s="2" t="n">
        <v>0</v>
      </c>
      <c r="EH866" s="2" t="n">
        <v>96.19</v>
      </c>
      <c r="EI866" s="2" t="n">
        <v>98.68000000000001</v>
      </c>
      <c r="EJ866" s="2" t="n">
        <v>0</v>
      </c>
      <c r="EK866" s="2" t="n">
        <v>100</v>
      </c>
      <c r="EL866" s="2" t="n">
        <v>100</v>
      </c>
      <c r="EM866" s="2" t="n">
        <v>0</v>
      </c>
      <c r="EN866" s="2" t="n">
        <v>100</v>
      </c>
      <c r="EO866" s="2" t="n">
        <v>100</v>
      </c>
      <c r="EP866" s="2" t="n">
        <v>0</v>
      </c>
      <c r="EQ866" s="2" t="n">
        <v>100</v>
      </c>
      <c r="ER866" s="2" t="n">
        <v>100</v>
      </c>
      <c r="ES866" s="2" t="n">
        <v>0</v>
      </c>
    </row>
    <row r="867">
      <c r="A867" s="2" t="n">
        <v>3</v>
      </c>
      <c r="B867" s="2" t="inlineStr">
        <is>
          <t>34.04.05</t>
        </is>
      </c>
      <c r="C867" s="2" t="inlineStr">
        <is>
          <t>Válvula cromada para tanque</t>
        </is>
      </c>
      <c r="D867" s="2" t="inlineStr">
        <is>
          <t>01/03/2028</t>
        </is>
      </c>
      <c r="E867" s="2" t="inlineStr">
        <is>
          <t>05/02/2029</t>
        </is>
      </c>
      <c r="F867" s="2" t="n">
        <v>4238.118278599825</v>
      </c>
      <c r="G867" s="2" t="n">
        <v>0</v>
      </c>
      <c r="H867" s="2" t="n">
        <v>4238.118278599825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0</v>
      </c>
      <c r="CH867" s="2" t="n">
        <v>0</v>
      </c>
      <c r="CI867" s="2" t="n">
        <v>0</v>
      </c>
      <c r="CJ867" s="2" t="n">
        <v>0</v>
      </c>
      <c r="CK867" s="2" t="n">
        <v>0</v>
      </c>
      <c r="CL867" s="2" t="n">
        <v>0</v>
      </c>
      <c r="CM867" s="2" t="n">
        <v>0</v>
      </c>
      <c r="CN867" s="2" t="n">
        <v>0</v>
      </c>
      <c r="CO867" s="2" t="n">
        <v>0</v>
      </c>
      <c r="CP867" s="2" t="n">
        <v>0</v>
      </c>
      <c r="CQ867" s="2" t="n">
        <v>0</v>
      </c>
      <c r="CR867" s="2" t="n">
        <v>0</v>
      </c>
      <c r="CS867" s="2" t="n">
        <v>0</v>
      </c>
      <c r="CT867" s="2" t="n">
        <v>0</v>
      </c>
      <c r="CU867" s="2" t="n">
        <v>0</v>
      </c>
      <c r="CV867" s="2" t="n">
        <v>0</v>
      </c>
      <c r="CW867" s="2" t="n">
        <v>0</v>
      </c>
      <c r="CX867" s="2" t="n">
        <v>0</v>
      </c>
      <c r="CY867" s="2" t="n">
        <v>0</v>
      </c>
      <c r="CZ867" s="2" t="n">
        <v>0</v>
      </c>
      <c r="DA867" s="2" t="n">
        <v>0</v>
      </c>
      <c r="DB867" s="2" t="n">
        <v>0</v>
      </c>
      <c r="DC867" s="2" t="n">
        <v>0</v>
      </c>
      <c r="DD867" s="2" t="n">
        <v>7.49</v>
      </c>
      <c r="DE867" s="2" t="n">
        <v>9.6</v>
      </c>
      <c r="DF867" s="2" t="n">
        <v>0</v>
      </c>
      <c r="DG867" s="2" t="n">
        <v>15.71</v>
      </c>
      <c r="DH867" s="2" t="n">
        <v>17.85</v>
      </c>
      <c r="DI867" s="2" t="n">
        <v>0</v>
      </c>
      <c r="DJ867" s="2" t="n">
        <v>26.39</v>
      </c>
      <c r="DK867" s="2" t="n">
        <v>28.5</v>
      </c>
      <c r="DL867" s="2" t="n">
        <v>0</v>
      </c>
      <c r="DM867" s="2" t="n">
        <v>36.13</v>
      </c>
      <c r="DN867" s="2" t="n">
        <v>38.25</v>
      </c>
      <c r="DO867" s="2" t="n">
        <v>0</v>
      </c>
      <c r="DP867" s="2" t="n">
        <v>45.85</v>
      </c>
      <c r="DQ867" s="2" t="n">
        <v>48.04</v>
      </c>
      <c r="DR867" s="2" t="n">
        <v>0</v>
      </c>
      <c r="DS867" s="2" t="n">
        <v>55.92</v>
      </c>
      <c r="DT867" s="2" t="n">
        <v>57.97</v>
      </c>
      <c r="DU867" s="2" t="n">
        <v>0</v>
      </c>
      <c r="DV867" s="2" t="n">
        <v>64.14</v>
      </c>
      <c r="DW867" s="2" t="n">
        <v>66.20999999999999</v>
      </c>
      <c r="DX867" s="2" t="n">
        <v>0</v>
      </c>
      <c r="DY867" s="2" t="n">
        <v>72.79000000000001</v>
      </c>
      <c r="DZ867" s="2" t="n">
        <v>75.18000000000001</v>
      </c>
      <c r="EA867" s="2" t="n">
        <v>0</v>
      </c>
      <c r="EB867" s="2" t="n">
        <v>80.93000000000001</v>
      </c>
      <c r="EC867" s="2" t="n">
        <v>84.2</v>
      </c>
      <c r="ED867" s="2" t="n">
        <v>0</v>
      </c>
      <c r="EE867" s="2" t="n">
        <v>87.59</v>
      </c>
      <c r="EF867" s="2" t="n">
        <v>90.55</v>
      </c>
      <c r="EG867" s="2" t="n">
        <v>0</v>
      </c>
      <c r="EH867" s="2" t="n">
        <v>96.19</v>
      </c>
      <c r="EI867" s="2" t="n">
        <v>98.68000000000001</v>
      </c>
      <c r="EJ867" s="2" t="n">
        <v>0</v>
      </c>
      <c r="EK867" s="2" t="n">
        <v>100</v>
      </c>
      <c r="EL867" s="2" t="n">
        <v>100</v>
      </c>
      <c r="EM867" s="2" t="n">
        <v>0</v>
      </c>
      <c r="EN867" s="2" t="n">
        <v>100</v>
      </c>
      <c r="EO867" s="2" t="n">
        <v>100</v>
      </c>
      <c r="EP867" s="2" t="n">
        <v>0</v>
      </c>
      <c r="EQ867" s="2" t="n">
        <v>100</v>
      </c>
      <c r="ER867" s="2" t="n">
        <v>100</v>
      </c>
      <c r="ES867" s="2" t="n">
        <v>0</v>
      </c>
    </row>
    <row r="868">
      <c r="A868" s="2" t="n">
        <v>3</v>
      </c>
      <c r="B868" s="2" t="inlineStr">
        <is>
          <t>34.04.06</t>
        </is>
      </c>
      <c r="C868" s="2" t="inlineStr">
        <is>
          <t>Sifão cromado para tanque</t>
        </is>
      </c>
      <c r="D868" s="2" t="inlineStr">
        <is>
          <t>01/03/2028</t>
        </is>
      </c>
      <c r="E868" s="2" t="inlineStr">
        <is>
          <t>05/02/2029</t>
        </is>
      </c>
      <c r="F868" s="2" t="n">
        <v>11155.01792019591</v>
      </c>
      <c r="G868" s="2" t="n">
        <v>0</v>
      </c>
      <c r="H868" s="2" t="n">
        <v>11155.01792019591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0</v>
      </c>
      <c r="CH868" s="2" t="n">
        <v>0</v>
      </c>
      <c r="CI868" s="2" t="n">
        <v>0</v>
      </c>
      <c r="CJ868" s="2" t="n">
        <v>0</v>
      </c>
      <c r="CK868" s="2" t="n">
        <v>0</v>
      </c>
      <c r="CL868" s="2" t="n">
        <v>0</v>
      </c>
      <c r="CM868" s="2" t="n">
        <v>0</v>
      </c>
      <c r="CN868" s="2" t="n">
        <v>0</v>
      </c>
      <c r="CO868" s="2" t="n">
        <v>0</v>
      </c>
      <c r="CP868" s="2" t="n">
        <v>0</v>
      </c>
      <c r="CQ868" s="2" t="n">
        <v>0</v>
      </c>
      <c r="CR868" s="2" t="n">
        <v>0</v>
      </c>
      <c r="CS868" s="2" t="n">
        <v>0</v>
      </c>
      <c r="CT868" s="2" t="n">
        <v>0</v>
      </c>
      <c r="CU868" s="2" t="n">
        <v>0</v>
      </c>
      <c r="CV868" s="2" t="n">
        <v>0</v>
      </c>
      <c r="CW868" s="2" t="n">
        <v>0</v>
      </c>
      <c r="CX868" s="2" t="n">
        <v>0</v>
      </c>
      <c r="CY868" s="2" t="n">
        <v>0</v>
      </c>
      <c r="CZ868" s="2" t="n">
        <v>0</v>
      </c>
      <c r="DA868" s="2" t="n">
        <v>0</v>
      </c>
      <c r="DB868" s="2" t="n">
        <v>0</v>
      </c>
      <c r="DC868" s="2" t="n">
        <v>0</v>
      </c>
      <c r="DD868" s="2" t="n">
        <v>7.49</v>
      </c>
      <c r="DE868" s="2" t="n">
        <v>9.6</v>
      </c>
      <c r="DF868" s="2" t="n">
        <v>0</v>
      </c>
      <c r="DG868" s="2" t="n">
        <v>15.71</v>
      </c>
      <c r="DH868" s="2" t="n">
        <v>17.85</v>
      </c>
      <c r="DI868" s="2" t="n">
        <v>0</v>
      </c>
      <c r="DJ868" s="2" t="n">
        <v>26.39</v>
      </c>
      <c r="DK868" s="2" t="n">
        <v>28.5</v>
      </c>
      <c r="DL868" s="2" t="n">
        <v>0</v>
      </c>
      <c r="DM868" s="2" t="n">
        <v>36.13</v>
      </c>
      <c r="DN868" s="2" t="n">
        <v>38.25</v>
      </c>
      <c r="DO868" s="2" t="n">
        <v>0</v>
      </c>
      <c r="DP868" s="2" t="n">
        <v>45.85</v>
      </c>
      <c r="DQ868" s="2" t="n">
        <v>48.04</v>
      </c>
      <c r="DR868" s="2" t="n">
        <v>0</v>
      </c>
      <c r="DS868" s="2" t="n">
        <v>55.92</v>
      </c>
      <c r="DT868" s="2" t="n">
        <v>57.97</v>
      </c>
      <c r="DU868" s="2" t="n">
        <v>0</v>
      </c>
      <c r="DV868" s="2" t="n">
        <v>64.14</v>
      </c>
      <c r="DW868" s="2" t="n">
        <v>66.20999999999999</v>
      </c>
      <c r="DX868" s="2" t="n">
        <v>0</v>
      </c>
      <c r="DY868" s="2" t="n">
        <v>72.79000000000001</v>
      </c>
      <c r="DZ868" s="2" t="n">
        <v>75.18000000000001</v>
      </c>
      <c r="EA868" s="2" t="n">
        <v>0</v>
      </c>
      <c r="EB868" s="2" t="n">
        <v>80.93000000000001</v>
      </c>
      <c r="EC868" s="2" t="n">
        <v>84.2</v>
      </c>
      <c r="ED868" s="2" t="n">
        <v>0</v>
      </c>
      <c r="EE868" s="2" t="n">
        <v>87.59</v>
      </c>
      <c r="EF868" s="2" t="n">
        <v>90.55</v>
      </c>
      <c r="EG868" s="2" t="n">
        <v>0</v>
      </c>
      <c r="EH868" s="2" t="n">
        <v>96.19</v>
      </c>
      <c r="EI868" s="2" t="n">
        <v>98.68000000000001</v>
      </c>
      <c r="EJ868" s="2" t="n">
        <v>0</v>
      </c>
      <c r="EK868" s="2" t="n">
        <v>100</v>
      </c>
      <c r="EL868" s="2" t="n">
        <v>100</v>
      </c>
      <c r="EM868" s="2" t="n">
        <v>0</v>
      </c>
      <c r="EN868" s="2" t="n">
        <v>100</v>
      </c>
      <c r="EO868" s="2" t="n">
        <v>100</v>
      </c>
      <c r="EP868" s="2" t="n">
        <v>0</v>
      </c>
      <c r="EQ868" s="2" t="n">
        <v>100</v>
      </c>
      <c r="ER868" s="2" t="n">
        <v>100</v>
      </c>
      <c r="ES868" s="2" t="n">
        <v>0</v>
      </c>
    </row>
    <row r="869">
      <c r="A869" s="2" t="n">
        <v>3</v>
      </c>
      <c r="B869" s="2" t="inlineStr">
        <is>
          <t>34.04.07</t>
        </is>
      </c>
      <c r="C869" s="2" t="inlineStr">
        <is>
          <t>Sifão Articulado Cromado, Deca, Cód.: 1682.C.112</t>
        </is>
      </c>
      <c r="D869" s="2" t="inlineStr">
        <is>
          <t>01/03/2028</t>
        </is>
      </c>
      <c r="E869" s="2" t="inlineStr">
        <is>
          <t>05/02/2029</t>
        </is>
      </c>
      <c r="F869" s="2" t="n">
        <v>73.10035840391814</v>
      </c>
      <c r="G869" s="2" t="n">
        <v>0</v>
      </c>
      <c r="H869" s="2" t="n">
        <v>73.10035840391814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0</v>
      </c>
      <c r="CH869" s="2" t="n">
        <v>0</v>
      </c>
      <c r="CI869" s="2" t="n">
        <v>0</v>
      </c>
      <c r="CJ869" s="2" t="n">
        <v>0</v>
      </c>
      <c r="CK869" s="2" t="n">
        <v>0</v>
      </c>
      <c r="CL869" s="2" t="n">
        <v>0</v>
      </c>
      <c r="CM869" s="2" t="n">
        <v>0</v>
      </c>
      <c r="CN869" s="2" t="n">
        <v>0</v>
      </c>
      <c r="CO869" s="2" t="n">
        <v>0</v>
      </c>
      <c r="CP869" s="2" t="n">
        <v>0</v>
      </c>
      <c r="CQ869" s="2" t="n">
        <v>0</v>
      </c>
      <c r="CR869" s="2" t="n">
        <v>0</v>
      </c>
      <c r="CS869" s="2" t="n">
        <v>0</v>
      </c>
      <c r="CT869" s="2" t="n">
        <v>0</v>
      </c>
      <c r="CU869" s="2" t="n">
        <v>0</v>
      </c>
      <c r="CV869" s="2" t="n">
        <v>0</v>
      </c>
      <c r="CW869" s="2" t="n">
        <v>0</v>
      </c>
      <c r="CX869" s="2" t="n">
        <v>0</v>
      </c>
      <c r="CY869" s="2" t="n">
        <v>0</v>
      </c>
      <c r="CZ869" s="2" t="n">
        <v>0</v>
      </c>
      <c r="DA869" s="2" t="n">
        <v>0</v>
      </c>
      <c r="DB869" s="2" t="n">
        <v>0</v>
      </c>
      <c r="DC869" s="2" t="n">
        <v>0</v>
      </c>
      <c r="DD869" s="2" t="n">
        <v>7.49</v>
      </c>
      <c r="DE869" s="2" t="n">
        <v>9.6</v>
      </c>
      <c r="DF869" s="2" t="n">
        <v>0</v>
      </c>
      <c r="DG869" s="2" t="n">
        <v>15.71</v>
      </c>
      <c r="DH869" s="2" t="n">
        <v>17.85</v>
      </c>
      <c r="DI869" s="2" t="n">
        <v>0</v>
      </c>
      <c r="DJ869" s="2" t="n">
        <v>26.39</v>
      </c>
      <c r="DK869" s="2" t="n">
        <v>28.5</v>
      </c>
      <c r="DL869" s="2" t="n">
        <v>0</v>
      </c>
      <c r="DM869" s="2" t="n">
        <v>36.13</v>
      </c>
      <c r="DN869" s="2" t="n">
        <v>38.25</v>
      </c>
      <c r="DO869" s="2" t="n">
        <v>0</v>
      </c>
      <c r="DP869" s="2" t="n">
        <v>45.85</v>
      </c>
      <c r="DQ869" s="2" t="n">
        <v>48.04</v>
      </c>
      <c r="DR869" s="2" t="n">
        <v>0</v>
      </c>
      <c r="DS869" s="2" t="n">
        <v>55.92</v>
      </c>
      <c r="DT869" s="2" t="n">
        <v>57.97</v>
      </c>
      <c r="DU869" s="2" t="n">
        <v>0</v>
      </c>
      <c r="DV869" s="2" t="n">
        <v>64.14</v>
      </c>
      <c r="DW869" s="2" t="n">
        <v>66.20999999999999</v>
      </c>
      <c r="DX869" s="2" t="n">
        <v>0</v>
      </c>
      <c r="DY869" s="2" t="n">
        <v>72.79000000000001</v>
      </c>
      <c r="DZ869" s="2" t="n">
        <v>75.18000000000001</v>
      </c>
      <c r="EA869" s="2" t="n">
        <v>0</v>
      </c>
      <c r="EB869" s="2" t="n">
        <v>80.93000000000001</v>
      </c>
      <c r="EC869" s="2" t="n">
        <v>84.2</v>
      </c>
      <c r="ED869" s="2" t="n">
        <v>0</v>
      </c>
      <c r="EE869" s="2" t="n">
        <v>87.59</v>
      </c>
      <c r="EF869" s="2" t="n">
        <v>90.55</v>
      </c>
      <c r="EG869" s="2" t="n">
        <v>0</v>
      </c>
      <c r="EH869" s="2" t="n">
        <v>96.19</v>
      </c>
      <c r="EI869" s="2" t="n">
        <v>98.68000000000001</v>
      </c>
      <c r="EJ869" s="2" t="n">
        <v>0</v>
      </c>
      <c r="EK869" s="2" t="n">
        <v>100</v>
      </c>
      <c r="EL869" s="2" t="n">
        <v>100</v>
      </c>
      <c r="EM869" s="2" t="n">
        <v>0</v>
      </c>
      <c r="EN869" s="2" t="n">
        <v>100</v>
      </c>
      <c r="EO869" s="2" t="n">
        <v>100</v>
      </c>
      <c r="EP869" s="2" t="n">
        <v>0</v>
      </c>
      <c r="EQ869" s="2" t="n">
        <v>100</v>
      </c>
      <c r="ER869" s="2" t="n">
        <v>100</v>
      </c>
      <c r="ES869" s="2" t="n">
        <v>0</v>
      </c>
    </row>
    <row r="870">
      <c r="A870" s="2" t="n">
        <v>2</v>
      </c>
      <c r="B870" s="2" t="inlineStr">
        <is>
          <t>34.05</t>
        </is>
      </c>
      <c r="C870" s="2" t="inlineStr">
        <is>
          <t>Banho</t>
        </is>
      </c>
      <c r="D870" s="2" t="inlineStr">
        <is>
          <t>01/03/2028</t>
        </is>
      </c>
      <c r="E870" s="2" t="inlineStr">
        <is>
          <t>05/02/2029</t>
        </is>
      </c>
      <c r="F870" s="2" t="n">
        <v>163811.1267717113</v>
      </c>
      <c r="G870" s="2" t="n">
        <v>0</v>
      </c>
      <c r="H870" s="2" t="n">
        <v>163811.1267717113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0</v>
      </c>
      <c r="CH870" s="2" t="n">
        <v>0</v>
      </c>
      <c r="CI870" s="2" t="n">
        <v>0</v>
      </c>
      <c r="CJ870" s="2" t="n">
        <v>0</v>
      </c>
      <c r="CK870" s="2" t="n">
        <v>0</v>
      </c>
      <c r="CL870" s="2" t="n">
        <v>0</v>
      </c>
      <c r="CM870" s="2" t="n">
        <v>0</v>
      </c>
      <c r="CN870" s="2" t="n">
        <v>0</v>
      </c>
      <c r="CO870" s="2" t="n">
        <v>0</v>
      </c>
      <c r="CP870" s="2" t="n">
        <v>0</v>
      </c>
      <c r="CQ870" s="2" t="n">
        <v>0</v>
      </c>
      <c r="CR870" s="2" t="n">
        <v>0</v>
      </c>
      <c r="CS870" s="2" t="n">
        <v>0</v>
      </c>
      <c r="CT870" s="2" t="n">
        <v>0</v>
      </c>
      <c r="CU870" s="2" t="n">
        <v>0</v>
      </c>
      <c r="CV870" s="2" t="n">
        <v>0</v>
      </c>
      <c r="CW870" s="2" t="n">
        <v>0</v>
      </c>
      <c r="CX870" s="2" t="n">
        <v>0</v>
      </c>
      <c r="CY870" s="2" t="n">
        <v>0</v>
      </c>
      <c r="CZ870" s="2" t="n">
        <v>0</v>
      </c>
      <c r="DA870" s="2" t="n">
        <v>0</v>
      </c>
      <c r="DB870" s="2" t="n">
        <v>0</v>
      </c>
      <c r="DC870" s="2" t="n">
        <v>0</v>
      </c>
      <c r="DD870" s="2" t="n">
        <v>7.49</v>
      </c>
      <c r="DE870" s="2" t="n">
        <v>9.6</v>
      </c>
      <c r="DF870" s="2" t="n">
        <v>0</v>
      </c>
      <c r="DG870" s="2" t="n">
        <v>15.71</v>
      </c>
      <c r="DH870" s="2" t="n">
        <v>17.85</v>
      </c>
      <c r="DI870" s="2" t="n">
        <v>0</v>
      </c>
      <c r="DJ870" s="2" t="n">
        <v>26.39</v>
      </c>
      <c r="DK870" s="2" t="n">
        <v>28.5</v>
      </c>
      <c r="DL870" s="2" t="n">
        <v>0</v>
      </c>
      <c r="DM870" s="2" t="n">
        <v>36.13</v>
      </c>
      <c r="DN870" s="2" t="n">
        <v>38.25</v>
      </c>
      <c r="DO870" s="2" t="n">
        <v>0</v>
      </c>
      <c r="DP870" s="2" t="n">
        <v>45.85</v>
      </c>
      <c r="DQ870" s="2" t="n">
        <v>48.04</v>
      </c>
      <c r="DR870" s="2" t="n">
        <v>0</v>
      </c>
      <c r="DS870" s="2" t="n">
        <v>55.92</v>
      </c>
      <c r="DT870" s="2" t="n">
        <v>57.97</v>
      </c>
      <c r="DU870" s="2" t="n">
        <v>0</v>
      </c>
      <c r="DV870" s="2" t="n">
        <v>64.14</v>
      </c>
      <c r="DW870" s="2" t="n">
        <v>66.20999999999999</v>
      </c>
      <c r="DX870" s="2" t="n">
        <v>0</v>
      </c>
      <c r="DY870" s="2" t="n">
        <v>72.79000000000001</v>
      </c>
      <c r="DZ870" s="2" t="n">
        <v>75.18000000000001</v>
      </c>
      <c r="EA870" s="2" t="n">
        <v>0</v>
      </c>
      <c r="EB870" s="2" t="n">
        <v>80.93000000000001</v>
      </c>
      <c r="EC870" s="2" t="n">
        <v>84.2</v>
      </c>
      <c r="ED870" s="2" t="n">
        <v>0</v>
      </c>
      <c r="EE870" s="2" t="n">
        <v>87.59</v>
      </c>
      <c r="EF870" s="2" t="n">
        <v>90.55</v>
      </c>
      <c r="EG870" s="2" t="n">
        <v>0</v>
      </c>
      <c r="EH870" s="2" t="n">
        <v>96.19</v>
      </c>
      <c r="EI870" s="2" t="n">
        <v>98.68000000000001</v>
      </c>
      <c r="EJ870" s="2" t="n">
        <v>0</v>
      </c>
      <c r="EK870" s="2" t="n">
        <v>100</v>
      </c>
      <c r="EL870" s="2" t="n">
        <v>100</v>
      </c>
      <c r="EM870" s="2" t="n">
        <v>0</v>
      </c>
      <c r="EN870" s="2" t="n">
        <v>100</v>
      </c>
      <c r="EO870" s="2" t="n">
        <v>100</v>
      </c>
      <c r="EP870" s="2" t="n">
        <v>0</v>
      </c>
      <c r="EQ870" s="2" t="n">
        <v>100</v>
      </c>
      <c r="ER870" s="2" t="n">
        <v>100</v>
      </c>
      <c r="ES870" s="2" t="n">
        <v>0</v>
      </c>
    </row>
    <row r="871">
      <c r="A871" s="2" t="n">
        <v>3</v>
      </c>
      <c r="B871" s="2" t="inlineStr">
        <is>
          <t>34.05.01</t>
        </is>
      </c>
      <c r="C871" s="2" t="inlineStr">
        <is>
          <t>Chuveiro de Parede com Tubo Deca Acqua Plus Standart Cromado, Cód.: 1990.C.STD;</t>
        </is>
      </c>
      <c r="D871" s="2" t="inlineStr">
        <is>
          <t>01/03/2028</t>
        </is>
      </c>
      <c r="E871" s="2" t="inlineStr">
        <is>
          <t>05/02/2029</t>
        </is>
      </c>
      <c r="F871" s="2" t="n">
        <v>306.5501792019591</v>
      </c>
      <c r="G871" s="2" t="n">
        <v>0</v>
      </c>
      <c r="H871" s="2" t="n">
        <v>306.5501792019591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0</v>
      </c>
      <c r="CH871" s="2" t="n">
        <v>0</v>
      </c>
      <c r="CI871" s="2" t="n">
        <v>0</v>
      </c>
      <c r="CJ871" s="2" t="n">
        <v>0</v>
      </c>
      <c r="CK871" s="2" t="n">
        <v>0</v>
      </c>
      <c r="CL871" s="2" t="n">
        <v>0</v>
      </c>
      <c r="CM871" s="2" t="n">
        <v>0</v>
      </c>
      <c r="CN871" s="2" t="n">
        <v>0</v>
      </c>
      <c r="CO871" s="2" t="n">
        <v>0</v>
      </c>
      <c r="CP871" s="2" t="n">
        <v>0</v>
      </c>
      <c r="CQ871" s="2" t="n">
        <v>0</v>
      </c>
      <c r="CR871" s="2" t="n">
        <v>0</v>
      </c>
      <c r="CS871" s="2" t="n">
        <v>0</v>
      </c>
      <c r="CT871" s="2" t="n">
        <v>0</v>
      </c>
      <c r="CU871" s="2" t="n">
        <v>0</v>
      </c>
      <c r="CV871" s="2" t="n">
        <v>0</v>
      </c>
      <c r="CW871" s="2" t="n">
        <v>0</v>
      </c>
      <c r="CX871" s="2" t="n">
        <v>0</v>
      </c>
      <c r="CY871" s="2" t="n">
        <v>0</v>
      </c>
      <c r="CZ871" s="2" t="n">
        <v>0</v>
      </c>
      <c r="DA871" s="2" t="n">
        <v>0</v>
      </c>
      <c r="DB871" s="2" t="n">
        <v>0</v>
      </c>
      <c r="DC871" s="2" t="n">
        <v>0</v>
      </c>
      <c r="DD871" s="2" t="n">
        <v>7.49</v>
      </c>
      <c r="DE871" s="2" t="n">
        <v>9.6</v>
      </c>
      <c r="DF871" s="2" t="n">
        <v>0</v>
      </c>
      <c r="DG871" s="2" t="n">
        <v>15.71</v>
      </c>
      <c r="DH871" s="2" t="n">
        <v>17.85</v>
      </c>
      <c r="DI871" s="2" t="n">
        <v>0</v>
      </c>
      <c r="DJ871" s="2" t="n">
        <v>26.39</v>
      </c>
      <c r="DK871" s="2" t="n">
        <v>28.5</v>
      </c>
      <c r="DL871" s="2" t="n">
        <v>0</v>
      </c>
      <c r="DM871" s="2" t="n">
        <v>36.13</v>
      </c>
      <c r="DN871" s="2" t="n">
        <v>38.25</v>
      </c>
      <c r="DO871" s="2" t="n">
        <v>0</v>
      </c>
      <c r="DP871" s="2" t="n">
        <v>45.85</v>
      </c>
      <c r="DQ871" s="2" t="n">
        <v>48.04</v>
      </c>
      <c r="DR871" s="2" t="n">
        <v>0</v>
      </c>
      <c r="DS871" s="2" t="n">
        <v>55.92</v>
      </c>
      <c r="DT871" s="2" t="n">
        <v>57.97</v>
      </c>
      <c r="DU871" s="2" t="n">
        <v>0</v>
      </c>
      <c r="DV871" s="2" t="n">
        <v>64.14</v>
      </c>
      <c r="DW871" s="2" t="n">
        <v>66.20999999999999</v>
      </c>
      <c r="DX871" s="2" t="n">
        <v>0</v>
      </c>
      <c r="DY871" s="2" t="n">
        <v>72.79000000000001</v>
      </c>
      <c r="DZ871" s="2" t="n">
        <v>75.18000000000001</v>
      </c>
      <c r="EA871" s="2" t="n">
        <v>0</v>
      </c>
      <c r="EB871" s="2" t="n">
        <v>80.93000000000001</v>
      </c>
      <c r="EC871" s="2" t="n">
        <v>84.2</v>
      </c>
      <c r="ED871" s="2" t="n">
        <v>0</v>
      </c>
      <c r="EE871" s="2" t="n">
        <v>87.59</v>
      </c>
      <c r="EF871" s="2" t="n">
        <v>90.55</v>
      </c>
      <c r="EG871" s="2" t="n">
        <v>0</v>
      </c>
      <c r="EH871" s="2" t="n">
        <v>96.19</v>
      </c>
      <c r="EI871" s="2" t="n">
        <v>98.68000000000001</v>
      </c>
      <c r="EJ871" s="2" t="n">
        <v>0</v>
      </c>
      <c r="EK871" s="2" t="n">
        <v>100</v>
      </c>
      <c r="EL871" s="2" t="n">
        <v>100</v>
      </c>
      <c r="EM871" s="2" t="n">
        <v>0</v>
      </c>
      <c r="EN871" s="2" t="n">
        <v>100</v>
      </c>
      <c r="EO871" s="2" t="n">
        <v>100</v>
      </c>
      <c r="EP871" s="2" t="n">
        <v>0</v>
      </c>
      <c r="EQ871" s="2" t="n">
        <v>100</v>
      </c>
      <c r="ER871" s="2" t="n">
        <v>100</v>
      </c>
      <c r="ES871" s="2" t="n">
        <v>0</v>
      </c>
    </row>
    <row r="872">
      <c r="A872" s="2" t="n">
        <v>3</v>
      </c>
      <c r="B872" s="2" t="inlineStr">
        <is>
          <t>34.05.02</t>
        </is>
      </c>
      <c r="C872" s="2" t="inlineStr">
        <is>
          <t>Chuveiro elétrico a definir</t>
        </is>
      </c>
      <c r="D872" s="2" t="inlineStr">
        <is>
          <t>01/03/2028</t>
        </is>
      </c>
      <c r="E872" s="2" t="inlineStr">
        <is>
          <t>05/02/2029</t>
        </is>
      </c>
      <c r="F872" s="2" t="n">
        <v>657.7508960097953</v>
      </c>
      <c r="G872" s="2" t="n">
        <v>0</v>
      </c>
      <c r="H872" s="2" t="n">
        <v>657.7508960097953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0</v>
      </c>
      <c r="CH872" s="2" t="n">
        <v>0</v>
      </c>
      <c r="CI872" s="2" t="n">
        <v>0</v>
      </c>
      <c r="CJ872" s="2" t="n">
        <v>0</v>
      </c>
      <c r="CK872" s="2" t="n">
        <v>0</v>
      </c>
      <c r="CL872" s="2" t="n">
        <v>0</v>
      </c>
      <c r="CM872" s="2" t="n">
        <v>0</v>
      </c>
      <c r="CN872" s="2" t="n">
        <v>0</v>
      </c>
      <c r="CO872" s="2" t="n">
        <v>0</v>
      </c>
      <c r="CP872" s="2" t="n">
        <v>0</v>
      </c>
      <c r="CQ872" s="2" t="n">
        <v>0</v>
      </c>
      <c r="CR872" s="2" t="n">
        <v>0</v>
      </c>
      <c r="CS872" s="2" t="n">
        <v>0</v>
      </c>
      <c r="CT872" s="2" t="n">
        <v>0</v>
      </c>
      <c r="CU872" s="2" t="n">
        <v>0</v>
      </c>
      <c r="CV872" s="2" t="n">
        <v>0</v>
      </c>
      <c r="CW872" s="2" t="n">
        <v>0</v>
      </c>
      <c r="CX872" s="2" t="n">
        <v>0</v>
      </c>
      <c r="CY872" s="2" t="n">
        <v>0</v>
      </c>
      <c r="CZ872" s="2" t="n">
        <v>0</v>
      </c>
      <c r="DA872" s="2" t="n">
        <v>0</v>
      </c>
      <c r="DB872" s="2" t="n">
        <v>0</v>
      </c>
      <c r="DC872" s="2" t="n">
        <v>0</v>
      </c>
      <c r="DD872" s="2" t="n">
        <v>7.49</v>
      </c>
      <c r="DE872" s="2" t="n">
        <v>9.6</v>
      </c>
      <c r="DF872" s="2" t="n">
        <v>0</v>
      </c>
      <c r="DG872" s="2" t="n">
        <v>15.71</v>
      </c>
      <c r="DH872" s="2" t="n">
        <v>17.85</v>
      </c>
      <c r="DI872" s="2" t="n">
        <v>0</v>
      </c>
      <c r="DJ872" s="2" t="n">
        <v>26.39</v>
      </c>
      <c r="DK872" s="2" t="n">
        <v>28.5</v>
      </c>
      <c r="DL872" s="2" t="n">
        <v>0</v>
      </c>
      <c r="DM872" s="2" t="n">
        <v>36.13</v>
      </c>
      <c r="DN872" s="2" t="n">
        <v>38.25</v>
      </c>
      <c r="DO872" s="2" t="n">
        <v>0</v>
      </c>
      <c r="DP872" s="2" t="n">
        <v>45.85</v>
      </c>
      <c r="DQ872" s="2" t="n">
        <v>48.04</v>
      </c>
      <c r="DR872" s="2" t="n">
        <v>0</v>
      </c>
      <c r="DS872" s="2" t="n">
        <v>55.92</v>
      </c>
      <c r="DT872" s="2" t="n">
        <v>57.97</v>
      </c>
      <c r="DU872" s="2" t="n">
        <v>0</v>
      </c>
      <c r="DV872" s="2" t="n">
        <v>64.14</v>
      </c>
      <c r="DW872" s="2" t="n">
        <v>66.20999999999999</v>
      </c>
      <c r="DX872" s="2" t="n">
        <v>0</v>
      </c>
      <c r="DY872" s="2" t="n">
        <v>72.79000000000001</v>
      </c>
      <c r="DZ872" s="2" t="n">
        <v>75.18000000000001</v>
      </c>
      <c r="EA872" s="2" t="n">
        <v>0</v>
      </c>
      <c r="EB872" s="2" t="n">
        <v>80.93000000000001</v>
      </c>
      <c r="EC872" s="2" t="n">
        <v>84.2</v>
      </c>
      <c r="ED872" s="2" t="n">
        <v>0</v>
      </c>
      <c r="EE872" s="2" t="n">
        <v>87.59</v>
      </c>
      <c r="EF872" s="2" t="n">
        <v>90.55</v>
      </c>
      <c r="EG872" s="2" t="n">
        <v>0</v>
      </c>
      <c r="EH872" s="2" t="n">
        <v>96.19</v>
      </c>
      <c r="EI872" s="2" t="n">
        <v>98.68000000000001</v>
      </c>
      <c r="EJ872" s="2" t="n">
        <v>0</v>
      </c>
      <c r="EK872" s="2" t="n">
        <v>100</v>
      </c>
      <c r="EL872" s="2" t="n">
        <v>100</v>
      </c>
      <c r="EM872" s="2" t="n">
        <v>0</v>
      </c>
      <c r="EN872" s="2" t="n">
        <v>100</v>
      </c>
      <c r="EO872" s="2" t="n">
        <v>100</v>
      </c>
      <c r="EP872" s="2" t="n">
        <v>0</v>
      </c>
      <c r="EQ872" s="2" t="n">
        <v>100</v>
      </c>
      <c r="ER872" s="2" t="n">
        <v>100</v>
      </c>
      <c r="ES872" s="2" t="n">
        <v>0</v>
      </c>
    </row>
    <row r="873">
      <c r="A873" s="2" t="n">
        <v>3</v>
      </c>
      <c r="B873" s="2" t="inlineStr">
        <is>
          <t>34.05.03</t>
        </is>
      </c>
      <c r="C873" s="2" t="inlineStr">
        <is>
          <t>Registro de pressão com acabamento para chuveiro elétrico</t>
        </is>
      </c>
      <c r="D873" s="2" t="inlineStr">
        <is>
          <t>01/03/2028</t>
        </is>
      </c>
      <c r="E873" s="2" t="inlineStr">
        <is>
          <t>05/02/2029</t>
        </is>
      </c>
      <c r="F873" s="2" t="n">
        <v>369.3010752117544</v>
      </c>
      <c r="G873" s="2" t="n">
        <v>0</v>
      </c>
      <c r="H873" s="2" t="n">
        <v>369.3010752117544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0</v>
      </c>
      <c r="CH873" s="2" t="n">
        <v>0</v>
      </c>
      <c r="CI873" s="2" t="n">
        <v>0</v>
      </c>
      <c r="CJ873" s="2" t="n">
        <v>0</v>
      </c>
      <c r="CK873" s="2" t="n">
        <v>0</v>
      </c>
      <c r="CL873" s="2" t="n">
        <v>0</v>
      </c>
      <c r="CM873" s="2" t="n">
        <v>0</v>
      </c>
      <c r="CN873" s="2" t="n">
        <v>0</v>
      </c>
      <c r="CO873" s="2" t="n">
        <v>0</v>
      </c>
      <c r="CP873" s="2" t="n">
        <v>0</v>
      </c>
      <c r="CQ873" s="2" t="n">
        <v>0</v>
      </c>
      <c r="CR873" s="2" t="n">
        <v>0</v>
      </c>
      <c r="CS873" s="2" t="n">
        <v>0</v>
      </c>
      <c r="CT873" s="2" t="n">
        <v>0</v>
      </c>
      <c r="CU873" s="2" t="n">
        <v>0</v>
      </c>
      <c r="CV873" s="2" t="n">
        <v>0</v>
      </c>
      <c r="CW873" s="2" t="n">
        <v>0</v>
      </c>
      <c r="CX873" s="2" t="n">
        <v>0</v>
      </c>
      <c r="CY873" s="2" t="n">
        <v>0</v>
      </c>
      <c r="CZ873" s="2" t="n">
        <v>0</v>
      </c>
      <c r="DA873" s="2" t="n">
        <v>0</v>
      </c>
      <c r="DB873" s="2" t="n">
        <v>0</v>
      </c>
      <c r="DC873" s="2" t="n">
        <v>0</v>
      </c>
      <c r="DD873" s="2" t="n">
        <v>7.49</v>
      </c>
      <c r="DE873" s="2" t="n">
        <v>9.6</v>
      </c>
      <c r="DF873" s="2" t="n">
        <v>0</v>
      </c>
      <c r="DG873" s="2" t="n">
        <v>15.71</v>
      </c>
      <c r="DH873" s="2" t="n">
        <v>17.85</v>
      </c>
      <c r="DI873" s="2" t="n">
        <v>0</v>
      </c>
      <c r="DJ873" s="2" t="n">
        <v>26.39</v>
      </c>
      <c r="DK873" s="2" t="n">
        <v>28.5</v>
      </c>
      <c r="DL873" s="2" t="n">
        <v>0</v>
      </c>
      <c r="DM873" s="2" t="n">
        <v>36.13</v>
      </c>
      <c r="DN873" s="2" t="n">
        <v>38.25</v>
      </c>
      <c r="DO873" s="2" t="n">
        <v>0</v>
      </c>
      <c r="DP873" s="2" t="n">
        <v>45.85</v>
      </c>
      <c r="DQ873" s="2" t="n">
        <v>48.04</v>
      </c>
      <c r="DR873" s="2" t="n">
        <v>0</v>
      </c>
      <c r="DS873" s="2" t="n">
        <v>55.92</v>
      </c>
      <c r="DT873" s="2" t="n">
        <v>57.97</v>
      </c>
      <c r="DU873" s="2" t="n">
        <v>0</v>
      </c>
      <c r="DV873" s="2" t="n">
        <v>64.14</v>
      </c>
      <c r="DW873" s="2" t="n">
        <v>66.20999999999999</v>
      </c>
      <c r="DX873" s="2" t="n">
        <v>0</v>
      </c>
      <c r="DY873" s="2" t="n">
        <v>72.79000000000001</v>
      </c>
      <c r="DZ873" s="2" t="n">
        <v>75.18000000000001</v>
      </c>
      <c r="EA873" s="2" t="n">
        <v>0</v>
      </c>
      <c r="EB873" s="2" t="n">
        <v>80.93000000000001</v>
      </c>
      <c r="EC873" s="2" t="n">
        <v>84.2</v>
      </c>
      <c r="ED873" s="2" t="n">
        <v>0</v>
      </c>
      <c r="EE873" s="2" t="n">
        <v>87.59</v>
      </c>
      <c r="EF873" s="2" t="n">
        <v>90.55</v>
      </c>
      <c r="EG873" s="2" t="n">
        <v>0</v>
      </c>
      <c r="EH873" s="2" t="n">
        <v>96.19</v>
      </c>
      <c r="EI873" s="2" t="n">
        <v>98.68000000000001</v>
      </c>
      <c r="EJ873" s="2" t="n">
        <v>0</v>
      </c>
      <c r="EK873" s="2" t="n">
        <v>100</v>
      </c>
      <c r="EL873" s="2" t="n">
        <v>100</v>
      </c>
      <c r="EM873" s="2" t="n">
        <v>0</v>
      </c>
      <c r="EN873" s="2" t="n">
        <v>100</v>
      </c>
      <c r="EO873" s="2" t="n">
        <v>100</v>
      </c>
      <c r="EP873" s="2" t="n">
        <v>0</v>
      </c>
      <c r="EQ873" s="2" t="n">
        <v>100</v>
      </c>
      <c r="ER873" s="2" t="n">
        <v>100</v>
      </c>
      <c r="ES873" s="2" t="n">
        <v>0</v>
      </c>
    </row>
    <row r="874">
      <c r="A874" s="2" t="n">
        <v>3</v>
      </c>
      <c r="B874" s="2" t="inlineStr">
        <is>
          <t>34.05.04</t>
        </is>
      </c>
      <c r="C874" s="2" t="inlineStr">
        <is>
          <t>Acabamento de monocomando de chuveiro, ref.: Deca Level 4993.C26.CHU, cromado</t>
        </is>
      </c>
      <c r="D874" s="2" t="inlineStr">
        <is>
          <t>01/03/2028</t>
        </is>
      </c>
      <c r="E874" s="2" t="inlineStr">
        <is>
          <t>05/02/2029</t>
        </is>
      </c>
      <c r="F874" s="2" t="n">
        <v>162477.5246212878</v>
      </c>
      <c r="G874" s="2" t="n">
        <v>0</v>
      </c>
      <c r="H874" s="2" t="n">
        <v>162477.5246212878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0</v>
      </c>
      <c r="CH874" s="2" t="n">
        <v>0</v>
      </c>
      <c r="CI874" s="2" t="n">
        <v>0</v>
      </c>
      <c r="CJ874" s="2" t="n">
        <v>0</v>
      </c>
      <c r="CK874" s="2" t="n">
        <v>0</v>
      </c>
      <c r="CL874" s="2" t="n">
        <v>0</v>
      </c>
      <c r="CM874" s="2" t="n">
        <v>0</v>
      </c>
      <c r="CN874" s="2" t="n">
        <v>0</v>
      </c>
      <c r="CO874" s="2" t="n">
        <v>0</v>
      </c>
      <c r="CP874" s="2" t="n">
        <v>0</v>
      </c>
      <c r="CQ874" s="2" t="n">
        <v>0</v>
      </c>
      <c r="CR874" s="2" t="n">
        <v>0</v>
      </c>
      <c r="CS874" s="2" t="n">
        <v>0</v>
      </c>
      <c r="CT874" s="2" t="n">
        <v>0</v>
      </c>
      <c r="CU874" s="2" t="n">
        <v>0</v>
      </c>
      <c r="CV874" s="2" t="n">
        <v>0</v>
      </c>
      <c r="CW874" s="2" t="n">
        <v>0</v>
      </c>
      <c r="CX874" s="2" t="n">
        <v>0</v>
      </c>
      <c r="CY874" s="2" t="n">
        <v>0</v>
      </c>
      <c r="CZ874" s="2" t="n">
        <v>0</v>
      </c>
      <c r="DA874" s="2" t="n">
        <v>0</v>
      </c>
      <c r="DB874" s="2" t="n">
        <v>0</v>
      </c>
      <c r="DC874" s="2" t="n">
        <v>0</v>
      </c>
      <c r="DD874" s="2" t="n">
        <v>7.49</v>
      </c>
      <c r="DE874" s="2" t="n">
        <v>9.6</v>
      </c>
      <c r="DF874" s="2" t="n">
        <v>0</v>
      </c>
      <c r="DG874" s="2" t="n">
        <v>15.71</v>
      </c>
      <c r="DH874" s="2" t="n">
        <v>17.85</v>
      </c>
      <c r="DI874" s="2" t="n">
        <v>0</v>
      </c>
      <c r="DJ874" s="2" t="n">
        <v>26.39</v>
      </c>
      <c r="DK874" s="2" t="n">
        <v>28.5</v>
      </c>
      <c r="DL874" s="2" t="n">
        <v>0</v>
      </c>
      <c r="DM874" s="2" t="n">
        <v>36.13</v>
      </c>
      <c r="DN874" s="2" t="n">
        <v>38.25</v>
      </c>
      <c r="DO874" s="2" t="n">
        <v>0</v>
      </c>
      <c r="DP874" s="2" t="n">
        <v>45.85</v>
      </c>
      <c r="DQ874" s="2" t="n">
        <v>48.04</v>
      </c>
      <c r="DR874" s="2" t="n">
        <v>0</v>
      </c>
      <c r="DS874" s="2" t="n">
        <v>55.92</v>
      </c>
      <c r="DT874" s="2" t="n">
        <v>57.97</v>
      </c>
      <c r="DU874" s="2" t="n">
        <v>0</v>
      </c>
      <c r="DV874" s="2" t="n">
        <v>64.14</v>
      </c>
      <c r="DW874" s="2" t="n">
        <v>66.20999999999999</v>
      </c>
      <c r="DX874" s="2" t="n">
        <v>0</v>
      </c>
      <c r="DY874" s="2" t="n">
        <v>72.79000000000001</v>
      </c>
      <c r="DZ874" s="2" t="n">
        <v>75.18000000000001</v>
      </c>
      <c r="EA874" s="2" t="n">
        <v>0</v>
      </c>
      <c r="EB874" s="2" t="n">
        <v>80.93000000000001</v>
      </c>
      <c r="EC874" s="2" t="n">
        <v>84.2</v>
      </c>
      <c r="ED874" s="2" t="n">
        <v>0</v>
      </c>
      <c r="EE874" s="2" t="n">
        <v>87.59</v>
      </c>
      <c r="EF874" s="2" t="n">
        <v>90.55</v>
      </c>
      <c r="EG874" s="2" t="n">
        <v>0</v>
      </c>
      <c r="EH874" s="2" t="n">
        <v>96.19</v>
      </c>
      <c r="EI874" s="2" t="n">
        <v>98.68000000000001</v>
      </c>
      <c r="EJ874" s="2" t="n">
        <v>0</v>
      </c>
      <c r="EK874" s="2" t="n">
        <v>100</v>
      </c>
      <c r="EL874" s="2" t="n">
        <v>100</v>
      </c>
      <c r="EM874" s="2" t="n">
        <v>0</v>
      </c>
      <c r="EN874" s="2" t="n">
        <v>100</v>
      </c>
      <c r="EO874" s="2" t="n">
        <v>100</v>
      </c>
      <c r="EP874" s="2" t="n">
        <v>0</v>
      </c>
      <c r="EQ874" s="2" t="n">
        <v>100</v>
      </c>
      <c r="ER874" s="2" t="n">
        <v>100</v>
      </c>
      <c r="ES874" s="2" t="n">
        <v>0</v>
      </c>
    </row>
    <row r="875">
      <c r="A875" s="2" t="n">
        <v>2</v>
      </c>
      <c r="B875" s="2" t="inlineStr">
        <is>
          <t>34.06</t>
        </is>
      </c>
      <c r="C875" s="2" t="inlineStr">
        <is>
          <t>Acessibilidade</t>
        </is>
      </c>
      <c r="D875" s="2" t="inlineStr">
        <is>
          <t>01/03/2028</t>
        </is>
      </c>
      <c r="E875" s="2" t="inlineStr">
        <is>
          <t>05/02/2029</t>
        </is>
      </c>
      <c r="F875" s="2" t="n">
        <v>25561.28911759612</v>
      </c>
      <c r="G875" s="2" t="n">
        <v>0</v>
      </c>
      <c r="H875" s="2" t="n">
        <v>25561.28911759612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0</v>
      </c>
      <c r="CH875" s="2" t="n">
        <v>0</v>
      </c>
      <c r="CI875" s="2" t="n">
        <v>0</v>
      </c>
      <c r="CJ875" s="2" t="n">
        <v>0</v>
      </c>
      <c r="CK875" s="2" t="n">
        <v>0</v>
      </c>
      <c r="CL875" s="2" t="n">
        <v>0</v>
      </c>
      <c r="CM875" s="2" t="n">
        <v>0</v>
      </c>
      <c r="CN875" s="2" t="n">
        <v>0</v>
      </c>
      <c r="CO875" s="2" t="n">
        <v>0</v>
      </c>
      <c r="CP875" s="2" t="n">
        <v>0</v>
      </c>
      <c r="CQ875" s="2" t="n">
        <v>0</v>
      </c>
      <c r="CR875" s="2" t="n">
        <v>0</v>
      </c>
      <c r="CS875" s="2" t="n">
        <v>0</v>
      </c>
      <c r="CT875" s="2" t="n">
        <v>0</v>
      </c>
      <c r="CU875" s="2" t="n">
        <v>0</v>
      </c>
      <c r="CV875" s="2" t="n">
        <v>0</v>
      </c>
      <c r="CW875" s="2" t="n">
        <v>0</v>
      </c>
      <c r="CX875" s="2" t="n">
        <v>0</v>
      </c>
      <c r="CY875" s="2" t="n">
        <v>0</v>
      </c>
      <c r="CZ875" s="2" t="n">
        <v>0</v>
      </c>
      <c r="DA875" s="2" t="n">
        <v>0</v>
      </c>
      <c r="DB875" s="2" t="n">
        <v>0</v>
      </c>
      <c r="DC875" s="2" t="n">
        <v>0</v>
      </c>
      <c r="DD875" s="2" t="n">
        <v>7.49</v>
      </c>
      <c r="DE875" s="2" t="n">
        <v>9.6</v>
      </c>
      <c r="DF875" s="2" t="n">
        <v>0</v>
      </c>
      <c r="DG875" s="2" t="n">
        <v>15.71</v>
      </c>
      <c r="DH875" s="2" t="n">
        <v>17.85</v>
      </c>
      <c r="DI875" s="2" t="n">
        <v>0</v>
      </c>
      <c r="DJ875" s="2" t="n">
        <v>26.39</v>
      </c>
      <c r="DK875" s="2" t="n">
        <v>28.5</v>
      </c>
      <c r="DL875" s="2" t="n">
        <v>0</v>
      </c>
      <c r="DM875" s="2" t="n">
        <v>36.13</v>
      </c>
      <c r="DN875" s="2" t="n">
        <v>38.25</v>
      </c>
      <c r="DO875" s="2" t="n">
        <v>0</v>
      </c>
      <c r="DP875" s="2" t="n">
        <v>45.85</v>
      </c>
      <c r="DQ875" s="2" t="n">
        <v>48.04</v>
      </c>
      <c r="DR875" s="2" t="n">
        <v>0</v>
      </c>
      <c r="DS875" s="2" t="n">
        <v>55.92</v>
      </c>
      <c r="DT875" s="2" t="n">
        <v>57.97</v>
      </c>
      <c r="DU875" s="2" t="n">
        <v>0</v>
      </c>
      <c r="DV875" s="2" t="n">
        <v>64.14</v>
      </c>
      <c r="DW875" s="2" t="n">
        <v>66.20999999999999</v>
      </c>
      <c r="DX875" s="2" t="n">
        <v>0</v>
      </c>
      <c r="DY875" s="2" t="n">
        <v>72.79000000000001</v>
      </c>
      <c r="DZ875" s="2" t="n">
        <v>75.18000000000001</v>
      </c>
      <c r="EA875" s="2" t="n">
        <v>0</v>
      </c>
      <c r="EB875" s="2" t="n">
        <v>80.93000000000001</v>
      </c>
      <c r="EC875" s="2" t="n">
        <v>84.2</v>
      </c>
      <c r="ED875" s="2" t="n">
        <v>0</v>
      </c>
      <c r="EE875" s="2" t="n">
        <v>87.59</v>
      </c>
      <c r="EF875" s="2" t="n">
        <v>90.55</v>
      </c>
      <c r="EG875" s="2" t="n">
        <v>0</v>
      </c>
      <c r="EH875" s="2" t="n">
        <v>96.19</v>
      </c>
      <c r="EI875" s="2" t="n">
        <v>98.68000000000001</v>
      </c>
      <c r="EJ875" s="2" t="n">
        <v>0</v>
      </c>
      <c r="EK875" s="2" t="n">
        <v>100</v>
      </c>
      <c r="EL875" s="2" t="n">
        <v>100</v>
      </c>
      <c r="EM875" s="2" t="n">
        <v>0</v>
      </c>
      <c r="EN875" s="2" t="n">
        <v>100</v>
      </c>
      <c r="EO875" s="2" t="n">
        <v>100</v>
      </c>
      <c r="EP875" s="2" t="n">
        <v>0</v>
      </c>
      <c r="EQ875" s="2" t="n">
        <v>100</v>
      </c>
      <c r="ER875" s="2" t="n">
        <v>100</v>
      </c>
      <c r="ES875" s="2" t="n">
        <v>0</v>
      </c>
    </row>
    <row r="876">
      <c r="A876" s="2" t="n">
        <v>3</v>
      </c>
      <c r="B876" s="2" t="inlineStr">
        <is>
          <t>34.06.01</t>
        </is>
      </c>
      <c r="C876" s="2" t="inlineStr">
        <is>
          <t>Barra para banheiro de P.N.E em aço polido, ref.: Deca Conforto L=70cm</t>
        </is>
      </c>
      <c r="D876" s="2" t="inlineStr">
        <is>
          <t>01/03/2028</t>
        </is>
      </c>
      <c r="E876" s="2" t="inlineStr">
        <is>
          <t>05/02/2029</t>
        </is>
      </c>
      <c r="F876" s="2" t="n">
        <v>8901.791594023014</v>
      </c>
      <c r="G876" s="2" t="n">
        <v>0</v>
      </c>
      <c r="H876" s="2" t="n">
        <v>8901.791594023014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0</v>
      </c>
      <c r="CH876" s="2" t="n">
        <v>0</v>
      </c>
      <c r="CI876" s="2" t="n">
        <v>0</v>
      </c>
      <c r="CJ876" s="2" t="n">
        <v>0</v>
      </c>
      <c r="CK876" s="2" t="n">
        <v>0</v>
      </c>
      <c r="CL876" s="2" t="n">
        <v>0</v>
      </c>
      <c r="CM876" s="2" t="n">
        <v>0</v>
      </c>
      <c r="CN876" s="2" t="n">
        <v>0</v>
      </c>
      <c r="CO876" s="2" t="n">
        <v>0</v>
      </c>
      <c r="CP876" s="2" t="n">
        <v>0</v>
      </c>
      <c r="CQ876" s="2" t="n">
        <v>0</v>
      </c>
      <c r="CR876" s="2" t="n">
        <v>0</v>
      </c>
      <c r="CS876" s="2" t="n">
        <v>0</v>
      </c>
      <c r="CT876" s="2" t="n">
        <v>0</v>
      </c>
      <c r="CU876" s="2" t="n">
        <v>0</v>
      </c>
      <c r="CV876" s="2" t="n">
        <v>0</v>
      </c>
      <c r="CW876" s="2" t="n">
        <v>0</v>
      </c>
      <c r="CX876" s="2" t="n">
        <v>0</v>
      </c>
      <c r="CY876" s="2" t="n">
        <v>0</v>
      </c>
      <c r="CZ876" s="2" t="n">
        <v>0</v>
      </c>
      <c r="DA876" s="2" t="n">
        <v>0</v>
      </c>
      <c r="DB876" s="2" t="n">
        <v>0</v>
      </c>
      <c r="DC876" s="2" t="n">
        <v>0</v>
      </c>
      <c r="DD876" s="2" t="n">
        <v>7.49</v>
      </c>
      <c r="DE876" s="2" t="n">
        <v>9.6</v>
      </c>
      <c r="DF876" s="2" t="n">
        <v>0</v>
      </c>
      <c r="DG876" s="2" t="n">
        <v>15.71</v>
      </c>
      <c r="DH876" s="2" t="n">
        <v>17.85</v>
      </c>
      <c r="DI876" s="2" t="n">
        <v>0</v>
      </c>
      <c r="DJ876" s="2" t="n">
        <v>26.39</v>
      </c>
      <c r="DK876" s="2" t="n">
        <v>28.5</v>
      </c>
      <c r="DL876" s="2" t="n">
        <v>0</v>
      </c>
      <c r="DM876" s="2" t="n">
        <v>36.13</v>
      </c>
      <c r="DN876" s="2" t="n">
        <v>38.25</v>
      </c>
      <c r="DO876" s="2" t="n">
        <v>0</v>
      </c>
      <c r="DP876" s="2" t="n">
        <v>45.85</v>
      </c>
      <c r="DQ876" s="2" t="n">
        <v>48.04</v>
      </c>
      <c r="DR876" s="2" t="n">
        <v>0</v>
      </c>
      <c r="DS876" s="2" t="n">
        <v>55.92</v>
      </c>
      <c r="DT876" s="2" t="n">
        <v>57.97</v>
      </c>
      <c r="DU876" s="2" t="n">
        <v>0</v>
      </c>
      <c r="DV876" s="2" t="n">
        <v>64.14</v>
      </c>
      <c r="DW876" s="2" t="n">
        <v>66.20999999999999</v>
      </c>
      <c r="DX876" s="2" t="n">
        <v>0</v>
      </c>
      <c r="DY876" s="2" t="n">
        <v>72.79000000000001</v>
      </c>
      <c r="DZ876" s="2" t="n">
        <v>75.18000000000001</v>
      </c>
      <c r="EA876" s="2" t="n">
        <v>0</v>
      </c>
      <c r="EB876" s="2" t="n">
        <v>80.93000000000001</v>
      </c>
      <c r="EC876" s="2" t="n">
        <v>84.2</v>
      </c>
      <c r="ED876" s="2" t="n">
        <v>0</v>
      </c>
      <c r="EE876" s="2" t="n">
        <v>87.59</v>
      </c>
      <c r="EF876" s="2" t="n">
        <v>90.55</v>
      </c>
      <c r="EG876" s="2" t="n">
        <v>0</v>
      </c>
      <c r="EH876" s="2" t="n">
        <v>96.19</v>
      </c>
      <c r="EI876" s="2" t="n">
        <v>98.68000000000001</v>
      </c>
      <c r="EJ876" s="2" t="n">
        <v>0</v>
      </c>
      <c r="EK876" s="2" t="n">
        <v>100</v>
      </c>
      <c r="EL876" s="2" t="n">
        <v>100</v>
      </c>
      <c r="EM876" s="2" t="n">
        <v>0</v>
      </c>
      <c r="EN876" s="2" t="n">
        <v>100</v>
      </c>
      <c r="EO876" s="2" t="n">
        <v>100</v>
      </c>
      <c r="EP876" s="2" t="n">
        <v>0</v>
      </c>
      <c r="EQ876" s="2" t="n">
        <v>100</v>
      </c>
      <c r="ER876" s="2" t="n">
        <v>100</v>
      </c>
      <c r="ES876" s="2" t="n">
        <v>0</v>
      </c>
    </row>
    <row r="877">
      <c r="A877" s="2" t="n">
        <v>3</v>
      </c>
      <c r="B877" s="2" t="inlineStr">
        <is>
          <t>34.06.02</t>
        </is>
      </c>
      <c r="C877" s="2" t="inlineStr">
        <is>
          <t>Barra para banheiro de P.N.E em aço polido, ref.: Deca Conforto L=80cm</t>
        </is>
      </c>
      <c r="D877" s="2" t="inlineStr">
        <is>
          <t>01/03/2028</t>
        </is>
      </c>
      <c r="E877" s="2" t="inlineStr">
        <is>
          <t>05/02/2029</t>
        </is>
      </c>
      <c r="F877" s="2" t="n">
        <v>5029.390442981949</v>
      </c>
      <c r="G877" s="2" t="n">
        <v>0</v>
      </c>
      <c r="H877" s="2" t="n">
        <v>5029.390442981949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0</v>
      </c>
      <c r="CH877" s="2" t="n">
        <v>0</v>
      </c>
      <c r="CI877" s="2" t="n">
        <v>0</v>
      </c>
      <c r="CJ877" s="2" t="n">
        <v>0</v>
      </c>
      <c r="CK877" s="2" t="n">
        <v>0</v>
      </c>
      <c r="CL877" s="2" t="n">
        <v>0</v>
      </c>
      <c r="CM877" s="2" t="n">
        <v>0</v>
      </c>
      <c r="CN877" s="2" t="n">
        <v>0</v>
      </c>
      <c r="CO877" s="2" t="n">
        <v>0</v>
      </c>
      <c r="CP877" s="2" t="n">
        <v>0</v>
      </c>
      <c r="CQ877" s="2" t="n">
        <v>0</v>
      </c>
      <c r="CR877" s="2" t="n">
        <v>0</v>
      </c>
      <c r="CS877" s="2" t="n">
        <v>0</v>
      </c>
      <c r="CT877" s="2" t="n">
        <v>0</v>
      </c>
      <c r="CU877" s="2" t="n">
        <v>0</v>
      </c>
      <c r="CV877" s="2" t="n">
        <v>0</v>
      </c>
      <c r="CW877" s="2" t="n">
        <v>0</v>
      </c>
      <c r="CX877" s="2" t="n">
        <v>0</v>
      </c>
      <c r="CY877" s="2" t="n">
        <v>0</v>
      </c>
      <c r="CZ877" s="2" t="n">
        <v>0</v>
      </c>
      <c r="DA877" s="2" t="n">
        <v>0</v>
      </c>
      <c r="DB877" s="2" t="n">
        <v>0</v>
      </c>
      <c r="DC877" s="2" t="n">
        <v>0</v>
      </c>
      <c r="DD877" s="2" t="n">
        <v>7.49</v>
      </c>
      <c r="DE877" s="2" t="n">
        <v>9.6</v>
      </c>
      <c r="DF877" s="2" t="n">
        <v>0</v>
      </c>
      <c r="DG877" s="2" t="n">
        <v>15.71</v>
      </c>
      <c r="DH877" s="2" t="n">
        <v>17.85</v>
      </c>
      <c r="DI877" s="2" t="n">
        <v>0</v>
      </c>
      <c r="DJ877" s="2" t="n">
        <v>26.39</v>
      </c>
      <c r="DK877" s="2" t="n">
        <v>28.5</v>
      </c>
      <c r="DL877" s="2" t="n">
        <v>0</v>
      </c>
      <c r="DM877" s="2" t="n">
        <v>36.13</v>
      </c>
      <c r="DN877" s="2" t="n">
        <v>38.25</v>
      </c>
      <c r="DO877" s="2" t="n">
        <v>0</v>
      </c>
      <c r="DP877" s="2" t="n">
        <v>45.85</v>
      </c>
      <c r="DQ877" s="2" t="n">
        <v>48.04</v>
      </c>
      <c r="DR877" s="2" t="n">
        <v>0</v>
      </c>
      <c r="DS877" s="2" t="n">
        <v>55.92</v>
      </c>
      <c r="DT877" s="2" t="n">
        <v>57.97</v>
      </c>
      <c r="DU877" s="2" t="n">
        <v>0</v>
      </c>
      <c r="DV877" s="2" t="n">
        <v>64.14</v>
      </c>
      <c r="DW877" s="2" t="n">
        <v>66.20999999999999</v>
      </c>
      <c r="DX877" s="2" t="n">
        <v>0</v>
      </c>
      <c r="DY877" s="2" t="n">
        <v>72.79000000000001</v>
      </c>
      <c r="DZ877" s="2" t="n">
        <v>75.18000000000001</v>
      </c>
      <c r="EA877" s="2" t="n">
        <v>0</v>
      </c>
      <c r="EB877" s="2" t="n">
        <v>80.93000000000001</v>
      </c>
      <c r="EC877" s="2" t="n">
        <v>84.2</v>
      </c>
      <c r="ED877" s="2" t="n">
        <v>0</v>
      </c>
      <c r="EE877" s="2" t="n">
        <v>87.59</v>
      </c>
      <c r="EF877" s="2" t="n">
        <v>90.55</v>
      </c>
      <c r="EG877" s="2" t="n">
        <v>0</v>
      </c>
      <c r="EH877" s="2" t="n">
        <v>96.19</v>
      </c>
      <c r="EI877" s="2" t="n">
        <v>98.68000000000001</v>
      </c>
      <c r="EJ877" s="2" t="n">
        <v>0</v>
      </c>
      <c r="EK877" s="2" t="n">
        <v>100</v>
      </c>
      <c r="EL877" s="2" t="n">
        <v>100</v>
      </c>
      <c r="EM877" s="2" t="n">
        <v>0</v>
      </c>
      <c r="EN877" s="2" t="n">
        <v>100</v>
      </c>
      <c r="EO877" s="2" t="n">
        <v>100</v>
      </c>
      <c r="EP877" s="2" t="n">
        <v>0</v>
      </c>
      <c r="EQ877" s="2" t="n">
        <v>100</v>
      </c>
      <c r="ER877" s="2" t="n">
        <v>100</v>
      </c>
      <c r="ES877" s="2" t="n">
        <v>0</v>
      </c>
    </row>
    <row r="878">
      <c r="A878" s="2" t="n">
        <v>3</v>
      </c>
      <c r="B878" s="2" t="inlineStr">
        <is>
          <t>34.06.03</t>
        </is>
      </c>
      <c r="C878" s="2" t="inlineStr">
        <is>
          <t>Barra para banheiro de P.N.E em aço polido, ref.: Deca Conforto para lavatório</t>
        </is>
      </c>
      <c r="D878" s="2" t="inlineStr">
        <is>
          <t>01/03/2028</t>
        </is>
      </c>
      <c r="E878" s="2" t="inlineStr">
        <is>
          <t>05/02/2029</t>
        </is>
      </c>
      <c r="F878" s="2" t="n">
        <v>8172.759469845668</v>
      </c>
      <c r="G878" s="2" t="n">
        <v>0</v>
      </c>
      <c r="H878" s="2" t="n">
        <v>8172.759469845668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0</v>
      </c>
      <c r="CH878" s="2" t="n">
        <v>0</v>
      </c>
      <c r="CI878" s="2" t="n">
        <v>0</v>
      </c>
      <c r="CJ878" s="2" t="n">
        <v>0</v>
      </c>
      <c r="CK878" s="2" t="n">
        <v>0</v>
      </c>
      <c r="CL878" s="2" t="n">
        <v>0</v>
      </c>
      <c r="CM878" s="2" t="n">
        <v>0</v>
      </c>
      <c r="CN878" s="2" t="n">
        <v>0</v>
      </c>
      <c r="CO878" s="2" t="n">
        <v>0</v>
      </c>
      <c r="CP878" s="2" t="n">
        <v>0</v>
      </c>
      <c r="CQ878" s="2" t="n">
        <v>0</v>
      </c>
      <c r="CR878" s="2" t="n">
        <v>0</v>
      </c>
      <c r="CS878" s="2" t="n">
        <v>0</v>
      </c>
      <c r="CT878" s="2" t="n">
        <v>0</v>
      </c>
      <c r="CU878" s="2" t="n">
        <v>0</v>
      </c>
      <c r="CV878" s="2" t="n">
        <v>0</v>
      </c>
      <c r="CW878" s="2" t="n">
        <v>0</v>
      </c>
      <c r="CX878" s="2" t="n">
        <v>0</v>
      </c>
      <c r="CY878" s="2" t="n">
        <v>0</v>
      </c>
      <c r="CZ878" s="2" t="n">
        <v>0</v>
      </c>
      <c r="DA878" s="2" t="n">
        <v>0</v>
      </c>
      <c r="DB878" s="2" t="n">
        <v>0</v>
      </c>
      <c r="DC878" s="2" t="n">
        <v>0</v>
      </c>
      <c r="DD878" s="2" t="n">
        <v>7.49</v>
      </c>
      <c r="DE878" s="2" t="n">
        <v>9.6</v>
      </c>
      <c r="DF878" s="2" t="n">
        <v>0</v>
      </c>
      <c r="DG878" s="2" t="n">
        <v>15.71</v>
      </c>
      <c r="DH878" s="2" t="n">
        <v>17.85</v>
      </c>
      <c r="DI878" s="2" t="n">
        <v>0</v>
      </c>
      <c r="DJ878" s="2" t="n">
        <v>26.39</v>
      </c>
      <c r="DK878" s="2" t="n">
        <v>28.5</v>
      </c>
      <c r="DL878" s="2" t="n">
        <v>0</v>
      </c>
      <c r="DM878" s="2" t="n">
        <v>36.13</v>
      </c>
      <c r="DN878" s="2" t="n">
        <v>38.25</v>
      </c>
      <c r="DO878" s="2" t="n">
        <v>0</v>
      </c>
      <c r="DP878" s="2" t="n">
        <v>45.85</v>
      </c>
      <c r="DQ878" s="2" t="n">
        <v>48.04</v>
      </c>
      <c r="DR878" s="2" t="n">
        <v>0</v>
      </c>
      <c r="DS878" s="2" t="n">
        <v>55.92</v>
      </c>
      <c r="DT878" s="2" t="n">
        <v>57.97</v>
      </c>
      <c r="DU878" s="2" t="n">
        <v>0</v>
      </c>
      <c r="DV878" s="2" t="n">
        <v>64.14</v>
      </c>
      <c r="DW878" s="2" t="n">
        <v>66.20999999999999</v>
      </c>
      <c r="DX878" s="2" t="n">
        <v>0</v>
      </c>
      <c r="DY878" s="2" t="n">
        <v>72.79000000000001</v>
      </c>
      <c r="DZ878" s="2" t="n">
        <v>75.18000000000001</v>
      </c>
      <c r="EA878" s="2" t="n">
        <v>0</v>
      </c>
      <c r="EB878" s="2" t="n">
        <v>80.93000000000001</v>
      </c>
      <c r="EC878" s="2" t="n">
        <v>84.2</v>
      </c>
      <c r="ED878" s="2" t="n">
        <v>0</v>
      </c>
      <c r="EE878" s="2" t="n">
        <v>87.59</v>
      </c>
      <c r="EF878" s="2" t="n">
        <v>90.55</v>
      </c>
      <c r="EG878" s="2" t="n">
        <v>0</v>
      </c>
      <c r="EH878" s="2" t="n">
        <v>96.19</v>
      </c>
      <c r="EI878" s="2" t="n">
        <v>98.68000000000001</v>
      </c>
      <c r="EJ878" s="2" t="n">
        <v>0</v>
      </c>
      <c r="EK878" s="2" t="n">
        <v>100</v>
      </c>
      <c r="EL878" s="2" t="n">
        <v>100</v>
      </c>
      <c r="EM878" s="2" t="n">
        <v>0</v>
      </c>
      <c r="EN878" s="2" t="n">
        <v>100</v>
      </c>
      <c r="EO878" s="2" t="n">
        <v>100</v>
      </c>
      <c r="EP878" s="2" t="n">
        <v>0</v>
      </c>
      <c r="EQ878" s="2" t="n">
        <v>100</v>
      </c>
      <c r="ER878" s="2" t="n">
        <v>100</v>
      </c>
      <c r="ES878" s="2" t="n">
        <v>0</v>
      </c>
    </row>
    <row r="879">
      <c r="A879" s="2" t="n">
        <v>3</v>
      </c>
      <c r="B879" s="2" t="inlineStr">
        <is>
          <t>34.06.04</t>
        </is>
      </c>
      <c r="C879" s="2" t="inlineStr">
        <is>
          <t>Cadeira articulada para banho P.N.E. acabamento inox</t>
        </is>
      </c>
      <c r="D879" s="2" t="inlineStr">
        <is>
          <t>01/03/2028</t>
        </is>
      </c>
      <c r="E879" s="2" t="inlineStr">
        <is>
          <t>05/02/2029</t>
        </is>
      </c>
      <c r="F879" s="2" t="n">
        <v>3457.347610745487</v>
      </c>
      <c r="G879" s="2" t="n">
        <v>0</v>
      </c>
      <c r="H879" s="2" t="n">
        <v>3457.347610745487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0</v>
      </c>
      <c r="CH879" s="2" t="n">
        <v>0</v>
      </c>
      <c r="CI879" s="2" t="n">
        <v>0</v>
      </c>
      <c r="CJ879" s="2" t="n">
        <v>0</v>
      </c>
      <c r="CK879" s="2" t="n">
        <v>0</v>
      </c>
      <c r="CL879" s="2" t="n">
        <v>0</v>
      </c>
      <c r="CM879" s="2" t="n">
        <v>0</v>
      </c>
      <c r="CN879" s="2" t="n">
        <v>0</v>
      </c>
      <c r="CO879" s="2" t="n">
        <v>0</v>
      </c>
      <c r="CP879" s="2" t="n">
        <v>0</v>
      </c>
      <c r="CQ879" s="2" t="n">
        <v>0</v>
      </c>
      <c r="CR879" s="2" t="n">
        <v>0</v>
      </c>
      <c r="CS879" s="2" t="n">
        <v>0</v>
      </c>
      <c r="CT879" s="2" t="n">
        <v>0</v>
      </c>
      <c r="CU879" s="2" t="n">
        <v>0</v>
      </c>
      <c r="CV879" s="2" t="n">
        <v>0</v>
      </c>
      <c r="CW879" s="2" t="n">
        <v>0</v>
      </c>
      <c r="CX879" s="2" t="n">
        <v>0</v>
      </c>
      <c r="CY879" s="2" t="n">
        <v>0</v>
      </c>
      <c r="CZ879" s="2" t="n">
        <v>0</v>
      </c>
      <c r="DA879" s="2" t="n">
        <v>0</v>
      </c>
      <c r="DB879" s="2" t="n">
        <v>0</v>
      </c>
      <c r="DC879" s="2" t="n">
        <v>0</v>
      </c>
      <c r="DD879" s="2" t="n">
        <v>7.49</v>
      </c>
      <c r="DE879" s="2" t="n">
        <v>9.6</v>
      </c>
      <c r="DF879" s="2" t="n">
        <v>0</v>
      </c>
      <c r="DG879" s="2" t="n">
        <v>15.71</v>
      </c>
      <c r="DH879" s="2" t="n">
        <v>17.85</v>
      </c>
      <c r="DI879" s="2" t="n">
        <v>0</v>
      </c>
      <c r="DJ879" s="2" t="n">
        <v>26.39</v>
      </c>
      <c r="DK879" s="2" t="n">
        <v>28.5</v>
      </c>
      <c r="DL879" s="2" t="n">
        <v>0</v>
      </c>
      <c r="DM879" s="2" t="n">
        <v>36.13</v>
      </c>
      <c r="DN879" s="2" t="n">
        <v>38.25</v>
      </c>
      <c r="DO879" s="2" t="n">
        <v>0</v>
      </c>
      <c r="DP879" s="2" t="n">
        <v>45.85</v>
      </c>
      <c r="DQ879" s="2" t="n">
        <v>48.04</v>
      </c>
      <c r="DR879" s="2" t="n">
        <v>0</v>
      </c>
      <c r="DS879" s="2" t="n">
        <v>55.92</v>
      </c>
      <c r="DT879" s="2" t="n">
        <v>57.97</v>
      </c>
      <c r="DU879" s="2" t="n">
        <v>0</v>
      </c>
      <c r="DV879" s="2" t="n">
        <v>64.14</v>
      </c>
      <c r="DW879" s="2" t="n">
        <v>66.20999999999999</v>
      </c>
      <c r="DX879" s="2" t="n">
        <v>0</v>
      </c>
      <c r="DY879" s="2" t="n">
        <v>72.79000000000001</v>
      </c>
      <c r="DZ879" s="2" t="n">
        <v>75.18000000000001</v>
      </c>
      <c r="EA879" s="2" t="n">
        <v>0</v>
      </c>
      <c r="EB879" s="2" t="n">
        <v>80.93000000000001</v>
      </c>
      <c r="EC879" s="2" t="n">
        <v>84.2</v>
      </c>
      <c r="ED879" s="2" t="n">
        <v>0</v>
      </c>
      <c r="EE879" s="2" t="n">
        <v>87.59</v>
      </c>
      <c r="EF879" s="2" t="n">
        <v>90.55</v>
      </c>
      <c r="EG879" s="2" t="n">
        <v>0</v>
      </c>
      <c r="EH879" s="2" t="n">
        <v>96.19</v>
      </c>
      <c r="EI879" s="2" t="n">
        <v>98.68000000000001</v>
      </c>
      <c r="EJ879" s="2" t="n">
        <v>0</v>
      </c>
      <c r="EK879" s="2" t="n">
        <v>100</v>
      </c>
      <c r="EL879" s="2" t="n">
        <v>100</v>
      </c>
      <c r="EM879" s="2" t="n">
        <v>0</v>
      </c>
      <c r="EN879" s="2" t="n">
        <v>100</v>
      </c>
      <c r="EO879" s="2" t="n">
        <v>100</v>
      </c>
      <c r="EP879" s="2" t="n">
        <v>0</v>
      </c>
      <c r="EQ879" s="2" t="n">
        <v>100</v>
      </c>
      <c r="ER879" s="2" t="n">
        <v>100</v>
      </c>
      <c r="ES879" s="2" t="n">
        <v>0</v>
      </c>
    </row>
    <row r="880">
      <c r="A880" s="2" t="n">
        <v>2</v>
      </c>
      <c r="B880" s="2" t="inlineStr">
        <is>
          <t>34.07</t>
        </is>
      </c>
      <c r="C880" s="2" t="inlineStr">
        <is>
          <t>Diversos</t>
        </is>
      </c>
      <c r="D880" s="2" t="inlineStr">
        <is>
          <t>01/03/2028</t>
        </is>
      </c>
      <c r="E880" s="2" t="inlineStr">
        <is>
          <t>05/02/2029</t>
        </is>
      </c>
      <c r="F880" s="2" t="n">
        <v>239592.4948384529</v>
      </c>
      <c r="G880" s="2" t="n">
        <v>0</v>
      </c>
      <c r="H880" s="2" t="n">
        <v>239592.4948384529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0</v>
      </c>
      <c r="CH880" s="2" t="n">
        <v>0</v>
      </c>
      <c r="CI880" s="2" t="n">
        <v>0</v>
      </c>
      <c r="CJ880" s="2" t="n">
        <v>0</v>
      </c>
      <c r="CK880" s="2" t="n">
        <v>0</v>
      </c>
      <c r="CL880" s="2" t="n">
        <v>0</v>
      </c>
      <c r="CM880" s="2" t="n">
        <v>0</v>
      </c>
      <c r="CN880" s="2" t="n">
        <v>0</v>
      </c>
      <c r="CO880" s="2" t="n">
        <v>0</v>
      </c>
      <c r="CP880" s="2" t="n">
        <v>0</v>
      </c>
      <c r="CQ880" s="2" t="n">
        <v>0</v>
      </c>
      <c r="CR880" s="2" t="n">
        <v>0</v>
      </c>
      <c r="CS880" s="2" t="n">
        <v>0</v>
      </c>
      <c r="CT880" s="2" t="n">
        <v>0</v>
      </c>
      <c r="CU880" s="2" t="n">
        <v>0</v>
      </c>
      <c r="CV880" s="2" t="n">
        <v>0</v>
      </c>
      <c r="CW880" s="2" t="n">
        <v>0</v>
      </c>
      <c r="CX880" s="2" t="n">
        <v>0</v>
      </c>
      <c r="CY880" s="2" t="n">
        <v>0</v>
      </c>
      <c r="CZ880" s="2" t="n">
        <v>0</v>
      </c>
      <c r="DA880" s="2" t="n">
        <v>0</v>
      </c>
      <c r="DB880" s="2" t="n">
        <v>0</v>
      </c>
      <c r="DC880" s="2" t="n">
        <v>0</v>
      </c>
      <c r="DD880" s="2" t="n">
        <v>7.49</v>
      </c>
      <c r="DE880" s="2" t="n">
        <v>9.6</v>
      </c>
      <c r="DF880" s="2" t="n">
        <v>0</v>
      </c>
      <c r="DG880" s="2" t="n">
        <v>15.71</v>
      </c>
      <c r="DH880" s="2" t="n">
        <v>17.85</v>
      </c>
      <c r="DI880" s="2" t="n">
        <v>0</v>
      </c>
      <c r="DJ880" s="2" t="n">
        <v>26.39</v>
      </c>
      <c r="DK880" s="2" t="n">
        <v>28.5</v>
      </c>
      <c r="DL880" s="2" t="n">
        <v>0</v>
      </c>
      <c r="DM880" s="2" t="n">
        <v>36.13</v>
      </c>
      <c r="DN880" s="2" t="n">
        <v>38.25</v>
      </c>
      <c r="DO880" s="2" t="n">
        <v>0</v>
      </c>
      <c r="DP880" s="2" t="n">
        <v>45.85</v>
      </c>
      <c r="DQ880" s="2" t="n">
        <v>48.04</v>
      </c>
      <c r="DR880" s="2" t="n">
        <v>0</v>
      </c>
      <c r="DS880" s="2" t="n">
        <v>55.92</v>
      </c>
      <c r="DT880" s="2" t="n">
        <v>57.97</v>
      </c>
      <c r="DU880" s="2" t="n">
        <v>0</v>
      </c>
      <c r="DV880" s="2" t="n">
        <v>64.14</v>
      </c>
      <c r="DW880" s="2" t="n">
        <v>66.20999999999999</v>
      </c>
      <c r="DX880" s="2" t="n">
        <v>0</v>
      </c>
      <c r="DY880" s="2" t="n">
        <v>72.79000000000001</v>
      </c>
      <c r="DZ880" s="2" t="n">
        <v>75.18000000000001</v>
      </c>
      <c r="EA880" s="2" t="n">
        <v>0</v>
      </c>
      <c r="EB880" s="2" t="n">
        <v>80.93000000000001</v>
      </c>
      <c r="EC880" s="2" t="n">
        <v>84.2</v>
      </c>
      <c r="ED880" s="2" t="n">
        <v>0</v>
      </c>
      <c r="EE880" s="2" t="n">
        <v>87.59</v>
      </c>
      <c r="EF880" s="2" t="n">
        <v>90.55</v>
      </c>
      <c r="EG880" s="2" t="n">
        <v>0</v>
      </c>
      <c r="EH880" s="2" t="n">
        <v>96.19</v>
      </c>
      <c r="EI880" s="2" t="n">
        <v>98.68000000000001</v>
      </c>
      <c r="EJ880" s="2" t="n">
        <v>0</v>
      </c>
      <c r="EK880" s="2" t="n">
        <v>100</v>
      </c>
      <c r="EL880" s="2" t="n">
        <v>100</v>
      </c>
      <c r="EM880" s="2" t="n">
        <v>0</v>
      </c>
      <c r="EN880" s="2" t="n">
        <v>100</v>
      </c>
      <c r="EO880" s="2" t="n">
        <v>100</v>
      </c>
      <c r="EP880" s="2" t="n">
        <v>0</v>
      </c>
      <c r="EQ880" s="2" t="n">
        <v>100</v>
      </c>
      <c r="ER880" s="2" t="n">
        <v>100</v>
      </c>
      <c r="ES880" s="2" t="n">
        <v>0</v>
      </c>
    </row>
    <row r="881">
      <c r="A881" s="2" t="n">
        <v>3</v>
      </c>
      <c r="B881" s="2" t="inlineStr">
        <is>
          <t>34.07.01</t>
        </is>
      </c>
      <c r="C881" s="2" t="inlineStr">
        <is>
          <t>Torneira de limpeza com bico rosqueado</t>
        </is>
      </c>
      <c r="D881" s="2" t="inlineStr">
        <is>
          <t>01/03/2028</t>
        </is>
      </c>
      <c r="E881" s="2" t="inlineStr">
        <is>
          <t>05/02/2029</t>
        </is>
      </c>
      <c r="F881" s="2" t="n">
        <v>2201.854838452895</v>
      </c>
      <c r="G881" s="2" t="n">
        <v>0</v>
      </c>
      <c r="H881" s="2" t="n">
        <v>2201.854838452895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0</v>
      </c>
      <c r="CH881" s="2" t="n">
        <v>0</v>
      </c>
      <c r="CI881" s="2" t="n">
        <v>0</v>
      </c>
      <c r="CJ881" s="2" t="n">
        <v>0</v>
      </c>
      <c r="CK881" s="2" t="n">
        <v>0</v>
      </c>
      <c r="CL881" s="2" t="n">
        <v>0</v>
      </c>
      <c r="CM881" s="2" t="n">
        <v>0</v>
      </c>
      <c r="CN881" s="2" t="n">
        <v>0</v>
      </c>
      <c r="CO881" s="2" t="n">
        <v>0</v>
      </c>
      <c r="CP881" s="2" t="n">
        <v>0</v>
      </c>
      <c r="CQ881" s="2" t="n">
        <v>0</v>
      </c>
      <c r="CR881" s="2" t="n">
        <v>0</v>
      </c>
      <c r="CS881" s="2" t="n">
        <v>0</v>
      </c>
      <c r="CT881" s="2" t="n">
        <v>0</v>
      </c>
      <c r="CU881" s="2" t="n">
        <v>0</v>
      </c>
      <c r="CV881" s="2" t="n">
        <v>0</v>
      </c>
      <c r="CW881" s="2" t="n">
        <v>0</v>
      </c>
      <c r="CX881" s="2" t="n">
        <v>0</v>
      </c>
      <c r="CY881" s="2" t="n">
        <v>0</v>
      </c>
      <c r="CZ881" s="2" t="n">
        <v>0</v>
      </c>
      <c r="DA881" s="2" t="n">
        <v>0</v>
      </c>
      <c r="DB881" s="2" t="n">
        <v>0</v>
      </c>
      <c r="DC881" s="2" t="n">
        <v>0</v>
      </c>
      <c r="DD881" s="2" t="n">
        <v>7.49</v>
      </c>
      <c r="DE881" s="2" t="n">
        <v>9.6</v>
      </c>
      <c r="DF881" s="2" t="n">
        <v>0</v>
      </c>
      <c r="DG881" s="2" t="n">
        <v>15.71</v>
      </c>
      <c r="DH881" s="2" t="n">
        <v>17.85</v>
      </c>
      <c r="DI881" s="2" t="n">
        <v>0</v>
      </c>
      <c r="DJ881" s="2" t="n">
        <v>26.39</v>
      </c>
      <c r="DK881" s="2" t="n">
        <v>28.5</v>
      </c>
      <c r="DL881" s="2" t="n">
        <v>0</v>
      </c>
      <c r="DM881" s="2" t="n">
        <v>36.13</v>
      </c>
      <c r="DN881" s="2" t="n">
        <v>38.25</v>
      </c>
      <c r="DO881" s="2" t="n">
        <v>0</v>
      </c>
      <c r="DP881" s="2" t="n">
        <v>45.85</v>
      </c>
      <c r="DQ881" s="2" t="n">
        <v>48.04</v>
      </c>
      <c r="DR881" s="2" t="n">
        <v>0</v>
      </c>
      <c r="DS881" s="2" t="n">
        <v>55.92</v>
      </c>
      <c r="DT881" s="2" t="n">
        <v>57.97</v>
      </c>
      <c r="DU881" s="2" t="n">
        <v>0</v>
      </c>
      <c r="DV881" s="2" t="n">
        <v>64.14</v>
      </c>
      <c r="DW881" s="2" t="n">
        <v>66.20999999999999</v>
      </c>
      <c r="DX881" s="2" t="n">
        <v>0</v>
      </c>
      <c r="DY881" s="2" t="n">
        <v>72.79000000000001</v>
      </c>
      <c r="DZ881" s="2" t="n">
        <v>75.18000000000001</v>
      </c>
      <c r="EA881" s="2" t="n">
        <v>0</v>
      </c>
      <c r="EB881" s="2" t="n">
        <v>80.93000000000001</v>
      </c>
      <c r="EC881" s="2" t="n">
        <v>84.2</v>
      </c>
      <c r="ED881" s="2" t="n">
        <v>0</v>
      </c>
      <c r="EE881" s="2" t="n">
        <v>87.59</v>
      </c>
      <c r="EF881" s="2" t="n">
        <v>90.55</v>
      </c>
      <c r="EG881" s="2" t="n">
        <v>0</v>
      </c>
      <c r="EH881" s="2" t="n">
        <v>96.19</v>
      </c>
      <c r="EI881" s="2" t="n">
        <v>98.68000000000001</v>
      </c>
      <c r="EJ881" s="2" t="n">
        <v>0</v>
      </c>
      <c r="EK881" s="2" t="n">
        <v>100</v>
      </c>
      <c r="EL881" s="2" t="n">
        <v>100</v>
      </c>
      <c r="EM881" s="2" t="n">
        <v>0</v>
      </c>
      <c r="EN881" s="2" t="n">
        <v>100</v>
      </c>
      <c r="EO881" s="2" t="n">
        <v>100</v>
      </c>
      <c r="EP881" s="2" t="n">
        <v>0</v>
      </c>
      <c r="EQ881" s="2" t="n">
        <v>100</v>
      </c>
      <c r="ER881" s="2" t="n">
        <v>100</v>
      </c>
      <c r="ES881" s="2" t="n">
        <v>0</v>
      </c>
    </row>
    <row r="882">
      <c r="A882" s="2" t="n">
        <v>3</v>
      </c>
      <c r="B882" s="2" t="inlineStr">
        <is>
          <t>34.07.02</t>
        </is>
      </c>
      <c r="C882" s="2" t="inlineStr">
        <is>
          <t>Dispenser de sabonete líquido de parede, para espuma de sabão, ref.: Draco Star, Prime Press Espuma 70.032, acabamento white</t>
        </is>
      </c>
      <c r="D882" s="2" t="inlineStr">
        <is>
          <t>01/03/2028</t>
        </is>
      </c>
      <c r="E882" s="2" t="inlineStr">
        <is>
          <t>05/02/2029</t>
        </is>
      </c>
      <c r="F882" s="2" t="n">
        <v>1225</v>
      </c>
      <c r="G882" s="2" t="n">
        <v>0</v>
      </c>
      <c r="H882" s="2" t="n">
        <v>1225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0</v>
      </c>
      <c r="CH882" s="2" t="n">
        <v>0</v>
      </c>
      <c r="CI882" s="2" t="n">
        <v>0</v>
      </c>
      <c r="CJ882" s="2" t="n">
        <v>0</v>
      </c>
      <c r="CK882" s="2" t="n">
        <v>0</v>
      </c>
      <c r="CL882" s="2" t="n">
        <v>0</v>
      </c>
      <c r="CM882" s="2" t="n">
        <v>0</v>
      </c>
      <c r="CN882" s="2" t="n">
        <v>0</v>
      </c>
      <c r="CO882" s="2" t="n">
        <v>0</v>
      </c>
      <c r="CP882" s="2" t="n">
        <v>0</v>
      </c>
      <c r="CQ882" s="2" t="n">
        <v>0</v>
      </c>
      <c r="CR882" s="2" t="n">
        <v>0</v>
      </c>
      <c r="CS882" s="2" t="n">
        <v>0</v>
      </c>
      <c r="CT882" s="2" t="n">
        <v>0</v>
      </c>
      <c r="CU882" s="2" t="n">
        <v>0</v>
      </c>
      <c r="CV882" s="2" t="n">
        <v>0</v>
      </c>
      <c r="CW882" s="2" t="n">
        <v>0</v>
      </c>
      <c r="CX882" s="2" t="n">
        <v>0</v>
      </c>
      <c r="CY882" s="2" t="n">
        <v>0</v>
      </c>
      <c r="CZ882" s="2" t="n">
        <v>0</v>
      </c>
      <c r="DA882" s="2" t="n">
        <v>0</v>
      </c>
      <c r="DB882" s="2" t="n">
        <v>0</v>
      </c>
      <c r="DC882" s="2" t="n">
        <v>0</v>
      </c>
      <c r="DD882" s="2" t="n">
        <v>7.49</v>
      </c>
      <c r="DE882" s="2" t="n">
        <v>9.6</v>
      </c>
      <c r="DF882" s="2" t="n">
        <v>0</v>
      </c>
      <c r="DG882" s="2" t="n">
        <v>15.71</v>
      </c>
      <c r="DH882" s="2" t="n">
        <v>17.85</v>
      </c>
      <c r="DI882" s="2" t="n">
        <v>0</v>
      </c>
      <c r="DJ882" s="2" t="n">
        <v>26.39</v>
      </c>
      <c r="DK882" s="2" t="n">
        <v>28.5</v>
      </c>
      <c r="DL882" s="2" t="n">
        <v>0</v>
      </c>
      <c r="DM882" s="2" t="n">
        <v>36.13</v>
      </c>
      <c r="DN882" s="2" t="n">
        <v>38.25</v>
      </c>
      <c r="DO882" s="2" t="n">
        <v>0</v>
      </c>
      <c r="DP882" s="2" t="n">
        <v>45.85</v>
      </c>
      <c r="DQ882" s="2" t="n">
        <v>48.04</v>
      </c>
      <c r="DR882" s="2" t="n">
        <v>0</v>
      </c>
      <c r="DS882" s="2" t="n">
        <v>55.92</v>
      </c>
      <c r="DT882" s="2" t="n">
        <v>57.97</v>
      </c>
      <c r="DU882" s="2" t="n">
        <v>0</v>
      </c>
      <c r="DV882" s="2" t="n">
        <v>64.14</v>
      </c>
      <c r="DW882" s="2" t="n">
        <v>66.20999999999999</v>
      </c>
      <c r="DX882" s="2" t="n">
        <v>0</v>
      </c>
      <c r="DY882" s="2" t="n">
        <v>72.79000000000001</v>
      </c>
      <c r="DZ882" s="2" t="n">
        <v>75.18000000000001</v>
      </c>
      <c r="EA882" s="2" t="n">
        <v>0</v>
      </c>
      <c r="EB882" s="2" t="n">
        <v>80.93000000000001</v>
      </c>
      <c r="EC882" s="2" t="n">
        <v>84.2</v>
      </c>
      <c r="ED882" s="2" t="n">
        <v>0</v>
      </c>
      <c r="EE882" s="2" t="n">
        <v>87.59</v>
      </c>
      <c r="EF882" s="2" t="n">
        <v>90.55</v>
      </c>
      <c r="EG882" s="2" t="n">
        <v>0</v>
      </c>
      <c r="EH882" s="2" t="n">
        <v>96.19</v>
      </c>
      <c r="EI882" s="2" t="n">
        <v>98.68000000000001</v>
      </c>
      <c r="EJ882" s="2" t="n">
        <v>0</v>
      </c>
      <c r="EK882" s="2" t="n">
        <v>100</v>
      </c>
      <c r="EL882" s="2" t="n">
        <v>100</v>
      </c>
      <c r="EM882" s="2" t="n">
        <v>0</v>
      </c>
      <c r="EN882" s="2" t="n">
        <v>100</v>
      </c>
      <c r="EO882" s="2" t="n">
        <v>100</v>
      </c>
      <c r="EP882" s="2" t="n">
        <v>0</v>
      </c>
      <c r="EQ882" s="2" t="n">
        <v>100</v>
      </c>
      <c r="ER882" s="2" t="n">
        <v>100</v>
      </c>
      <c r="ES882" s="2" t="n">
        <v>0</v>
      </c>
    </row>
    <row r="883">
      <c r="A883" s="2" t="n">
        <v>3</v>
      </c>
      <c r="B883" s="2" t="inlineStr">
        <is>
          <t>34.07.03</t>
        </is>
      </c>
      <c r="C883" s="2" t="inlineStr">
        <is>
          <t>Dispenser de papel toalha para papel interfolhado, ref.: Draco Star 70.106, acabamento white.</t>
        </is>
      </c>
      <c r="D883" s="2" t="inlineStr">
        <is>
          <t>01/03/2028</t>
        </is>
      </c>
      <c r="E883" s="2" t="inlineStr">
        <is>
          <t>05/02/2029</t>
        </is>
      </c>
      <c r="F883" s="2" t="n">
        <v>995</v>
      </c>
      <c r="G883" s="2" t="n">
        <v>0</v>
      </c>
      <c r="H883" s="2" t="n">
        <v>995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0</v>
      </c>
      <c r="CV883" s="2" t="n">
        <v>0</v>
      </c>
      <c r="CW883" s="2" t="n">
        <v>0</v>
      </c>
      <c r="CX883" s="2" t="n">
        <v>0</v>
      </c>
      <c r="CY883" s="2" t="n">
        <v>0</v>
      </c>
      <c r="CZ883" s="2" t="n">
        <v>0</v>
      </c>
      <c r="DA883" s="2" t="n">
        <v>0</v>
      </c>
      <c r="DB883" s="2" t="n">
        <v>0</v>
      </c>
      <c r="DC883" s="2" t="n">
        <v>0</v>
      </c>
      <c r="DD883" s="2" t="n">
        <v>7.49</v>
      </c>
      <c r="DE883" s="2" t="n">
        <v>9.6</v>
      </c>
      <c r="DF883" s="2" t="n">
        <v>0</v>
      </c>
      <c r="DG883" s="2" t="n">
        <v>15.71</v>
      </c>
      <c r="DH883" s="2" t="n">
        <v>17.85</v>
      </c>
      <c r="DI883" s="2" t="n">
        <v>0</v>
      </c>
      <c r="DJ883" s="2" t="n">
        <v>26.39</v>
      </c>
      <c r="DK883" s="2" t="n">
        <v>28.5</v>
      </c>
      <c r="DL883" s="2" t="n">
        <v>0</v>
      </c>
      <c r="DM883" s="2" t="n">
        <v>36.13</v>
      </c>
      <c r="DN883" s="2" t="n">
        <v>38.25</v>
      </c>
      <c r="DO883" s="2" t="n">
        <v>0</v>
      </c>
      <c r="DP883" s="2" t="n">
        <v>45.85</v>
      </c>
      <c r="DQ883" s="2" t="n">
        <v>48.04</v>
      </c>
      <c r="DR883" s="2" t="n">
        <v>0</v>
      </c>
      <c r="DS883" s="2" t="n">
        <v>55.92</v>
      </c>
      <c r="DT883" s="2" t="n">
        <v>57.97</v>
      </c>
      <c r="DU883" s="2" t="n">
        <v>0</v>
      </c>
      <c r="DV883" s="2" t="n">
        <v>64.14</v>
      </c>
      <c r="DW883" s="2" t="n">
        <v>66.20999999999999</v>
      </c>
      <c r="DX883" s="2" t="n">
        <v>0</v>
      </c>
      <c r="DY883" s="2" t="n">
        <v>72.79000000000001</v>
      </c>
      <c r="DZ883" s="2" t="n">
        <v>75.18000000000001</v>
      </c>
      <c r="EA883" s="2" t="n">
        <v>0</v>
      </c>
      <c r="EB883" s="2" t="n">
        <v>80.93000000000001</v>
      </c>
      <c r="EC883" s="2" t="n">
        <v>84.2</v>
      </c>
      <c r="ED883" s="2" t="n">
        <v>0</v>
      </c>
      <c r="EE883" s="2" t="n">
        <v>87.59</v>
      </c>
      <c r="EF883" s="2" t="n">
        <v>90.55</v>
      </c>
      <c r="EG883" s="2" t="n">
        <v>0</v>
      </c>
      <c r="EH883" s="2" t="n">
        <v>96.19</v>
      </c>
      <c r="EI883" s="2" t="n">
        <v>98.68000000000001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</row>
    <row r="884">
      <c r="A884" s="2" t="n">
        <v>3</v>
      </c>
      <c r="B884" s="2" t="inlineStr">
        <is>
          <t>34.07.04</t>
        </is>
      </c>
      <c r="C884" s="2" t="inlineStr">
        <is>
          <t>Suporte de papel higiênico duplo, ref.: Draco Star 70.278, acabamento white.</t>
        </is>
      </c>
      <c r="D884" s="2" t="inlineStr">
        <is>
          <t>01/03/2028</t>
        </is>
      </c>
      <c r="E884" s="2" t="inlineStr">
        <is>
          <t>05/02/2029</t>
        </is>
      </c>
      <c r="F884" s="2" t="n">
        <v>995</v>
      </c>
      <c r="G884" s="2" t="n">
        <v>0</v>
      </c>
      <c r="H884" s="2" t="n">
        <v>995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0</v>
      </c>
      <c r="CV884" s="2" t="n">
        <v>0</v>
      </c>
      <c r="CW884" s="2" t="n">
        <v>0</v>
      </c>
      <c r="CX884" s="2" t="n">
        <v>0</v>
      </c>
      <c r="CY884" s="2" t="n">
        <v>0</v>
      </c>
      <c r="CZ884" s="2" t="n">
        <v>0</v>
      </c>
      <c r="DA884" s="2" t="n">
        <v>0</v>
      </c>
      <c r="DB884" s="2" t="n">
        <v>0</v>
      </c>
      <c r="DC884" s="2" t="n">
        <v>0</v>
      </c>
      <c r="DD884" s="2" t="n">
        <v>7.49</v>
      </c>
      <c r="DE884" s="2" t="n">
        <v>9.6</v>
      </c>
      <c r="DF884" s="2" t="n">
        <v>0</v>
      </c>
      <c r="DG884" s="2" t="n">
        <v>15.71</v>
      </c>
      <c r="DH884" s="2" t="n">
        <v>17.85</v>
      </c>
      <c r="DI884" s="2" t="n">
        <v>0</v>
      </c>
      <c r="DJ884" s="2" t="n">
        <v>26.39</v>
      </c>
      <c r="DK884" s="2" t="n">
        <v>28.5</v>
      </c>
      <c r="DL884" s="2" t="n">
        <v>0</v>
      </c>
      <c r="DM884" s="2" t="n">
        <v>36.13</v>
      </c>
      <c r="DN884" s="2" t="n">
        <v>38.25</v>
      </c>
      <c r="DO884" s="2" t="n">
        <v>0</v>
      </c>
      <c r="DP884" s="2" t="n">
        <v>45.85</v>
      </c>
      <c r="DQ884" s="2" t="n">
        <v>48.04</v>
      </c>
      <c r="DR884" s="2" t="n">
        <v>0</v>
      </c>
      <c r="DS884" s="2" t="n">
        <v>55.92</v>
      </c>
      <c r="DT884" s="2" t="n">
        <v>57.97</v>
      </c>
      <c r="DU884" s="2" t="n">
        <v>0</v>
      </c>
      <c r="DV884" s="2" t="n">
        <v>64.14</v>
      </c>
      <c r="DW884" s="2" t="n">
        <v>66.20999999999999</v>
      </c>
      <c r="DX884" s="2" t="n">
        <v>0</v>
      </c>
      <c r="DY884" s="2" t="n">
        <v>72.79000000000001</v>
      </c>
      <c r="DZ884" s="2" t="n">
        <v>75.18000000000001</v>
      </c>
      <c r="EA884" s="2" t="n">
        <v>0</v>
      </c>
      <c r="EB884" s="2" t="n">
        <v>80.93000000000001</v>
      </c>
      <c r="EC884" s="2" t="n">
        <v>84.2</v>
      </c>
      <c r="ED884" s="2" t="n">
        <v>0</v>
      </c>
      <c r="EE884" s="2" t="n">
        <v>87.59</v>
      </c>
      <c r="EF884" s="2" t="n">
        <v>90.55</v>
      </c>
      <c r="EG884" s="2" t="n">
        <v>0</v>
      </c>
      <c r="EH884" s="2" t="n">
        <v>96.19</v>
      </c>
      <c r="EI884" s="2" t="n">
        <v>98.68000000000001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</row>
    <row r="885">
      <c r="A885" s="2" t="n">
        <v>3</v>
      </c>
      <c r="B885" s="2" t="inlineStr">
        <is>
          <t>34.07.05</t>
        </is>
      </c>
      <c r="C885" s="2" t="inlineStr">
        <is>
          <t>Papeleira Quadrada Deca Clean Cromado, Cód.: 2020.C.CLN</t>
        </is>
      </c>
      <c r="D885" s="2" t="inlineStr">
        <is>
          <t>01/03/2028</t>
        </is>
      </c>
      <c r="E885" s="2" t="inlineStr">
        <is>
          <t>05/02/2029</t>
        </is>
      </c>
      <c r="F885" s="2" t="n">
        <v>1968</v>
      </c>
      <c r="G885" s="2" t="n">
        <v>0</v>
      </c>
      <c r="H885" s="2" t="n">
        <v>1968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0</v>
      </c>
      <c r="CV885" s="2" t="n">
        <v>0</v>
      </c>
      <c r="CW885" s="2" t="n">
        <v>0</v>
      </c>
      <c r="CX885" s="2" t="n">
        <v>0</v>
      </c>
      <c r="CY885" s="2" t="n">
        <v>0</v>
      </c>
      <c r="CZ885" s="2" t="n">
        <v>0</v>
      </c>
      <c r="DA885" s="2" t="n">
        <v>0</v>
      </c>
      <c r="DB885" s="2" t="n">
        <v>0</v>
      </c>
      <c r="DC885" s="2" t="n">
        <v>0</v>
      </c>
      <c r="DD885" s="2" t="n">
        <v>7.49</v>
      </c>
      <c r="DE885" s="2" t="n">
        <v>9.6</v>
      </c>
      <c r="DF885" s="2" t="n">
        <v>0</v>
      </c>
      <c r="DG885" s="2" t="n">
        <v>15.71</v>
      </c>
      <c r="DH885" s="2" t="n">
        <v>17.85</v>
      </c>
      <c r="DI885" s="2" t="n">
        <v>0</v>
      </c>
      <c r="DJ885" s="2" t="n">
        <v>26.39</v>
      </c>
      <c r="DK885" s="2" t="n">
        <v>28.5</v>
      </c>
      <c r="DL885" s="2" t="n">
        <v>0</v>
      </c>
      <c r="DM885" s="2" t="n">
        <v>36.13</v>
      </c>
      <c r="DN885" s="2" t="n">
        <v>38.25</v>
      </c>
      <c r="DO885" s="2" t="n">
        <v>0</v>
      </c>
      <c r="DP885" s="2" t="n">
        <v>45.85</v>
      </c>
      <c r="DQ885" s="2" t="n">
        <v>48.04</v>
      </c>
      <c r="DR885" s="2" t="n">
        <v>0</v>
      </c>
      <c r="DS885" s="2" t="n">
        <v>55.92</v>
      </c>
      <c r="DT885" s="2" t="n">
        <v>57.97</v>
      </c>
      <c r="DU885" s="2" t="n">
        <v>0</v>
      </c>
      <c r="DV885" s="2" t="n">
        <v>64.14</v>
      </c>
      <c r="DW885" s="2" t="n">
        <v>66.20999999999999</v>
      </c>
      <c r="DX885" s="2" t="n">
        <v>0</v>
      </c>
      <c r="DY885" s="2" t="n">
        <v>72.79000000000001</v>
      </c>
      <c r="DZ885" s="2" t="n">
        <v>75.18000000000001</v>
      </c>
      <c r="EA885" s="2" t="n">
        <v>0</v>
      </c>
      <c r="EB885" s="2" t="n">
        <v>80.93000000000001</v>
      </c>
      <c r="EC885" s="2" t="n">
        <v>84.2</v>
      </c>
      <c r="ED885" s="2" t="n">
        <v>0</v>
      </c>
      <c r="EE885" s="2" t="n">
        <v>87.59</v>
      </c>
      <c r="EF885" s="2" t="n">
        <v>90.55</v>
      </c>
      <c r="EG885" s="2" t="n">
        <v>0</v>
      </c>
      <c r="EH885" s="2" t="n">
        <v>96.19</v>
      </c>
      <c r="EI885" s="2" t="n">
        <v>98.68000000000001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</row>
    <row r="886">
      <c r="A886" s="2" t="n">
        <v>3</v>
      </c>
      <c r="B886" s="2" t="inlineStr">
        <is>
          <t>34.07.06</t>
        </is>
      </c>
      <c r="C886" s="2" t="inlineStr">
        <is>
          <t>Ralo oculto quadrado</t>
        </is>
      </c>
      <c r="D886" s="2" t="inlineStr">
        <is>
          <t>01/03/2028</t>
        </is>
      </c>
      <c r="E886" s="2" t="inlineStr">
        <is>
          <t>05/02/2029</t>
        </is>
      </c>
      <c r="F886" s="2" t="n">
        <v>80000</v>
      </c>
      <c r="G886" s="2" t="n">
        <v>0</v>
      </c>
      <c r="H886" s="2" t="n">
        <v>80000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0</v>
      </c>
      <c r="CV886" s="2" t="n">
        <v>0</v>
      </c>
      <c r="CW886" s="2" t="n">
        <v>0</v>
      </c>
      <c r="CX886" s="2" t="n">
        <v>0</v>
      </c>
      <c r="CY886" s="2" t="n">
        <v>0</v>
      </c>
      <c r="CZ886" s="2" t="n">
        <v>0</v>
      </c>
      <c r="DA886" s="2" t="n">
        <v>0</v>
      </c>
      <c r="DB886" s="2" t="n">
        <v>0</v>
      </c>
      <c r="DC886" s="2" t="n">
        <v>0</v>
      </c>
      <c r="DD886" s="2" t="n">
        <v>7.49</v>
      </c>
      <c r="DE886" s="2" t="n">
        <v>9.6</v>
      </c>
      <c r="DF886" s="2" t="n">
        <v>0</v>
      </c>
      <c r="DG886" s="2" t="n">
        <v>15.71</v>
      </c>
      <c r="DH886" s="2" t="n">
        <v>17.85</v>
      </c>
      <c r="DI886" s="2" t="n">
        <v>0</v>
      </c>
      <c r="DJ886" s="2" t="n">
        <v>26.39</v>
      </c>
      <c r="DK886" s="2" t="n">
        <v>28.5</v>
      </c>
      <c r="DL886" s="2" t="n">
        <v>0</v>
      </c>
      <c r="DM886" s="2" t="n">
        <v>36.13</v>
      </c>
      <c r="DN886" s="2" t="n">
        <v>38.25</v>
      </c>
      <c r="DO886" s="2" t="n">
        <v>0</v>
      </c>
      <c r="DP886" s="2" t="n">
        <v>45.85</v>
      </c>
      <c r="DQ886" s="2" t="n">
        <v>48.04</v>
      </c>
      <c r="DR886" s="2" t="n">
        <v>0</v>
      </c>
      <c r="DS886" s="2" t="n">
        <v>55.92</v>
      </c>
      <c r="DT886" s="2" t="n">
        <v>57.97</v>
      </c>
      <c r="DU886" s="2" t="n">
        <v>0</v>
      </c>
      <c r="DV886" s="2" t="n">
        <v>64.14</v>
      </c>
      <c r="DW886" s="2" t="n">
        <v>66.20999999999999</v>
      </c>
      <c r="DX886" s="2" t="n">
        <v>0</v>
      </c>
      <c r="DY886" s="2" t="n">
        <v>72.79000000000001</v>
      </c>
      <c r="DZ886" s="2" t="n">
        <v>75.18000000000001</v>
      </c>
      <c r="EA886" s="2" t="n">
        <v>0</v>
      </c>
      <c r="EB886" s="2" t="n">
        <v>80.93000000000001</v>
      </c>
      <c r="EC886" s="2" t="n">
        <v>84.2</v>
      </c>
      <c r="ED886" s="2" t="n">
        <v>0</v>
      </c>
      <c r="EE886" s="2" t="n">
        <v>87.59</v>
      </c>
      <c r="EF886" s="2" t="n">
        <v>90.55</v>
      </c>
      <c r="EG886" s="2" t="n">
        <v>0</v>
      </c>
      <c r="EH886" s="2" t="n">
        <v>96.19</v>
      </c>
      <c r="EI886" s="2" t="n">
        <v>98.68000000000001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</row>
    <row r="887">
      <c r="A887" s="2" t="n">
        <v>3</v>
      </c>
      <c r="B887" s="2" t="inlineStr">
        <is>
          <t>34.07.07</t>
        </is>
      </c>
      <c r="C887" s="2" t="inlineStr">
        <is>
          <t>Ralo Quadrado Elegance 17,5x17,5cm Escovado Mozaik Cód.: RBLE1520</t>
        </is>
      </c>
      <c r="D887" s="2" t="inlineStr">
        <is>
          <t>01/03/2028</t>
        </is>
      </c>
      <c r="E887" s="2" t="inlineStr">
        <is>
          <t>05/02/2029</t>
        </is>
      </c>
      <c r="F887" s="2" t="n">
        <v>2500</v>
      </c>
      <c r="G887" s="2" t="n">
        <v>0</v>
      </c>
      <c r="H887" s="2" t="n">
        <v>2500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0</v>
      </c>
      <c r="CV887" s="2" t="n">
        <v>0</v>
      </c>
      <c r="CW887" s="2" t="n">
        <v>0</v>
      </c>
      <c r="CX887" s="2" t="n">
        <v>0</v>
      </c>
      <c r="CY887" s="2" t="n">
        <v>0</v>
      </c>
      <c r="CZ887" s="2" t="n">
        <v>0</v>
      </c>
      <c r="DA887" s="2" t="n">
        <v>0</v>
      </c>
      <c r="DB887" s="2" t="n">
        <v>0</v>
      </c>
      <c r="DC887" s="2" t="n">
        <v>0</v>
      </c>
      <c r="DD887" s="2" t="n">
        <v>7.49</v>
      </c>
      <c r="DE887" s="2" t="n">
        <v>9.6</v>
      </c>
      <c r="DF887" s="2" t="n">
        <v>0</v>
      </c>
      <c r="DG887" s="2" t="n">
        <v>15.71</v>
      </c>
      <c r="DH887" s="2" t="n">
        <v>17.85</v>
      </c>
      <c r="DI887" s="2" t="n">
        <v>0</v>
      </c>
      <c r="DJ887" s="2" t="n">
        <v>26.39</v>
      </c>
      <c r="DK887" s="2" t="n">
        <v>28.5</v>
      </c>
      <c r="DL887" s="2" t="n">
        <v>0</v>
      </c>
      <c r="DM887" s="2" t="n">
        <v>36.13</v>
      </c>
      <c r="DN887" s="2" t="n">
        <v>38.25</v>
      </c>
      <c r="DO887" s="2" t="n">
        <v>0</v>
      </c>
      <c r="DP887" s="2" t="n">
        <v>45.85</v>
      </c>
      <c r="DQ887" s="2" t="n">
        <v>48.04</v>
      </c>
      <c r="DR887" s="2" t="n">
        <v>0</v>
      </c>
      <c r="DS887" s="2" t="n">
        <v>55.92</v>
      </c>
      <c r="DT887" s="2" t="n">
        <v>57.97</v>
      </c>
      <c r="DU887" s="2" t="n">
        <v>0</v>
      </c>
      <c r="DV887" s="2" t="n">
        <v>64.14</v>
      </c>
      <c r="DW887" s="2" t="n">
        <v>66.20999999999999</v>
      </c>
      <c r="DX887" s="2" t="n">
        <v>0</v>
      </c>
      <c r="DY887" s="2" t="n">
        <v>72.79000000000001</v>
      </c>
      <c r="DZ887" s="2" t="n">
        <v>75.18000000000001</v>
      </c>
      <c r="EA887" s="2" t="n">
        <v>0</v>
      </c>
      <c r="EB887" s="2" t="n">
        <v>80.93000000000001</v>
      </c>
      <c r="EC887" s="2" t="n">
        <v>84.2</v>
      </c>
      <c r="ED887" s="2" t="n">
        <v>0</v>
      </c>
      <c r="EE887" s="2" t="n">
        <v>87.59</v>
      </c>
      <c r="EF887" s="2" t="n">
        <v>90.55</v>
      </c>
      <c r="EG887" s="2" t="n">
        <v>0</v>
      </c>
      <c r="EH887" s="2" t="n">
        <v>96.19</v>
      </c>
      <c r="EI887" s="2" t="n">
        <v>98.68000000000001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</row>
    <row r="888">
      <c r="A888" s="2" t="n">
        <v>3</v>
      </c>
      <c r="B888" s="2" t="inlineStr">
        <is>
          <t>34.07.08</t>
        </is>
      </c>
      <c r="C888" s="2" t="inlineStr">
        <is>
          <t>Acabamento para registro, ref.: Deca Level, cromado</t>
        </is>
      </c>
      <c r="D888" s="2" t="inlineStr">
        <is>
          <t>01/03/2028</t>
        </is>
      </c>
      <c r="E888" s="2" t="inlineStr">
        <is>
          <t>05/02/2029</t>
        </is>
      </c>
      <c r="F888" s="2" t="n">
        <v>136077</v>
      </c>
      <c r="G888" s="2" t="n">
        <v>0</v>
      </c>
      <c r="H888" s="2" t="n">
        <v>136077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0</v>
      </c>
      <c r="CV888" s="2" t="n">
        <v>0</v>
      </c>
      <c r="CW888" s="2" t="n">
        <v>0</v>
      </c>
      <c r="CX888" s="2" t="n">
        <v>0</v>
      </c>
      <c r="CY888" s="2" t="n">
        <v>0</v>
      </c>
      <c r="CZ888" s="2" t="n">
        <v>0</v>
      </c>
      <c r="DA888" s="2" t="n">
        <v>0</v>
      </c>
      <c r="DB888" s="2" t="n">
        <v>0</v>
      </c>
      <c r="DC888" s="2" t="n">
        <v>0</v>
      </c>
      <c r="DD888" s="2" t="n">
        <v>7.49</v>
      </c>
      <c r="DE888" s="2" t="n">
        <v>9.6</v>
      </c>
      <c r="DF888" s="2" t="n">
        <v>0</v>
      </c>
      <c r="DG888" s="2" t="n">
        <v>15.71</v>
      </c>
      <c r="DH888" s="2" t="n">
        <v>17.85</v>
      </c>
      <c r="DI888" s="2" t="n">
        <v>0</v>
      </c>
      <c r="DJ888" s="2" t="n">
        <v>26.39</v>
      </c>
      <c r="DK888" s="2" t="n">
        <v>28.5</v>
      </c>
      <c r="DL888" s="2" t="n">
        <v>0</v>
      </c>
      <c r="DM888" s="2" t="n">
        <v>36.13</v>
      </c>
      <c r="DN888" s="2" t="n">
        <v>38.25</v>
      </c>
      <c r="DO888" s="2" t="n">
        <v>0</v>
      </c>
      <c r="DP888" s="2" t="n">
        <v>45.85</v>
      </c>
      <c r="DQ888" s="2" t="n">
        <v>48.04</v>
      </c>
      <c r="DR888" s="2" t="n">
        <v>0</v>
      </c>
      <c r="DS888" s="2" t="n">
        <v>55.92</v>
      </c>
      <c r="DT888" s="2" t="n">
        <v>57.97</v>
      </c>
      <c r="DU888" s="2" t="n">
        <v>0</v>
      </c>
      <c r="DV888" s="2" t="n">
        <v>64.14</v>
      </c>
      <c r="DW888" s="2" t="n">
        <v>66.20999999999999</v>
      </c>
      <c r="DX888" s="2" t="n">
        <v>0</v>
      </c>
      <c r="DY888" s="2" t="n">
        <v>72.79000000000001</v>
      </c>
      <c r="DZ888" s="2" t="n">
        <v>75.18000000000001</v>
      </c>
      <c r="EA888" s="2" t="n">
        <v>0</v>
      </c>
      <c r="EB888" s="2" t="n">
        <v>80.93000000000001</v>
      </c>
      <c r="EC888" s="2" t="n">
        <v>84.2</v>
      </c>
      <c r="ED888" s="2" t="n">
        <v>0</v>
      </c>
      <c r="EE888" s="2" t="n">
        <v>87.59</v>
      </c>
      <c r="EF888" s="2" t="n">
        <v>90.55</v>
      </c>
      <c r="EG888" s="2" t="n">
        <v>0</v>
      </c>
      <c r="EH888" s="2" t="n">
        <v>96.19</v>
      </c>
      <c r="EI888" s="2" t="n">
        <v>98.68000000000001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</row>
    <row r="889">
      <c r="A889" s="2" t="n">
        <v>3</v>
      </c>
      <c r="B889" s="2" t="inlineStr">
        <is>
          <t>34.07.09</t>
        </is>
      </c>
      <c r="C889" s="2" t="inlineStr">
        <is>
          <t>Acabamento de registro, ref.: Deca Link, cromado.</t>
        </is>
      </c>
      <c r="D889" s="2" t="inlineStr">
        <is>
          <t>01/03/2028</t>
        </is>
      </c>
      <c r="E889" s="2" t="inlineStr">
        <is>
          <t>05/02/2029</t>
        </is>
      </c>
      <c r="F889" s="2" t="n">
        <v>1815.64</v>
      </c>
      <c r="G889" s="2" t="n">
        <v>0</v>
      </c>
      <c r="H889" s="2" t="n">
        <v>1815.64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0</v>
      </c>
      <c r="CV889" s="2" t="n">
        <v>0</v>
      </c>
      <c r="CW889" s="2" t="n">
        <v>0</v>
      </c>
      <c r="CX889" s="2" t="n">
        <v>0</v>
      </c>
      <c r="CY889" s="2" t="n">
        <v>0</v>
      </c>
      <c r="CZ889" s="2" t="n">
        <v>0</v>
      </c>
      <c r="DA889" s="2" t="n">
        <v>0</v>
      </c>
      <c r="DB889" s="2" t="n">
        <v>0</v>
      </c>
      <c r="DC889" s="2" t="n">
        <v>0</v>
      </c>
      <c r="DD889" s="2" t="n">
        <v>7.49</v>
      </c>
      <c r="DE889" s="2" t="n">
        <v>9.6</v>
      </c>
      <c r="DF889" s="2" t="n">
        <v>0</v>
      </c>
      <c r="DG889" s="2" t="n">
        <v>15.71</v>
      </c>
      <c r="DH889" s="2" t="n">
        <v>17.85</v>
      </c>
      <c r="DI889" s="2" t="n">
        <v>0</v>
      </c>
      <c r="DJ889" s="2" t="n">
        <v>26.39</v>
      </c>
      <c r="DK889" s="2" t="n">
        <v>28.5</v>
      </c>
      <c r="DL889" s="2" t="n">
        <v>0</v>
      </c>
      <c r="DM889" s="2" t="n">
        <v>36.13</v>
      </c>
      <c r="DN889" s="2" t="n">
        <v>38.25</v>
      </c>
      <c r="DO889" s="2" t="n">
        <v>0</v>
      </c>
      <c r="DP889" s="2" t="n">
        <v>45.85</v>
      </c>
      <c r="DQ889" s="2" t="n">
        <v>48.04</v>
      </c>
      <c r="DR889" s="2" t="n">
        <v>0</v>
      </c>
      <c r="DS889" s="2" t="n">
        <v>55.92</v>
      </c>
      <c r="DT889" s="2" t="n">
        <v>57.97</v>
      </c>
      <c r="DU889" s="2" t="n">
        <v>0</v>
      </c>
      <c r="DV889" s="2" t="n">
        <v>64.14</v>
      </c>
      <c r="DW889" s="2" t="n">
        <v>66.20999999999999</v>
      </c>
      <c r="DX889" s="2" t="n">
        <v>0</v>
      </c>
      <c r="DY889" s="2" t="n">
        <v>72.79000000000001</v>
      </c>
      <c r="DZ889" s="2" t="n">
        <v>75.18000000000001</v>
      </c>
      <c r="EA889" s="2" t="n">
        <v>0</v>
      </c>
      <c r="EB889" s="2" t="n">
        <v>80.93000000000001</v>
      </c>
      <c r="EC889" s="2" t="n">
        <v>84.2</v>
      </c>
      <c r="ED889" s="2" t="n">
        <v>0</v>
      </c>
      <c r="EE889" s="2" t="n">
        <v>87.59</v>
      </c>
      <c r="EF889" s="2" t="n">
        <v>90.55</v>
      </c>
      <c r="EG889" s="2" t="n">
        <v>0</v>
      </c>
      <c r="EH889" s="2" t="n">
        <v>96.19</v>
      </c>
      <c r="EI889" s="2" t="n">
        <v>98.68000000000001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</row>
    <row r="890">
      <c r="A890" s="2" t="n">
        <v>3</v>
      </c>
      <c r="B890" s="2" t="inlineStr">
        <is>
          <t>34.07.10</t>
        </is>
      </c>
      <c r="C890" s="2" t="inlineStr">
        <is>
          <t>Acabamento para Registro de Gaveta Linha Cubo Cromado, Deca Cód.: 4900.C86</t>
        </is>
      </c>
      <c r="D890" s="2" t="inlineStr">
        <is>
          <t>01/03/2028</t>
        </is>
      </c>
      <c r="E890" s="2" t="inlineStr">
        <is>
          <t>05/02/2029</t>
        </is>
      </c>
      <c r="F890" s="2" t="n">
        <v>11120</v>
      </c>
      <c r="G890" s="2" t="n">
        <v>0</v>
      </c>
      <c r="H890" s="2" t="n">
        <v>11120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0</v>
      </c>
      <c r="CV890" s="2" t="n">
        <v>0</v>
      </c>
      <c r="CW890" s="2" t="n">
        <v>0</v>
      </c>
      <c r="CX890" s="2" t="n">
        <v>0</v>
      </c>
      <c r="CY890" s="2" t="n">
        <v>0</v>
      </c>
      <c r="CZ890" s="2" t="n">
        <v>0</v>
      </c>
      <c r="DA890" s="2" t="n">
        <v>0</v>
      </c>
      <c r="DB890" s="2" t="n">
        <v>0</v>
      </c>
      <c r="DC890" s="2" t="n">
        <v>0</v>
      </c>
      <c r="DD890" s="2" t="n">
        <v>7.49</v>
      </c>
      <c r="DE890" s="2" t="n">
        <v>9.6</v>
      </c>
      <c r="DF890" s="2" t="n">
        <v>0</v>
      </c>
      <c r="DG890" s="2" t="n">
        <v>15.71</v>
      </c>
      <c r="DH890" s="2" t="n">
        <v>17.85</v>
      </c>
      <c r="DI890" s="2" t="n">
        <v>0</v>
      </c>
      <c r="DJ890" s="2" t="n">
        <v>26.39</v>
      </c>
      <c r="DK890" s="2" t="n">
        <v>28.5</v>
      </c>
      <c r="DL890" s="2" t="n">
        <v>0</v>
      </c>
      <c r="DM890" s="2" t="n">
        <v>36.13</v>
      </c>
      <c r="DN890" s="2" t="n">
        <v>38.25</v>
      </c>
      <c r="DO890" s="2" t="n">
        <v>0</v>
      </c>
      <c r="DP890" s="2" t="n">
        <v>45.85</v>
      </c>
      <c r="DQ890" s="2" t="n">
        <v>48.04</v>
      </c>
      <c r="DR890" s="2" t="n">
        <v>0</v>
      </c>
      <c r="DS890" s="2" t="n">
        <v>55.92</v>
      </c>
      <c r="DT890" s="2" t="n">
        <v>57.97</v>
      </c>
      <c r="DU890" s="2" t="n">
        <v>0</v>
      </c>
      <c r="DV890" s="2" t="n">
        <v>64.14</v>
      </c>
      <c r="DW890" s="2" t="n">
        <v>66.20999999999999</v>
      </c>
      <c r="DX890" s="2" t="n">
        <v>0</v>
      </c>
      <c r="DY890" s="2" t="n">
        <v>72.79000000000001</v>
      </c>
      <c r="DZ890" s="2" t="n">
        <v>75.18000000000001</v>
      </c>
      <c r="EA890" s="2" t="n">
        <v>0</v>
      </c>
      <c r="EB890" s="2" t="n">
        <v>80.93000000000001</v>
      </c>
      <c r="EC890" s="2" t="n">
        <v>84.2</v>
      </c>
      <c r="ED890" s="2" t="n">
        <v>0</v>
      </c>
      <c r="EE890" s="2" t="n">
        <v>87.59</v>
      </c>
      <c r="EF890" s="2" t="n">
        <v>90.55</v>
      </c>
      <c r="EG890" s="2" t="n">
        <v>0</v>
      </c>
      <c r="EH890" s="2" t="n">
        <v>96.19</v>
      </c>
      <c r="EI890" s="2" t="n">
        <v>98.68000000000001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</row>
    <row r="891">
      <c r="A891" s="2" t="n">
        <v>3</v>
      </c>
      <c r="B891" s="2" t="inlineStr">
        <is>
          <t>34.07.11</t>
        </is>
      </c>
      <c r="C891" s="2" t="inlineStr">
        <is>
          <t>Acabamento para Registro de Pressão com Mecanismo 1/2 Volta Linha Cubo, Cromado, Deca Cód.: 4916.C86</t>
        </is>
      </c>
      <c r="D891" s="2" t="inlineStr">
        <is>
          <t>01/03/2028</t>
        </is>
      </c>
      <c r="E891" s="2" t="inlineStr">
        <is>
          <t>05/02/2029</t>
        </is>
      </c>
      <c r="F891" s="2" t="n">
        <v>695</v>
      </c>
      <c r="G891" s="2" t="n">
        <v>0</v>
      </c>
      <c r="H891" s="2" t="n">
        <v>695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0</v>
      </c>
      <c r="CV891" s="2" t="n">
        <v>0</v>
      </c>
      <c r="CW891" s="2" t="n">
        <v>0</v>
      </c>
      <c r="CX891" s="2" t="n">
        <v>0</v>
      </c>
      <c r="CY891" s="2" t="n">
        <v>0</v>
      </c>
      <c r="CZ891" s="2" t="n">
        <v>0</v>
      </c>
      <c r="DA891" s="2" t="n">
        <v>0</v>
      </c>
      <c r="DB891" s="2" t="n">
        <v>0</v>
      </c>
      <c r="DC891" s="2" t="n">
        <v>0</v>
      </c>
      <c r="DD891" s="2" t="n">
        <v>7.49</v>
      </c>
      <c r="DE891" s="2" t="n">
        <v>9.6</v>
      </c>
      <c r="DF891" s="2" t="n">
        <v>0</v>
      </c>
      <c r="DG891" s="2" t="n">
        <v>15.71</v>
      </c>
      <c r="DH891" s="2" t="n">
        <v>17.85</v>
      </c>
      <c r="DI891" s="2" t="n">
        <v>0</v>
      </c>
      <c r="DJ891" s="2" t="n">
        <v>26.39</v>
      </c>
      <c r="DK891" s="2" t="n">
        <v>28.5</v>
      </c>
      <c r="DL891" s="2" t="n">
        <v>0</v>
      </c>
      <c r="DM891" s="2" t="n">
        <v>36.13</v>
      </c>
      <c r="DN891" s="2" t="n">
        <v>38.25</v>
      </c>
      <c r="DO891" s="2" t="n">
        <v>0</v>
      </c>
      <c r="DP891" s="2" t="n">
        <v>45.85</v>
      </c>
      <c r="DQ891" s="2" t="n">
        <v>48.04</v>
      </c>
      <c r="DR891" s="2" t="n">
        <v>0</v>
      </c>
      <c r="DS891" s="2" t="n">
        <v>55.92</v>
      </c>
      <c r="DT891" s="2" t="n">
        <v>57.97</v>
      </c>
      <c r="DU891" s="2" t="n">
        <v>0</v>
      </c>
      <c r="DV891" s="2" t="n">
        <v>64.14</v>
      </c>
      <c r="DW891" s="2" t="n">
        <v>66.20999999999999</v>
      </c>
      <c r="DX891" s="2" t="n">
        <v>0</v>
      </c>
      <c r="DY891" s="2" t="n">
        <v>72.79000000000001</v>
      </c>
      <c r="DZ891" s="2" t="n">
        <v>75.18000000000001</v>
      </c>
      <c r="EA891" s="2" t="n">
        <v>0</v>
      </c>
      <c r="EB891" s="2" t="n">
        <v>80.93000000000001</v>
      </c>
      <c r="EC891" s="2" t="n">
        <v>84.2</v>
      </c>
      <c r="ED891" s="2" t="n">
        <v>0</v>
      </c>
      <c r="EE891" s="2" t="n">
        <v>87.59</v>
      </c>
      <c r="EF891" s="2" t="n">
        <v>90.55</v>
      </c>
      <c r="EG891" s="2" t="n">
        <v>0</v>
      </c>
      <c r="EH891" s="2" t="n">
        <v>96.19</v>
      </c>
      <c r="EI891" s="2" t="n">
        <v>98.68000000000001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</row>
    <row r="892">
      <c r="A892" s="2" t="n">
        <v>1</v>
      </c>
      <c r="B892" s="2" t="inlineStr">
        <is>
          <t>35</t>
        </is>
      </c>
      <c r="C892" s="2" t="inlineStr">
        <is>
          <t>PINTURAS</t>
        </is>
      </c>
      <c r="D892" s="2" t="inlineStr">
        <is>
          <t>19/10/2026</t>
        </is>
      </c>
      <c r="E892" s="2" t="inlineStr">
        <is>
          <t>02/04/2029</t>
        </is>
      </c>
      <c r="F892" s="2" t="n">
        <v>3676746.932637811</v>
      </c>
      <c r="G892" s="2" t="n">
        <v>0</v>
      </c>
      <c r="H892" s="2" t="n">
        <v>3676746.932637811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0.92</v>
      </c>
      <c r="BG892" s="2" t="n">
        <v>0</v>
      </c>
      <c r="BH892" s="2" t="n">
        <v>0</v>
      </c>
      <c r="BI892" s="2" t="n">
        <v>2.65</v>
      </c>
      <c r="BJ892" s="2" t="n">
        <v>0</v>
      </c>
      <c r="BK892" s="2" t="n">
        <v>0</v>
      </c>
      <c r="BL892" s="2" t="n">
        <v>4.12</v>
      </c>
      <c r="BM892" s="2" t="n">
        <v>0</v>
      </c>
      <c r="BN892" s="2" t="n">
        <v>2.92</v>
      </c>
      <c r="BO892" s="2" t="n">
        <v>6.59</v>
      </c>
      <c r="BP892" s="2" t="n">
        <v>0</v>
      </c>
      <c r="BQ892" s="2" t="n">
        <v>6.47</v>
      </c>
      <c r="BR892" s="2" t="n">
        <v>9.06</v>
      </c>
      <c r="BS892" s="2" t="n">
        <v>0</v>
      </c>
      <c r="BT892" s="2" t="n">
        <v>10.1</v>
      </c>
      <c r="BU892" s="2" t="n">
        <v>11.53</v>
      </c>
      <c r="BV892" s="2" t="n">
        <v>0</v>
      </c>
      <c r="BW892" s="2" t="n">
        <v>13.9</v>
      </c>
      <c r="BX892" s="2" t="n">
        <v>14.21</v>
      </c>
      <c r="BY892" s="2" t="n">
        <v>0</v>
      </c>
      <c r="BZ892" s="2" t="n">
        <v>14.99</v>
      </c>
      <c r="CA892" s="2" t="n">
        <v>14.99</v>
      </c>
      <c r="CB892" s="2" t="n">
        <v>0</v>
      </c>
      <c r="CC892" s="2" t="n">
        <v>14.99</v>
      </c>
      <c r="CD892" s="2" t="n">
        <v>14.99</v>
      </c>
      <c r="CE892" s="2" t="n">
        <v>0</v>
      </c>
      <c r="CF892" s="2" t="n">
        <v>14.99</v>
      </c>
      <c r="CG892" s="2" t="n">
        <v>14.99</v>
      </c>
      <c r="CH892" s="2" t="n">
        <v>0</v>
      </c>
      <c r="CI892" s="2" t="n">
        <v>14.99</v>
      </c>
      <c r="CJ892" s="2" t="n">
        <v>14.99</v>
      </c>
      <c r="CK892" s="2" t="n">
        <v>0</v>
      </c>
      <c r="CL892" s="2" t="n">
        <v>14.99</v>
      </c>
      <c r="CM892" s="2" t="n">
        <v>14.99</v>
      </c>
      <c r="CN892" s="2" t="n">
        <v>0</v>
      </c>
      <c r="CO892" s="2" t="n">
        <v>14.99</v>
      </c>
      <c r="CP892" s="2" t="n">
        <v>14.99</v>
      </c>
      <c r="CQ892" s="2" t="n">
        <v>0</v>
      </c>
      <c r="CR892" s="2" t="n">
        <v>14.99</v>
      </c>
      <c r="CS892" s="2" t="n">
        <v>14.99</v>
      </c>
      <c r="CT892" s="2" t="n">
        <v>0</v>
      </c>
      <c r="CU892" s="2" t="n">
        <v>14.99</v>
      </c>
      <c r="CV892" s="2" t="n">
        <v>14.99</v>
      </c>
      <c r="CW892" s="2" t="n">
        <v>0</v>
      </c>
      <c r="CX892" s="2" t="n">
        <v>15.81</v>
      </c>
      <c r="CY892" s="2" t="n">
        <v>16.23</v>
      </c>
      <c r="CZ892" s="2" t="n">
        <v>0</v>
      </c>
      <c r="DA892" s="2" t="n">
        <v>17.55</v>
      </c>
      <c r="DB892" s="2" t="n">
        <v>17.97</v>
      </c>
      <c r="DC892" s="2" t="n">
        <v>0</v>
      </c>
      <c r="DD892" s="2" t="n">
        <v>19.57</v>
      </c>
      <c r="DE892" s="2" t="n">
        <v>20.41</v>
      </c>
      <c r="DF892" s="2" t="n">
        <v>0</v>
      </c>
      <c r="DG892" s="2" t="n">
        <v>23.48</v>
      </c>
      <c r="DH892" s="2" t="n">
        <v>24.42</v>
      </c>
      <c r="DI892" s="2" t="n">
        <v>0</v>
      </c>
      <c r="DJ892" s="2" t="n">
        <v>31.87</v>
      </c>
      <c r="DK892" s="2" t="n">
        <v>33.71</v>
      </c>
      <c r="DL892" s="2" t="n">
        <v>0</v>
      </c>
      <c r="DM892" s="2" t="n">
        <v>41.29</v>
      </c>
      <c r="DN892" s="2" t="n">
        <v>42.73</v>
      </c>
      <c r="DO892" s="2" t="n">
        <v>0</v>
      </c>
      <c r="DP892" s="2" t="n">
        <v>47.44</v>
      </c>
      <c r="DQ892" s="2" t="n">
        <v>48.89</v>
      </c>
      <c r="DR892" s="2" t="n">
        <v>0</v>
      </c>
      <c r="DS892" s="2" t="n">
        <v>53.53</v>
      </c>
      <c r="DT892" s="2" t="n">
        <v>55.02</v>
      </c>
      <c r="DU892" s="2" t="n">
        <v>0</v>
      </c>
      <c r="DV892" s="2" t="n">
        <v>59.17</v>
      </c>
      <c r="DW892" s="2" t="n">
        <v>61.92</v>
      </c>
      <c r="DX892" s="2" t="n">
        <v>0</v>
      </c>
      <c r="DY892" s="2" t="n">
        <v>66.09</v>
      </c>
      <c r="DZ892" s="2" t="n">
        <v>69.41</v>
      </c>
      <c r="EA892" s="2" t="n">
        <v>0</v>
      </c>
      <c r="EB892" s="2" t="n">
        <v>72.53</v>
      </c>
      <c r="EC892" s="2" t="n">
        <v>76.93000000000001</v>
      </c>
      <c r="ED892" s="2" t="n">
        <v>0</v>
      </c>
      <c r="EE892" s="2" t="n">
        <v>78.14</v>
      </c>
      <c r="EF892" s="2" t="n">
        <v>81.95999999999999</v>
      </c>
      <c r="EG892" s="2" t="n">
        <v>0</v>
      </c>
      <c r="EH892" s="2" t="n">
        <v>85.47</v>
      </c>
      <c r="EI892" s="2" t="n">
        <v>89.78</v>
      </c>
      <c r="EJ892" s="2" t="n">
        <v>0</v>
      </c>
      <c r="EK892" s="2" t="n">
        <v>92.44</v>
      </c>
      <c r="EL892" s="2" t="n">
        <v>95.38</v>
      </c>
      <c r="EM892" s="2" t="n">
        <v>0</v>
      </c>
      <c r="EN892" s="2" t="n">
        <v>97.36</v>
      </c>
      <c r="EO892" s="2" t="n">
        <v>98.44</v>
      </c>
      <c r="EP892" s="2" t="n">
        <v>0</v>
      </c>
      <c r="EQ892" s="2" t="n">
        <v>98.45999999999999</v>
      </c>
      <c r="ER892" s="2" t="n">
        <v>98.45999999999999</v>
      </c>
      <c r="ES892" s="2" t="n">
        <v>0</v>
      </c>
    </row>
    <row r="893">
      <c r="A893" s="2" t="n">
        <v>2</v>
      </c>
      <c r="B893" s="2" t="inlineStr">
        <is>
          <t>35.01</t>
        </is>
      </c>
      <c r="C893" s="2" t="inlineStr">
        <is>
          <t>Latex Acrílico</t>
        </is>
      </c>
      <c r="D893" s="2" t="inlineStr">
        <is>
          <t>11/01/2028</t>
        </is>
      </c>
      <c r="E893" s="2" t="inlineStr">
        <is>
          <t>02/04/2029</t>
        </is>
      </c>
      <c r="F893" s="2" t="n">
        <v>2249424.420092636</v>
      </c>
      <c r="G893" s="2" t="n">
        <v>0</v>
      </c>
      <c r="H893" s="2" t="n">
        <v>2249424.420092636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0</v>
      </c>
      <c r="CV893" s="2" t="n">
        <v>0</v>
      </c>
      <c r="CW893" s="2" t="n">
        <v>0</v>
      </c>
      <c r="CX893" s="2" t="n">
        <v>1.35</v>
      </c>
      <c r="CY893" s="2" t="n">
        <v>2.03</v>
      </c>
      <c r="CZ893" s="2" t="n">
        <v>0</v>
      </c>
      <c r="DA893" s="2" t="n">
        <v>4.19</v>
      </c>
      <c r="DB893" s="2" t="n">
        <v>4.87</v>
      </c>
      <c r="DC893" s="2" t="n">
        <v>0</v>
      </c>
      <c r="DD893" s="2" t="n">
        <v>7.49</v>
      </c>
      <c r="DE893" s="2" t="n">
        <v>8.859999999999999</v>
      </c>
      <c r="DF893" s="2" t="n">
        <v>0</v>
      </c>
      <c r="DG893" s="2" t="n">
        <v>12.72</v>
      </c>
      <c r="DH893" s="2" t="n">
        <v>14.1</v>
      </c>
      <c r="DI893" s="2" t="n">
        <v>0</v>
      </c>
      <c r="DJ893" s="2" t="n">
        <v>21.84</v>
      </c>
      <c r="DK893" s="2" t="n">
        <v>23.94</v>
      </c>
      <c r="DL893" s="2" t="n">
        <v>0</v>
      </c>
      <c r="DM893" s="2" t="n">
        <v>31.36</v>
      </c>
      <c r="DN893" s="2" t="n">
        <v>33.47</v>
      </c>
      <c r="DO893" s="2" t="n">
        <v>0</v>
      </c>
      <c r="DP893" s="2" t="n">
        <v>40.97</v>
      </c>
      <c r="DQ893" s="2" t="n">
        <v>43.09</v>
      </c>
      <c r="DR893" s="2" t="n">
        <v>0</v>
      </c>
      <c r="DS893" s="2" t="n">
        <v>50.46</v>
      </c>
      <c r="DT893" s="2" t="n">
        <v>52.64</v>
      </c>
      <c r="DU893" s="2" t="n">
        <v>0</v>
      </c>
      <c r="DV893" s="2" t="n">
        <v>59.27</v>
      </c>
      <c r="DW893" s="2" t="n">
        <v>61.56</v>
      </c>
      <c r="DX893" s="2" t="n">
        <v>0</v>
      </c>
      <c r="DY893" s="2" t="n">
        <v>68.22</v>
      </c>
      <c r="DZ893" s="2" t="n">
        <v>71.04000000000001</v>
      </c>
      <c r="EA893" s="2" t="n">
        <v>0</v>
      </c>
      <c r="EB893" s="2" t="n">
        <v>76.31999999999999</v>
      </c>
      <c r="EC893" s="2" t="n">
        <v>78.27</v>
      </c>
      <c r="ED893" s="2" t="n">
        <v>0</v>
      </c>
      <c r="EE893" s="2" t="n">
        <v>82.22</v>
      </c>
      <c r="EF893" s="2" t="n">
        <v>84.26000000000001</v>
      </c>
      <c r="EG893" s="2" t="n">
        <v>0</v>
      </c>
      <c r="EH893" s="2" t="n">
        <v>89.09</v>
      </c>
      <c r="EI893" s="2" t="n">
        <v>91.2</v>
      </c>
      <c r="EJ893" s="2" t="n">
        <v>0</v>
      </c>
      <c r="EK893" s="2" t="n">
        <v>95.55</v>
      </c>
      <c r="EL893" s="2" t="n">
        <v>96.84999999999999</v>
      </c>
      <c r="EM893" s="2" t="n">
        <v>0</v>
      </c>
      <c r="EN893" s="2" t="n">
        <v>99.81999999999999</v>
      </c>
      <c r="EO893" s="2" t="n">
        <v>99.97</v>
      </c>
      <c r="EP893" s="2" t="n">
        <v>0</v>
      </c>
      <c r="EQ893" s="2" t="n">
        <v>100</v>
      </c>
      <c r="ER893" s="2" t="n">
        <v>100</v>
      </c>
      <c r="ES893" s="2" t="n">
        <v>0</v>
      </c>
    </row>
    <row r="894">
      <c r="A894" s="2" t="n">
        <v>3</v>
      </c>
      <c r="B894" s="2" t="inlineStr">
        <is>
          <t>35.01.01</t>
        </is>
      </c>
      <c r="C894" s="2" t="inlineStr">
        <is>
          <t>Emassamento acrílico (1 demão + retoques)</t>
        </is>
      </c>
      <c r="D894" s="2" t="inlineStr">
        <is>
          <t>11/01/2028</t>
        </is>
      </c>
      <c r="E894" s="2" t="inlineStr">
        <is>
          <t>02/04/2029</t>
        </is>
      </c>
      <c r="F894" s="2" t="n">
        <v>553494.8368130275</v>
      </c>
      <c r="G894" s="2" t="n">
        <v>0</v>
      </c>
      <c r="H894" s="2" t="n">
        <v>553494.8368130275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0</v>
      </c>
      <c r="CV894" s="2" t="n">
        <v>0</v>
      </c>
      <c r="CW894" s="2" t="n">
        <v>0</v>
      </c>
      <c r="CX894" s="2" t="n">
        <v>1.35</v>
      </c>
      <c r="CY894" s="2" t="n">
        <v>2.03</v>
      </c>
      <c r="CZ894" s="2" t="n">
        <v>0</v>
      </c>
      <c r="DA894" s="2" t="n">
        <v>4.19</v>
      </c>
      <c r="DB894" s="2" t="n">
        <v>4.87</v>
      </c>
      <c r="DC894" s="2" t="n">
        <v>0</v>
      </c>
      <c r="DD894" s="2" t="n">
        <v>7.49</v>
      </c>
      <c r="DE894" s="2" t="n">
        <v>8.859999999999999</v>
      </c>
      <c r="DF894" s="2" t="n">
        <v>0</v>
      </c>
      <c r="DG894" s="2" t="n">
        <v>12.72</v>
      </c>
      <c r="DH894" s="2" t="n">
        <v>14.1</v>
      </c>
      <c r="DI894" s="2" t="n">
        <v>0</v>
      </c>
      <c r="DJ894" s="2" t="n">
        <v>21.84</v>
      </c>
      <c r="DK894" s="2" t="n">
        <v>23.94</v>
      </c>
      <c r="DL894" s="2" t="n">
        <v>0</v>
      </c>
      <c r="DM894" s="2" t="n">
        <v>31.36</v>
      </c>
      <c r="DN894" s="2" t="n">
        <v>33.47</v>
      </c>
      <c r="DO894" s="2" t="n">
        <v>0</v>
      </c>
      <c r="DP894" s="2" t="n">
        <v>40.97</v>
      </c>
      <c r="DQ894" s="2" t="n">
        <v>43.09</v>
      </c>
      <c r="DR894" s="2" t="n">
        <v>0</v>
      </c>
      <c r="DS894" s="2" t="n">
        <v>50.46</v>
      </c>
      <c r="DT894" s="2" t="n">
        <v>52.64</v>
      </c>
      <c r="DU894" s="2" t="n">
        <v>0</v>
      </c>
      <c r="DV894" s="2" t="n">
        <v>59.27</v>
      </c>
      <c r="DW894" s="2" t="n">
        <v>61.56</v>
      </c>
      <c r="DX894" s="2" t="n">
        <v>0</v>
      </c>
      <c r="DY894" s="2" t="n">
        <v>68.22</v>
      </c>
      <c r="DZ894" s="2" t="n">
        <v>71.04000000000001</v>
      </c>
      <c r="EA894" s="2" t="n">
        <v>0</v>
      </c>
      <c r="EB894" s="2" t="n">
        <v>76.31999999999999</v>
      </c>
      <c r="EC894" s="2" t="n">
        <v>78.27</v>
      </c>
      <c r="ED894" s="2" t="n">
        <v>0</v>
      </c>
      <c r="EE894" s="2" t="n">
        <v>82.22</v>
      </c>
      <c r="EF894" s="2" t="n">
        <v>84.26000000000001</v>
      </c>
      <c r="EG894" s="2" t="n">
        <v>0</v>
      </c>
      <c r="EH894" s="2" t="n">
        <v>89.09</v>
      </c>
      <c r="EI894" s="2" t="n">
        <v>91.2</v>
      </c>
      <c r="EJ894" s="2" t="n">
        <v>0</v>
      </c>
      <c r="EK894" s="2" t="n">
        <v>95.55</v>
      </c>
      <c r="EL894" s="2" t="n">
        <v>96.84999999999999</v>
      </c>
      <c r="EM894" s="2" t="n">
        <v>0</v>
      </c>
      <c r="EN894" s="2" t="n">
        <v>99.81999999999999</v>
      </c>
      <c r="EO894" s="2" t="n">
        <v>99.97</v>
      </c>
      <c r="EP894" s="2" t="n">
        <v>0</v>
      </c>
      <c r="EQ894" s="2" t="n">
        <v>100</v>
      </c>
      <c r="ER894" s="2" t="n">
        <v>100</v>
      </c>
      <c r="ES894" s="2" t="n">
        <v>0</v>
      </c>
    </row>
    <row r="895">
      <c r="A895" s="2" t="n">
        <v>3</v>
      </c>
      <c r="B895" s="2" t="inlineStr">
        <is>
          <t>35.01.02</t>
        </is>
      </c>
      <c r="C895" s="2" t="inlineStr">
        <is>
          <t>Emassamento acrílico (1 demão + retoques)</t>
        </is>
      </c>
      <c r="D895" s="2" t="inlineStr">
        <is>
          <t>11/01/2028</t>
        </is>
      </c>
      <c r="E895" s="2" t="inlineStr">
        <is>
          <t>02/04/2029</t>
        </is>
      </c>
      <c r="F895" s="2" t="n">
        <v>553494.8368130275</v>
      </c>
      <c r="G895" s="2" t="n">
        <v>0</v>
      </c>
      <c r="H895" s="2" t="n">
        <v>553494.8368130275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0</v>
      </c>
      <c r="CV895" s="2" t="n">
        <v>0</v>
      </c>
      <c r="CW895" s="2" t="n">
        <v>0</v>
      </c>
      <c r="CX895" s="2" t="n">
        <v>1.35</v>
      </c>
      <c r="CY895" s="2" t="n">
        <v>2.03</v>
      </c>
      <c r="CZ895" s="2" t="n">
        <v>0</v>
      </c>
      <c r="DA895" s="2" t="n">
        <v>4.19</v>
      </c>
      <c r="DB895" s="2" t="n">
        <v>4.87</v>
      </c>
      <c r="DC895" s="2" t="n">
        <v>0</v>
      </c>
      <c r="DD895" s="2" t="n">
        <v>7.49</v>
      </c>
      <c r="DE895" s="2" t="n">
        <v>8.859999999999999</v>
      </c>
      <c r="DF895" s="2" t="n">
        <v>0</v>
      </c>
      <c r="DG895" s="2" t="n">
        <v>12.72</v>
      </c>
      <c r="DH895" s="2" t="n">
        <v>14.1</v>
      </c>
      <c r="DI895" s="2" t="n">
        <v>0</v>
      </c>
      <c r="DJ895" s="2" t="n">
        <v>21.84</v>
      </c>
      <c r="DK895" s="2" t="n">
        <v>23.94</v>
      </c>
      <c r="DL895" s="2" t="n">
        <v>0</v>
      </c>
      <c r="DM895" s="2" t="n">
        <v>31.36</v>
      </c>
      <c r="DN895" s="2" t="n">
        <v>33.47</v>
      </c>
      <c r="DO895" s="2" t="n">
        <v>0</v>
      </c>
      <c r="DP895" s="2" t="n">
        <v>40.97</v>
      </c>
      <c r="DQ895" s="2" t="n">
        <v>43.09</v>
      </c>
      <c r="DR895" s="2" t="n">
        <v>0</v>
      </c>
      <c r="DS895" s="2" t="n">
        <v>50.46</v>
      </c>
      <c r="DT895" s="2" t="n">
        <v>52.64</v>
      </c>
      <c r="DU895" s="2" t="n">
        <v>0</v>
      </c>
      <c r="DV895" s="2" t="n">
        <v>59.27</v>
      </c>
      <c r="DW895" s="2" t="n">
        <v>61.56</v>
      </c>
      <c r="DX895" s="2" t="n">
        <v>0</v>
      </c>
      <c r="DY895" s="2" t="n">
        <v>68.22</v>
      </c>
      <c r="DZ895" s="2" t="n">
        <v>71.04000000000001</v>
      </c>
      <c r="EA895" s="2" t="n">
        <v>0</v>
      </c>
      <c r="EB895" s="2" t="n">
        <v>76.31999999999999</v>
      </c>
      <c r="EC895" s="2" t="n">
        <v>78.27</v>
      </c>
      <c r="ED895" s="2" t="n">
        <v>0</v>
      </c>
      <c r="EE895" s="2" t="n">
        <v>82.22</v>
      </c>
      <c r="EF895" s="2" t="n">
        <v>84.26000000000001</v>
      </c>
      <c r="EG895" s="2" t="n">
        <v>0</v>
      </c>
      <c r="EH895" s="2" t="n">
        <v>89.09</v>
      </c>
      <c r="EI895" s="2" t="n">
        <v>91.2</v>
      </c>
      <c r="EJ895" s="2" t="n">
        <v>0</v>
      </c>
      <c r="EK895" s="2" t="n">
        <v>95.55</v>
      </c>
      <c r="EL895" s="2" t="n">
        <v>96.84999999999999</v>
      </c>
      <c r="EM895" s="2" t="n">
        <v>0</v>
      </c>
      <c r="EN895" s="2" t="n">
        <v>99.81999999999999</v>
      </c>
      <c r="EO895" s="2" t="n">
        <v>99.97</v>
      </c>
      <c r="EP895" s="2" t="n">
        <v>0</v>
      </c>
      <c r="EQ895" s="2" t="n">
        <v>100</v>
      </c>
      <c r="ER895" s="2" t="n">
        <v>100</v>
      </c>
      <c r="ES895" s="2" t="n">
        <v>0</v>
      </c>
    </row>
    <row r="896">
      <c r="A896" s="2" t="n">
        <v>3</v>
      </c>
      <c r="B896" s="2" t="inlineStr">
        <is>
          <t>35.01.03</t>
        </is>
      </c>
      <c r="C896" s="2" t="inlineStr">
        <is>
          <t>Pintura acrílica fosca, cor Mármore. Ref. Suvinil sobre paredes - Reboco (1 demão selador + 3 demãos Latex acrílico)</t>
        </is>
      </c>
      <c r="D896" s="2" t="inlineStr">
        <is>
          <t>11/01/2028</t>
        </is>
      </c>
      <c r="E896" s="2" t="inlineStr">
        <is>
          <t>02/04/2029</t>
        </is>
      </c>
      <c r="F896" s="2" t="n">
        <v>65171.25919441812</v>
      </c>
      <c r="G896" s="2" t="n">
        <v>0</v>
      </c>
      <c r="H896" s="2" t="n">
        <v>65171.25919441812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0</v>
      </c>
      <c r="CV896" s="2" t="n">
        <v>0</v>
      </c>
      <c r="CW896" s="2" t="n">
        <v>0</v>
      </c>
      <c r="CX896" s="2" t="n">
        <v>1.35</v>
      </c>
      <c r="CY896" s="2" t="n">
        <v>2.03</v>
      </c>
      <c r="CZ896" s="2" t="n">
        <v>0</v>
      </c>
      <c r="DA896" s="2" t="n">
        <v>4.19</v>
      </c>
      <c r="DB896" s="2" t="n">
        <v>4.87</v>
      </c>
      <c r="DC896" s="2" t="n">
        <v>0</v>
      </c>
      <c r="DD896" s="2" t="n">
        <v>7.49</v>
      </c>
      <c r="DE896" s="2" t="n">
        <v>8.859999999999999</v>
      </c>
      <c r="DF896" s="2" t="n">
        <v>0</v>
      </c>
      <c r="DG896" s="2" t="n">
        <v>12.72</v>
      </c>
      <c r="DH896" s="2" t="n">
        <v>14.1</v>
      </c>
      <c r="DI896" s="2" t="n">
        <v>0</v>
      </c>
      <c r="DJ896" s="2" t="n">
        <v>21.84</v>
      </c>
      <c r="DK896" s="2" t="n">
        <v>23.94</v>
      </c>
      <c r="DL896" s="2" t="n">
        <v>0</v>
      </c>
      <c r="DM896" s="2" t="n">
        <v>31.36</v>
      </c>
      <c r="DN896" s="2" t="n">
        <v>33.47</v>
      </c>
      <c r="DO896" s="2" t="n">
        <v>0</v>
      </c>
      <c r="DP896" s="2" t="n">
        <v>40.97</v>
      </c>
      <c r="DQ896" s="2" t="n">
        <v>43.09</v>
      </c>
      <c r="DR896" s="2" t="n">
        <v>0</v>
      </c>
      <c r="DS896" s="2" t="n">
        <v>50.46</v>
      </c>
      <c r="DT896" s="2" t="n">
        <v>52.64</v>
      </c>
      <c r="DU896" s="2" t="n">
        <v>0</v>
      </c>
      <c r="DV896" s="2" t="n">
        <v>59.27</v>
      </c>
      <c r="DW896" s="2" t="n">
        <v>61.56</v>
      </c>
      <c r="DX896" s="2" t="n">
        <v>0</v>
      </c>
      <c r="DY896" s="2" t="n">
        <v>68.22</v>
      </c>
      <c r="DZ896" s="2" t="n">
        <v>71.04000000000001</v>
      </c>
      <c r="EA896" s="2" t="n">
        <v>0</v>
      </c>
      <c r="EB896" s="2" t="n">
        <v>76.31999999999999</v>
      </c>
      <c r="EC896" s="2" t="n">
        <v>78.27</v>
      </c>
      <c r="ED896" s="2" t="n">
        <v>0</v>
      </c>
      <c r="EE896" s="2" t="n">
        <v>82.22</v>
      </c>
      <c r="EF896" s="2" t="n">
        <v>84.26000000000001</v>
      </c>
      <c r="EG896" s="2" t="n">
        <v>0</v>
      </c>
      <c r="EH896" s="2" t="n">
        <v>89.09</v>
      </c>
      <c r="EI896" s="2" t="n">
        <v>91.2</v>
      </c>
      <c r="EJ896" s="2" t="n">
        <v>0</v>
      </c>
      <c r="EK896" s="2" t="n">
        <v>95.55</v>
      </c>
      <c r="EL896" s="2" t="n">
        <v>96.84999999999999</v>
      </c>
      <c r="EM896" s="2" t="n">
        <v>0</v>
      </c>
      <c r="EN896" s="2" t="n">
        <v>99.81999999999999</v>
      </c>
      <c r="EO896" s="2" t="n">
        <v>99.97</v>
      </c>
      <c r="EP896" s="2" t="n">
        <v>0</v>
      </c>
      <c r="EQ896" s="2" t="n">
        <v>100</v>
      </c>
      <c r="ER896" s="2" t="n">
        <v>100</v>
      </c>
      <c r="ES896" s="2" t="n">
        <v>0</v>
      </c>
    </row>
    <row r="897">
      <c r="A897" s="2" t="n">
        <v>3</v>
      </c>
      <c r="B897" s="2" t="inlineStr">
        <is>
          <t>35.01.04</t>
        </is>
      </c>
      <c r="C897" s="2" t="inlineStr">
        <is>
          <t>Pintura  acrílica, cor Branco neve, acabamento acetinado. Ref.: Suvinil sobre paredes - Reboco (1 demão selador + 3 demãos Latex acrílico)</t>
        </is>
      </c>
      <c r="D897" s="2" t="inlineStr">
        <is>
          <t>11/01/2028</t>
        </is>
      </c>
      <c r="E897" s="2" t="inlineStr">
        <is>
          <t>02/04/2029</t>
        </is>
      </c>
      <c r="F897" s="2" t="n">
        <v>267773.2681852594</v>
      </c>
      <c r="G897" s="2" t="n">
        <v>0</v>
      </c>
      <c r="H897" s="2" t="n">
        <v>267773.2681852594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0</v>
      </c>
      <c r="CV897" s="2" t="n">
        <v>0</v>
      </c>
      <c r="CW897" s="2" t="n">
        <v>0</v>
      </c>
      <c r="CX897" s="2" t="n">
        <v>1.35</v>
      </c>
      <c r="CY897" s="2" t="n">
        <v>2.03</v>
      </c>
      <c r="CZ897" s="2" t="n">
        <v>0</v>
      </c>
      <c r="DA897" s="2" t="n">
        <v>4.19</v>
      </c>
      <c r="DB897" s="2" t="n">
        <v>4.87</v>
      </c>
      <c r="DC897" s="2" t="n">
        <v>0</v>
      </c>
      <c r="DD897" s="2" t="n">
        <v>7.49</v>
      </c>
      <c r="DE897" s="2" t="n">
        <v>8.859999999999999</v>
      </c>
      <c r="DF897" s="2" t="n">
        <v>0</v>
      </c>
      <c r="DG897" s="2" t="n">
        <v>12.72</v>
      </c>
      <c r="DH897" s="2" t="n">
        <v>14.1</v>
      </c>
      <c r="DI897" s="2" t="n">
        <v>0</v>
      </c>
      <c r="DJ897" s="2" t="n">
        <v>21.84</v>
      </c>
      <c r="DK897" s="2" t="n">
        <v>23.94</v>
      </c>
      <c r="DL897" s="2" t="n">
        <v>0</v>
      </c>
      <c r="DM897" s="2" t="n">
        <v>31.36</v>
      </c>
      <c r="DN897" s="2" t="n">
        <v>33.47</v>
      </c>
      <c r="DO897" s="2" t="n">
        <v>0</v>
      </c>
      <c r="DP897" s="2" t="n">
        <v>40.97</v>
      </c>
      <c r="DQ897" s="2" t="n">
        <v>43.09</v>
      </c>
      <c r="DR897" s="2" t="n">
        <v>0</v>
      </c>
      <c r="DS897" s="2" t="n">
        <v>50.46</v>
      </c>
      <c r="DT897" s="2" t="n">
        <v>52.64</v>
      </c>
      <c r="DU897" s="2" t="n">
        <v>0</v>
      </c>
      <c r="DV897" s="2" t="n">
        <v>59.27</v>
      </c>
      <c r="DW897" s="2" t="n">
        <v>61.56</v>
      </c>
      <c r="DX897" s="2" t="n">
        <v>0</v>
      </c>
      <c r="DY897" s="2" t="n">
        <v>68.22</v>
      </c>
      <c r="DZ897" s="2" t="n">
        <v>71.04000000000001</v>
      </c>
      <c r="EA897" s="2" t="n">
        <v>0</v>
      </c>
      <c r="EB897" s="2" t="n">
        <v>76.31999999999999</v>
      </c>
      <c r="EC897" s="2" t="n">
        <v>78.27</v>
      </c>
      <c r="ED897" s="2" t="n">
        <v>0</v>
      </c>
      <c r="EE897" s="2" t="n">
        <v>82.22</v>
      </c>
      <c r="EF897" s="2" t="n">
        <v>84.26000000000001</v>
      </c>
      <c r="EG897" s="2" t="n">
        <v>0</v>
      </c>
      <c r="EH897" s="2" t="n">
        <v>89.09</v>
      </c>
      <c r="EI897" s="2" t="n">
        <v>91.2</v>
      </c>
      <c r="EJ897" s="2" t="n">
        <v>0</v>
      </c>
      <c r="EK897" s="2" t="n">
        <v>95.55</v>
      </c>
      <c r="EL897" s="2" t="n">
        <v>96.84999999999999</v>
      </c>
      <c r="EM897" s="2" t="n">
        <v>0</v>
      </c>
      <c r="EN897" s="2" t="n">
        <v>99.81999999999999</v>
      </c>
      <c r="EO897" s="2" t="n">
        <v>99.97</v>
      </c>
      <c r="EP897" s="2" t="n">
        <v>0</v>
      </c>
      <c r="EQ897" s="2" t="n">
        <v>100</v>
      </c>
      <c r="ER897" s="2" t="n">
        <v>100</v>
      </c>
      <c r="ES897" s="2" t="n">
        <v>0</v>
      </c>
    </row>
    <row r="898">
      <c r="A898" s="2" t="n">
        <v>3</v>
      </c>
      <c r="B898" s="2" t="inlineStr">
        <is>
          <t>35.01.05</t>
        </is>
      </c>
      <c r="C898" s="2" t="inlineStr">
        <is>
          <t>Pintura  acrílica, cor Branco neve, acabamento acetinado. Ref.: Suvinil sobre paredes - Drywall (1 demão selador + 3 demãos Latex acrílico)</t>
        </is>
      </c>
      <c r="D898" s="2" t="inlineStr">
        <is>
          <t>11/01/2028</t>
        </is>
      </c>
      <c r="E898" s="2" t="inlineStr">
        <is>
          <t>02/04/2029</t>
        </is>
      </c>
      <c r="F898" s="2" t="n">
        <v>461539.4268221169</v>
      </c>
      <c r="G898" s="2" t="n">
        <v>0</v>
      </c>
      <c r="H898" s="2" t="n">
        <v>461539.4268221169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0</v>
      </c>
      <c r="CV898" s="2" t="n">
        <v>0</v>
      </c>
      <c r="CW898" s="2" t="n">
        <v>0</v>
      </c>
      <c r="CX898" s="2" t="n">
        <v>1.35</v>
      </c>
      <c r="CY898" s="2" t="n">
        <v>2.03</v>
      </c>
      <c r="CZ898" s="2" t="n">
        <v>0</v>
      </c>
      <c r="DA898" s="2" t="n">
        <v>4.19</v>
      </c>
      <c r="DB898" s="2" t="n">
        <v>4.87</v>
      </c>
      <c r="DC898" s="2" t="n">
        <v>0</v>
      </c>
      <c r="DD898" s="2" t="n">
        <v>7.49</v>
      </c>
      <c r="DE898" s="2" t="n">
        <v>8.859999999999999</v>
      </c>
      <c r="DF898" s="2" t="n">
        <v>0</v>
      </c>
      <c r="DG898" s="2" t="n">
        <v>12.72</v>
      </c>
      <c r="DH898" s="2" t="n">
        <v>14.1</v>
      </c>
      <c r="DI898" s="2" t="n">
        <v>0</v>
      </c>
      <c r="DJ898" s="2" t="n">
        <v>21.84</v>
      </c>
      <c r="DK898" s="2" t="n">
        <v>23.94</v>
      </c>
      <c r="DL898" s="2" t="n">
        <v>0</v>
      </c>
      <c r="DM898" s="2" t="n">
        <v>31.36</v>
      </c>
      <c r="DN898" s="2" t="n">
        <v>33.47</v>
      </c>
      <c r="DO898" s="2" t="n">
        <v>0</v>
      </c>
      <c r="DP898" s="2" t="n">
        <v>40.97</v>
      </c>
      <c r="DQ898" s="2" t="n">
        <v>43.09</v>
      </c>
      <c r="DR898" s="2" t="n">
        <v>0</v>
      </c>
      <c r="DS898" s="2" t="n">
        <v>50.46</v>
      </c>
      <c r="DT898" s="2" t="n">
        <v>52.64</v>
      </c>
      <c r="DU898" s="2" t="n">
        <v>0</v>
      </c>
      <c r="DV898" s="2" t="n">
        <v>59.27</v>
      </c>
      <c r="DW898" s="2" t="n">
        <v>61.56</v>
      </c>
      <c r="DX898" s="2" t="n">
        <v>0</v>
      </c>
      <c r="DY898" s="2" t="n">
        <v>68.22</v>
      </c>
      <c r="DZ898" s="2" t="n">
        <v>71.04000000000001</v>
      </c>
      <c r="EA898" s="2" t="n">
        <v>0</v>
      </c>
      <c r="EB898" s="2" t="n">
        <v>76.31999999999999</v>
      </c>
      <c r="EC898" s="2" t="n">
        <v>78.27</v>
      </c>
      <c r="ED898" s="2" t="n">
        <v>0</v>
      </c>
      <c r="EE898" s="2" t="n">
        <v>82.22</v>
      </c>
      <c r="EF898" s="2" t="n">
        <v>84.26000000000001</v>
      </c>
      <c r="EG898" s="2" t="n">
        <v>0</v>
      </c>
      <c r="EH898" s="2" t="n">
        <v>89.09</v>
      </c>
      <c r="EI898" s="2" t="n">
        <v>91.2</v>
      </c>
      <c r="EJ898" s="2" t="n">
        <v>0</v>
      </c>
      <c r="EK898" s="2" t="n">
        <v>95.55</v>
      </c>
      <c r="EL898" s="2" t="n">
        <v>96.84999999999999</v>
      </c>
      <c r="EM898" s="2" t="n">
        <v>0</v>
      </c>
      <c r="EN898" s="2" t="n">
        <v>99.81999999999999</v>
      </c>
      <c r="EO898" s="2" t="n">
        <v>99.97</v>
      </c>
      <c r="EP898" s="2" t="n">
        <v>0</v>
      </c>
      <c r="EQ898" s="2" t="n">
        <v>100</v>
      </c>
      <c r="ER898" s="2" t="n">
        <v>100</v>
      </c>
      <c r="ES898" s="2" t="n">
        <v>0</v>
      </c>
    </row>
    <row r="899">
      <c r="A899" s="2" t="n">
        <v>3</v>
      </c>
      <c r="B899" s="2" t="inlineStr">
        <is>
          <t>35.01.06</t>
        </is>
      </c>
      <c r="C899" s="2" t="inlineStr">
        <is>
          <t>Pintura  acrílica fosca cinza claro sobre paredes - Reboco (1 demão selador + 3 demãos Latex acrílico)</t>
        </is>
      </c>
      <c r="D899" s="2" t="inlineStr">
        <is>
          <t>11/01/2028</t>
        </is>
      </c>
      <c r="E899" s="2" t="inlineStr">
        <is>
          <t>02/04/2029</t>
        </is>
      </c>
      <c r="F899" s="2" t="n">
        <v>51391.65375278632</v>
      </c>
      <c r="G899" s="2" t="n">
        <v>0</v>
      </c>
      <c r="H899" s="2" t="n">
        <v>51391.65375278632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0</v>
      </c>
      <c r="CV899" s="2" t="n">
        <v>0</v>
      </c>
      <c r="CW899" s="2" t="n">
        <v>0</v>
      </c>
      <c r="CX899" s="2" t="n">
        <v>1.35</v>
      </c>
      <c r="CY899" s="2" t="n">
        <v>2.03</v>
      </c>
      <c r="CZ899" s="2" t="n">
        <v>0</v>
      </c>
      <c r="DA899" s="2" t="n">
        <v>4.19</v>
      </c>
      <c r="DB899" s="2" t="n">
        <v>4.87</v>
      </c>
      <c r="DC899" s="2" t="n">
        <v>0</v>
      </c>
      <c r="DD899" s="2" t="n">
        <v>7.49</v>
      </c>
      <c r="DE899" s="2" t="n">
        <v>8.859999999999999</v>
      </c>
      <c r="DF899" s="2" t="n">
        <v>0</v>
      </c>
      <c r="DG899" s="2" t="n">
        <v>12.72</v>
      </c>
      <c r="DH899" s="2" t="n">
        <v>14.1</v>
      </c>
      <c r="DI899" s="2" t="n">
        <v>0</v>
      </c>
      <c r="DJ899" s="2" t="n">
        <v>21.84</v>
      </c>
      <c r="DK899" s="2" t="n">
        <v>23.94</v>
      </c>
      <c r="DL899" s="2" t="n">
        <v>0</v>
      </c>
      <c r="DM899" s="2" t="n">
        <v>31.36</v>
      </c>
      <c r="DN899" s="2" t="n">
        <v>33.47</v>
      </c>
      <c r="DO899" s="2" t="n">
        <v>0</v>
      </c>
      <c r="DP899" s="2" t="n">
        <v>40.97</v>
      </c>
      <c r="DQ899" s="2" t="n">
        <v>43.09</v>
      </c>
      <c r="DR899" s="2" t="n">
        <v>0</v>
      </c>
      <c r="DS899" s="2" t="n">
        <v>50.46</v>
      </c>
      <c r="DT899" s="2" t="n">
        <v>52.64</v>
      </c>
      <c r="DU899" s="2" t="n">
        <v>0</v>
      </c>
      <c r="DV899" s="2" t="n">
        <v>59.27</v>
      </c>
      <c r="DW899" s="2" t="n">
        <v>61.56</v>
      </c>
      <c r="DX899" s="2" t="n">
        <v>0</v>
      </c>
      <c r="DY899" s="2" t="n">
        <v>68.22</v>
      </c>
      <c r="DZ899" s="2" t="n">
        <v>71.04000000000001</v>
      </c>
      <c r="EA899" s="2" t="n">
        <v>0</v>
      </c>
      <c r="EB899" s="2" t="n">
        <v>76.31999999999999</v>
      </c>
      <c r="EC899" s="2" t="n">
        <v>78.27</v>
      </c>
      <c r="ED899" s="2" t="n">
        <v>0</v>
      </c>
      <c r="EE899" s="2" t="n">
        <v>82.22</v>
      </c>
      <c r="EF899" s="2" t="n">
        <v>84.26000000000001</v>
      </c>
      <c r="EG899" s="2" t="n">
        <v>0</v>
      </c>
      <c r="EH899" s="2" t="n">
        <v>89.09</v>
      </c>
      <c r="EI899" s="2" t="n">
        <v>91.2</v>
      </c>
      <c r="EJ899" s="2" t="n">
        <v>0</v>
      </c>
      <c r="EK899" s="2" t="n">
        <v>95.55</v>
      </c>
      <c r="EL899" s="2" t="n">
        <v>96.84999999999999</v>
      </c>
      <c r="EM899" s="2" t="n">
        <v>0</v>
      </c>
      <c r="EN899" s="2" t="n">
        <v>99.81999999999999</v>
      </c>
      <c r="EO899" s="2" t="n">
        <v>99.97</v>
      </c>
      <c r="EP899" s="2" t="n">
        <v>0</v>
      </c>
      <c r="EQ899" s="2" t="n">
        <v>100</v>
      </c>
      <c r="ER899" s="2" t="n">
        <v>100</v>
      </c>
      <c r="ES899" s="2" t="n">
        <v>0</v>
      </c>
    </row>
    <row r="900">
      <c r="A900" s="2" t="n">
        <v>3</v>
      </c>
      <c r="B900" s="2" t="inlineStr">
        <is>
          <t>35.01.07</t>
        </is>
      </c>
      <c r="C900" s="2" t="inlineStr">
        <is>
          <t>Pintura acrílica fosca. Ref.: Branco Neve; Suvinil sob tetos  (2 demãos Latex acrílico)</t>
        </is>
      </c>
      <c r="D900" s="2" t="inlineStr">
        <is>
          <t>11/01/2028</t>
        </is>
      </c>
      <c r="E900" s="2" t="inlineStr">
        <is>
          <t>02/04/2029</t>
        </is>
      </c>
      <c r="F900" s="2" t="n">
        <v>295121.82416</v>
      </c>
      <c r="G900" s="2" t="n">
        <v>0</v>
      </c>
      <c r="H900" s="2" t="n">
        <v>295121.82416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0</v>
      </c>
      <c r="CV900" s="2" t="n">
        <v>0</v>
      </c>
      <c r="CW900" s="2" t="n">
        <v>0</v>
      </c>
      <c r="CX900" s="2" t="n">
        <v>1.35</v>
      </c>
      <c r="CY900" s="2" t="n">
        <v>2.03</v>
      </c>
      <c r="CZ900" s="2" t="n">
        <v>0</v>
      </c>
      <c r="DA900" s="2" t="n">
        <v>4.19</v>
      </c>
      <c r="DB900" s="2" t="n">
        <v>4.87</v>
      </c>
      <c r="DC900" s="2" t="n">
        <v>0</v>
      </c>
      <c r="DD900" s="2" t="n">
        <v>7.49</v>
      </c>
      <c r="DE900" s="2" t="n">
        <v>8.859999999999999</v>
      </c>
      <c r="DF900" s="2" t="n">
        <v>0</v>
      </c>
      <c r="DG900" s="2" t="n">
        <v>12.72</v>
      </c>
      <c r="DH900" s="2" t="n">
        <v>14.1</v>
      </c>
      <c r="DI900" s="2" t="n">
        <v>0</v>
      </c>
      <c r="DJ900" s="2" t="n">
        <v>21.84</v>
      </c>
      <c r="DK900" s="2" t="n">
        <v>23.94</v>
      </c>
      <c r="DL900" s="2" t="n">
        <v>0</v>
      </c>
      <c r="DM900" s="2" t="n">
        <v>31.36</v>
      </c>
      <c r="DN900" s="2" t="n">
        <v>33.47</v>
      </c>
      <c r="DO900" s="2" t="n">
        <v>0</v>
      </c>
      <c r="DP900" s="2" t="n">
        <v>40.97</v>
      </c>
      <c r="DQ900" s="2" t="n">
        <v>43.09</v>
      </c>
      <c r="DR900" s="2" t="n">
        <v>0</v>
      </c>
      <c r="DS900" s="2" t="n">
        <v>50.46</v>
      </c>
      <c r="DT900" s="2" t="n">
        <v>52.64</v>
      </c>
      <c r="DU900" s="2" t="n">
        <v>0</v>
      </c>
      <c r="DV900" s="2" t="n">
        <v>59.27</v>
      </c>
      <c r="DW900" s="2" t="n">
        <v>61.56</v>
      </c>
      <c r="DX900" s="2" t="n">
        <v>0</v>
      </c>
      <c r="DY900" s="2" t="n">
        <v>68.22</v>
      </c>
      <c r="DZ900" s="2" t="n">
        <v>71.04000000000001</v>
      </c>
      <c r="EA900" s="2" t="n">
        <v>0</v>
      </c>
      <c r="EB900" s="2" t="n">
        <v>76.31999999999999</v>
      </c>
      <c r="EC900" s="2" t="n">
        <v>78.27</v>
      </c>
      <c r="ED900" s="2" t="n">
        <v>0</v>
      </c>
      <c r="EE900" s="2" t="n">
        <v>82.22</v>
      </c>
      <c r="EF900" s="2" t="n">
        <v>84.26000000000001</v>
      </c>
      <c r="EG900" s="2" t="n">
        <v>0</v>
      </c>
      <c r="EH900" s="2" t="n">
        <v>89.09</v>
      </c>
      <c r="EI900" s="2" t="n">
        <v>91.2</v>
      </c>
      <c r="EJ900" s="2" t="n">
        <v>0</v>
      </c>
      <c r="EK900" s="2" t="n">
        <v>95.55</v>
      </c>
      <c r="EL900" s="2" t="n">
        <v>96.84999999999999</v>
      </c>
      <c r="EM900" s="2" t="n">
        <v>0</v>
      </c>
      <c r="EN900" s="2" t="n">
        <v>99.81999999999999</v>
      </c>
      <c r="EO900" s="2" t="n">
        <v>99.97</v>
      </c>
      <c r="EP900" s="2" t="n">
        <v>0</v>
      </c>
      <c r="EQ900" s="2" t="n">
        <v>100</v>
      </c>
      <c r="ER900" s="2" t="n">
        <v>100</v>
      </c>
      <c r="ES900" s="2" t="n">
        <v>0</v>
      </c>
    </row>
    <row r="901">
      <c r="A901" s="2" t="n">
        <v>3</v>
      </c>
      <c r="B901" s="2" t="inlineStr">
        <is>
          <t>35.01.08</t>
        </is>
      </c>
      <c r="C901" s="2" t="inlineStr">
        <is>
          <t>Pintura acrílica fosca. Ref.: Mármore; Suvinil sob tetos  (2 demãos Latex acrílico)</t>
        </is>
      </c>
      <c r="D901" s="2" t="inlineStr">
        <is>
          <t>11/01/2028</t>
        </is>
      </c>
      <c r="E901" s="2" t="inlineStr">
        <is>
          <t>02/04/2029</t>
        </is>
      </c>
      <c r="F901" s="2" t="n">
        <v>1437.314352</v>
      </c>
      <c r="G901" s="2" t="n">
        <v>0</v>
      </c>
      <c r="H901" s="2" t="n">
        <v>1437.314352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0</v>
      </c>
      <c r="CV901" s="2" t="n">
        <v>0</v>
      </c>
      <c r="CW901" s="2" t="n">
        <v>0</v>
      </c>
      <c r="CX901" s="2" t="n">
        <v>1.35</v>
      </c>
      <c r="CY901" s="2" t="n">
        <v>2.03</v>
      </c>
      <c r="CZ901" s="2" t="n">
        <v>0</v>
      </c>
      <c r="DA901" s="2" t="n">
        <v>4.19</v>
      </c>
      <c r="DB901" s="2" t="n">
        <v>4.87</v>
      </c>
      <c r="DC901" s="2" t="n">
        <v>0</v>
      </c>
      <c r="DD901" s="2" t="n">
        <v>7.49</v>
      </c>
      <c r="DE901" s="2" t="n">
        <v>8.859999999999999</v>
      </c>
      <c r="DF901" s="2" t="n">
        <v>0</v>
      </c>
      <c r="DG901" s="2" t="n">
        <v>12.72</v>
      </c>
      <c r="DH901" s="2" t="n">
        <v>14.1</v>
      </c>
      <c r="DI901" s="2" t="n">
        <v>0</v>
      </c>
      <c r="DJ901" s="2" t="n">
        <v>21.84</v>
      </c>
      <c r="DK901" s="2" t="n">
        <v>23.94</v>
      </c>
      <c r="DL901" s="2" t="n">
        <v>0</v>
      </c>
      <c r="DM901" s="2" t="n">
        <v>31.36</v>
      </c>
      <c r="DN901" s="2" t="n">
        <v>33.47</v>
      </c>
      <c r="DO901" s="2" t="n">
        <v>0</v>
      </c>
      <c r="DP901" s="2" t="n">
        <v>40.97</v>
      </c>
      <c r="DQ901" s="2" t="n">
        <v>43.09</v>
      </c>
      <c r="DR901" s="2" t="n">
        <v>0</v>
      </c>
      <c r="DS901" s="2" t="n">
        <v>50.46</v>
      </c>
      <c r="DT901" s="2" t="n">
        <v>52.64</v>
      </c>
      <c r="DU901" s="2" t="n">
        <v>0</v>
      </c>
      <c r="DV901" s="2" t="n">
        <v>59.27</v>
      </c>
      <c r="DW901" s="2" t="n">
        <v>61.56</v>
      </c>
      <c r="DX901" s="2" t="n">
        <v>0</v>
      </c>
      <c r="DY901" s="2" t="n">
        <v>68.22</v>
      </c>
      <c r="DZ901" s="2" t="n">
        <v>71.04000000000001</v>
      </c>
      <c r="EA901" s="2" t="n">
        <v>0</v>
      </c>
      <c r="EB901" s="2" t="n">
        <v>76.31999999999999</v>
      </c>
      <c r="EC901" s="2" t="n">
        <v>78.27</v>
      </c>
      <c r="ED901" s="2" t="n">
        <v>0</v>
      </c>
      <c r="EE901" s="2" t="n">
        <v>82.22</v>
      </c>
      <c r="EF901" s="2" t="n">
        <v>84.26000000000001</v>
      </c>
      <c r="EG901" s="2" t="n">
        <v>0</v>
      </c>
      <c r="EH901" s="2" t="n">
        <v>89.09</v>
      </c>
      <c r="EI901" s="2" t="n">
        <v>91.2</v>
      </c>
      <c r="EJ901" s="2" t="n">
        <v>0</v>
      </c>
      <c r="EK901" s="2" t="n">
        <v>95.55</v>
      </c>
      <c r="EL901" s="2" t="n">
        <v>96.84999999999999</v>
      </c>
      <c r="EM901" s="2" t="n">
        <v>0</v>
      </c>
      <c r="EN901" s="2" t="n">
        <v>99.81999999999999</v>
      </c>
      <c r="EO901" s="2" t="n">
        <v>99.97</v>
      </c>
      <c r="EP901" s="2" t="n">
        <v>0</v>
      </c>
      <c r="EQ901" s="2" t="n">
        <v>100</v>
      </c>
      <c r="ER901" s="2" t="n">
        <v>100</v>
      </c>
      <c r="ES901" s="2" t="n">
        <v>0</v>
      </c>
    </row>
    <row r="902">
      <c r="A902" s="2" t="n">
        <v>2</v>
      </c>
      <c r="B902" s="2" t="inlineStr">
        <is>
          <t>35.02</t>
        </is>
      </c>
      <c r="C902" s="2" t="inlineStr">
        <is>
          <t>Esmalte sintético</t>
        </is>
      </c>
      <c r="D902" s="2" t="inlineStr">
        <is>
          <t>17/04/2028</t>
        </is>
      </c>
      <c r="E902" s="2" t="inlineStr">
        <is>
          <t>15/01/2029</t>
        </is>
      </c>
      <c r="F902" s="2" t="n">
        <v>262207.567157645</v>
      </c>
      <c r="G902" s="2" t="n">
        <v>0</v>
      </c>
      <c r="H902" s="2" t="n">
        <v>262207.567157645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0</v>
      </c>
      <c r="CV902" s="2" t="n">
        <v>0</v>
      </c>
      <c r="CW902" s="2" t="n">
        <v>0</v>
      </c>
      <c r="CX902" s="2" t="n">
        <v>0</v>
      </c>
      <c r="CY902" s="2" t="n">
        <v>0</v>
      </c>
      <c r="CZ902" s="2" t="n">
        <v>0</v>
      </c>
      <c r="DA902" s="2" t="n">
        <v>0</v>
      </c>
      <c r="DB902" s="2" t="n">
        <v>0</v>
      </c>
      <c r="DC902" s="2" t="n">
        <v>0</v>
      </c>
      <c r="DD902" s="2" t="n">
        <v>0</v>
      </c>
      <c r="DE902" s="2" t="n">
        <v>0</v>
      </c>
      <c r="DF902" s="2" t="n">
        <v>0</v>
      </c>
      <c r="DG902" s="2" t="n">
        <v>7.85</v>
      </c>
      <c r="DH902" s="2" t="n">
        <v>8.83</v>
      </c>
      <c r="DI902" s="2" t="n">
        <v>0</v>
      </c>
      <c r="DJ902" s="2" t="n">
        <v>36.6</v>
      </c>
      <c r="DK902" s="2" t="n">
        <v>41.97</v>
      </c>
      <c r="DL902" s="2" t="n">
        <v>0</v>
      </c>
      <c r="DM902" s="2" t="n">
        <v>43.04</v>
      </c>
      <c r="DN902" s="2" t="n">
        <v>43.04</v>
      </c>
      <c r="DO902" s="2" t="n">
        <v>0</v>
      </c>
      <c r="DP902" s="2" t="n">
        <v>43.04</v>
      </c>
      <c r="DQ902" s="2" t="n">
        <v>43.04</v>
      </c>
      <c r="DR902" s="2" t="n">
        <v>0</v>
      </c>
      <c r="DS902" s="2" t="n">
        <v>43.04</v>
      </c>
      <c r="DT902" s="2" t="n">
        <v>43.04</v>
      </c>
      <c r="DU902" s="2" t="n">
        <v>0</v>
      </c>
      <c r="DV902" s="2" t="n">
        <v>43.04</v>
      </c>
      <c r="DW902" s="2" t="n">
        <v>57.28</v>
      </c>
      <c r="DX902" s="2" t="n">
        <v>0</v>
      </c>
      <c r="DY902" s="2" t="n">
        <v>57.28</v>
      </c>
      <c r="DZ902" s="2" t="n">
        <v>71.52</v>
      </c>
      <c r="EA902" s="2" t="n">
        <v>0</v>
      </c>
      <c r="EB902" s="2" t="n">
        <v>70.56999999999999</v>
      </c>
      <c r="EC902" s="2" t="n">
        <v>82.91</v>
      </c>
      <c r="ED902" s="2" t="n">
        <v>0</v>
      </c>
      <c r="EE902" s="2" t="n">
        <v>78.17</v>
      </c>
      <c r="EF902" s="2" t="n">
        <v>90.51000000000001</v>
      </c>
      <c r="EG902" s="2" t="n">
        <v>0</v>
      </c>
      <c r="EH902" s="2" t="n">
        <v>92.41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</row>
    <row r="903">
      <c r="A903" s="2" t="n">
        <v>3</v>
      </c>
      <c r="B903" s="2" t="inlineStr">
        <is>
          <t>35.02.01</t>
        </is>
      </c>
      <c r="C903" s="2" t="inlineStr">
        <is>
          <t>Pintura esmalte sobre esquadrias de aço  (1 demão zarcão + 2 demãos esmalte)</t>
        </is>
      </c>
      <c r="D903" s="2" t="inlineStr">
        <is>
          <t>05/05/2028</t>
        </is>
      </c>
      <c r="E903" s="2" t="inlineStr">
        <is>
          <t>01/06/2028</t>
        </is>
      </c>
      <c r="F903" s="2" t="n">
        <v>56263.55909148065</v>
      </c>
      <c r="G903" s="2" t="n">
        <v>0</v>
      </c>
      <c r="H903" s="2" t="n">
        <v>56263.55909148065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0</v>
      </c>
      <c r="CV903" s="2" t="n">
        <v>0</v>
      </c>
      <c r="CW903" s="2" t="n">
        <v>0</v>
      </c>
      <c r="CX903" s="2" t="n">
        <v>0</v>
      </c>
      <c r="CY903" s="2" t="n">
        <v>0</v>
      </c>
      <c r="CZ903" s="2" t="n">
        <v>0</v>
      </c>
      <c r="DA903" s="2" t="n">
        <v>0</v>
      </c>
      <c r="DB903" s="2" t="n">
        <v>0</v>
      </c>
      <c r="DC903" s="2" t="n">
        <v>0</v>
      </c>
      <c r="DD903" s="2" t="n">
        <v>0</v>
      </c>
      <c r="DE903" s="2" t="n">
        <v>0</v>
      </c>
      <c r="DF903" s="2" t="n">
        <v>0</v>
      </c>
      <c r="DG903" s="2" t="n">
        <v>0</v>
      </c>
      <c r="DH903" s="2" t="n">
        <v>0</v>
      </c>
      <c r="DI903" s="2" t="n">
        <v>0</v>
      </c>
      <c r="DJ903" s="2" t="n">
        <v>70</v>
      </c>
      <c r="DK903" s="2" t="n">
        <v>95</v>
      </c>
      <c r="DL903" s="2" t="n">
        <v>0</v>
      </c>
      <c r="DM903" s="2" t="n">
        <v>100</v>
      </c>
      <c r="DN903" s="2" t="n">
        <v>100</v>
      </c>
      <c r="DO903" s="2" t="n">
        <v>0</v>
      </c>
      <c r="DP903" s="2" t="n">
        <v>100</v>
      </c>
      <c r="DQ903" s="2" t="n">
        <v>100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</row>
    <row r="904">
      <c r="A904" s="2" t="n">
        <v>3</v>
      </c>
      <c r="B904" s="2" t="inlineStr">
        <is>
          <t>35.02.02</t>
        </is>
      </c>
      <c r="C904" s="2" t="inlineStr">
        <is>
          <t>Pintura de tubulações aparentes para estacionamentos (1 demão zarcão + 2 demãos esmalte)</t>
        </is>
      </c>
      <c r="D904" s="2" t="inlineStr">
        <is>
          <t>17/04/2028</t>
        </is>
      </c>
      <c r="E904" s="2" t="inlineStr">
        <is>
          <t>15/01/2029</t>
        </is>
      </c>
      <c r="F904" s="2" t="n">
        <v>205944.0080661644</v>
      </c>
      <c r="G904" s="2" t="n">
        <v>0</v>
      </c>
      <c r="H904" s="2" t="n">
        <v>205944.0080661644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0</v>
      </c>
      <c r="CY904" s="2" t="n">
        <v>0</v>
      </c>
      <c r="CZ904" s="2" t="n">
        <v>0</v>
      </c>
      <c r="DA904" s="2" t="n">
        <v>0</v>
      </c>
      <c r="DB904" s="2" t="n">
        <v>0</v>
      </c>
      <c r="DC904" s="2" t="n">
        <v>0</v>
      </c>
      <c r="DD904" s="2" t="n">
        <v>0</v>
      </c>
      <c r="DE904" s="2" t="n">
        <v>0</v>
      </c>
      <c r="DF904" s="2" t="n">
        <v>0</v>
      </c>
      <c r="DG904" s="2" t="n">
        <v>9.99</v>
      </c>
      <c r="DH904" s="2" t="n">
        <v>11.24</v>
      </c>
      <c r="DI904" s="2" t="n">
        <v>0</v>
      </c>
      <c r="DJ904" s="2" t="n">
        <v>27.48</v>
      </c>
      <c r="DK904" s="2" t="n">
        <v>27.48</v>
      </c>
      <c r="DL904" s="2" t="n">
        <v>0</v>
      </c>
      <c r="DM904" s="2" t="n">
        <v>27.48</v>
      </c>
      <c r="DN904" s="2" t="n">
        <v>27.48</v>
      </c>
      <c r="DO904" s="2" t="n">
        <v>0</v>
      </c>
      <c r="DP904" s="2" t="n">
        <v>27.48</v>
      </c>
      <c r="DQ904" s="2" t="n">
        <v>27.48</v>
      </c>
      <c r="DR904" s="2" t="n">
        <v>0</v>
      </c>
      <c r="DS904" s="2" t="n">
        <v>27.48</v>
      </c>
      <c r="DT904" s="2" t="n">
        <v>27.48</v>
      </c>
      <c r="DU904" s="2" t="n">
        <v>0</v>
      </c>
      <c r="DV904" s="2" t="n">
        <v>27.48</v>
      </c>
      <c r="DW904" s="2" t="n">
        <v>45.61</v>
      </c>
      <c r="DX904" s="2" t="n">
        <v>0</v>
      </c>
      <c r="DY904" s="2" t="n">
        <v>45.61</v>
      </c>
      <c r="DZ904" s="2" t="n">
        <v>63.74</v>
      </c>
      <c r="EA904" s="2" t="n">
        <v>0</v>
      </c>
      <c r="EB904" s="2" t="n">
        <v>62.53</v>
      </c>
      <c r="EC904" s="2" t="n">
        <v>78.23999999999999</v>
      </c>
      <c r="ED904" s="2" t="n">
        <v>0</v>
      </c>
      <c r="EE904" s="2" t="n">
        <v>72.2</v>
      </c>
      <c r="EF904" s="2" t="n">
        <v>87.91</v>
      </c>
      <c r="EG904" s="2" t="n">
        <v>0</v>
      </c>
      <c r="EH904" s="2" t="n">
        <v>90.33</v>
      </c>
      <c r="EI904" s="2" t="n">
        <v>100</v>
      </c>
      <c r="EJ904" s="2" t="n">
        <v>0</v>
      </c>
      <c r="EK904" s="2" t="n">
        <v>100</v>
      </c>
      <c r="EL904" s="2" t="n">
        <v>100</v>
      </c>
      <c r="EM904" s="2" t="n">
        <v>0</v>
      </c>
      <c r="EN904" s="2" t="n">
        <v>100</v>
      </c>
      <c r="EO904" s="2" t="n">
        <v>100</v>
      </c>
      <c r="EP904" s="2" t="n">
        <v>0</v>
      </c>
      <c r="EQ904" s="2" t="n">
        <v>100</v>
      </c>
      <c r="ER904" s="2" t="n">
        <v>100</v>
      </c>
      <c r="ES904" s="2" t="n">
        <v>0</v>
      </c>
    </row>
    <row r="905">
      <c r="A905" s="2" t="n">
        <v>2</v>
      </c>
      <c r="B905" s="2" t="inlineStr">
        <is>
          <t>35.03</t>
        </is>
      </c>
      <c r="C905" s="2" t="inlineStr">
        <is>
          <t>Pintura Texturizada</t>
        </is>
      </c>
      <c r="D905" s="2" t="inlineStr">
        <is>
          <t>17/04/2028</t>
        </is>
      </c>
      <c r="E905" s="2" t="inlineStr">
        <is>
          <t>09/03/2029</t>
        </is>
      </c>
      <c r="F905" s="2" t="n">
        <v>170242.5560705028</v>
      </c>
      <c r="G905" s="2" t="n">
        <v>0</v>
      </c>
      <c r="H905" s="2" t="n">
        <v>170242.5560705028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0</v>
      </c>
      <c r="CY905" s="2" t="n">
        <v>0</v>
      </c>
      <c r="CZ905" s="2" t="n">
        <v>0</v>
      </c>
      <c r="DA905" s="2" t="n">
        <v>0</v>
      </c>
      <c r="DB905" s="2" t="n">
        <v>0</v>
      </c>
      <c r="DC905" s="2" t="n">
        <v>0</v>
      </c>
      <c r="DD905" s="2" t="n">
        <v>0</v>
      </c>
      <c r="DE905" s="2" t="n">
        <v>0</v>
      </c>
      <c r="DF905" s="2" t="n">
        <v>0</v>
      </c>
      <c r="DG905" s="2" t="n">
        <v>3.33</v>
      </c>
      <c r="DH905" s="2" t="n">
        <v>3.75</v>
      </c>
      <c r="DI905" s="2" t="n">
        <v>0</v>
      </c>
      <c r="DJ905" s="2" t="n">
        <v>9.16</v>
      </c>
      <c r="DK905" s="2" t="n">
        <v>9.16</v>
      </c>
      <c r="DL905" s="2" t="n">
        <v>0</v>
      </c>
      <c r="DM905" s="2" t="n">
        <v>18.32</v>
      </c>
      <c r="DN905" s="2" t="n">
        <v>18.32</v>
      </c>
      <c r="DO905" s="2" t="n">
        <v>0</v>
      </c>
      <c r="DP905" s="2" t="n">
        <v>18.32</v>
      </c>
      <c r="DQ905" s="2" t="n">
        <v>18.32</v>
      </c>
      <c r="DR905" s="2" t="n">
        <v>0</v>
      </c>
      <c r="DS905" s="2" t="n">
        <v>18.32</v>
      </c>
      <c r="DT905" s="2" t="n">
        <v>18.32</v>
      </c>
      <c r="DU905" s="2" t="n">
        <v>0</v>
      </c>
      <c r="DV905" s="2" t="n">
        <v>18.32</v>
      </c>
      <c r="DW905" s="2" t="n">
        <v>22.19</v>
      </c>
      <c r="DX905" s="2" t="n">
        <v>0</v>
      </c>
      <c r="DY905" s="2" t="n">
        <v>22.43</v>
      </c>
      <c r="DZ905" s="2" t="n">
        <v>27.26</v>
      </c>
      <c r="EA905" s="2" t="n">
        <v>0</v>
      </c>
      <c r="EB905" s="2" t="n">
        <v>27.02</v>
      </c>
      <c r="EC905" s="2" t="n">
        <v>38.26</v>
      </c>
      <c r="ED905" s="2" t="n">
        <v>0</v>
      </c>
      <c r="EE905" s="2" t="n">
        <v>34.34</v>
      </c>
      <c r="EF905" s="2" t="n">
        <v>43.4</v>
      </c>
      <c r="EG905" s="2" t="n">
        <v>0</v>
      </c>
      <c r="EH905" s="2" t="n">
        <v>45.21</v>
      </c>
      <c r="EI905" s="2" t="n">
        <v>56.39</v>
      </c>
      <c r="EJ905" s="2" t="n">
        <v>0</v>
      </c>
      <c r="EK905" s="2" t="n">
        <v>56.39</v>
      </c>
      <c r="EL905" s="2" t="n">
        <v>62.44</v>
      </c>
      <c r="EM905" s="2" t="n">
        <v>0</v>
      </c>
      <c r="EN905" s="2" t="n">
        <v>63.04</v>
      </c>
      <c r="EO905" s="2" t="n">
        <v>66.67</v>
      </c>
      <c r="EP905" s="2" t="n">
        <v>0</v>
      </c>
      <c r="EQ905" s="2" t="n">
        <v>66.67</v>
      </c>
      <c r="ER905" s="2" t="n">
        <v>66.67</v>
      </c>
      <c r="ES905" s="2" t="n">
        <v>0</v>
      </c>
    </row>
    <row r="906">
      <c r="A906" s="2" t="n">
        <v>3</v>
      </c>
      <c r="B906" s="2" t="inlineStr">
        <is>
          <t>35.03.01</t>
        </is>
      </c>
      <c r="C906" s="2" t="inlineStr">
        <is>
          <t>Textura acrílica rolada fosca na cor Mármore. Ref.: Suvinil.</t>
        </is>
      </c>
      <c r="D906" s="2" t="inlineStr">
        <is>
          <t>17/04/2028</t>
        </is>
      </c>
      <c r="E906" s="2" t="inlineStr">
        <is>
          <t>09/03/2029</t>
        </is>
      </c>
      <c r="F906" s="2" t="n">
        <v>135146.8133705028</v>
      </c>
      <c r="G906" s="2" t="n">
        <v>0</v>
      </c>
      <c r="H906" s="2" t="n">
        <v>135146.8133705028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0</v>
      </c>
      <c r="CY906" s="2" t="n">
        <v>0</v>
      </c>
      <c r="CZ906" s="2" t="n">
        <v>0</v>
      </c>
      <c r="DA906" s="2" t="n">
        <v>0</v>
      </c>
      <c r="DB906" s="2" t="n">
        <v>0</v>
      </c>
      <c r="DC906" s="2" t="n">
        <v>0</v>
      </c>
      <c r="DD906" s="2" t="n">
        <v>0</v>
      </c>
      <c r="DE906" s="2" t="n">
        <v>0</v>
      </c>
      <c r="DF906" s="2" t="n">
        <v>0</v>
      </c>
      <c r="DG906" s="2" t="n">
        <v>3.33</v>
      </c>
      <c r="DH906" s="2" t="n">
        <v>3.75</v>
      </c>
      <c r="DI906" s="2" t="n">
        <v>0</v>
      </c>
      <c r="DJ906" s="2" t="n">
        <v>9.16</v>
      </c>
      <c r="DK906" s="2" t="n">
        <v>9.16</v>
      </c>
      <c r="DL906" s="2" t="n">
        <v>0</v>
      </c>
      <c r="DM906" s="2" t="n">
        <v>18.32</v>
      </c>
      <c r="DN906" s="2" t="n">
        <v>18.32</v>
      </c>
      <c r="DO906" s="2" t="n">
        <v>0</v>
      </c>
      <c r="DP906" s="2" t="n">
        <v>18.32</v>
      </c>
      <c r="DQ906" s="2" t="n">
        <v>18.32</v>
      </c>
      <c r="DR906" s="2" t="n">
        <v>0</v>
      </c>
      <c r="DS906" s="2" t="n">
        <v>18.32</v>
      </c>
      <c r="DT906" s="2" t="n">
        <v>18.32</v>
      </c>
      <c r="DU906" s="2" t="n">
        <v>0</v>
      </c>
      <c r="DV906" s="2" t="n">
        <v>18.32</v>
      </c>
      <c r="DW906" s="2" t="n">
        <v>22.19</v>
      </c>
      <c r="DX906" s="2" t="n">
        <v>0</v>
      </c>
      <c r="DY906" s="2" t="n">
        <v>22.43</v>
      </c>
      <c r="DZ906" s="2" t="n">
        <v>27.26</v>
      </c>
      <c r="EA906" s="2" t="n">
        <v>0</v>
      </c>
      <c r="EB906" s="2" t="n">
        <v>27.02</v>
      </c>
      <c r="EC906" s="2" t="n">
        <v>38.26</v>
      </c>
      <c r="ED906" s="2" t="n">
        <v>0</v>
      </c>
      <c r="EE906" s="2" t="n">
        <v>34.34</v>
      </c>
      <c r="EF906" s="2" t="n">
        <v>43.4</v>
      </c>
      <c r="EG906" s="2" t="n">
        <v>0</v>
      </c>
      <c r="EH906" s="2" t="n">
        <v>45.21</v>
      </c>
      <c r="EI906" s="2" t="n">
        <v>56.39</v>
      </c>
      <c r="EJ906" s="2" t="n">
        <v>0</v>
      </c>
      <c r="EK906" s="2" t="n">
        <v>56.39</v>
      </c>
      <c r="EL906" s="2" t="n">
        <v>62.44</v>
      </c>
      <c r="EM906" s="2" t="n">
        <v>0</v>
      </c>
      <c r="EN906" s="2" t="n">
        <v>63.04</v>
      </c>
      <c r="EO906" s="2" t="n">
        <v>66.67</v>
      </c>
      <c r="EP906" s="2" t="n">
        <v>0</v>
      </c>
      <c r="EQ906" s="2" t="n">
        <v>66.67</v>
      </c>
      <c r="ER906" s="2" t="n">
        <v>66.67</v>
      </c>
      <c r="ES906" s="2" t="n">
        <v>0</v>
      </c>
    </row>
    <row r="907">
      <c r="A907" s="2" t="n">
        <v>3</v>
      </c>
      <c r="B907" s="2" t="inlineStr">
        <is>
          <t>35.03.02</t>
        </is>
      </c>
      <c r="C907" s="2" t="inlineStr">
        <is>
          <t>Textura DECORART.IT Efeito Velvet tom Coral Cinza de Grife</t>
        </is>
      </c>
      <c r="D907" s="2" t="inlineStr">
        <is>
          <t>17/04/2028</t>
        </is>
      </c>
      <c r="E907" s="2" t="inlineStr">
        <is>
          <t>09/03/2029</t>
        </is>
      </c>
      <c r="F907" s="2" t="n">
        <v>30991.32420000001</v>
      </c>
      <c r="G907" s="2" t="n">
        <v>0</v>
      </c>
      <c r="H907" s="2" t="n">
        <v>30991.32420000001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0</v>
      </c>
      <c r="CY907" s="2" t="n">
        <v>0</v>
      </c>
      <c r="CZ907" s="2" t="n">
        <v>0</v>
      </c>
      <c r="DA907" s="2" t="n">
        <v>0</v>
      </c>
      <c r="DB907" s="2" t="n">
        <v>0</v>
      </c>
      <c r="DC907" s="2" t="n">
        <v>0</v>
      </c>
      <c r="DD907" s="2" t="n">
        <v>0</v>
      </c>
      <c r="DE907" s="2" t="n">
        <v>0</v>
      </c>
      <c r="DF907" s="2" t="n">
        <v>0</v>
      </c>
      <c r="DG907" s="2" t="n">
        <v>3.33</v>
      </c>
      <c r="DH907" s="2" t="n">
        <v>3.75</v>
      </c>
      <c r="DI907" s="2" t="n">
        <v>0</v>
      </c>
      <c r="DJ907" s="2" t="n">
        <v>9.16</v>
      </c>
      <c r="DK907" s="2" t="n">
        <v>9.16</v>
      </c>
      <c r="DL907" s="2" t="n">
        <v>0</v>
      </c>
      <c r="DM907" s="2" t="n">
        <v>18.32</v>
      </c>
      <c r="DN907" s="2" t="n">
        <v>18.32</v>
      </c>
      <c r="DO907" s="2" t="n">
        <v>0</v>
      </c>
      <c r="DP907" s="2" t="n">
        <v>18.32</v>
      </c>
      <c r="DQ907" s="2" t="n">
        <v>18.32</v>
      </c>
      <c r="DR907" s="2" t="n">
        <v>0</v>
      </c>
      <c r="DS907" s="2" t="n">
        <v>18.32</v>
      </c>
      <c r="DT907" s="2" t="n">
        <v>18.32</v>
      </c>
      <c r="DU907" s="2" t="n">
        <v>0</v>
      </c>
      <c r="DV907" s="2" t="n">
        <v>18.32</v>
      </c>
      <c r="DW907" s="2" t="n">
        <v>22.19</v>
      </c>
      <c r="DX907" s="2" t="n">
        <v>0</v>
      </c>
      <c r="DY907" s="2" t="n">
        <v>22.43</v>
      </c>
      <c r="DZ907" s="2" t="n">
        <v>27.26</v>
      </c>
      <c r="EA907" s="2" t="n">
        <v>0</v>
      </c>
      <c r="EB907" s="2" t="n">
        <v>27.02</v>
      </c>
      <c r="EC907" s="2" t="n">
        <v>38.26</v>
      </c>
      <c r="ED907" s="2" t="n">
        <v>0</v>
      </c>
      <c r="EE907" s="2" t="n">
        <v>34.34</v>
      </c>
      <c r="EF907" s="2" t="n">
        <v>43.4</v>
      </c>
      <c r="EG907" s="2" t="n">
        <v>0</v>
      </c>
      <c r="EH907" s="2" t="n">
        <v>45.21</v>
      </c>
      <c r="EI907" s="2" t="n">
        <v>56.39</v>
      </c>
      <c r="EJ907" s="2" t="n">
        <v>0</v>
      </c>
      <c r="EK907" s="2" t="n">
        <v>56.39</v>
      </c>
      <c r="EL907" s="2" t="n">
        <v>62.44</v>
      </c>
      <c r="EM907" s="2" t="n">
        <v>0</v>
      </c>
      <c r="EN907" s="2" t="n">
        <v>63.04</v>
      </c>
      <c r="EO907" s="2" t="n">
        <v>66.67</v>
      </c>
      <c r="EP907" s="2" t="n">
        <v>0</v>
      </c>
      <c r="EQ907" s="2" t="n">
        <v>66.67</v>
      </c>
      <c r="ER907" s="2" t="n">
        <v>66.67</v>
      </c>
      <c r="ES907" s="2" t="n">
        <v>0</v>
      </c>
    </row>
    <row r="908">
      <c r="A908" s="2" t="n">
        <v>3</v>
      </c>
      <c r="B908" s="2" t="inlineStr">
        <is>
          <t>35.03.03</t>
        </is>
      </c>
      <c r="C908" s="2" t="inlineStr">
        <is>
          <t>Textura Dacapo Rev. Cristal Areia</t>
        </is>
      </c>
      <c r="D908" s="2" t="inlineStr">
        <is>
          <t>17/04/2028</t>
        </is>
      </c>
      <c r="E908" s="2" t="inlineStr">
        <is>
          <t>09/03/2029</t>
        </is>
      </c>
      <c r="F908" s="2" t="n">
        <v>4104.4185</v>
      </c>
      <c r="G908" s="2" t="n">
        <v>0</v>
      </c>
      <c r="H908" s="2" t="n">
        <v>4104.4185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0</v>
      </c>
      <c r="CY908" s="2" t="n">
        <v>0</v>
      </c>
      <c r="CZ908" s="2" t="n">
        <v>0</v>
      </c>
      <c r="DA908" s="2" t="n">
        <v>0</v>
      </c>
      <c r="DB908" s="2" t="n">
        <v>0</v>
      </c>
      <c r="DC908" s="2" t="n">
        <v>0</v>
      </c>
      <c r="DD908" s="2" t="n">
        <v>0</v>
      </c>
      <c r="DE908" s="2" t="n">
        <v>0</v>
      </c>
      <c r="DF908" s="2" t="n">
        <v>0</v>
      </c>
      <c r="DG908" s="2" t="n">
        <v>3.33</v>
      </c>
      <c r="DH908" s="2" t="n">
        <v>3.75</v>
      </c>
      <c r="DI908" s="2" t="n">
        <v>0</v>
      </c>
      <c r="DJ908" s="2" t="n">
        <v>9.16</v>
      </c>
      <c r="DK908" s="2" t="n">
        <v>9.16</v>
      </c>
      <c r="DL908" s="2" t="n">
        <v>0</v>
      </c>
      <c r="DM908" s="2" t="n">
        <v>18.32</v>
      </c>
      <c r="DN908" s="2" t="n">
        <v>18.32</v>
      </c>
      <c r="DO908" s="2" t="n">
        <v>0</v>
      </c>
      <c r="DP908" s="2" t="n">
        <v>18.32</v>
      </c>
      <c r="DQ908" s="2" t="n">
        <v>18.32</v>
      </c>
      <c r="DR908" s="2" t="n">
        <v>0</v>
      </c>
      <c r="DS908" s="2" t="n">
        <v>18.32</v>
      </c>
      <c r="DT908" s="2" t="n">
        <v>18.32</v>
      </c>
      <c r="DU908" s="2" t="n">
        <v>0</v>
      </c>
      <c r="DV908" s="2" t="n">
        <v>18.32</v>
      </c>
      <c r="DW908" s="2" t="n">
        <v>22.19</v>
      </c>
      <c r="DX908" s="2" t="n">
        <v>0</v>
      </c>
      <c r="DY908" s="2" t="n">
        <v>22.43</v>
      </c>
      <c r="DZ908" s="2" t="n">
        <v>27.26</v>
      </c>
      <c r="EA908" s="2" t="n">
        <v>0</v>
      </c>
      <c r="EB908" s="2" t="n">
        <v>27.02</v>
      </c>
      <c r="EC908" s="2" t="n">
        <v>38.26</v>
      </c>
      <c r="ED908" s="2" t="n">
        <v>0</v>
      </c>
      <c r="EE908" s="2" t="n">
        <v>34.34</v>
      </c>
      <c r="EF908" s="2" t="n">
        <v>43.4</v>
      </c>
      <c r="EG908" s="2" t="n">
        <v>0</v>
      </c>
      <c r="EH908" s="2" t="n">
        <v>45.21</v>
      </c>
      <c r="EI908" s="2" t="n">
        <v>56.39</v>
      </c>
      <c r="EJ908" s="2" t="n">
        <v>0</v>
      </c>
      <c r="EK908" s="2" t="n">
        <v>56.39</v>
      </c>
      <c r="EL908" s="2" t="n">
        <v>62.44</v>
      </c>
      <c r="EM908" s="2" t="n">
        <v>0</v>
      </c>
      <c r="EN908" s="2" t="n">
        <v>63.04</v>
      </c>
      <c r="EO908" s="2" t="n">
        <v>66.67</v>
      </c>
      <c r="EP908" s="2" t="n">
        <v>0</v>
      </c>
      <c r="EQ908" s="2" t="n">
        <v>66.67</v>
      </c>
      <c r="ER908" s="2" t="n">
        <v>66.67</v>
      </c>
      <c r="ES908" s="2" t="n">
        <v>0</v>
      </c>
    </row>
    <row r="909">
      <c r="A909" s="2" t="n">
        <v>2</v>
      </c>
      <c r="B909" s="2" t="inlineStr">
        <is>
          <t>35.04</t>
        </is>
      </c>
      <c r="C909" s="2" t="inlineStr">
        <is>
          <t>Pintura de pisos</t>
        </is>
      </c>
      <c r="D909" s="2" t="inlineStr">
        <is>
          <t>19/05/2028</t>
        </is>
      </c>
      <c r="E909" s="2" t="inlineStr">
        <is>
          <t>23/02/2029</t>
        </is>
      </c>
      <c r="F909" s="2" t="n">
        <v>121225.1724712322</v>
      </c>
      <c r="G909" s="2" t="n">
        <v>0</v>
      </c>
      <c r="H909" s="2" t="n">
        <v>121225.1724712322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0</v>
      </c>
      <c r="CY909" s="2" t="n">
        <v>0</v>
      </c>
      <c r="CZ909" s="2" t="n">
        <v>0</v>
      </c>
      <c r="DA909" s="2" t="n">
        <v>0</v>
      </c>
      <c r="DB909" s="2" t="n">
        <v>0</v>
      </c>
      <c r="DC909" s="2" t="n">
        <v>0</v>
      </c>
      <c r="DD909" s="2" t="n">
        <v>0</v>
      </c>
      <c r="DE909" s="2" t="n">
        <v>0</v>
      </c>
      <c r="DF909" s="2" t="n">
        <v>0</v>
      </c>
      <c r="DG909" s="2" t="n">
        <v>0</v>
      </c>
      <c r="DH909" s="2" t="n">
        <v>0</v>
      </c>
      <c r="DI909" s="2" t="n">
        <v>0</v>
      </c>
      <c r="DJ909" s="2" t="n">
        <v>14.66</v>
      </c>
      <c r="DK909" s="2" t="n">
        <v>16.49</v>
      </c>
      <c r="DL909" s="2" t="n">
        <v>0</v>
      </c>
      <c r="DM909" s="2" t="n">
        <v>27.48</v>
      </c>
      <c r="DN909" s="2" t="n">
        <v>27.48</v>
      </c>
      <c r="DO909" s="2" t="n">
        <v>0</v>
      </c>
      <c r="DP909" s="2" t="n">
        <v>27.48</v>
      </c>
      <c r="DQ909" s="2" t="n">
        <v>27.48</v>
      </c>
      <c r="DR909" s="2" t="n">
        <v>0</v>
      </c>
      <c r="DS909" s="2" t="n">
        <v>27.48</v>
      </c>
      <c r="DT909" s="2" t="n">
        <v>27.48</v>
      </c>
      <c r="DU909" s="2" t="n">
        <v>0</v>
      </c>
      <c r="DV909" s="2" t="n">
        <v>27.48</v>
      </c>
      <c r="DW909" s="2" t="n">
        <v>27.48</v>
      </c>
      <c r="DX909" s="2" t="n">
        <v>0</v>
      </c>
      <c r="DY909" s="2" t="n">
        <v>27.48</v>
      </c>
      <c r="DZ909" s="2" t="n">
        <v>38.36</v>
      </c>
      <c r="EA909" s="2" t="n">
        <v>0</v>
      </c>
      <c r="EB909" s="2" t="n">
        <v>37.45</v>
      </c>
      <c r="EC909" s="2" t="n">
        <v>51.05</v>
      </c>
      <c r="ED909" s="2" t="n">
        <v>0</v>
      </c>
      <c r="EE909" s="2" t="n">
        <v>46.52</v>
      </c>
      <c r="EF909" s="2" t="n">
        <v>64.65000000000001</v>
      </c>
      <c r="EG909" s="2" t="n">
        <v>0</v>
      </c>
      <c r="EH909" s="2" t="n">
        <v>66.45999999999999</v>
      </c>
      <c r="EI909" s="2" t="n">
        <v>84.59</v>
      </c>
      <c r="EJ909" s="2" t="n">
        <v>0</v>
      </c>
      <c r="EK909" s="2" t="n">
        <v>84.59</v>
      </c>
      <c r="EL909" s="2" t="n">
        <v>100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</row>
    <row r="910">
      <c r="A910" s="2" t="n">
        <v>3</v>
      </c>
      <c r="B910" s="2" t="inlineStr">
        <is>
          <t>35.04.01</t>
        </is>
      </c>
      <c r="C910" s="2" t="inlineStr">
        <is>
          <t>Pintura de demarcação de vagas com borracha clorada</t>
        </is>
      </c>
      <c r="D910" s="2" t="inlineStr">
        <is>
          <t>19/05/2028</t>
        </is>
      </c>
      <c r="E910" s="2" t="inlineStr">
        <is>
          <t>23/02/2029</t>
        </is>
      </c>
      <c r="F910" s="2" t="n">
        <v>83118.75</v>
      </c>
      <c r="G910" s="2" t="n">
        <v>0</v>
      </c>
      <c r="H910" s="2" t="n">
        <v>83118.75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0</v>
      </c>
      <c r="CY910" s="2" t="n">
        <v>0</v>
      </c>
      <c r="CZ910" s="2" t="n">
        <v>0</v>
      </c>
      <c r="DA910" s="2" t="n">
        <v>0</v>
      </c>
      <c r="DB910" s="2" t="n">
        <v>0</v>
      </c>
      <c r="DC910" s="2" t="n">
        <v>0</v>
      </c>
      <c r="DD910" s="2" t="n">
        <v>0</v>
      </c>
      <c r="DE910" s="2" t="n">
        <v>0</v>
      </c>
      <c r="DF910" s="2" t="n">
        <v>0</v>
      </c>
      <c r="DG910" s="2" t="n">
        <v>0</v>
      </c>
      <c r="DH910" s="2" t="n">
        <v>0</v>
      </c>
      <c r="DI910" s="2" t="n">
        <v>0</v>
      </c>
      <c r="DJ910" s="2" t="n">
        <v>14.66</v>
      </c>
      <c r="DK910" s="2" t="n">
        <v>16.49</v>
      </c>
      <c r="DL910" s="2" t="n">
        <v>0</v>
      </c>
      <c r="DM910" s="2" t="n">
        <v>27.48</v>
      </c>
      <c r="DN910" s="2" t="n">
        <v>27.48</v>
      </c>
      <c r="DO910" s="2" t="n">
        <v>0</v>
      </c>
      <c r="DP910" s="2" t="n">
        <v>27.48</v>
      </c>
      <c r="DQ910" s="2" t="n">
        <v>27.48</v>
      </c>
      <c r="DR910" s="2" t="n">
        <v>0</v>
      </c>
      <c r="DS910" s="2" t="n">
        <v>27.48</v>
      </c>
      <c r="DT910" s="2" t="n">
        <v>27.48</v>
      </c>
      <c r="DU910" s="2" t="n">
        <v>0</v>
      </c>
      <c r="DV910" s="2" t="n">
        <v>27.48</v>
      </c>
      <c r="DW910" s="2" t="n">
        <v>27.48</v>
      </c>
      <c r="DX910" s="2" t="n">
        <v>0</v>
      </c>
      <c r="DY910" s="2" t="n">
        <v>27.48</v>
      </c>
      <c r="DZ910" s="2" t="n">
        <v>38.36</v>
      </c>
      <c r="EA910" s="2" t="n">
        <v>0</v>
      </c>
      <c r="EB910" s="2" t="n">
        <v>37.45</v>
      </c>
      <c r="EC910" s="2" t="n">
        <v>51.05</v>
      </c>
      <c r="ED910" s="2" t="n">
        <v>0</v>
      </c>
      <c r="EE910" s="2" t="n">
        <v>46.52</v>
      </c>
      <c r="EF910" s="2" t="n">
        <v>64.65000000000001</v>
      </c>
      <c r="EG910" s="2" t="n">
        <v>0</v>
      </c>
      <c r="EH910" s="2" t="n">
        <v>66.45999999999999</v>
      </c>
      <c r="EI910" s="2" t="n">
        <v>84.59</v>
      </c>
      <c r="EJ910" s="2" t="n">
        <v>0</v>
      </c>
      <c r="EK910" s="2" t="n">
        <v>84.59</v>
      </c>
      <c r="EL910" s="2" t="n">
        <v>100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</row>
    <row r="911">
      <c r="A911" s="2" t="n">
        <v>3</v>
      </c>
      <c r="B911" s="2" t="inlineStr">
        <is>
          <t>35.04.02</t>
        </is>
      </c>
      <c r="C911" s="2" t="inlineStr">
        <is>
          <t>Pintura de pisos com emulsão acrílica Novacor Pisos ou similar  (2 demãos emulsão acrílica)</t>
        </is>
      </c>
      <c r="D911" s="2" t="inlineStr">
        <is>
          <t>19/05/2028</t>
        </is>
      </c>
      <c r="E911" s="2" t="inlineStr">
        <is>
          <t>23/02/2029</t>
        </is>
      </c>
      <c r="F911" s="2" t="n">
        <v>38106.42247123216</v>
      </c>
      <c r="G911" s="2" t="n">
        <v>0</v>
      </c>
      <c r="H911" s="2" t="n">
        <v>38106.42247123216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0</v>
      </c>
      <c r="CY911" s="2" t="n">
        <v>0</v>
      </c>
      <c r="CZ911" s="2" t="n">
        <v>0</v>
      </c>
      <c r="DA911" s="2" t="n">
        <v>0</v>
      </c>
      <c r="DB911" s="2" t="n">
        <v>0</v>
      </c>
      <c r="DC911" s="2" t="n">
        <v>0</v>
      </c>
      <c r="DD911" s="2" t="n">
        <v>0</v>
      </c>
      <c r="DE911" s="2" t="n">
        <v>0</v>
      </c>
      <c r="DF911" s="2" t="n">
        <v>0</v>
      </c>
      <c r="DG911" s="2" t="n">
        <v>0</v>
      </c>
      <c r="DH911" s="2" t="n">
        <v>0</v>
      </c>
      <c r="DI911" s="2" t="n">
        <v>0</v>
      </c>
      <c r="DJ911" s="2" t="n">
        <v>14.66</v>
      </c>
      <c r="DK911" s="2" t="n">
        <v>16.49</v>
      </c>
      <c r="DL911" s="2" t="n">
        <v>0</v>
      </c>
      <c r="DM911" s="2" t="n">
        <v>27.48</v>
      </c>
      <c r="DN911" s="2" t="n">
        <v>27.48</v>
      </c>
      <c r="DO911" s="2" t="n">
        <v>0</v>
      </c>
      <c r="DP911" s="2" t="n">
        <v>27.48</v>
      </c>
      <c r="DQ911" s="2" t="n">
        <v>27.48</v>
      </c>
      <c r="DR911" s="2" t="n">
        <v>0</v>
      </c>
      <c r="DS911" s="2" t="n">
        <v>27.48</v>
      </c>
      <c r="DT911" s="2" t="n">
        <v>27.48</v>
      </c>
      <c r="DU911" s="2" t="n">
        <v>0</v>
      </c>
      <c r="DV911" s="2" t="n">
        <v>27.48</v>
      </c>
      <c r="DW911" s="2" t="n">
        <v>27.48</v>
      </c>
      <c r="DX911" s="2" t="n">
        <v>0</v>
      </c>
      <c r="DY911" s="2" t="n">
        <v>27.48</v>
      </c>
      <c r="DZ911" s="2" t="n">
        <v>38.36</v>
      </c>
      <c r="EA911" s="2" t="n">
        <v>0</v>
      </c>
      <c r="EB911" s="2" t="n">
        <v>37.45</v>
      </c>
      <c r="EC911" s="2" t="n">
        <v>51.05</v>
      </c>
      <c r="ED911" s="2" t="n">
        <v>0</v>
      </c>
      <c r="EE911" s="2" t="n">
        <v>46.52</v>
      </c>
      <c r="EF911" s="2" t="n">
        <v>64.65000000000001</v>
      </c>
      <c r="EG911" s="2" t="n">
        <v>0</v>
      </c>
      <c r="EH911" s="2" t="n">
        <v>66.45999999999999</v>
      </c>
      <c r="EI911" s="2" t="n">
        <v>84.59</v>
      </c>
      <c r="EJ911" s="2" t="n">
        <v>0</v>
      </c>
      <c r="EK911" s="2" t="n">
        <v>84.59</v>
      </c>
      <c r="EL911" s="2" t="n">
        <v>100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</row>
    <row r="912">
      <c r="A912" s="2" t="n">
        <v>2</v>
      </c>
      <c r="B912" s="2" t="inlineStr">
        <is>
          <t>35.05</t>
        </is>
      </c>
      <c r="C912" s="2" t="inlineStr">
        <is>
          <t>Caiação</t>
        </is>
      </c>
      <c r="D912" s="2" t="inlineStr">
        <is>
          <t>19/05/2028</t>
        </is>
      </c>
      <c r="E912" s="2" t="inlineStr">
        <is>
          <t>09/10/2028</t>
        </is>
      </c>
      <c r="F912" s="2" t="n">
        <v>46607.99878410152</v>
      </c>
      <c r="G912" s="2" t="n">
        <v>0</v>
      </c>
      <c r="H912" s="2" t="n">
        <v>46607.99878410152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0</v>
      </c>
      <c r="CZ912" s="2" t="n">
        <v>0</v>
      </c>
      <c r="DA912" s="2" t="n">
        <v>0</v>
      </c>
      <c r="DB912" s="2" t="n">
        <v>0</v>
      </c>
      <c r="DC912" s="2" t="n">
        <v>0</v>
      </c>
      <c r="DD912" s="2" t="n">
        <v>0</v>
      </c>
      <c r="DE912" s="2" t="n">
        <v>0</v>
      </c>
      <c r="DF912" s="2" t="n">
        <v>0</v>
      </c>
      <c r="DG912" s="2" t="n">
        <v>0</v>
      </c>
      <c r="DH912" s="2" t="n">
        <v>0</v>
      </c>
      <c r="DI912" s="2" t="n">
        <v>0</v>
      </c>
      <c r="DJ912" s="2" t="n">
        <v>0</v>
      </c>
      <c r="DK912" s="2" t="n">
        <v>9.09</v>
      </c>
      <c r="DL912" s="2" t="n">
        <v>0</v>
      </c>
      <c r="DM912" s="2" t="n">
        <v>18.18</v>
      </c>
      <c r="DN912" s="2" t="n">
        <v>30.3</v>
      </c>
      <c r="DO912" s="2" t="n">
        <v>0</v>
      </c>
      <c r="DP912" s="2" t="n">
        <v>39.39</v>
      </c>
      <c r="DQ912" s="2" t="n">
        <v>51.52</v>
      </c>
      <c r="DR912" s="2" t="n">
        <v>0</v>
      </c>
      <c r="DS912" s="2" t="n">
        <v>61.62</v>
      </c>
      <c r="DT912" s="2" t="n">
        <v>73.73999999999999</v>
      </c>
      <c r="DU912" s="2" t="n">
        <v>0</v>
      </c>
      <c r="DV912" s="2" t="n">
        <v>81.81999999999999</v>
      </c>
      <c r="DW912" s="2" t="n">
        <v>93.94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</row>
    <row r="913">
      <c r="A913" s="2" t="n">
        <v>3</v>
      </c>
      <c r="B913" s="2" t="inlineStr">
        <is>
          <t>35.05.01</t>
        </is>
      </c>
      <c r="C913" s="2" t="inlineStr">
        <is>
          <t>Pintura tipo caiação com três demãos</t>
        </is>
      </c>
      <c r="D913" s="2" t="inlineStr">
        <is>
          <t>19/05/2028</t>
        </is>
      </c>
      <c r="E913" s="2" t="inlineStr">
        <is>
          <t>09/10/2028</t>
        </is>
      </c>
      <c r="F913" s="2" t="n">
        <v>46607.99878410152</v>
      </c>
      <c r="G913" s="2" t="n">
        <v>0</v>
      </c>
      <c r="H913" s="2" t="n">
        <v>46607.99878410152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0</v>
      </c>
      <c r="CZ913" s="2" t="n">
        <v>0</v>
      </c>
      <c r="DA913" s="2" t="n">
        <v>0</v>
      </c>
      <c r="DB913" s="2" t="n">
        <v>0</v>
      </c>
      <c r="DC913" s="2" t="n">
        <v>0</v>
      </c>
      <c r="DD913" s="2" t="n">
        <v>0</v>
      </c>
      <c r="DE913" s="2" t="n">
        <v>0</v>
      </c>
      <c r="DF913" s="2" t="n">
        <v>0</v>
      </c>
      <c r="DG913" s="2" t="n">
        <v>0</v>
      </c>
      <c r="DH913" s="2" t="n">
        <v>0</v>
      </c>
      <c r="DI913" s="2" t="n">
        <v>0</v>
      </c>
      <c r="DJ913" s="2" t="n">
        <v>0</v>
      </c>
      <c r="DK913" s="2" t="n">
        <v>9.09</v>
      </c>
      <c r="DL913" s="2" t="n">
        <v>0</v>
      </c>
      <c r="DM913" s="2" t="n">
        <v>18.18</v>
      </c>
      <c r="DN913" s="2" t="n">
        <v>30.3</v>
      </c>
      <c r="DO913" s="2" t="n">
        <v>0</v>
      </c>
      <c r="DP913" s="2" t="n">
        <v>39.39</v>
      </c>
      <c r="DQ913" s="2" t="n">
        <v>51.52</v>
      </c>
      <c r="DR913" s="2" t="n">
        <v>0</v>
      </c>
      <c r="DS913" s="2" t="n">
        <v>61.62</v>
      </c>
      <c r="DT913" s="2" t="n">
        <v>73.73999999999999</v>
      </c>
      <c r="DU913" s="2" t="n">
        <v>0</v>
      </c>
      <c r="DV913" s="2" t="n">
        <v>81.81999999999999</v>
      </c>
      <c r="DW913" s="2" t="n">
        <v>93.94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</row>
    <row r="914">
      <c r="A914" s="2" t="n">
        <v>2</v>
      </c>
      <c r="B914" s="2" t="inlineStr">
        <is>
          <t>35.06</t>
        </is>
      </c>
      <c r="C914" s="2" t="inlineStr">
        <is>
          <t>Verniz</t>
        </is>
      </c>
      <c r="D914" s="2" t="inlineStr">
        <is>
          <t>19/10/2026</t>
        </is>
      </c>
      <c r="E914" s="2" t="inlineStr">
        <is>
          <t>10/05/2027</t>
        </is>
      </c>
      <c r="F914" s="2" t="n">
        <v>551081.8205879439</v>
      </c>
      <c r="G914" s="2" t="n">
        <v>0</v>
      </c>
      <c r="H914" s="2" t="n">
        <v>551081.8205879439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6.11</v>
      </c>
      <c r="BG914" s="2" t="n">
        <v>0</v>
      </c>
      <c r="BH914" s="2" t="n">
        <v>0</v>
      </c>
      <c r="BI914" s="2" t="n">
        <v>17.71</v>
      </c>
      <c r="BJ914" s="2" t="n">
        <v>0</v>
      </c>
      <c r="BK914" s="2" t="n">
        <v>0</v>
      </c>
      <c r="BL914" s="2" t="n">
        <v>27.48</v>
      </c>
      <c r="BM914" s="2" t="n">
        <v>0</v>
      </c>
      <c r="BN914" s="2" t="n">
        <v>19.47</v>
      </c>
      <c r="BO914" s="2" t="n">
        <v>43.96</v>
      </c>
      <c r="BP914" s="2" t="n">
        <v>0</v>
      </c>
      <c r="BQ914" s="2" t="n">
        <v>43.19</v>
      </c>
      <c r="BR914" s="2" t="n">
        <v>60.44</v>
      </c>
      <c r="BS914" s="2" t="n">
        <v>0</v>
      </c>
      <c r="BT914" s="2" t="n">
        <v>67.37</v>
      </c>
      <c r="BU914" s="2" t="n">
        <v>76.93000000000001</v>
      </c>
      <c r="BV914" s="2" t="n">
        <v>0</v>
      </c>
      <c r="BW914" s="2" t="n">
        <v>92.75</v>
      </c>
      <c r="BX914" s="2" t="n">
        <v>94.81999999999999</v>
      </c>
      <c r="BY914" s="2" t="n">
        <v>0</v>
      </c>
      <c r="BZ914" s="2" t="n">
        <v>100</v>
      </c>
      <c r="CA914" s="2" t="n">
        <v>100</v>
      </c>
      <c r="CB914" s="2" t="n">
        <v>0</v>
      </c>
      <c r="CC914" s="2" t="n">
        <v>100</v>
      </c>
      <c r="CD914" s="2" t="n">
        <v>100</v>
      </c>
      <c r="CE914" s="2" t="n">
        <v>0</v>
      </c>
      <c r="CF914" s="2" t="n">
        <v>100</v>
      </c>
      <c r="CG914" s="2" t="n">
        <v>100</v>
      </c>
      <c r="CH914" s="2" t="n">
        <v>0</v>
      </c>
      <c r="CI914" s="2" t="n">
        <v>100</v>
      </c>
      <c r="CJ914" s="2" t="n">
        <v>100</v>
      </c>
      <c r="CK914" s="2" t="n">
        <v>0</v>
      </c>
      <c r="CL914" s="2" t="n">
        <v>100</v>
      </c>
      <c r="CM914" s="2" t="n">
        <v>100</v>
      </c>
      <c r="CN914" s="2" t="n">
        <v>0</v>
      </c>
      <c r="CO914" s="2" t="n">
        <v>100</v>
      </c>
      <c r="CP914" s="2" t="n">
        <v>100</v>
      </c>
      <c r="CQ914" s="2" t="n">
        <v>0</v>
      </c>
      <c r="CR914" s="2" t="n">
        <v>100</v>
      </c>
      <c r="CS914" s="2" t="n">
        <v>100</v>
      </c>
      <c r="CT914" s="2" t="n">
        <v>0</v>
      </c>
      <c r="CU914" s="2" t="n">
        <v>100</v>
      </c>
      <c r="CV914" s="2" t="n">
        <v>100</v>
      </c>
      <c r="CW914" s="2" t="n">
        <v>0</v>
      </c>
      <c r="CX914" s="2" t="n">
        <v>100</v>
      </c>
      <c r="CY914" s="2" t="n">
        <v>100</v>
      </c>
      <c r="CZ914" s="2" t="n">
        <v>0</v>
      </c>
      <c r="DA914" s="2" t="n">
        <v>100</v>
      </c>
      <c r="DB914" s="2" t="n">
        <v>100</v>
      </c>
      <c r="DC914" s="2" t="n">
        <v>0</v>
      </c>
      <c r="DD914" s="2" t="n">
        <v>100</v>
      </c>
      <c r="DE914" s="2" t="n">
        <v>100</v>
      </c>
      <c r="DF914" s="2" t="n">
        <v>0</v>
      </c>
      <c r="DG914" s="2" t="n">
        <v>100</v>
      </c>
      <c r="DH914" s="2" t="n">
        <v>100</v>
      </c>
      <c r="DI914" s="2" t="n">
        <v>0</v>
      </c>
      <c r="DJ914" s="2" t="n">
        <v>100</v>
      </c>
      <c r="DK914" s="2" t="n">
        <v>100</v>
      </c>
      <c r="DL914" s="2" t="n">
        <v>0</v>
      </c>
      <c r="DM914" s="2" t="n">
        <v>100</v>
      </c>
      <c r="DN914" s="2" t="n">
        <v>100</v>
      </c>
      <c r="DO914" s="2" t="n">
        <v>0</v>
      </c>
      <c r="DP914" s="2" t="n">
        <v>100</v>
      </c>
      <c r="DQ914" s="2" t="n">
        <v>100</v>
      </c>
      <c r="DR914" s="2" t="n">
        <v>0</v>
      </c>
      <c r="DS914" s="2" t="n">
        <v>100</v>
      </c>
      <c r="DT914" s="2" t="n">
        <v>100</v>
      </c>
      <c r="DU914" s="2" t="n">
        <v>0</v>
      </c>
      <c r="DV914" s="2" t="n">
        <v>100</v>
      </c>
      <c r="DW914" s="2" t="n">
        <v>100</v>
      </c>
      <c r="DX914" s="2" t="n">
        <v>0</v>
      </c>
      <c r="DY914" s="2" t="n">
        <v>100</v>
      </c>
      <c r="DZ914" s="2" t="n">
        <v>100</v>
      </c>
      <c r="EA914" s="2" t="n">
        <v>0</v>
      </c>
      <c r="EB914" s="2" t="n">
        <v>100</v>
      </c>
      <c r="EC914" s="2" t="n">
        <v>100</v>
      </c>
      <c r="ED914" s="2" t="n">
        <v>0</v>
      </c>
      <c r="EE914" s="2" t="n">
        <v>100</v>
      </c>
      <c r="EF914" s="2" t="n">
        <v>100</v>
      </c>
      <c r="EG914" s="2" t="n">
        <v>0</v>
      </c>
      <c r="EH914" s="2" t="n">
        <v>100</v>
      </c>
      <c r="EI914" s="2" t="n">
        <v>100</v>
      </c>
      <c r="EJ914" s="2" t="n">
        <v>0</v>
      </c>
      <c r="EK914" s="2" t="n">
        <v>100</v>
      </c>
      <c r="EL914" s="2" t="n">
        <v>100</v>
      </c>
      <c r="EM914" s="2" t="n">
        <v>0</v>
      </c>
      <c r="EN914" s="2" t="n">
        <v>100</v>
      </c>
      <c r="EO914" s="2" t="n">
        <v>100</v>
      </c>
      <c r="EP914" s="2" t="n">
        <v>0</v>
      </c>
      <c r="EQ914" s="2" t="n">
        <v>100</v>
      </c>
      <c r="ER914" s="2" t="n">
        <v>100</v>
      </c>
      <c r="ES914" s="2" t="n">
        <v>0</v>
      </c>
    </row>
    <row r="915">
      <c r="A915" s="2" t="n">
        <v>3</v>
      </c>
      <c r="B915" s="2" t="inlineStr">
        <is>
          <t>35.06.01</t>
        </is>
      </c>
      <c r="C915" s="2" t="inlineStr">
        <is>
          <t>Desbaste de rebarbas, estuque e aplicação de silicone hidrofugante sobre superfícies de concreto aparente (2 demãos silicone incolor hidrofugante)</t>
        </is>
      </c>
      <c r="D915" s="2" t="inlineStr">
        <is>
          <t>19/10/2026</t>
        </is>
      </c>
      <c r="E915" s="2" t="inlineStr">
        <is>
          <t>10/05/2027</t>
        </is>
      </c>
      <c r="F915" s="2" t="n">
        <v>551081.8205879439</v>
      </c>
      <c r="G915" s="2" t="n">
        <v>0</v>
      </c>
      <c r="H915" s="2" t="n">
        <v>551081.8205879439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6.11</v>
      </c>
      <c r="BG915" s="2" t="n">
        <v>0</v>
      </c>
      <c r="BH915" s="2" t="n">
        <v>0</v>
      </c>
      <c r="BI915" s="2" t="n">
        <v>17.71</v>
      </c>
      <c r="BJ915" s="2" t="n">
        <v>0</v>
      </c>
      <c r="BK915" s="2" t="n">
        <v>0</v>
      </c>
      <c r="BL915" s="2" t="n">
        <v>27.48</v>
      </c>
      <c r="BM915" s="2" t="n">
        <v>0</v>
      </c>
      <c r="BN915" s="2" t="n">
        <v>19.47</v>
      </c>
      <c r="BO915" s="2" t="n">
        <v>43.96</v>
      </c>
      <c r="BP915" s="2" t="n">
        <v>0</v>
      </c>
      <c r="BQ915" s="2" t="n">
        <v>43.19</v>
      </c>
      <c r="BR915" s="2" t="n">
        <v>60.44</v>
      </c>
      <c r="BS915" s="2" t="n">
        <v>0</v>
      </c>
      <c r="BT915" s="2" t="n">
        <v>67.37</v>
      </c>
      <c r="BU915" s="2" t="n">
        <v>76.93000000000001</v>
      </c>
      <c r="BV915" s="2" t="n">
        <v>0</v>
      </c>
      <c r="BW915" s="2" t="n">
        <v>92.75</v>
      </c>
      <c r="BX915" s="2" t="n">
        <v>94.81999999999999</v>
      </c>
      <c r="BY915" s="2" t="n">
        <v>0</v>
      </c>
      <c r="BZ915" s="2" t="n">
        <v>100</v>
      </c>
      <c r="CA915" s="2" t="n">
        <v>100</v>
      </c>
      <c r="CB915" s="2" t="n">
        <v>0</v>
      </c>
      <c r="CC915" s="2" t="n">
        <v>100</v>
      </c>
      <c r="CD915" s="2" t="n">
        <v>100</v>
      </c>
      <c r="CE915" s="2" t="n">
        <v>0</v>
      </c>
      <c r="CF915" s="2" t="n">
        <v>100</v>
      </c>
      <c r="CG915" s="2" t="n">
        <v>100</v>
      </c>
      <c r="CH915" s="2" t="n">
        <v>0</v>
      </c>
      <c r="CI915" s="2" t="n">
        <v>100</v>
      </c>
      <c r="CJ915" s="2" t="n">
        <v>100</v>
      </c>
      <c r="CK915" s="2" t="n">
        <v>0</v>
      </c>
      <c r="CL915" s="2" t="n">
        <v>100</v>
      </c>
      <c r="CM915" s="2" t="n">
        <v>100</v>
      </c>
      <c r="CN915" s="2" t="n">
        <v>0</v>
      </c>
      <c r="CO915" s="2" t="n">
        <v>100</v>
      </c>
      <c r="CP915" s="2" t="n">
        <v>100</v>
      </c>
      <c r="CQ915" s="2" t="n">
        <v>0</v>
      </c>
      <c r="CR915" s="2" t="n">
        <v>100</v>
      </c>
      <c r="CS915" s="2" t="n">
        <v>100</v>
      </c>
      <c r="CT915" s="2" t="n">
        <v>0</v>
      </c>
      <c r="CU915" s="2" t="n">
        <v>100</v>
      </c>
      <c r="CV915" s="2" t="n">
        <v>100</v>
      </c>
      <c r="CW915" s="2" t="n">
        <v>0</v>
      </c>
      <c r="CX915" s="2" t="n">
        <v>100</v>
      </c>
      <c r="CY915" s="2" t="n">
        <v>100</v>
      </c>
      <c r="CZ915" s="2" t="n">
        <v>0</v>
      </c>
      <c r="DA915" s="2" t="n">
        <v>100</v>
      </c>
      <c r="DB915" s="2" t="n">
        <v>100</v>
      </c>
      <c r="DC915" s="2" t="n">
        <v>0</v>
      </c>
      <c r="DD915" s="2" t="n">
        <v>100</v>
      </c>
      <c r="DE915" s="2" t="n">
        <v>100</v>
      </c>
      <c r="DF915" s="2" t="n">
        <v>0</v>
      </c>
      <c r="DG915" s="2" t="n">
        <v>100</v>
      </c>
      <c r="DH915" s="2" t="n">
        <v>100</v>
      </c>
      <c r="DI915" s="2" t="n">
        <v>0</v>
      </c>
      <c r="DJ915" s="2" t="n">
        <v>100</v>
      </c>
      <c r="DK915" s="2" t="n">
        <v>100</v>
      </c>
      <c r="DL915" s="2" t="n">
        <v>0</v>
      </c>
      <c r="DM915" s="2" t="n">
        <v>100</v>
      </c>
      <c r="DN915" s="2" t="n">
        <v>100</v>
      </c>
      <c r="DO915" s="2" t="n">
        <v>0</v>
      </c>
      <c r="DP915" s="2" t="n">
        <v>100</v>
      </c>
      <c r="DQ915" s="2" t="n">
        <v>100</v>
      </c>
      <c r="DR915" s="2" t="n">
        <v>0</v>
      </c>
      <c r="DS915" s="2" t="n">
        <v>100</v>
      </c>
      <c r="DT915" s="2" t="n">
        <v>100</v>
      </c>
      <c r="DU915" s="2" t="n">
        <v>0</v>
      </c>
      <c r="DV915" s="2" t="n">
        <v>100</v>
      </c>
      <c r="DW915" s="2" t="n">
        <v>100</v>
      </c>
      <c r="DX915" s="2" t="n">
        <v>0</v>
      </c>
      <c r="DY915" s="2" t="n">
        <v>100</v>
      </c>
      <c r="DZ915" s="2" t="n">
        <v>100</v>
      </c>
      <c r="EA915" s="2" t="n">
        <v>0</v>
      </c>
      <c r="EB915" s="2" t="n">
        <v>100</v>
      </c>
      <c r="EC915" s="2" t="n">
        <v>100</v>
      </c>
      <c r="ED915" s="2" t="n">
        <v>0</v>
      </c>
      <c r="EE915" s="2" t="n">
        <v>100</v>
      </c>
      <c r="EF915" s="2" t="n">
        <v>100</v>
      </c>
      <c r="EG915" s="2" t="n">
        <v>0</v>
      </c>
      <c r="EH915" s="2" t="n">
        <v>100</v>
      </c>
      <c r="EI915" s="2" t="n">
        <v>100</v>
      </c>
      <c r="EJ915" s="2" t="n">
        <v>0</v>
      </c>
      <c r="EK915" s="2" t="n">
        <v>100</v>
      </c>
      <c r="EL915" s="2" t="n">
        <v>100</v>
      </c>
      <c r="EM915" s="2" t="n">
        <v>0</v>
      </c>
      <c r="EN915" s="2" t="n">
        <v>100</v>
      </c>
      <c r="EO915" s="2" t="n">
        <v>100</v>
      </c>
      <c r="EP915" s="2" t="n">
        <v>0</v>
      </c>
      <c r="EQ915" s="2" t="n">
        <v>100</v>
      </c>
      <c r="ER915" s="2" t="n">
        <v>100</v>
      </c>
      <c r="ES915" s="2" t="n">
        <v>0</v>
      </c>
    </row>
    <row r="916">
      <c r="A916" s="2" t="n">
        <v>2</v>
      </c>
      <c r="B916" s="2" t="inlineStr">
        <is>
          <t>35.07</t>
        </is>
      </c>
      <c r="C916" s="2" t="inlineStr">
        <is>
          <t>Especiais</t>
        </is>
      </c>
      <c r="D916" s="2" t="inlineStr">
        <is>
          <t>09/06/2028</t>
        </is>
      </c>
      <c r="E916" s="2" t="inlineStr">
        <is>
          <t>09/03/2029</t>
        </is>
      </c>
      <c r="F916" s="2" t="n">
        <v>275957.39747375</v>
      </c>
      <c r="G916" s="2" t="n">
        <v>0</v>
      </c>
      <c r="H916" s="2" t="n">
        <v>275957.39747375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0</v>
      </c>
      <c r="DH916" s="2" t="n">
        <v>0</v>
      </c>
      <c r="DI916" s="2" t="n">
        <v>0</v>
      </c>
      <c r="DJ916" s="2" t="n">
        <v>0</v>
      </c>
      <c r="DK916" s="2" t="n">
        <v>0</v>
      </c>
      <c r="DL916" s="2" t="n">
        <v>0</v>
      </c>
      <c r="DM916" s="2" t="n">
        <v>27.48</v>
      </c>
      <c r="DN916" s="2" t="n">
        <v>27.48</v>
      </c>
      <c r="DO916" s="2" t="n">
        <v>0</v>
      </c>
      <c r="DP916" s="2" t="n">
        <v>27.48</v>
      </c>
      <c r="DQ916" s="2" t="n">
        <v>27.48</v>
      </c>
      <c r="DR916" s="2" t="n">
        <v>0</v>
      </c>
      <c r="DS916" s="2" t="n">
        <v>27.48</v>
      </c>
      <c r="DT916" s="2" t="n">
        <v>27.48</v>
      </c>
      <c r="DU916" s="2" t="n">
        <v>0</v>
      </c>
      <c r="DV916" s="2" t="n">
        <v>27.48</v>
      </c>
      <c r="DW916" s="2" t="n">
        <v>27.48</v>
      </c>
      <c r="DX916" s="2" t="n">
        <v>0</v>
      </c>
      <c r="DY916" s="2" t="n">
        <v>27.48</v>
      </c>
      <c r="DZ916" s="2" t="n">
        <v>27.48</v>
      </c>
      <c r="EA916" s="2" t="n">
        <v>0</v>
      </c>
      <c r="EB916" s="2" t="n">
        <v>27.48</v>
      </c>
      <c r="EC916" s="2" t="n">
        <v>45.61</v>
      </c>
      <c r="ED916" s="2" t="n">
        <v>0</v>
      </c>
      <c r="EE916" s="2" t="n">
        <v>38.36</v>
      </c>
      <c r="EF916" s="2" t="n">
        <v>47.42</v>
      </c>
      <c r="EG916" s="2" t="n">
        <v>0</v>
      </c>
      <c r="EH916" s="2" t="n">
        <v>51.05</v>
      </c>
      <c r="EI916" s="2" t="n">
        <v>69.18000000000001</v>
      </c>
      <c r="EJ916" s="2" t="n">
        <v>0</v>
      </c>
      <c r="EK916" s="2" t="n">
        <v>69.18000000000001</v>
      </c>
      <c r="EL916" s="2" t="n">
        <v>87.31</v>
      </c>
      <c r="EM916" s="2" t="n">
        <v>0</v>
      </c>
      <c r="EN916" s="2" t="n">
        <v>89.12</v>
      </c>
      <c r="EO916" s="2" t="n">
        <v>100</v>
      </c>
      <c r="EP916" s="2" t="n">
        <v>0</v>
      </c>
      <c r="EQ916" s="2" t="n">
        <v>100</v>
      </c>
      <c r="ER916" s="2" t="n">
        <v>100</v>
      </c>
      <c r="ES916" s="2" t="n">
        <v>0</v>
      </c>
    </row>
    <row r="917">
      <c r="A917" s="2" t="n">
        <v>3</v>
      </c>
      <c r="B917" s="2" t="inlineStr">
        <is>
          <t>35.07.01</t>
        </is>
      </c>
      <c r="C917" s="2" t="inlineStr">
        <is>
          <t>Pintura de meia parede em epóxi monolítico de tom cinza médio</t>
        </is>
      </c>
      <c r="D917" s="2" t="inlineStr">
        <is>
          <t>09/06/2028</t>
        </is>
      </c>
      <c r="E917" s="2" t="inlineStr">
        <is>
          <t>09/03/2029</t>
        </is>
      </c>
      <c r="F917" s="2" t="n">
        <v>227651.49133625</v>
      </c>
      <c r="G917" s="2" t="n">
        <v>0</v>
      </c>
      <c r="H917" s="2" t="n">
        <v>227651.49133625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0</v>
      </c>
      <c r="CZ917" s="2" t="n">
        <v>0</v>
      </c>
      <c r="DA917" s="2" t="n">
        <v>0</v>
      </c>
      <c r="DB917" s="2" t="n">
        <v>0</v>
      </c>
      <c r="DC917" s="2" t="n">
        <v>0</v>
      </c>
      <c r="DD917" s="2" t="n">
        <v>0</v>
      </c>
      <c r="DE917" s="2" t="n">
        <v>0</v>
      </c>
      <c r="DF917" s="2" t="n">
        <v>0</v>
      </c>
      <c r="DG917" s="2" t="n">
        <v>0</v>
      </c>
      <c r="DH917" s="2" t="n">
        <v>0</v>
      </c>
      <c r="DI917" s="2" t="n">
        <v>0</v>
      </c>
      <c r="DJ917" s="2" t="n">
        <v>0</v>
      </c>
      <c r="DK917" s="2" t="n">
        <v>0</v>
      </c>
      <c r="DL917" s="2" t="n">
        <v>0</v>
      </c>
      <c r="DM917" s="2" t="n">
        <v>27.48</v>
      </c>
      <c r="DN917" s="2" t="n">
        <v>27.48</v>
      </c>
      <c r="DO917" s="2" t="n">
        <v>0</v>
      </c>
      <c r="DP917" s="2" t="n">
        <v>27.48</v>
      </c>
      <c r="DQ917" s="2" t="n">
        <v>27.48</v>
      </c>
      <c r="DR917" s="2" t="n">
        <v>0</v>
      </c>
      <c r="DS917" s="2" t="n">
        <v>27.48</v>
      </c>
      <c r="DT917" s="2" t="n">
        <v>27.48</v>
      </c>
      <c r="DU917" s="2" t="n">
        <v>0</v>
      </c>
      <c r="DV917" s="2" t="n">
        <v>27.48</v>
      </c>
      <c r="DW917" s="2" t="n">
        <v>27.48</v>
      </c>
      <c r="DX917" s="2" t="n">
        <v>0</v>
      </c>
      <c r="DY917" s="2" t="n">
        <v>27.48</v>
      </c>
      <c r="DZ917" s="2" t="n">
        <v>27.48</v>
      </c>
      <c r="EA917" s="2" t="n">
        <v>0</v>
      </c>
      <c r="EB917" s="2" t="n">
        <v>27.48</v>
      </c>
      <c r="EC917" s="2" t="n">
        <v>45.61</v>
      </c>
      <c r="ED917" s="2" t="n">
        <v>0</v>
      </c>
      <c r="EE917" s="2" t="n">
        <v>38.36</v>
      </c>
      <c r="EF917" s="2" t="n">
        <v>47.42</v>
      </c>
      <c r="EG917" s="2" t="n">
        <v>0</v>
      </c>
      <c r="EH917" s="2" t="n">
        <v>51.05</v>
      </c>
      <c r="EI917" s="2" t="n">
        <v>69.18000000000001</v>
      </c>
      <c r="EJ917" s="2" t="n">
        <v>0</v>
      </c>
      <c r="EK917" s="2" t="n">
        <v>69.18000000000001</v>
      </c>
      <c r="EL917" s="2" t="n">
        <v>87.31</v>
      </c>
      <c r="EM917" s="2" t="n">
        <v>0</v>
      </c>
      <c r="EN917" s="2" t="n">
        <v>89.12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</row>
    <row r="918">
      <c r="A918" s="2" t="n">
        <v>3</v>
      </c>
      <c r="B918" s="2" t="inlineStr">
        <is>
          <t>35.07.02</t>
        </is>
      </c>
      <c r="C918" s="2" t="inlineStr">
        <is>
          <t>Arremate em faixa de pintura epóxi fosca de cor cinza chumbo</t>
        </is>
      </c>
      <c r="D918" s="2" t="inlineStr">
        <is>
          <t>09/06/2028</t>
        </is>
      </c>
      <c r="E918" s="2" t="inlineStr">
        <is>
          <t>09/03/2029</t>
        </is>
      </c>
      <c r="F918" s="2" t="n">
        <v>48305.9061375</v>
      </c>
      <c r="G918" s="2" t="n">
        <v>0</v>
      </c>
      <c r="H918" s="2" t="n">
        <v>48305.9061375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0</v>
      </c>
      <c r="CZ918" s="2" t="n">
        <v>0</v>
      </c>
      <c r="DA918" s="2" t="n">
        <v>0</v>
      </c>
      <c r="DB918" s="2" t="n">
        <v>0</v>
      </c>
      <c r="DC918" s="2" t="n">
        <v>0</v>
      </c>
      <c r="DD918" s="2" t="n">
        <v>0</v>
      </c>
      <c r="DE918" s="2" t="n">
        <v>0</v>
      </c>
      <c r="DF918" s="2" t="n">
        <v>0</v>
      </c>
      <c r="DG918" s="2" t="n">
        <v>0</v>
      </c>
      <c r="DH918" s="2" t="n">
        <v>0</v>
      </c>
      <c r="DI918" s="2" t="n">
        <v>0</v>
      </c>
      <c r="DJ918" s="2" t="n">
        <v>0</v>
      </c>
      <c r="DK918" s="2" t="n">
        <v>0</v>
      </c>
      <c r="DL918" s="2" t="n">
        <v>0</v>
      </c>
      <c r="DM918" s="2" t="n">
        <v>27.48</v>
      </c>
      <c r="DN918" s="2" t="n">
        <v>27.48</v>
      </c>
      <c r="DO918" s="2" t="n">
        <v>0</v>
      </c>
      <c r="DP918" s="2" t="n">
        <v>27.48</v>
      </c>
      <c r="DQ918" s="2" t="n">
        <v>27.48</v>
      </c>
      <c r="DR918" s="2" t="n">
        <v>0</v>
      </c>
      <c r="DS918" s="2" t="n">
        <v>27.48</v>
      </c>
      <c r="DT918" s="2" t="n">
        <v>27.48</v>
      </c>
      <c r="DU918" s="2" t="n">
        <v>0</v>
      </c>
      <c r="DV918" s="2" t="n">
        <v>27.48</v>
      </c>
      <c r="DW918" s="2" t="n">
        <v>27.48</v>
      </c>
      <c r="DX918" s="2" t="n">
        <v>0</v>
      </c>
      <c r="DY918" s="2" t="n">
        <v>27.48</v>
      </c>
      <c r="DZ918" s="2" t="n">
        <v>27.48</v>
      </c>
      <c r="EA918" s="2" t="n">
        <v>0</v>
      </c>
      <c r="EB918" s="2" t="n">
        <v>27.48</v>
      </c>
      <c r="EC918" s="2" t="n">
        <v>45.61</v>
      </c>
      <c r="ED918" s="2" t="n">
        <v>0</v>
      </c>
      <c r="EE918" s="2" t="n">
        <v>38.36</v>
      </c>
      <c r="EF918" s="2" t="n">
        <v>47.42</v>
      </c>
      <c r="EG918" s="2" t="n">
        <v>0</v>
      </c>
      <c r="EH918" s="2" t="n">
        <v>51.05</v>
      </c>
      <c r="EI918" s="2" t="n">
        <v>69.18000000000001</v>
      </c>
      <c r="EJ918" s="2" t="n">
        <v>0</v>
      </c>
      <c r="EK918" s="2" t="n">
        <v>69.18000000000001</v>
      </c>
      <c r="EL918" s="2" t="n">
        <v>87.31</v>
      </c>
      <c r="EM918" s="2" t="n">
        <v>0</v>
      </c>
      <c r="EN918" s="2" t="n">
        <v>89.12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</row>
    <row r="919">
      <c r="A919" s="2" t="n">
        <v>1</v>
      </c>
      <c r="B919" s="2" t="inlineStr">
        <is>
          <t>36</t>
        </is>
      </c>
      <c r="C919" s="2" t="inlineStr">
        <is>
          <t>PAISAGISMO</t>
        </is>
      </c>
      <c r="D919" s="2" t="inlineStr">
        <is>
          <t>12/07/2028</t>
        </is>
      </c>
      <c r="E919" s="2" t="inlineStr">
        <is>
          <t>06/12/2028</t>
        </is>
      </c>
      <c r="F919" s="2" t="n">
        <v>1116999.598184166</v>
      </c>
      <c r="G919" s="2" t="n">
        <v>0</v>
      </c>
      <c r="H919" s="2" t="n">
        <v>1116999.598184166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0</v>
      </c>
      <c r="DN919" s="2" t="n">
        <v>0</v>
      </c>
      <c r="DO919" s="2" t="n">
        <v>0</v>
      </c>
      <c r="DP919" s="2" t="n">
        <v>0</v>
      </c>
      <c r="DQ919" s="2" t="n">
        <v>23.66</v>
      </c>
      <c r="DR919" s="2" t="n">
        <v>0</v>
      </c>
      <c r="DS919" s="2" t="n">
        <v>27.03</v>
      </c>
      <c r="DT919" s="2" t="n">
        <v>56.37</v>
      </c>
      <c r="DU919" s="2" t="n">
        <v>0</v>
      </c>
      <c r="DV919" s="2" t="n">
        <v>58.33</v>
      </c>
      <c r="DW919" s="2" t="n">
        <v>70.83</v>
      </c>
      <c r="DX919" s="2" t="n">
        <v>0</v>
      </c>
      <c r="DY919" s="2" t="n">
        <v>88.61</v>
      </c>
      <c r="DZ919" s="2" t="n">
        <v>89.09</v>
      </c>
      <c r="EA919" s="2" t="n">
        <v>0</v>
      </c>
      <c r="EB919" s="2" t="n">
        <v>97.63</v>
      </c>
      <c r="EC919" s="2" t="n">
        <v>98.09999999999999</v>
      </c>
      <c r="ED919" s="2" t="n">
        <v>0</v>
      </c>
      <c r="EE919" s="2" t="n">
        <v>100</v>
      </c>
      <c r="EF919" s="2" t="n">
        <v>100</v>
      </c>
      <c r="EG919" s="2" t="n">
        <v>0</v>
      </c>
      <c r="EH919" s="2" t="n">
        <v>100</v>
      </c>
      <c r="EI919" s="2" t="n">
        <v>100</v>
      </c>
      <c r="EJ919" s="2" t="n">
        <v>0</v>
      </c>
      <c r="EK919" s="2" t="n">
        <v>100</v>
      </c>
      <c r="EL919" s="2" t="n">
        <v>100</v>
      </c>
      <c r="EM919" s="2" t="n">
        <v>0</v>
      </c>
      <c r="EN919" s="2" t="n">
        <v>100</v>
      </c>
      <c r="EO919" s="2" t="n">
        <v>100</v>
      </c>
      <c r="EP919" s="2" t="n">
        <v>0</v>
      </c>
      <c r="EQ919" s="2" t="n">
        <v>100</v>
      </c>
      <c r="ER919" s="2" t="n">
        <v>100</v>
      </c>
      <c r="ES919" s="2" t="n">
        <v>0</v>
      </c>
    </row>
    <row r="920">
      <c r="A920" s="2" t="n">
        <v>2</v>
      </c>
      <c r="B920" s="2" t="inlineStr">
        <is>
          <t>36.01</t>
        </is>
      </c>
      <c r="C920" s="2" t="inlineStr">
        <is>
          <t>Serviços de Paisagismo</t>
        </is>
      </c>
      <c r="D920" s="2" t="inlineStr">
        <is>
          <t>12/07/2028</t>
        </is>
      </c>
      <c r="E920" s="2" t="inlineStr">
        <is>
          <t>06/12/2028</t>
        </is>
      </c>
      <c r="F920" s="2" t="n">
        <v>1116999.598184166</v>
      </c>
      <c r="G920" s="2" t="n">
        <v>0</v>
      </c>
      <c r="H920" s="2" t="n">
        <v>1116999.598184166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0</v>
      </c>
      <c r="DN920" s="2" t="n">
        <v>0</v>
      </c>
      <c r="DO920" s="2" t="n">
        <v>0</v>
      </c>
      <c r="DP920" s="2" t="n">
        <v>0</v>
      </c>
      <c r="DQ920" s="2" t="n">
        <v>23.66</v>
      </c>
      <c r="DR920" s="2" t="n">
        <v>0</v>
      </c>
      <c r="DS920" s="2" t="n">
        <v>27.03</v>
      </c>
      <c r="DT920" s="2" t="n">
        <v>56.37</v>
      </c>
      <c r="DU920" s="2" t="n">
        <v>0</v>
      </c>
      <c r="DV920" s="2" t="n">
        <v>58.33</v>
      </c>
      <c r="DW920" s="2" t="n">
        <v>70.83</v>
      </c>
      <c r="DX920" s="2" t="n">
        <v>0</v>
      </c>
      <c r="DY920" s="2" t="n">
        <v>88.61</v>
      </c>
      <c r="DZ920" s="2" t="n">
        <v>89.09</v>
      </c>
      <c r="EA920" s="2" t="n">
        <v>0</v>
      </c>
      <c r="EB920" s="2" t="n">
        <v>97.63</v>
      </c>
      <c r="EC920" s="2" t="n">
        <v>98.09999999999999</v>
      </c>
      <c r="ED920" s="2" t="n">
        <v>0</v>
      </c>
      <c r="EE920" s="2" t="n">
        <v>100</v>
      </c>
      <c r="EF920" s="2" t="n">
        <v>100</v>
      </c>
      <c r="EG920" s="2" t="n">
        <v>0</v>
      </c>
      <c r="EH920" s="2" t="n">
        <v>100</v>
      </c>
      <c r="EI920" s="2" t="n">
        <v>100</v>
      </c>
      <c r="EJ920" s="2" t="n">
        <v>0</v>
      </c>
      <c r="EK920" s="2" t="n">
        <v>100</v>
      </c>
      <c r="EL920" s="2" t="n">
        <v>100</v>
      </c>
      <c r="EM920" s="2" t="n">
        <v>0</v>
      </c>
      <c r="EN920" s="2" t="n">
        <v>100</v>
      </c>
      <c r="EO920" s="2" t="n">
        <v>100</v>
      </c>
      <c r="EP920" s="2" t="n">
        <v>0</v>
      </c>
      <c r="EQ920" s="2" t="n">
        <v>100</v>
      </c>
      <c r="ER920" s="2" t="n">
        <v>100</v>
      </c>
      <c r="ES920" s="2" t="n">
        <v>0</v>
      </c>
    </row>
    <row r="921">
      <c r="A921" s="2" t="n">
        <v>3</v>
      </c>
      <c r="B921" s="2" t="inlineStr">
        <is>
          <t>36.01.01</t>
        </is>
      </c>
      <c r="C921" s="2" t="inlineStr">
        <is>
          <t>Drenagens Para Jardins</t>
        </is>
      </c>
      <c r="D921" s="2" t="inlineStr">
        <is>
          <t>12/07/2028</t>
        </is>
      </c>
      <c r="E921" s="2" t="inlineStr">
        <is>
          <t>06/12/2028</t>
        </is>
      </c>
      <c r="F921" s="2" t="n">
        <v>40149.59818416653</v>
      </c>
      <c r="G921" s="2" t="n">
        <v>0</v>
      </c>
      <c r="H921" s="2" t="n">
        <v>40149.59818416653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0</v>
      </c>
      <c r="DN921" s="2" t="n">
        <v>0</v>
      </c>
      <c r="DO921" s="2" t="n">
        <v>0</v>
      </c>
      <c r="DP921" s="2" t="n">
        <v>0</v>
      </c>
      <c r="DQ921" s="2" t="n">
        <v>26.5</v>
      </c>
      <c r="DR921" s="2" t="n">
        <v>0</v>
      </c>
      <c r="DS921" s="2" t="n">
        <v>30.29</v>
      </c>
      <c r="DT921" s="2" t="n">
        <v>63.16</v>
      </c>
      <c r="DU921" s="2" t="n">
        <v>0</v>
      </c>
      <c r="DV921" s="2" t="n">
        <v>63.16</v>
      </c>
      <c r="DW921" s="2" t="n">
        <v>76.61</v>
      </c>
      <c r="DX921" s="2" t="n">
        <v>0</v>
      </c>
      <c r="DY921" s="2" t="n">
        <v>87.23999999999999</v>
      </c>
      <c r="DZ921" s="2" t="n">
        <v>87.78</v>
      </c>
      <c r="EA921" s="2" t="n">
        <v>0</v>
      </c>
      <c r="EB921" s="2" t="n">
        <v>97.34</v>
      </c>
      <c r="EC921" s="2" t="n">
        <v>97.87</v>
      </c>
      <c r="ED921" s="2" t="n">
        <v>0</v>
      </c>
      <c r="EE921" s="2" t="n">
        <v>100</v>
      </c>
      <c r="EF921" s="2" t="n">
        <v>100</v>
      </c>
      <c r="EG921" s="2" t="n">
        <v>0</v>
      </c>
      <c r="EH921" s="2" t="n">
        <v>100</v>
      </c>
      <c r="EI921" s="2" t="n">
        <v>100</v>
      </c>
      <c r="EJ921" s="2" t="n">
        <v>0</v>
      </c>
      <c r="EK921" s="2" t="n">
        <v>100</v>
      </c>
      <c r="EL921" s="2" t="n">
        <v>100</v>
      </c>
      <c r="EM921" s="2" t="n">
        <v>0</v>
      </c>
      <c r="EN921" s="2" t="n">
        <v>100</v>
      </c>
      <c r="EO921" s="2" t="n">
        <v>100</v>
      </c>
      <c r="EP921" s="2" t="n">
        <v>0</v>
      </c>
      <c r="EQ921" s="2" t="n">
        <v>100</v>
      </c>
      <c r="ER921" s="2" t="n">
        <v>100</v>
      </c>
      <c r="ES921" s="2" t="n">
        <v>0</v>
      </c>
    </row>
    <row r="922">
      <c r="A922" s="2" t="n">
        <v>3</v>
      </c>
      <c r="B922" s="2" t="inlineStr">
        <is>
          <t>36.01.02</t>
        </is>
      </c>
      <c r="C922" s="2" t="inlineStr">
        <is>
          <t>Paisagismo</t>
        </is>
      </c>
      <c r="D922" s="2" t="inlineStr">
        <is>
          <t>12/07/2028</t>
        </is>
      </c>
      <c r="E922" s="2" t="inlineStr">
        <is>
          <t>06/12/2028</t>
        </is>
      </c>
      <c r="F922" s="2" t="n">
        <v>558000</v>
      </c>
      <c r="G922" s="2" t="n">
        <v>0</v>
      </c>
      <c r="H922" s="2" t="n">
        <v>558000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0</v>
      </c>
      <c r="DN922" s="2" t="n">
        <v>0</v>
      </c>
      <c r="DO922" s="2" t="n">
        <v>0</v>
      </c>
      <c r="DP922" s="2" t="n">
        <v>0</v>
      </c>
      <c r="DQ922" s="2" t="n">
        <v>26.5</v>
      </c>
      <c r="DR922" s="2" t="n">
        <v>0</v>
      </c>
      <c r="DS922" s="2" t="n">
        <v>30.29</v>
      </c>
      <c r="DT922" s="2" t="n">
        <v>63.16</v>
      </c>
      <c r="DU922" s="2" t="n">
        <v>0</v>
      </c>
      <c r="DV922" s="2" t="n">
        <v>63.16</v>
      </c>
      <c r="DW922" s="2" t="n">
        <v>76.61</v>
      </c>
      <c r="DX922" s="2" t="n">
        <v>0</v>
      </c>
      <c r="DY922" s="2" t="n">
        <v>87.23999999999999</v>
      </c>
      <c r="DZ922" s="2" t="n">
        <v>87.78</v>
      </c>
      <c r="EA922" s="2" t="n">
        <v>0</v>
      </c>
      <c r="EB922" s="2" t="n">
        <v>97.34</v>
      </c>
      <c r="EC922" s="2" t="n">
        <v>97.87</v>
      </c>
      <c r="ED922" s="2" t="n">
        <v>0</v>
      </c>
      <c r="EE922" s="2" t="n">
        <v>100</v>
      </c>
      <c r="EF922" s="2" t="n">
        <v>100</v>
      </c>
      <c r="EG922" s="2" t="n">
        <v>0</v>
      </c>
      <c r="EH922" s="2" t="n">
        <v>100</v>
      </c>
      <c r="EI922" s="2" t="n">
        <v>100</v>
      </c>
      <c r="EJ922" s="2" t="n">
        <v>0</v>
      </c>
      <c r="EK922" s="2" t="n">
        <v>100</v>
      </c>
      <c r="EL922" s="2" t="n">
        <v>100</v>
      </c>
      <c r="EM922" s="2" t="n">
        <v>0</v>
      </c>
      <c r="EN922" s="2" t="n">
        <v>100</v>
      </c>
      <c r="EO922" s="2" t="n">
        <v>100</v>
      </c>
      <c r="EP922" s="2" t="n">
        <v>0</v>
      </c>
      <c r="EQ922" s="2" t="n">
        <v>100</v>
      </c>
      <c r="ER922" s="2" t="n">
        <v>100</v>
      </c>
      <c r="ES922" s="2" t="n">
        <v>0</v>
      </c>
    </row>
    <row r="923">
      <c r="A923" s="2" t="n">
        <v>3</v>
      </c>
      <c r="B923" s="2" t="inlineStr">
        <is>
          <t>36.01.03</t>
        </is>
      </c>
      <c r="C923" s="2" t="inlineStr">
        <is>
          <t>Terra vegetal</t>
        </is>
      </c>
      <c r="D923" s="2" t="inlineStr">
        <is>
          <t>12/07/2028</t>
        </is>
      </c>
      <c r="E923" s="2" t="inlineStr">
        <is>
          <t>06/12/2028</t>
        </is>
      </c>
      <c r="F923" s="2" t="n">
        <v>100000</v>
      </c>
      <c r="G923" s="2" t="n">
        <v>0</v>
      </c>
      <c r="H923" s="2" t="n">
        <v>100000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0</v>
      </c>
      <c r="DN923" s="2" t="n">
        <v>0</v>
      </c>
      <c r="DO923" s="2" t="n">
        <v>0</v>
      </c>
      <c r="DP923" s="2" t="n">
        <v>0</v>
      </c>
      <c r="DQ923" s="2" t="n">
        <v>26.5</v>
      </c>
      <c r="DR923" s="2" t="n">
        <v>0</v>
      </c>
      <c r="DS923" s="2" t="n">
        <v>30.29</v>
      </c>
      <c r="DT923" s="2" t="n">
        <v>63.16</v>
      </c>
      <c r="DU923" s="2" t="n">
        <v>0</v>
      </c>
      <c r="DV923" s="2" t="n">
        <v>63.16</v>
      </c>
      <c r="DW923" s="2" t="n">
        <v>76.61</v>
      </c>
      <c r="DX923" s="2" t="n">
        <v>0</v>
      </c>
      <c r="DY923" s="2" t="n">
        <v>87.23999999999999</v>
      </c>
      <c r="DZ923" s="2" t="n">
        <v>87.78</v>
      </c>
      <c r="EA923" s="2" t="n">
        <v>0</v>
      </c>
      <c r="EB923" s="2" t="n">
        <v>97.34</v>
      </c>
      <c r="EC923" s="2" t="n">
        <v>97.87</v>
      </c>
      <c r="ED923" s="2" t="n">
        <v>0</v>
      </c>
      <c r="EE923" s="2" t="n">
        <v>100</v>
      </c>
      <c r="EF923" s="2" t="n">
        <v>100</v>
      </c>
      <c r="EG923" s="2" t="n">
        <v>0</v>
      </c>
      <c r="EH923" s="2" t="n">
        <v>100</v>
      </c>
      <c r="EI923" s="2" t="n">
        <v>100</v>
      </c>
      <c r="EJ923" s="2" t="n">
        <v>0</v>
      </c>
      <c r="EK923" s="2" t="n">
        <v>100</v>
      </c>
      <c r="EL923" s="2" t="n">
        <v>100</v>
      </c>
      <c r="EM923" s="2" t="n">
        <v>0</v>
      </c>
      <c r="EN923" s="2" t="n">
        <v>100</v>
      </c>
      <c r="EO923" s="2" t="n">
        <v>100</v>
      </c>
      <c r="EP923" s="2" t="n">
        <v>0</v>
      </c>
      <c r="EQ923" s="2" t="n">
        <v>100</v>
      </c>
      <c r="ER923" s="2" t="n">
        <v>100</v>
      </c>
      <c r="ES923" s="2" t="n">
        <v>0</v>
      </c>
    </row>
    <row r="924">
      <c r="A924" s="2" t="n">
        <v>3</v>
      </c>
      <c r="B924" s="2" t="inlineStr">
        <is>
          <t>36.01.04</t>
        </is>
      </c>
      <c r="C924" s="2" t="inlineStr">
        <is>
          <t>Irrigação</t>
        </is>
      </c>
      <c r="D924" s="2" t="inlineStr">
        <is>
          <t>25/09/2028</t>
        </is>
      </c>
      <c r="E924" s="2" t="inlineStr">
        <is>
          <t>25/10/2028</t>
        </is>
      </c>
      <c r="F924" s="2" t="n">
        <v>120000</v>
      </c>
      <c r="G924" s="2" t="n">
        <v>0</v>
      </c>
      <c r="H924" s="2" t="n">
        <v>120000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0</v>
      </c>
      <c r="DN924" s="2" t="n">
        <v>0</v>
      </c>
      <c r="DO924" s="2" t="n">
        <v>0</v>
      </c>
      <c r="DP924" s="2" t="n">
        <v>0</v>
      </c>
      <c r="DQ924" s="2" t="n">
        <v>0</v>
      </c>
      <c r="DR924" s="2" t="n">
        <v>0</v>
      </c>
      <c r="DS924" s="2" t="n">
        <v>0</v>
      </c>
      <c r="DT924" s="2" t="n">
        <v>0</v>
      </c>
      <c r="DU924" s="2" t="n">
        <v>0</v>
      </c>
      <c r="DV924" s="2" t="n">
        <v>18.18</v>
      </c>
      <c r="DW924" s="2" t="n">
        <v>22.73</v>
      </c>
      <c r="DX924" s="2" t="n">
        <v>0</v>
      </c>
      <c r="DY924" s="2" t="n">
        <v>100</v>
      </c>
      <c r="DZ924" s="2" t="n">
        <v>100</v>
      </c>
      <c r="EA924" s="2" t="n">
        <v>0</v>
      </c>
      <c r="EB924" s="2" t="n">
        <v>100</v>
      </c>
      <c r="EC924" s="2" t="n">
        <v>100</v>
      </c>
      <c r="ED924" s="2" t="n">
        <v>0</v>
      </c>
      <c r="EE924" s="2" t="n">
        <v>100</v>
      </c>
      <c r="EF924" s="2" t="n">
        <v>100</v>
      </c>
      <c r="EG924" s="2" t="n">
        <v>0</v>
      </c>
      <c r="EH924" s="2" t="n">
        <v>100</v>
      </c>
      <c r="EI924" s="2" t="n">
        <v>100</v>
      </c>
      <c r="EJ924" s="2" t="n">
        <v>0</v>
      </c>
      <c r="EK924" s="2" t="n">
        <v>100</v>
      </c>
      <c r="EL924" s="2" t="n">
        <v>100</v>
      </c>
      <c r="EM924" s="2" t="n">
        <v>0</v>
      </c>
      <c r="EN924" s="2" t="n">
        <v>100</v>
      </c>
      <c r="EO924" s="2" t="n">
        <v>100</v>
      </c>
      <c r="EP924" s="2" t="n">
        <v>0</v>
      </c>
      <c r="EQ924" s="2" t="n">
        <v>100</v>
      </c>
      <c r="ER924" s="2" t="n">
        <v>100</v>
      </c>
      <c r="ES924" s="2" t="n">
        <v>0</v>
      </c>
    </row>
    <row r="925">
      <c r="A925" s="2" t="n">
        <v>3</v>
      </c>
      <c r="B925" s="2" t="inlineStr">
        <is>
          <t>36.01.05</t>
        </is>
      </c>
      <c r="C925" s="2" t="inlineStr">
        <is>
          <t>Transporte vertical de material para execução de paisagismo em pavimentos elevados</t>
        </is>
      </c>
      <c r="D925" s="2" t="inlineStr">
        <is>
          <t>12/07/2028</t>
        </is>
      </c>
      <c r="E925" s="2" t="inlineStr">
        <is>
          <t>06/12/2028</t>
        </is>
      </c>
      <c r="F925" s="2" t="n">
        <v>50000</v>
      </c>
      <c r="G925" s="2" t="n">
        <v>0</v>
      </c>
      <c r="H925" s="2" t="n">
        <v>50000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0</v>
      </c>
      <c r="DN925" s="2" t="n">
        <v>0</v>
      </c>
      <c r="DO925" s="2" t="n">
        <v>0</v>
      </c>
      <c r="DP925" s="2" t="n">
        <v>0</v>
      </c>
      <c r="DQ925" s="2" t="n">
        <v>26.5</v>
      </c>
      <c r="DR925" s="2" t="n">
        <v>0</v>
      </c>
      <c r="DS925" s="2" t="n">
        <v>30.29</v>
      </c>
      <c r="DT925" s="2" t="n">
        <v>63.16</v>
      </c>
      <c r="DU925" s="2" t="n">
        <v>0</v>
      </c>
      <c r="DV925" s="2" t="n">
        <v>63.16</v>
      </c>
      <c r="DW925" s="2" t="n">
        <v>76.61</v>
      </c>
      <c r="DX925" s="2" t="n">
        <v>0</v>
      </c>
      <c r="DY925" s="2" t="n">
        <v>87.23999999999999</v>
      </c>
      <c r="DZ925" s="2" t="n">
        <v>87.78</v>
      </c>
      <c r="EA925" s="2" t="n">
        <v>0</v>
      </c>
      <c r="EB925" s="2" t="n">
        <v>97.34</v>
      </c>
      <c r="EC925" s="2" t="n">
        <v>97.87</v>
      </c>
      <c r="ED925" s="2" t="n">
        <v>0</v>
      </c>
      <c r="EE925" s="2" t="n">
        <v>100</v>
      </c>
      <c r="EF925" s="2" t="n">
        <v>100</v>
      </c>
      <c r="EG925" s="2" t="n">
        <v>0</v>
      </c>
      <c r="EH925" s="2" t="n">
        <v>100</v>
      </c>
      <c r="EI925" s="2" t="n">
        <v>100</v>
      </c>
      <c r="EJ925" s="2" t="n">
        <v>0</v>
      </c>
      <c r="EK925" s="2" t="n">
        <v>100</v>
      </c>
      <c r="EL925" s="2" t="n">
        <v>100</v>
      </c>
      <c r="EM925" s="2" t="n">
        <v>0</v>
      </c>
      <c r="EN925" s="2" t="n">
        <v>100</v>
      </c>
      <c r="EO925" s="2" t="n">
        <v>100</v>
      </c>
      <c r="EP925" s="2" t="n">
        <v>0</v>
      </c>
      <c r="EQ925" s="2" t="n">
        <v>100</v>
      </c>
      <c r="ER925" s="2" t="n">
        <v>100</v>
      </c>
      <c r="ES925" s="2" t="n">
        <v>0</v>
      </c>
    </row>
    <row r="926">
      <c r="A926" s="2" t="n">
        <v>3</v>
      </c>
      <c r="B926" s="2" t="inlineStr">
        <is>
          <t>36.01.06</t>
        </is>
      </c>
      <c r="C926" s="2" t="inlineStr">
        <is>
          <t>Cachepô para floreiras</t>
        </is>
      </c>
      <c r="D926" s="2" t="inlineStr">
        <is>
          <t>12/07/2028</t>
        </is>
      </c>
      <c r="E926" s="2" t="inlineStr">
        <is>
          <t>06/12/2028</t>
        </is>
      </c>
      <c r="F926" s="2" t="n">
        <v>248850</v>
      </c>
      <c r="G926" s="2" t="n">
        <v>0</v>
      </c>
      <c r="H926" s="2" t="n">
        <v>248850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0</v>
      </c>
      <c r="DN926" s="2" t="n">
        <v>0</v>
      </c>
      <c r="DO926" s="2" t="n">
        <v>0</v>
      </c>
      <c r="DP926" s="2" t="n">
        <v>0</v>
      </c>
      <c r="DQ926" s="2" t="n">
        <v>26.5</v>
      </c>
      <c r="DR926" s="2" t="n">
        <v>0</v>
      </c>
      <c r="DS926" s="2" t="n">
        <v>30.29</v>
      </c>
      <c r="DT926" s="2" t="n">
        <v>63.16</v>
      </c>
      <c r="DU926" s="2" t="n">
        <v>0</v>
      </c>
      <c r="DV926" s="2" t="n">
        <v>63.16</v>
      </c>
      <c r="DW926" s="2" t="n">
        <v>76.61</v>
      </c>
      <c r="DX926" s="2" t="n">
        <v>0</v>
      </c>
      <c r="DY926" s="2" t="n">
        <v>87.23999999999999</v>
      </c>
      <c r="DZ926" s="2" t="n">
        <v>87.78</v>
      </c>
      <c r="EA926" s="2" t="n">
        <v>0</v>
      </c>
      <c r="EB926" s="2" t="n">
        <v>97.34</v>
      </c>
      <c r="EC926" s="2" t="n">
        <v>97.87</v>
      </c>
      <c r="ED926" s="2" t="n">
        <v>0</v>
      </c>
      <c r="EE926" s="2" t="n">
        <v>100</v>
      </c>
      <c r="EF926" s="2" t="n">
        <v>100</v>
      </c>
      <c r="EG926" s="2" t="n">
        <v>0</v>
      </c>
      <c r="EH926" s="2" t="n">
        <v>100</v>
      </c>
      <c r="EI926" s="2" t="n">
        <v>100</v>
      </c>
      <c r="EJ926" s="2" t="n">
        <v>0</v>
      </c>
      <c r="EK926" s="2" t="n">
        <v>100</v>
      </c>
      <c r="EL926" s="2" t="n">
        <v>100</v>
      </c>
      <c r="EM926" s="2" t="n">
        <v>0</v>
      </c>
      <c r="EN926" s="2" t="n">
        <v>100</v>
      </c>
      <c r="EO926" s="2" t="n">
        <v>100</v>
      </c>
      <c r="EP926" s="2" t="n">
        <v>0</v>
      </c>
      <c r="EQ926" s="2" t="n">
        <v>100</v>
      </c>
      <c r="ER926" s="2" t="n">
        <v>100</v>
      </c>
      <c r="ES926" s="2" t="n">
        <v>0</v>
      </c>
    </row>
    <row r="927">
      <c r="A927" s="2" t="n">
        <v>1</v>
      </c>
      <c r="B927" s="2" t="inlineStr">
        <is>
          <t>37</t>
        </is>
      </c>
      <c r="C927" s="2" t="inlineStr">
        <is>
          <t>LIMPEZA FINAL DE OBRA</t>
        </is>
      </c>
      <c r="D927" s="2" t="inlineStr">
        <is>
          <t>14/03/2028</t>
        </is>
      </c>
      <c r="E927" s="2" t="inlineStr">
        <is>
          <t>13/04/2029</t>
        </is>
      </c>
      <c r="F927" s="2" t="n">
        <v>887766.610405</v>
      </c>
      <c r="G927" s="2" t="n">
        <v>0</v>
      </c>
      <c r="H927" s="2" t="n">
        <v>887766.610405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1.31</v>
      </c>
      <c r="DE927" s="2" t="n">
        <v>2.04</v>
      </c>
      <c r="DF927" s="2" t="n">
        <v>0</v>
      </c>
      <c r="DG927" s="2" t="n">
        <v>4.02</v>
      </c>
      <c r="DH927" s="2" t="n">
        <v>6</v>
      </c>
      <c r="DI927" s="2" t="n">
        <v>0</v>
      </c>
      <c r="DJ927" s="2" t="n">
        <v>11.76</v>
      </c>
      <c r="DK927" s="2" t="n">
        <v>13.15</v>
      </c>
      <c r="DL927" s="2" t="n">
        <v>0</v>
      </c>
      <c r="DM927" s="2" t="n">
        <v>20.44</v>
      </c>
      <c r="DN927" s="2" t="n">
        <v>22.43</v>
      </c>
      <c r="DO927" s="2" t="n">
        <v>0</v>
      </c>
      <c r="DP927" s="2" t="n">
        <v>29.06</v>
      </c>
      <c r="DQ927" s="2" t="n">
        <v>31.21</v>
      </c>
      <c r="DR927" s="2" t="n">
        <v>0</v>
      </c>
      <c r="DS927" s="2" t="n">
        <v>38.76</v>
      </c>
      <c r="DT927" s="2" t="n">
        <v>40.37</v>
      </c>
      <c r="DU927" s="2" t="n">
        <v>0</v>
      </c>
      <c r="DV927" s="2" t="n">
        <v>46.92</v>
      </c>
      <c r="DW927" s="2" t="n">
        <v>48.99</v>
      </c>
      <c r="DX927" s="2" t="n">
        <v>0</v>
      </c>
      <c r="DY927" s="2" t="n">
        <v>55.35</v>
      </c>
      <c r="DZ927" s="2" t="n">
        <v>57.64</v>
      </c>
      <c r="EA927" s="2" t="n">
        <v>0</v>
      </c>
      <c r="EB927" s="2" t="n">
        <v>62.5</v>
      </c>
      <c r="EC927" s="2" t="n">
        <v>64.68000000000001</v>
      </c>
      <c r="ED927" s="2" t="n">
        <v>0</v>
      </c>
      <c r="EE927" s="2" t="n">
        <v>68.02</v>
      </c>
      <c r="EF927" s="2" t="n">
        <v>71.38</v>
      </c>
      <c r="EG927" s="2" t="n">
        <v>0</v>
      </c>
      <c r="EH927" s="2" t="n">
        <v>78.67</v>
      </c>
      <c r="EI927" s="2" t="n">
        <v>81.65000000000001</v>
      </c>
      <c r="EJ927" s="2" t="n">
        <v>0</v>
      </c>
      <c r="EK927" s="2" t="n">
        <v>88.23</v>
      </c>
      <c r="EL927" s="2" t="n">
        <v>91.26000000000001</v>
      </c>
      <c r="EM927" s="2" t="n">
        <v>0</v>
      </c>
      <c r="EN927" s="2" t="n">
        <v>97.67</v>
      </c>
      <c r="EO927" s="2" t="n">
        <v>99.19</v>
      </c>
      <c r="EP927" s="2" t="n">
        <v>0</v>
      </c>
      <c r="EQ927" s="2" t="n">
        <v>99.95</v>
      </c>
      <c r="ER927" s="2" t="n">
        <v>99.95</v>
      </c>
      <c r="ES927" s="2" t="n">
        <v>0</v>
      </c>
    </row>
    <row r="928">
      <c r="A928" s="2" t="n">
        <v>2</v>
      </c>
      <c r="B928" s="2" t="inlineStr">
        <is>
          <t>37.01</t>
        </is>
      </c>
      <c r="C928" s="2" t="inlineStr">
        <is>
          <t>Comunicação visual definitiva</t>
        </is>
      </c>
      <c r="D928" s="2" t="inlineStr">
        <is>
          <t>31/10/2028</t>
        </is>
      </c>
      <c r="E928" s="2" t="inlineStr">
        <is>
          <t>13/04/2029</t>
        </is>
      </c>
      <c r="F928" s="2" t="n">
        <v>51825</v>
      </c>
      <c r="G928" s="2" t="n">
        <v>0</v>
      </c>
      <c r="H928" s="2" t="n">
        <v>51825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0</v>
      </c>
      <c r="DN928" s="2" t="n">
        <v>0</v>
      </c>
      <c r="DO928" s="2" t="n">
        <v>0</v>
      </c>
      <c r="DP928" s="2" t="n">
        <v>0</v>
      </c>
      <c r="DQ928" s="2" t="n">
        <v>0</v>
      </c>
      <c r="DR928" s="2" t="n">
        <v>0</v>
      </c>
      <c r="DS928" s="2" t="n">
        <v>0</v>
      </c>
      <c r="DT928" s="2" t="n">
        <v>0</v>
      </c>
      <c r="DU928" s="2" t="n">
        <v>0</v>
      </c>
      <c r="DV928" s="2" t="n">
        <v>0</v>
      </c>
      <c r="DW928" s="2" t="n">
        <v>0</v>
      </c>
      <c r="DX928" s="2" t="n">
        <v>0</v>
      </c>
      <c r="DY928" s="2" t="n">
        <v>0</v>
      </c>
      <c r="DZ928" s="2" t="n">
        <v>0.05</v>
      </c>
      <c r="EA928" s="2" t="n">
        <v>0</v>
      </c>
      <c r="EB928" s="2" t="n">
        <v>0</v>
      </c>
      <c r="EC928" s="2" t="n">
        <v>0.49</v>
      </c>
      <c r="ED928" s="2" t="n">
        <v>0</v>
      </c>
      <c r="EE928" s="2" t="n">
        <v>0.49</v>
      </c>
      <c r="EF928" s="2" t="n">
        <v>3.53</v>
      </c>
      <c r="EG928" s="2" t="n">
        <v>0</v>
      </c>
      <c r="EH928" s="2" t="n">
        <v>25.22</v>
      </c>
      <c r="EI928" s="2" t="n">
        <v>32.04</v>
      </c>
      <c r="EJ928" s="2" t="n">
        <v>0</v>
      </c>
      <c r="EK928" s="2" t="n">
        <v>52.87</v>
      </c>
      <c r="EL928" s="2" t="n">
        <v>63.71</v>
      </c>
      <c r="EM928" s="2" t="n">
        <v>0</v>
      </c>
      <c r="EN928" s="2" t="n">
        <v>89.40000000000001</v>
      </c>
      <c r="EO928" s="2" t="n">
        <v>91.76000000000001</v>
      </c>
      <c r="EP928" s="2" t="n">
        <v>0</v>
      </c>
      <c r="EQ928" s="2" t="n">
        <v>99.17</v>
      </c>
      <c r="ER928" s="2" t="n">
        <v>99.17</v>
      </c>
      <c r="ES928" s="2" t="n">
        <v>0</v>
      </c>
    </row>
    <row r="929">
      <c r="A929" s="2" t="n">
        <v>3</v>
      </c>
      <c r="B929" s="2" t="inlineStr">
        <is>
          <t>37.01.01</t>
        </is>
      </c>
      <c r="C929" s="2" t="inlineStr">
        <is>
          <t>Numeracao dos apartamentos</t>
        </is>
      </c>
      <c r="D929" s="2" t="inlineStr">
        <is>
          <t>31/10/2028</t>
        </is>
      </c>
      <c r="E929" s="2" t="inlineStr">
        <is>
          <t>13/04/2029</t>
        </is>
      </c>
      <c r="F929" s="2" t="n">
        <v>6825</v>
      </c>
      <c r="G929" s="2" t="n">
        <v>0</v>
      </c>
      <c r="H929" s="2" t="n">
        <v>6825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0</v>
      </c>
      <c r="DN929" s="2" t="n">
        <v>0</v>
      </c>
      <c r="DO929" s="2" t="n">
        <v>0</v>
      </c>
      <c r="DP929" s="2" t="n">
        <v>0</v>
      </c>
      <c r="DQ929" s="2" t="n">
        <v>0</v>
      </c>
      <c r="DR929" s="2" t="n">
        <v>0</v>
      </c>
      <c r="DS929" s="2" t="n">
        <v>0</v>
      </c>
      <c r="DT929" s="2" t="n">
        <v>0</v>
      </c>
      <c r="DU929" s="2" t="n">
        <v>0</v>
      </c>
      <c r="DV929" s="2" t="n">
        <v>0</v>
      </c>
      <c r="DW929" s="2" t="n">
        <v>0</v>
      </c>
      <c r="DX929" s="2" t="n">
        <v>0</v>
      </c>
      <c r="DY929" s="2" t="n">
        <v>0</v>
      </c>
      <c r="DZ929" s="2" t="n">
        <v>0.05</v>
      </c>
      <c r="EA929" s="2" t="n">
        <v>0</v>
      </c>
      <c r="EB929" s="2" t="n">
        <v>0</v>
      </c>
      <c r="EC929" s="2" t="n">
        <v>0.49</v>
      </c>
      <c r="ED929" s="2" t="n">
        <v>0</v>
      </c>
      <c r="EE929" s="2" t="n">
        <v>0.49</v>
      </c>
      <c r="EF929" s="2" t="n">
        <v>3.53</v>
      </c>
      <c r="EG929" s="2" t="n">
        <v>0</v>
      </c>
      <c r="EH929" s="2" t="n">
        <v>25.22</v>
      </c>
      <c r="EI929" s="2" t="n">
        <v>32.04</v>
      </c>
      <c r="EJ929" s="2" t="n">
        <v>0</v>
      </c>
      <c r="EK929" s="2" t="n">
        <v>52.87</v>
      </c>
      <c r="EL929" s="2" t="n">
        <v>63.71</v>
      </c>
      <c r="EM929" s="2" t="n">
        <v>0</v>
      </c>
      <c r="EN929" s="2" t="n">
        <v>89.40000000000001</v>
      </c>
      <c r="EO929" s="2" t="n">
        <v>91.76000000000001</v>
      </c>
      <c r="EP929" s="2" t="n">
        <v>0</v>
      </c>
      <c r="EQ929" s="2" t="n">
        <v>99.17</v>
      </c>
      <c r="ER929" s="2" t="n">
        <v>99.17</v>
      </c>
      <c r="ES929" s="2" t="n">
        <v>0</v>
      </c>
    </row>
    <row r="930">
      <c r="A930" s="2" t="n">
        <v>3</v>
      </c>
      <c r="B930" s="2" t="inlineStr">
        <is>
          <t>37.01.02</t>
        </is>
      </c>
      <c r="C930" s="2" t="inlineStr">
        <is>
          <t>Letreiro com nome do predio</t>
        </is>
      </c>
      <c r="D930" s="2" t="inlineStr">
        <is>
          <t>31/10/2028</t>
        </is>
      </c>
      <c r="E930" s="2" t="inlineStr">
        <is>
          <t>13/04/2029</t>
        </is>
      </c>
      <c r="F930" s="2" t="n">
        <v>25000</v>
      </c>
      <c r="G930" s="2" t="n">
        <v>0</v>
      </c>
      <c r="H930" s="2" t="n">
        <v>25000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0</v>
      </c>
      <c r="DN930" s="2" t="n">
        <v>0</v>
      </c>
      <c r="DO930" s="2" t="n">
        <v>0</v>
      </c>
      <c r="DP930" s="2" t="n">
        <v>0</v>
      </c>
      <c r="DQ930" s="2" t="n">
        <v>0</v>
      </c>
      <c r="DR930" s="2" t="n">
        <v>0</v>
      </c>
      <c r="DS930" s="2" t="n">
        <v>0</v>
      </c>
      <c r="DT930" s="2" t="n">
        <v>0</v>
      </c>
      <c r="DU930" s="2" t="n">
        <v>0</v>
      </c>
      <c r="DV930" s="2" t="n">
        <v>0</v>
      </c>
      <c r="DW930" s="2" t="n">
        <v>0</v>
      </c>
      <c r="DX930" s="2" t="n">
        <v>0</v>
      </c>
      <c r="DY930" s="2" t="n">
        <v>0</v>
      </c>
      <c r="DZ930" s="2" t="n">
        <v>0.05</v>
      </c>
      <c r="EA930" s="2" t="n">
        <v>0</v>
      </c>
      <c r="EB930" s="2" t="n">
        <v>0</v>
      </c>
      <c r="EC930" s="2" t="n">
        <v>0.49</v>
      </c>
      <c r="ED930" s="2" t="n">
        <v>0</v>
      </c>
      <c r="EE930" s="2" t="n">
        <v>0.49</v>
      </c>
      <c r="EF930" s="2" t="n">
        <v>3.53</v>
      </c>
      <c r="EG930" s="2" t="n">
        <v>0</v>
      </c>
      <c r="EH930" s="2" t="n">
        <v>25.22</v>
      </c>
      <c r="EI930" s="2" t="n">
        <v>32.04</v>
      </c>
      <c r="EJ930" s="2" t="n">
        <v>0</v>
      </c>
      <c r="EK930" s="2" t="n">
        <v>52.87</v>
      </c>
      <c r="EL930" s="2" t="n">
        <v>63.71</v>
      </c>
      <c r="EM930" s="2" t="n">
        <v>0</v>
      </c>
      <c r="EN930" s="2" t="n">
        <v>89.40000000000001</v>
      </c>
      <c r="EO930" s="2" t="n">
        <v>91.76000000000001</v>
      </c>
      <c r="EP930" s="2" t="n">
        <v>0</v>
      </c>
      <c r="EQ930" s="2" t="n">
        <v>99.17</v>
      </c>
      <c r="ER930" s="2" t="n">
        <v>99.17</v>
      </c>
      <c r="ES930" s="2" t="n">
        <v>0</v>
      </c>
    </row>
    <row r="931">
      <c r="A931" s="2" t="n">
        <v>3</v>
      </c>
      <c r="B931" s="2" t="inlineStr">
        <is>
          <t>37.01.03</t>
        </is>
      </c>
      <c r="C931" s="2" t="inlineStr">
        <is>
          <t>Placas de indicação de ambientes</t>
        </is>
      </c>
      <c r="D931" s="2" t="inlineStr">
        <is>
          <t>31/10/2028</t>
        </is>
      </c>
      <c r="E931" s="2" t="inlineStr">
        <is>
          <t>13/04/2029</t>
        </is>
      </c>
      <c r="F931" s="2" t="n">
        <v>20000</v>
      </c>
      <c r="G931" s="2" t="n">
        <v>0</v>
      </c>
      <c r="H931" s="2" t="n">
        <v>20000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0</v>
      </c>
      <c r="DN931" s="2" t="n">
        <v>0</v>
      </c>
      <c r="DO931" s="2" t="n">
        <v>0</v>
      </c>
      <c r="DP931" s="2" t="n">
        <v>0</v>
      </c>
      <c r="DQ931" s="2" t="n">
        <v>0</v>
      </c>
      <c r="DR931" s="2" t="n">
        <v>0</v>
      </c>
      <c r="DS931" s="2" t="n">
        <v>0</v>
      </c>
      <c r="DT931" s="2" t="n">
        <v>0</v>
      </c>
      <c r="DU931" s="2" t="n">
        <v>0</v>
      </c>
      <c r="DV931" s="2" t="n">
        <v>0</v>
      </c>
      <c r="DW931" s="2" t="n">
        <v>0</v>
      </c>
      <c r="DX931" s="2" t="n">
        <v>0</v>
      </c>
      <c r="DY931" s="2" t="n">
        <v>0</v>
      </c>
      <c r="DZ931" s="2" t="n">
        <v>0.05</v>
      </c>
      <c r="EA931" s="2" t="n">
        <v>0</v>
      </c>
      <c r="EB931" s="2" t="n">
        <v>0</v>
      </c>
      <c r="EC931" s="2" t="n">
        <v>0.49</v>
      </c>
      <c r="ED931" s="2" t="n">
        <v>0</v>
      </c>
      <c r="EE931" s="2" t="n">
        <v>0.49</v>
      </c>
      <c r="EF931" s="2" t="n">
        <v>3.53</v>
      </c>
      <c r="EG931" s="2" t="n">
        <v>0</v>
      </c>
      <c r="EH931" s="2" t="n">
        <v>25.22</v>
      </c>
      <c r="EI931" s="2" t="n">
        <v>32.04</v>
      </c>
      <c r="EJ931" s="2" t="n">
        <v>0</v>
      </c>
      <c r="EK931" s="2" t="n">
        <v>52.87</v>
      </c>
      <c r="EL931" s="2" t="n">
        <v>63.71</v>
      </c>
      <c r="EM931" s="2" t="n">
        <v>0</v>
      </c>
      <c r="EN931" s="2" t="n">
        <v>89.40000000000001</v>
      </c>
      <c r="EO931" s="2" t="n">
        <v>91.76000000000001</v>
      </c>
      <c r="EP931" s="2" t="n">
        <v>0</v>
      </c>
      <c r="EQ931" s="2" t="n">
        <v>99.17</v>
      </c>
      <c r="ER931" s="2" t="n">
        <v>99.17</v>
      </c>
      <c r="ES931" s="2" t="n">
        <v>0</v>
      </c>
    </row>
    <row r="932">
      <c r="A932" s="2" t="n">
        <v>2</v>
      </c>
      <c r="B932" s="2" t="inlineStr">
        <is>
          <t>37.02</t>
        </is>
      </c>
      <c r="C932" s="2" t="inlineStr">
        <is>
          <t>Despesas Gerais</t>
        </is>
      </c>
      <c r="D932" s="2" t="inlineStr">
        <is>
          <t>24/04/2028</t>
        </is>
      </c>
      <c r="E932" s="2" t="inlineStr">
        <is>
          <t>19/03/2029</t>
        </is>
      </c>
      <c r="F932" s="2" t="n">
        <v>299500</v>
      </c>
      <c r="G932" s="2" t="n">
        <v>0</v>
      </c>
      <c r="H932" s="2" t="n">
        <v>299500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3.68</v>
      </c>
      <c r="DI932" s="2" t="n">
        <v>0</v>
      </c>
      <c r="DJ932" s="2" t="n">
        <v>10.31</v>
      </c>
      <c r="DK932" s="2" t="n">
        <v>11.04</v>
      </c>
      <c r="DL932" s="2" t="n">
        <v>0</v>
      </c>
      <c r="DM932" s="2" t="n">
        <v>18.88</v>
      </c>
      <c r="DN932" s="2" t="n">
        <v>21.09</v>
      </c>
      <c r="DO932" s="2" t="n">
        <v>0</v>
      </c>
      <c r="DP932" s="2" t="n">
        <v>28.17</v>
      </c>
      <c r="DQ932" s="2" t="n">
        <v>31.12</v>
      </c>
      <c r="DR932" s="2" t="n">
        <v>0</v>
      </c>
      <c r="DS932" s="2" t="n">
        <v>39.92</v>
      </c>
      <c r="DT932" s="2" t="n">
        <v>40.75</v>
      </c>
      <c r="DU932" s="2" t="n">
        <v>0</v>
      </c>
      <c r="DV932" s="2" t="n">
        <v>48.23</v>
      </c>
      <c r="DW932" s="2" t="n">
        <v>50.95</v>
      </c>
      <c r="DX932" s="2" t="n">
        <v>0</v>
      </c>
      <c r="DY932" s="2" t="n">
        <v>58.47</v>
      </c>
      <c r="DZ932" s="2" t="n">
        <v>61.41</v>
      </c>
      <c r="EA932" s="2" t="n">
        <v>0</v>
      </c>
      <c r="EB932" s="2" t="n">
        <v>66.56999999999999</v>
      </c>
      <c r="EC932" s="2" t="n">
        <v>68.84</v>
      </c>
      <c r="ED932" s="2" t="n">
        <v>0</v>
      </c>
      <c r="EE932" s="2" t="n">
        <v>72.45999999999999</v>
      </c>
      <c r="EF932" s="2" t="n">
        <v>75.79000000000001</v>
      </c>
      <c r="EG932" s="2" t="n">
        <v>0</v>
      </c>
      <c r="EH932" s="2" t="n">
        <v>82.62</v>
      </c>
      <c r="EI932" s="2" t="n">
        <v>85.28</v>
      </c>
      <c r="EJ932" s="2" t="n">
        <v>0</v>
      </c>
      <c r="EK932" s="2" t="n">
        <v>92.64</v>
      </c>
      <c r="EL932" s="2" t="n">
        <v>93.95</v>
      </c>
      <c r="EM932" s="2" t="n">
        <v>0</v>
      </c>
      <c r="EN932" s="2" t="n">
        <v>100</v>
      </c>
      <c r="EO932" s="2" t="n">
        <v>100</v>
      </c>
      <c r="EP932" s="2" t="n">
        <v>0</v>
      </c>
      <c r="EQ932" s="2" t="n">
        <v>100</v>
      </c>
      <c r="ER932" s="2" t="n">
        <v>100</v>
      </c>
      <c r="ES932" s="2" t="n">
        <v>0</v>
      </c>
    </row>
    <row r="933">
      <c r="A933" s="2" t="n">
        <v>3</v>
      </c>
      <c r="B933" s="2" t="inlineStr">
        <is>
          <t>37.02.01</t>
        </is>
      </c>
      <c r="C933" s="2" t="inlineStr">
        <is>
          <t>Arremates Finais</t>
        </is>
      </c>
      <c r="D933" s="2" t="inlineStr">
        <is>
          <t>24/04/2028</t>
        </is>
      </c>
      <c r="E933" s="2" t="inlineStr">
        <is>
          <t>19/03/2029</t>
        </is>
      </c>
      <c r="F933" s="2" t="n">
        <v>200000</v>
      </c>
      <c r="G933" s="2" t="n">
        <v>0</v>
      </c>
      <c r="H933" s="2" t="n">
        <v>200000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3.68</v>
      </c>
      <c r="DI933" s="2" t="n">
        <v>0</v>
      </c>
      <c r="DJ933" s="2" t="n">
        <v>10.31</v>
      </c>
      <c r="DK933" s="2" t="n">
        <v>11.04</v>
      </c>
      <c r="DL933" s="2" t="n">
        <v>0</v>
      </c>
      <c r="DM933" s="2" t="n">
        <v>18.88</v>
      </c>
      <c r="DN933" s="2" t="n">
        <v>21.09</v>
      </c>
      <c r="DO933" s="2" t="n">
        <v>0</v>
      </c>
      <c r="DP933" s="2" t="n">
        <v>28.17</v>
      </c>
      <c r="DQ933" s="2" t="n">
        <v>31.12</v>
      </c>
      <c r="DR933" s="2" t="n">
        <v>0</v>
      </c>
      <c r="DS933" s="2" t="n">
        <v>39.92</v>
      </c>
      <c r="DT933" s="2" t="n">
        <v>40.75</v>
      </c>
      <c r="DU933" s="2" t="n">
        <v>0</v>
      </c>
      <c r="DV933" s="2" t="n">
        <v>48.23</v>
      </c>
      <c r="DW933" s="2" t="n">
        <v>50.95</v>
      </c>
      <c r="DX933" s="2" t="n">
        <v>0</v>
      </c>
      <c r="DY933" s="2" t="n">
        <v>58.47</v>
      </c>
      <c r="DZ933" s="2" t="n">
        <v>61.41</v>
      </c>
      <c r="EA933" s="2" t="n">
        <v>0</v>
      </c>
      <c r="EB933" s="2" t="n">
        <v>66.56999999999999</v>
      </c>
      <c r="EC933" s="2" t="n">
        <v>68.84</v>
      </c>
      <c r="ED933" s="2" t="n">
        <v>0</v>
      </c>
      <c r="EE933" s="2" t="n">
        <v>72.45999999999999</v>
      </c>
      <c r="EF933" s="2" t="n">
        <v>75.79000000000001</v>
      </c>
      <c r="EG933" s="2" t="n">
        <v>0</v>
      </c>
      <c r="EH933" s="2" t="n">
        <v>82.62</v>
      </c>
      <c r="EI933" s="2" t="n">
        <v>85.28</v>
      </c>
      <c r="EJ933" s="2" t="n">
        <v>0</v>
      </c>
      <c r="EK933" s="2" t="n">
        <v>92.64</v>
      </c>
      <c r="EL933" s="2" t="n">
        <v>93.95</v>
      </c>
      <c r="EM933" s="2" t="n">
        <v>0</v>
      </c>
      <c r="EN933" s="2" t="n">
        <v>100</v>
      </c>
      <c r="EO933" s="2" t="n">
        <v>100</v>
      </c>
      <c r="EP933" s="2" t="n">
        <v>0</v>
      </c>
      <c r="EQ933" s="2" t="n">
        <v>100</v>
      </c>
      <c r="ER933" s="2" t="n">
        <v>100</v>
      </c>
      <c r="ES933" s="2" t="n">
        <v>0</v>
      </c>
    </row>
    <row r="934">
      <c r="A934" s="2" t="n">
        <v>3</v>
      </c>
      <c r="B934" s="2" t="inlineStr">
        <is>
          <t>37.02.02</t>
        </is>
      </c>
      <c r="C934" s="2" t="inlineStr">
        <is>
          <t>Vistoria final de obra</t>
        </is>
      </c>
      <c r="D934" s="2" t="inlineStr">
        <is>
          <t>24/04/2028</t>
        </is>
      </c>
      <c r="E934" s="2" t="inlineStr">
        <is>
          <t>19/03/2029</t>
        </is>
      </c>
      <c r="F934" s="2" t="n">
        <v>20000</v>
      </c>
      <c r="G934" s="2" t="n">
        <v>0</v>
      </c>
      <c r="H934" s="2" t="n">
        <v>20000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3.68</v>
      </c>
      <c r="DI934" s="2" t="n">
        <v>0</v>
      </c>
      <c r="DJ934" s="2" t="n">
        <v>10.31</v>
      </c>
      <c r="DK934" s="2" t="n">
        <v>11.04</v>
      </c>
      <c r="DL934" s="2" t="n">
        <v>0</v>
      </c>
      <c r="DM934" s="2" t="n">
        <v>18.88</v>
      </c>
      <c r="DN934" s="2" t="n">
        <v>21.09</v>
      </c>
      <c r="DO934" s="2" t="n">
        <v>0</v>
      </c>
      <c r="DP934" s="2" t="n">
        <v>28.17</v>
      </c>
      <c r="DQ934" s="2" t="n">
        <v>31.12</v>
      </c>
      <c r="DR934" s="2" t="n">
        <v>0</v>
      </c>
      <c r="DS934" s="2" t="n">
        <v>39.92</v>
      </c>
      <c r="DT934" s="2" t="n">
        <v>40.75</v>
      </c>
      <c r="DU934" s="2" t="n">
        <v>0</v>
      </c>
      <c r="DV934" s="2" t="n">
        <v>48.23</v>
      </c>
      <c r="DW934" s="2" t="n">
        <v>50.95</v>
      </c>
      <c r="DX934" s="2" t="n">
        <v>0</v>
      </c>
      <c r="DY934" s="2" t="n">
        <v>58.47</v>
      </c>
      <c r="DZ934" s="2" t="n">
        <v>61.41</v>
      </c>
      <c r="EA934" s="2" t="n">
        <v>0</v>
      </c>
      <c r="EB934" s="2" t="n">
        <v>66.56999999999999</v>
      </c>
      <c r="EC934" s="2" t="n">
        <v>68.84</v>
      </c>
      <c r="ED934" s="2" t="n">
        <v>0</v>
      </c>
      <c r="EE934" s="2" t="n">
        <v>72.45999999999999</v>
      </c>
      <c r="EF934" s="2" t="n">
        <v>75.79000000000001</v>
      </c>
      <c r="EG934" s="2" t="n">
        <v>0</v>
      </c>
      <c r="EH934" s="2" t="n">
        <v>82.62</v>
      </c>
      <c r="EI934" s="2" t="n">
        <v>85.28</v>
      </c>
      <c r="EJ934" s="2" t="n">
        <v>0</v>
      </c>
      <c r="EK934" s="2" t="n">
        <v>92.64</v>
      </c>
      <c r="EL934" s="2" t="n">
        <v>93.95</v>
      </c>
      <c r="EM934" s="2" t="n">
        <v>0</v>
      </c>
      <c r="EN934" s="2" t="n">
        <v>100</v>
      </c>
      <c r="EO934" s="2" t="n">
        <v>100</v>
      </c>
      <c r="EP934" s="2" t="n">
        <v>0</v>
      </c>
      <c r="EQ934" s="2" t="n">
        <v>100</v>
      </c>
      <c r="ER934" s="2" t="n">
        <v>100</v>
      </c>
      <c r="ES934" s="2" t="n">
        <v>0</v>
      </c>
    </row>
    <row r="935">
      <c r="A935" s="2" t="n">
        <v>3</v>
      </c>
      <c r="B935" s="2" t="inlineStr">
        <is>
          <t>37.02.03</t>
        </is>
      </c>
      <c r="C935" s="2" t="inlineStr">
        <is>
          <t>Elaboração de manual do proprietário</t>
        </is>
      </c>
      <c r="D935" s="2" t="inlineStr">
        <is>
          <t>24/04/2028</t>
        </is>
      </c>
      <c r="E935" s="2" t="inlineStr">
        <is>
          <t>19/03/2029</t>
        </is>
      </c>
      <c r="F935" s="2" t="n">
        <v>52500</v>
      </c>
      <c r="G935" s="2" t="n">
        <v>0</v>
      </c>
      <c r="H935" s="2" t="n">
        <v>52500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3.68</v>
      </c>
      <c r="DI935" s="2" t="n">
        <v>0</v>
      </c>
      <c r="DJ935" s="2" t="n">
        <v>10.31</v>
      </c>
      <c r="DK935" s="2" t="n">
        <v>11.04</v>
      </c>
      <c r="DL935" s="2" t="n">
        <v>0</v>
      </c>
      <c r="DM935" s="2" t="n">
        <v>18.88</v>
      </c>
      <c r="DN935" s="2" t="n">
        <v>21.09</v>
      </c>
      <c r="DO935" s="2" t="n">
        <v>0</v>
      </c>
      <c r="DP935" s="2" t="n">
        <v>28.17</v>
      </c>
      <c r="DQ935" s="2" t="n">
        <v>31.12</v>
      </c>
      <c r="DR935" s="2" t="n">
        <v>0</v>
      </c>
      <c r="DS935" s="2" t="n">
        <v>39.92</v>
      </c>
      <c r="DT935" s="2" t="n">
        <v>40.75</v>
      </c>
      <c r="DU935" s="2" t="n">
        <v>0</v>
      </c>
      <c r="DV935" s="2" t="n">
        <v>48.23</v>
      </c>
      <c r="DW935" s="2" t="n">
        <v>50.95</v>
      </c>
      <c r="DX935" s="2" t="n">
        <v>0</v>
      </c>
      <c r="DY935" s="2" t="n">
        <v>58.47</v>
      </c>
      <c r="DZ935" s="2" t="n">
        <v>61.41</v>
      </c>
      <c r="EA935" s="2" t="n">
        <v>0</v>
      </c>
      <c r="EB935" s="2" t="n">
        <v>66.56999999999999</v>
      </c>
      <c r="EC935" s="2" t="n">
        <v>68.84</v>
      </c>
      <c r="ED935" s="2" t="n">
        <v>0</v>
      </c>
      <c r="EE935" s="2" t="n">
        <v>72.45999999999999</v>
      </c>
      <c r="EF935" s="2" t="n">
        <v>75.79000000000001</v>
      </c>
      <c r="EG935" s="2" t="n">
        <v>0</v>
      </c>
      <c r="EH935" s="2" t="n">
        <v>82.62</v>
      </c>
      <c r="EI935" s="2" t="n">
        <v>85.28</v>
      </c>
      <c r="EJ935" s="2" t="n">
        <v>0</v>
      </c>
      <c r="EK935" s="2" t="n">
        <v>92.64</v>
      </c>
      <c r="EL935" s="2" t="n">
        <v>93.95</v>
      </c>
      <c r="EM935" s="2" t="n">
        <v>0</v>
      </c>
      <c r="EN935" s="2" t="n">
        <v>100</v>
      </c>
      <c r="EO935" s="2" t="n">
        <v>100</v>
      </c>
      <c r="EP935" s="2" t="n">
        <v>0</v>
      </c>
      <c r="EQ935" s="2" t="n">
        <v>100</v>
      </c>
      <c r="ER935" s="2" t="n">
        <v>100</v>
      </c>
      <c r="ES935" s="2" t="n">
        <v>0</v>
      </c>
    </row>
    <row r="936">
      <c r="A936" s="2" t="n">
        <v>3</v>
      </c>
      <c r="B936" s="2" t="inlineStr">
        <is>
          <t>37.02.04</t>
        </is>
      </c>
      <c r="C936" s="2" t="inlineStr">
        <is>
          <t>Enchimento de reservatórios com caminhão pipa</t>
        </is>
      </c>
      <c r="D936" s="2" t="inlineStr">
        <is>
          <t>24/04/2028</t>
        </is>
      </c>
      <c r="E936" s="2" t="inlineStr">
        <is>
          <t>19/03/2029</t>
        </is>
      </c>
      <c r="F936" s="2" t="n">
        <v>13500</v>
      </c>
      <c r="G936" s="2" t="n">
        <v>0</v>
      </c>
      <c r="H936" s="2" t="n">
        <v>13500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3.68</v>
      </c>
      <c r="DI936" s="2" t="n">
        <v>0</v>
      </c>
      <c r="DJ936" s="2" t="n">
        <v>10.31</v>
      </c>
      <c r="DK936" s="2" t="n">
        <v>11.04</v>
      </c>
      <c r="DL936" s="2" t="n">
        <v>0</v>
      </c>
      <c r="DM936" s="2" t="n">
        <v>18.88</v>
      </c>
      <c r="DN936" s="2" t="n">
        <v>21.09</v>
      </c>
      <c r="DO936" s="2" t="n">
        <v>0</v>
      </c>
      <c r="DP936" s="2" t="n">
        <v>28.17</v>
      </c>
      <c r="DQ936" s="2" t="n">
        <v>31.12</v>
      </c>
      <c r="DR936" s="2" t="n">
        <v>0</v>
      </c>
      <c r="DS936" s="2" t="n">
        <v>39.92</v>
      </c>
      <c r="DT936" s="2" t="n">
        <v>40.75</v>
      </c>
      <c r="DU936" s="2" t="n">
        <v>0</v>
      </c>
      <c r="DV936" s="2" t="n">
        <v>48.23</v>
      </c>
      <c r="DW936" s="2" t="n">
        <v>50.95</v>
      </c>
      <c r="DX936" s="2" t="n">
        <v>0</v>
      </c>
      <c r="DY936" s="2" t="n">
        <v>58.47</v>
      </c>
      <c r="DZ936" s="2" t="n">
        <v>61.41</v>
      </c>
      <c r="EA936" s="2" t="n">
        <v>0</v>
      </c>
      <c r="EB936" s="2" t="n">
        <v>66.56999999999999</v>
      </c>
      <c r="EC936" s="2" t="n">
        <v>68.84</v>
      </c>
      <c r="ED936" s="2" t="n">
        <v>0</v>
      </c>
      <c r="EE936" s="2" t="n">
        <v>72.45999999999999</v>
      </c>
      <c r="EF936" s="2" t="n">
        <v>75.79000000000001</v>
      </c>
      <c r="EG936" s="2" t="n">
        <v>0</v>
      </c>
      <c r="EH936" s="2" t="n">
        <v>82.62</v>
      </c>
      <c r="EI936" s="2" t="n">
        <v>85.28</v>
      </c>
      <c r="EJ936" s="2" t="n">
        <v>0</v>
      </c>
      <c r="EK936" s="2" t="n">
        <v>92.64</v>
      </c>
      <c r="EL936" s="2" t="n">
        <v>93.95</v>
      </c>
      <c r="EM936" s="2" t="n">
        <v>0</v>
      </c>
      <c r="EN936" s="2" t="n">
        <v>100</v>
      </c>
      <c r="EO936" s="2" t="n">
        <v>100</v>
      </c>
      <c r="EP936" s="2" t="n">
        <v>0</v>
      </c>
      <c r="EQ936" s="2" t="n">
        <v>100</v>
      </c>
      <c r="ER936" s="2" t="n">
        <v>100</v>
      </c>
      <c r="ES936" s="2" t="n">
        <v>0</v>
      </c>
    </row>
    <row r="937">
      <c r="A937" s="2" t="n">
        <v>3</v>
      </c>
      <c r="B937" s="2" t="inlineStr">
        <is>
          <t>37.02.05</t>
        </is>
      </c>
      <c r="C937" s="2" t="inlineStr">
        <is>
          <t>Enchimento de piscinas com caminhão pipa</t>
        </is>
      </c>
      <c r="D937" s="2" t="inlineStr">
        <is>
          <t>24/04/2028</t>
        </is>
      </c>
      <c r="E937" s="2" t="inlineStr">
        <is>
          <t>19/03/2029</t>
        </is>
      </c>
      <c r="F937" s="2" t="n">
        <v>13500</v>
      </c>
      <c r="G937" s="2" t="n">
        <v>0</v>
      </c>
      <c r="H937" s="2" t="n">
        <v>13500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3.68</v>
      </c>
      <c r="DI937" s="2" t="n">
        <v>0</v>
      </c>
      <c r="DJ937" s="2" t="n">
        <v>10.31</v>
      </c>
      <c r="DK937" s="2" t="n">
        <v>11.04</v>
      </c>
      <c r="DL937" s="2" t="n">
        <v>0</v>
      </c>
      <c r="DM937" s="2" t="n">
        <v>18.88</v>
      </c>
      <c r="DN937" s="2" t="n">
        <v>21.09</v>
      </c>
      <c r="DO937" s="2" t="n">
        <v>0</v>
      </c>
      <c r="DP937" s="2" t="n">
        <v>28.17</v>
      </c>
      <c r="DQ937" s="2" t="n">
        <v>31.12</v>
      </c>
      <c r="DR937" s="2" t="n">
        <v>0</v>
      </c>
      <c r="DS937" s="2" t="n">
        <v>39.92</v>
      </c>
      <c r="DT937" s="2" t="n">
        <v>40.75</v>
      </c>
      <c r="DU937" s="2" t="n">
        <v>0</v>
      </c>
      <c r="DV937" s="2" t="n">
        <v>48.23</v>
      </c>
      <c r="DW937" s="2" t="n">
        <v>50.95</v>
      </c>
      <c r="DX937" s="2" t="n">
        <v>0</v>
      </c>
      <c r="DY937" s="2" t="n">
        <v>58.47</v>
      </c>
      <c r="DZ937" s="2" t="n">
        <v>61.41</v>
      </c>
      <c r="EA937" s="2" t="n">
        <v>0</v>
      </c>
      <c r="EB937" s="2" t="n">
        <v>66.56999999999999</v>
      </c>
      <c r="EC937" s="2" t="n">
        <v>68.84</v>
      </c>
      <c r="ED937" s="2" t="n">
        <v>0</v>
      </c>
      <c r="EE937" s="2" t="n">
        <v>72.45999999999999</v>
      </c>
      <c r="EF937" s="2" t="n">
        <v>75.79000000000001</v>
      </c>
      <c r="EG937" s="2" t="n">
        <v>0</v>
      </c>
      <c r="EH937" s="2" t="n">
        <v>82.62</v>
      </c>
      <c r="EI937" s="2" t="n">
        <v>85.28</v>
      </c>
      <c r="EJ937" s="2" t="n">
        <v>0</v>
      </c>
      <c r="EK937" s="2" t="n">
        <v>92.64</v>
      </c>
      <c r="EL937" s="2" t="n">
        <v>93.95</v>
      </c>
      <c r="EM937" s="2" t="n">
        <v>0</v>
      </c>
      <c r="EN937" s="2" t="n">
        <v>100</v>
      </c>
      <c r="EO937" s="2" t="n">
        <v>100</v>
      </c>
      <c r="EP937" s="2" t="n">
        <v>0</v>
      </c>
      <c r="EQ937" s="2" t="n">
        <v>100</v>
      </c>
      <c r="ER937" s="2" t="n">
        <v>100</v>
      </c>
      <c r="ES937" s="2" t="n">
        <v>0</v>
      </c>
    </row>
    <row r="938">
      <c r="A938" s="2" t="n">
        <v>2</v>
      </c>
      <c r="B938" s="2" t="inlineStr">
        <is>
          <t>37.03</t>
        </is>
      </c>
      <c r="C938" s="2" t="inlineStr">
        <is>
          <t>Limpeza Final da Obra</t>
        </is>
      </c>
      <c r="D938" s="2" t="inlineStr">
        <is>
          <t>14/03/2028</t>
        </is>
      </c>
      <c r="E938" s="2" t="inlineStr">
        <is>
          <t>13/04/2029</t>
        </is>
      </c>
      <c r="F938" s="2" t="n">
        <v>486441.610405</v>
      </c>
      <c r="G938" s="2" t="n">
        <v>0</v>
      </c>
      <c r="H938" s="2" t="n">
        <v>486441.610405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2.39</v>
      </c>
      <c r="DE938" s="2" t="n">
        <v>3.72</v>
      </c>
      <c r="DF938" s="2" t="n">
        <v>0</v>
      </c>
      <c r="DG938" s="2" t="n">
        <v>7.33</v>
      </c>
      <c r="DH938" s="2" t="n">
        <v>8.69</v>
      </c>
      <c r="DI938" s="2" t="n">
        <v>0</v>
      </c>
      <c r="DJ938" s="2" t="n">
        <v>15.11</v>
      </c>
      <c r="DK938" s="2" t="n">
        <v>17.2</v>
      </c>
      <c r="DL938" s="2" t="n">
        <v>0</v>
      </c>
      <c r="DM938" s="2" t="n">
        <v>24.93</v>
      </c>
      <c r="DN938" s="2" t="n">
        <v>27.03</v>
      </c>
      <c r="DO938" s="2" t="n">
        <v>0</v>
      </c>
      <c r="DP938" s="2" t="n">
        <v>34.76</v>
      </c>
      <c r="DQ938" s="2" t="n">
        <v>36.87</v>
      </c>
      <c r="DR938" s="2" t="n">
        <v>0</v>
      </c>
      <c r="DS938" s="2" t="n">
        <v>45.23</v>
      </c>
      <c r="DT938" s="2" t="n">
        <v>47.65</v>
      </c>
      <c r="DU938" s="2" t="n">
        <v>0</v>
      </c>
      <c r="DV938" s="2" t="n">
        <v>54.08</v>
      </c>
      <c r="DW938" s="2" t="n">
        <v>56.17</v>
      </c>
      <c r="DX938" s="2" t="n">
        <v>0</v>
      </c>
      <c r="DY938" s="2" t="n">
        <v>63.15</v>
      </c>
      <c r="DZ938" s="2" t="n">
        <v>65.51000000000001</v>
      </c>
      <c r="EA938" s="2" t="n">
        <v>0</v>
      </c>
      <c r="EB938" s="2" t="n">
        <v>71.20999999999999</v>
      </c>
      <c r="EC938" s="2" t="n">
        <v>73.67</v>
      </c>
      <c r="ED938" s="2" t="n">
        <v>0</v>
      </c>
      <c r="EE938" s="2" t="n">
        <v>77.59999999999999</v>
      </c>
      <c r="EF938" s="2" t="n">
        <v>80.43000000000001</v>
      </c>
      <c r="EG938" s="2" t="n">
        <v>0</v>
      </c>
      <c r="EH938" s="2" t="n">
        <v>87.22</v>
      </c>
      <c r="EI938" s="2" t="n">
        <v>89.22</v>
      </c>
      <c r="EJ938" s="2" t="n">
        <v>0</v>
      </c>
      <c r="EK938" s="2" t="n">
        <v>94.48</v>
      </c>
      <c r="EL938" s="2" t="n">
        <v>95.56</v>
      </c>
      <c r="EM938" s="2" t="n">
        <v>0</v>
      </c>
      <c r="EN938" s="2" t="n">
        <v>98.19</v>
      </c>
      <c r="EO938" s="2" t="n">
        <v>99.47</v>
      </c>
      <c r="EP938" s="2" t="n">
        <v>0</v>
      </c>
      <c r="EQ938" s="2" t="n">
        <v>100</v>
      </c>
      <c r="ER938" s="2" t="n">
        <v>100</v>
      </c>
      <c r="ES938" s="2" t="n">
        <v>0</v>
      </c>
    </row>
    <row r="939">
      <c r="A939" s="2" t="n">
        <v>3</v>
      </c>
      <c r="B939" s="2" t="inlineStr">
        <is>
          <t>37.03.01</t>
        </is>
      </c>
      <c r="C939" s="2" t="inlineStr">
        <is>
          <t>Limpeza de apartamentos ou salas</t>
        </is>
      </c>
      <c r="D939" s="2" t="inlineStr">
        <is>
          <t>14/03/2028</t>
        </is>
      </c>
      <c r="E939" s="2" t="inlineStr">
        <is>
          <t>13/04/2029</t>
        </is>
      </c>
      <c r="F939" s="2" t="n">
        <v>129819.328955</v>
      </c>
      <c r="G939" s="2" t="n">
        <v>0</v>
      </c>
      <c r="H939" s="2" t="n">
        <v>129819.328955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2.39</v>
      </c>
      <c r="DE939" s="2" t="n">
        <v>3.72</v>
      </c>
      <c r="DF939" s="2" t="n">
        <v>0</v>
      </c>
      <c r="DG939" s="2" t="n">
        <v>7.33</v>
      </c>
      <c r="DH939" s="2" t="n">
        <v>8.69</v>
      </c>
      <c r="DI939" s="2" t="n">
        <v>0</v>
      </c>
      <c r="DJ939" s="2" t="n">
        <v>15.11</v>
      </c>
      <c r="DK939" s="2" t="n">
        <v>17.2</v>
      </c>
      <c r="DL939" s="2" t="n">
        <v>0</v>
      </c>
      <c r="DM939" s="2" t="n">
        <v>24.93</v>
      </c>
      <c r="DN939" s="2" t="n">
        <v>27.03</v>
      </c>
      <c r="DO939" s="2" t="n">
        <v>0</v>
      </c>
      <c r="DP939" s="2" t="n">
        <v>34.76</v>
      </c>
      <c r="DQ939" s="2" t="n">
        <v>36.87</v>
      </c>
      <c r="DR939" s="2" t="n">
        <v>0</v>
      </c>
      <c r="DS939" s="2" t="n">
        <v>45.23</v>
      </c>
      <c r="DT939" s="2" t="n">
        <v>47.65</v>
      </c>
      <c r="DU939" s="2" t="n">
        <v>0</v>
      </c>
      <c r="DV939" s="2" t="n">
        <v>54.08</v>
      </c>
      <c r="DW939" s="2" t="n">
        <v>56.17</v>
      </c>
      <c r="DX939" s="2" t="n">
        <v>0</v>
      </c>
      <c r="DY939" s="2" t="n">
        <v>63.15</v>
      </c>
      <c r="DZ939" s="2" t="n">
        <v>65.51000000000001</v>
      </c>
      <c r="EA939" s="2" t="n">
        <v>0</v>
      </c>
      <c r="EB939" s="2" t="n">
        <v>71.20999999999999</v>
      </c>
      <c r="EC939" s="2" t="n">
        <v>73.67</v>
      </c>
      <c r="ED939" s="2" t="n">
        <v>0</v>
      </c>
      <c r="EE939" s="2" t="n">
        <v>77.59999999999999</v>
      </c>
      <c r="EF939" s="2" t="n">
        <v>80.43000000000001</v>
      </c>
      <c r="EG939" s="2" t="n">
        <v>0</v>
      </c>
      <c r="EH939" s="2" t="n">
        <v>87.22</v>
      </c>
      <c r="EI939" s="2" t="n">
        <v>89.22</v>
      </c>
      <c r="EJ939" s="2" t="n">
        <v>0</v>
      </c>
      <c r="EK939" s="2" t="n">
        <v>94.48</v>
      </c>
      <c r="EL939" s="2" t="n">
        <v>95.56</v>
      </c>
      <c r="EM939" s="2" t="n">
        <v>0</v>
      </c>
      <c r="EN939" s="2" t="n">
        <v>98.19</v>
      </c>
      <c r="EO939" s="2" t="n">
        <v>99.47</v>
      </c>
      <c r="EP939" s="2" t="n">
        <v>0</v>
      </c>
      <c r="EQ939" s="2" t="n">
        <v>100</v>
      </c>
      <c r="ER939" s="2" t="n">
        <v>100</v>
      </c>
      <c r="ES939" s="2" t="n">
        <v>0</v>
      </c>
    </row>
    <row r="940">
      <c r="A940" s="2" t="n">
        <v>3</v>
      </c>
      <c r="B940" s="2" t="inlineStr">
        <is>
          <t>37.03.02</t>
        </is>
      </c>
      <c r="C940" s="2" t="inlineStr">
        <is>
          <t>Limpeza de áreas comuns</t>
        </is>
      </c>
      <c r="D940" s="2" t="inlineStr">
        <is>
          <t>14/03/2028</t>
        </is>
      </c>
      <c r="E940" s="2" t="inlineStr">
        <is>
          <t>13/04/2029</t>
        </is>
      </c>
      <c r="F940" s="2" t="n">
        <v>162790.2082000001</v>
      </c>
      <c r="G940" s="2" t="n">
        <v>0</v>
      </c>
      <c r="H940" s="2" t="n">
        <v>162790.2082000001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2.39</v>
      </c>
      <c r="DE940" s="2" t="n">
        <v>3.72</v>
      </c>
      <c r="DF940" s="2" t="n">
        <v>0</v>
      </c>
      <c r="DG940" s="2" t="n">
        <v>7.33</v>
      </c>
      <c r="DH940" s="2" t="n">
        <v>8.69</v>
      </c>
      <c r="DI940" s="2" t="n">
        <v>0</v>
      </c>
      <c r="DJ940" s="2" t="n">
        <v>15.11</v>
      </c>
      <c r="DK940" s="2" t="n">
        <v>17.2</v>
      </c>
      <c r="DL940" s="2" t="n">
        <v>0</v>
      </c>
      <c r="DM940" s="2" t="n">
        <v>24.93</v>
      </c>
      <c r="DN940" s="2" t="n">
        <v>27.03</v>
      </c>
      <c r="DO940" s="2" t="n">
        <v>0</v>
      </c>
      <c r="DP940" s="2" t="n">
        <v>34.76</v>
      </c>
      <c r="DQ940" s="2" t="n">
        <v>36.87</v>
      </c>
      <c r="DR940" s="2" t="n">
        <v>0</v>
      </c>
      <c r="DS940" s="2" t="n">
        <v>45.23</v>
      </c>
      <c r="DT940" s="2" t="n">
        <v>47.65</v>
      </c>
      <c r="DU940" s="2" t="n">
        <v>0</v>
      </c>
      <c r="DV940" s="2" t="n">
        <v>54.08</v>
      </c>
      <c r="DW940" s="2" t="n">
        <v>56.17</v>
      </c>
      <c r="DX940" s="2" t="n">
        <v>0</v>
      </c>
      <c r="DY940" s="2" t="n">
        <v>63.15</v>
      </c>
      <c r="DZ940" s="2" t="n">
        <v>65.51000000000001</v>
      </c>
      <c r="EA940" s="2" t="n">
        <v>0</v>
      </c>
      <c r="EB940" s="2" t="n">
        <v>71.20999999999999</v>
      </c>
      <c r="EC940" s="2" t="n">
        <v>73.67</v>
      </c>
      <c r="ED940" s="2" t="n">
        <v>0</v>
      </c>
      <c r="EE940" s="2" t="n">
        <v>77.59999999999999</v>
      </c>
      <c r="EF940" s="2" t="n">
        <v>80.43000000000001</v>
      </c>
      <c r="EG940" s="2" t="n">
        <v>0</v>
      </c>
      <c r="EH940" s="2" t="n">
        <v>87.22</v>
      </c>
      <c r="EI940" s="2" t="n">
        <v>89.22</v>
      </c>
      <c r="EJ940" s="2" t="n">
        <v>0</v>
      </c>
      <c r="EK940" s="2" t="n">
        <v>94.48</v>
      </c>
      <c r="EL940" s="2" t="n">
        <v>95.56</v>
      </c>
      <c r="EM940" s="2" t="n">
        <v>0</v>
      </c>
      <c r="EN940" s="2" t="n">
        <v>98.19</v>
      </c>
      <c r="EO940" s="2" t="n">
        <v>99.47</v>
      </c>
      <c r="EP940" s="2" t="n">
        <v>0</v>
      </c>
      <c r="EQ940" s="2" t="n">
        <v>100</v>
      </c>
      <c r="ER940" s="2" t="n">
        <v>100</v>
      </c>
      <c r="ES940" s="2" t="n">
        <v>0</v>
      </c>
    </row>
    <row r="941">
      <c r="A941" s="2" t="n">
        <v>3</v>
      </c>
      <c r="B941" s="2" t="inlineStr">
        <is>
          <t>37.03.03</t>
        </is>
      </c>
      <c r="C941" s="2" t="inlineStr">
        <is>
          <t>Limpeza de fachadas</t>
        </is>
      </c>
      <c r="D941" s="2" t="inlineStr">
        <is>
          <t>14/03/2028</t>
        </is>
      </c>
      <c r="E941" s="2" t="inlineStr">
        <is>
          <t>13/04/2029</t>
        </is>
      </c>
      <c r="F941" s="2" t="n">
        <v>171736.25</v>
      </c>
      <c r="G941" s="2" t="n">
        <v>0</v>
      </c>
      <c r="H941" s="2" t="n">
        <v>171736.25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2.39</v>
      </c>
      <c r="DE941" s="2" t="n">
        <v>3.72</v>
      </c>
      <c r="DF941" s="2" t="n">
        <v>0</v>
      </c>
      <c r="DG941" s="2" t="n">
        <v>7.33</v>
      </c>
      <c r="DH941" s="2" t="n">
        <v>8.69</v>
      </c>
      <c r="DI941" s="2" t="n">
        <v>0</v>
      </c>
      <c r="DJ941" s="2" t="n">
        <v>15.11</v>
      </c>
      <c r="DK941" s="2" t="n">
        <v>17.2</v>
      </c>
      <c r="DL941" s="2" t="n">
        <v>0</v>
      </c>
      <c r="DM941" s="2" t="n">
        <v>24.93</v>
      </c>
      <c r="DN941" s="2" t="n">
        <v>27.03</v>
      </c>
      <c r="DO941" s="2" t="n">
        <v>0</v>
      </c>
      <c r="DP941" s="2" t="n">
        <v>34.76</v>
      </c>
      <c r="DQ941" s="2" t="n">
        <v>36.87</v>
      </c>
      <c r="DR941" s="2" t="n">
        <v>0</v>
      </c>
      <c r="DS941" s="2" t="n">
        <v>45.23</v>
      </c>
      <c r="DT941" s="2" t="n">
        <v>47.65</v>
      </c>
      <c r="DU941" s="2" t="n">
        <v>0</v>
      </c>
      <c r="DV941" s="2" t="n">
        <v>54.08</v>
      </c>
      <c r="DW941" s="2" t="n">
        <v>56.17</v>
      </c>
      <c r="DX941" s="2" t="n">
        <v>0</v>
      </c>
      <c r="DY941" s="2" t="n">
        <v>63.15</v>
      </c>
      <c r="DZ941" s="2" t="n">
        <v>65.51000000000001</v>
      </c>
      <c r="EA941" s="2" t="n">
        <v>0</v>
      </c>
      <c r="EB941" s="2" t="n">
        <v>71.20999999999999</v>
      </c>
      <c r="EC941" s="2" t="n">
        <v>73.67</v>
      </c>
      <c r="ED941" s="2" t="n">
        <v>0</v>
      </c>
      <c r="EE941" s="2" t="n">
        <v>77.59999999999999</v>
      </c>
      <c r="EF941" s="2" t="n">
        <v>80.43000000000001</v>
      </c>
      <c r="EG941" s="2" t="n">
        <v>0</v>
      </c>
      <c r="EH941" s="2" t="n">
        <v>87.22</v>
      </c>
      <c r="EI941" s="2" t="n">
        <v>89.22</v>
      </c>
      <c r="EJ941" s="2" t="n">
        <v>0</v>
      </c>
      <c r="EK941" s="2" t="n">
        <v>94.48</v>
      </c>
      <c r="EL941" s="2" t="n">
        <v>95.56</v>
      </c>
      <c r="EM941" s="2" t="n">
        <v>0</v>
      </c>
      <c r="EN941" s="2" t="n">
        <v>98.19</v>
      </c>
      <c r="EO941" s="2" t="n">
        <v>99.47</v>
      </c>
      <c r="EP941" s="2" t="n">
        <v>0</v>
      </c>
      <c r="EQ941" s="2" t="n">
        <v>100</v>
      </c>
      <c r="ER941" s="2" t="n">
        <v>100</v>
      </c>
      <c r="ES941" s="2" t="n">
        <v>0</v>
      </c>
    </row>
    <row r="942">
      <c r="A942" s="2" t="n">
        <v>3</v>
      </c>
      <c r="B942" s="2" t="inlineStr">
        <is>
          <t>37.03.04</t>
        </is>
      </c>
      <c r="C942" s="2" t="inlineStr">
        <is>
          <t>Limpeza de vidros</t>
        </is>
      </c>
      <c r="D942" s="2" t="inlineStr">
        <is>
          <t>14/03/2028</t>
        </is>
      </c>
      <c r="E942" s="2" t="inlineStr">
        <is>
          <t>13/04/2029</t>
        </is>
      </c>
      <c r="F942" s="2" t="n">
        <v>12095.82325</v>
      </c>
      <c r="G942" s="2" t="n">
        <v>0</v>
      </c>
      <c r="H942" s="2" t="n">
        <v>12095.82325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2.39</v>
      </c>
      <c r="DE942" s="2" t="n">
        <v>3.72</v>
      </c>
      <c r="DF942" s="2" t="n">
        <v>0</v>
      </c>
      <c r="DG942" s="2" t="n">
        <v>7.33</v>
      </c>
      <c r="DH942" s="2" t="n">
        <v>8.69</v>
      </c>
      <c r="DI942" s="2" t="n">
        <v>0</v>
      </c>
      <c r="DJ942" s="2" t="n">
        <v>15.11</v>
      </c>
      <c r="DK942" s="2" t="n">
        <v>17.2</v>
      </c>
      <c r="DL942" s="2" t="n">
        <v>0</v>
      </c>
      <c r="DM942" s="2" t="n">
        <v>24.93</v>
      </c>
      <c r="DN942" s="2" t="n">
        <v>27.03</v>
      </c>
      <c r="DO942" s="2" t="n">
        <v>0</v>
      </c>
      <c r="DP942" s="2" t="n">
        <v>34.76</v>
      </c>
      <c r="DQ942" s="2" t="n">
        <v>36.87</v>
      </c>
      <c r="DR942" s="2" t="n">
        <v>0</v>
      </c>
      <c r="DS942" s="2" t="n">
        <v>45.23</v>
      </c>
      <c r="DT942" s="2" t="n">
        <v>47.65</v>
      </c>
      <c r="DU942" s="2" t="n">
        <v>0</v>
      </c>
      <c r="DV942" s="2" t="n">
        <v>54.08</v>
      </c>
      <c r="DW942" s="2" t="n">
        <v>56.17</v>
      </c>
      <c r="DX942" s="2" t="n">
        <v>0</v>
      </c>
      <c r="DY942" s="2" t="n">
        <v>63.15</v>
      </c>
      <c r="DZ942" s="2" t="n">
        <v>65.51000000000001</v>
      </c>
      <c r="EA942" s="2" t="n">
        <v>0</v>
      </c>
      <c r="EB942" s="2" t="n">
        <v>71.20999999999999</v>
      </c>
      <c r="EC942" s="2" t="n">
        <v>73.67</v>
      </c>
      <c r="ED942" s="2" t="n">
        <v>0</v>
      </c>
      <c r="EE942" s="2" t="n">
        <v>77.59999999999999</v>
      </c>
      <c r="EF942" s="2" t="n">
        <v>80.43000000000001</v>
      </c>
      <c r="EG942" s="2" t="n">
        <v>0</v>
      </c>
      <c r="EH942" s="2" t="n">
        <v>87.22</v>
      </c>
      <c r="EI942" s="2" t="n">
        <v>89.22</v>
      </c>
      <c r="EJ942" s="2" t="n">
        <v>0</v>
      </c>
      <c r="EK942" s="2" t="n">
        <v>94.48</v>
      </c>
      <c r="EL942" s="2" t="n">
        <v>95.56</v>
      </c>
      <c r="EM942" s="2" t="n">
        <v>0</v>
      </c>
      <c r="EN942" s="2" t="n">
        <v>98.19</v>
      </c>
      <c r="EO942" s="2" t="n">
        <v>99.47</v>
      </c>
      <c r="EP942" s="2" t="n">
        <v>0</v>
      </c>
      <c r="EQ942" s="2" t="n">
        <v>100</v>
      </c>
      <c r="ER942" s="2" t="n">
        <v>100</v>
      </c>
      <c r="ES942" s="2" t="n">
        <v>0</v>
      </c>
    </row>
    <row r="943">
      <c r="A943" s="2" t="n">
        <v>3</v>
      </c>
      <c r="B943" s="2" t="inlineStr">
        <is>
          <t>37.03.05</t>
        </is>
      </c>
      <c r="C943" s="2" t="inlineStr">
        <is>
          <t>Limpeza e desinfecção de Reservatórios</t>
        </is>
      </c>
      <c r="D943" s="2" t="inlineStr">
        <is>
          <t>14/03/2028</t>
        </is>
      </c>
      <c r="E943" s="2" t="inlineStr">
        <is>
          <t>13/04/2029</t>
        </is>
      </c>
      <c r="F943" s="2" t="n">
        <v>5000</v>
      </c>
      <c r="G943" s="2" t="n">
        <v>0</v>
      </c>
      <c r="H943" s="2" t="n">
        <v>5000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2.39</v>
      </c>
      <c r="DE943" s="2" t="n">
        <v>3.72</v>
      </c>
      <c r="DF943" s="2" t="n">
        <v>0</v>
      </c>
      <c r="DG943" s="2" t="n">
        <v>7.33</v>
      </c>
      <c r="DH943" s="2" t="n">
        <v>8.69</v>
      </c>
      <c r="DI943" s="2" t="n">
        <v>0</v>
      </c>
      <c r="DJ943" s="2" t="n">
        <v>15.11</v>
      </c>
      <c r="DK943" s="2" t="n">
        <v>17.2</v>
      </c>
      <c r="DL943" s="2" t="n">
        <v>0</v>
      </c>
      <c r="DM943" s="2" t="n">
        <v>24.93</v>
      </c>
      <c r="DN943" s="2" t="n">
        <v>27.03</v>
      </c>
      <c r="DO943" s="2" t="n">
        <v>0</v>
      </c>
      <c r="DP943" s="2" t="n">
        <v>34.76</v>
      </c>
      <c r="DQ943" s="2" t="n">
        <v>36.87</v>
      </c>
      <c r="DR943" s="2" t="n">
        <v>0</v>
      </c>
      <c r="DS943" s="2" t="n">
        <v>45.23</v>
      </c>
      <c r="DT943" s="2" t="n">
        <v>47.65</v>
      </c>
      <c r="DU943" s="2" t="n">
        <v>0</v>
      </c>
      <c r="DV943" s="2" t="n">
        <v>54.08</v>
      </c>
      <c r="DW943" s="2" t="n">
        <v>56.17</v>
      </c>
      <c r="DX943" s="2" t="n">
        <v>0</v>
      </c>
      <c r="DY943" s="2" t="n">
        <v>63.15</v>
      </c>
      <c r="DZ943" s="2" t="n">
        <v>65.51000000000001</v>
      </c>
      <c r="EA943" s="2" t="n">
        <v>0</v>
      </c>
      <c r="EB943" s="2" t="n">
        <v>71.20999999999999</v>
      </c>
      <c r="EC943" s="2" t="n">
        <v>73.67</v>
      </c>
      <c r="ED943" s="2" t="n">
        <v>0</v>
      </c>
      <c r="EE943" s="2" t="n">
        <v>77.59999999999999</v>
      </c>
      <c r="EF943" s="2" t="n">
        <v>80.43000000000001</v>
      </c>
      <c r="EG943" s="2" t="n">
        <v>0</v>
      </c>
      <c r="EH943" s="2" t="n">
        <v>87.22</v>
      </c>
      <c r="EI943" s="2" t="n">
        <v>89.22</v>
      </c>
      <c r="EJ943" s="2" t="n">
        <v>0</v>
      </c>
      <c r="EK943" s="2" t="n">
        <v>94.48</v>
      </c>
      <c r="EL943" s="2" t="n">
        <v>95.56</v>
      </c>
      <c r="EM943" s="2" t="n">
        <v>0</v>
      </c>
      <c r="EN943" s="2" t="n">
        <v>98.19</v>
      </c>
      <c r="EO943" s="2" t="n">
        <v>99.47</v>
      </c>
      <c r="EP943" s="2" t="n">
        <v>0</v>
      </c>
      <c r="EQ943" s="2" t="n">
        <v>100</v>
      </c>
      <c r="ER943" s="2" t="n">
        <v>100</v>
      </c>
      <c r="ES943" s="2" t="n">
        <v>0</v>
      </c>
    </row>
    <row r="944">
      <c r="A944" s="2" t="n">
        <v>3</v>
      </c>
      <c r="B944" s="2" t="inlineStr">
        <is>
          <t>37.03.06</t>
        </is>
      </c>
      <c r="C944" s="2" t="inlineStr">
        <is>
          <t>Limpeza e desinfecção de Piscinas</t>
        </is>
      </c>
      <c r="D944" s="2" t="inlineStr">
        <is>
          <t>14/03/2028</t>
        </is>
      </c>
      <c r="E944" s="2" t="inlineStr">
        <is>
          <t>13/04/2029</t>
        </is>
      </c>
      <c r="F944" s="2" t="n">
        <v>5000</v>
      </c>
      <c r="G944" s="2" t="n">
        <v>0</v>
      </c>
      <c r="H944" s="2" t="n">
        <v>5000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2.39</v>
      </c>
      <c r="DE944" s="2" t="n">
        <v>3.72</v>
      </c>
      <c r="DF944" s="2" t="n">
        <v>0</v>
      </c>
      <c r="DG944" s="2" t="n">
        <v>7.33</v>
      </c>
      <c r="DH944" s="2" t="n">
        <v>8.69</v>
      </c>
      <c r="DI944" s="2" t="n">
        <v>0</v>
      </c>
      <c r="DJ944" s="2" t="n">
        <v>15.11</v>
      </c>
      <c r="DK944" s="2" t="n">
        <v>17.2</v>
      </c>
      <c r="DL944" s="2" t="n">
        <v>0</v>
      </c>
      <c r="DM944" s="2" t="n">
        <v>24.93</v>
      </c>
      <c r="DN944" s="2" t="n">
        <v>27.03</v>
      </c>
      <c r="DO944" s="2" t="n">
        <v>0</v>
      </c>
      <c r="DP944" s="2" t="n">
        <v>34.76</v>
      </c>
      <c r="DQ944" s="2" t="n">
        <v>36.87</v>
      </c>
      <c r="DR944" s="2" t="n">
        <v>0</v>
      </c>
      <c r="DS944" s="2" t="n">
        <v>45.23</v>
      </c>
      <c r="DT944" s="2" t="n">
        <v>47.65</v>
      </c>
      <c r="DU944" s="2" t="n">
        <v>0</v>
      </c>
      <c r="DV944" s="2" t="n">
        <v>54.08</v>
      </c>
      <c r="DW944" s="2" t="n">
        <v>56.17</v>
      </c>
      <c r="DX944" s="2" t="n">
        <v>0</v>
      </c>
      <c r="DY944" s="2" t="n">
        <v>63.15</v>
      </c>
      <c r="DZ944" s="2" t="n">
        <v>65.51000000000001</v>
      </c>
      <c r="EA944" s="2" t="n">
        <v>0</v>
      </c>
      <c r="EB944" s="2" t="n">
        <v>71.20999999999999</v>
      </c>
      <c r="EC944" s="2" t="n">
        <v>73.67</v>
      </c>
      <c r="ED944" s="2" t="n">
        <v>0</v>
      </c>
      <c r="EE944" s="2" t="n">
        <v>77.59999999999999</v>
      </c>
      <c r="EF944" s="2" t="n">
        <v>80.43000000000001</v>
      </c>
      <c r="EG944" s="2" t="n">
        <v>0</v>
      </c>
      <c r="EH944" s="2" t="n">
        <v>87.22</v>
      </c>
      <c r="EI944" s="2" t="n">
        <v>89.22</v>
      </c>
      <c r="EJ944" s="2" t="n">
        <v>0</v>
      </c>
      <c r="EK944" s="2" t="n">
        <v>94.48</v>
      </c>
      <c r="EL944" s="2" t="n">
        <v>95.56</v>
      </c>
      <c r="EM944" s="2" t="n">
        <v>0</v>
      </c>
      <c r="EN944" s="2" t="n">
        <v>98.19</v>
      </c>
      <c r="EO944" s="2" t="n">
        <v>99.47</v>
      </c>
      <c r="EP944" s="2" t="n">
        <v>0</v>
      </c>
      <c r="EQ944" s="2" t="n">
        <v>100</v>
      </c>
      <c r="ER944" s="2" t="n">
        <v>100</v>
      </c>
      <c r="ES944" s="2" t="n">
        <v>0</v>
      </c>
    </row>
    <row r="945">
      <c r="A945" s="2" t="n">
        <v>2</v>
      </c>
      <c r="B945" s="2" t="inlineStr">
        <is>
          <t>37.04</t>
        </is>
      </c>
      <c r="C945" s="2" t="inlineStr">
        <is>
          <t>Manutenção pós entrega</t>
        </is>
      </c>
      <c r="D945" s="2" t="inlineStr">
        <is>
          <t>26/06/2028</t>
        </is>
      </c>
      <c r="E945" s="2" t="inlineStr">
        <is>
          <t>02/04/2029</t>
        </is>
      </c>
      <c r="F945" s="2" t="n">
        <v>50000</v>
      </c>
      <c r="G945" s="2" t="n">
        <v>0</v>
      </c>
      <c r="H945" s="2" t="n">
        <v>50000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7.27</v>
      </c>
      <c r="DN945" s="2" t="n">
        <v>9.09</v>
      </c>
      <c r="DO945" s="2" t="n">
        <v>0</v>
      </c>
      <c r="DP945" s="2" t="n">
        <v>9.09</v>
      </c>
      <c r="DQ945" s="2" t="n">
        <v>9.09</v>
      </c>
      <c r="DR945" s="2" t="n">
        <v>0</v>
      </c>
      <c r="DS945" s="2" t="n">
        <v>9.09</v>
      </c>
      <c r="DT945" s="2" t="n">
        <v>9.09</v>
      </c>
      <c r="DU945" s="2" t="n">
        <v>0</v>
      </c>
      <c r="DV945" s="2" t="n">
        <v>18.18</v>
      </c>
      <c r="DW945" s="2" t="n">
        <v>18.18</v>
      </c>
      <c r="DX945" s="2" t="n">
        <v>0</v>
      </c>
      <c r="DY945" s="2" t="n">
        <v>18.18</v>
      </c>
      <c r="DZ945" s="2" t="n">
        <v>18.18</v>
      </c>
      <c r="EA945" s="2" t="n">
        <v>0</v>
      </c>
      <c r="EB945" s="2" t="n">
        <v>18.18</v>
      </c>
      <c r="EC945" s="2" t="n">
        <v>18.79</v>
      </c>
      <c r="ED945" s="2" t="n">
        <v>0</v>
      </c>
      <c r="EE945" s="2" t="n">
        <v>18.18</v>
      </c>
      <c r="EF945" s="2" t="n">
        <v>27.27</v>
      </c>
      <c r="EG945" s="2" t="n">
        <v>0</v>
      </c>
      <c r="EH945" s="2" t="n">
        <v>27.27</v>
      </c>
      <c r="EI945" s="2" t="n">
        <v>37.58</v>
      </c>
      <c r="EJ945" s="2" t="n">
        <v>0</v>
      </c>
      <c r="EK945" s="2" t="n">
        <v>37.58</v>
      </c>
      <c r="EL945" s="2" t="n">
        <v>61.82</v>
      </c>
      <c r="EM945" s="2" t="n">
        <v>0</v>
      </c>
      <c r="EN945" s="2" t="n">
        <v>87.27</v>
      </c>
      <c r="EO945" s="2" t="n">
        <v>99.39</v>
      </c>
      <c r="EP945" s="2" t="n">
        <v>0</v>
      </c>
      <c r="EQ945" s="2" t="n">
        <v>100</v>
      </c>
      <c r="ER945" s="2" t="n">
        <v>100</v>
      </c>
      <c r="ES945" s="2" t="n">
        <v>0</v>
      </c>
    </row>
    <row r="946">
      <c r="A946" s="2" t="n">
        <v>3</v>
      </c>
      <c r="B946" s="2" t="inlineStr">
        <is>
          <t>37.04.01</t>
        </is>
      </c>
      <c r="C946" s="2" t="inlineStr">
        <is>
          <t>&lt;html&gt;Assitência pós obra e manutenção - estimativa % &lt;b&gt;-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 &lt;/b&gt;&lt;/html&gt;</t>
        </is>
      </c>
      <c r="D946" s="2" t="inlineStr">
        <is>
          <t>26/06/2028</t>
        </is>
      </c>
      <c r="E946" s="2" t="inlineStr">
        <is>
          <t>02/04/2029</t>
        </is>
      </c>
      <c r="F946" s="2" t="n">
        <v>50000</v>
      </c>
      <c r="G946" s="2" t="n">
        <v>0</v>
      </c>
      <c r="H946" s="2" t="n">
        <v>50000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7.27</v>
      </c>
      <c r="DN946" s="2" t="n">
        <v>9.09</v>
      </c>
      <c r="DO946" s="2" t="n">
        <v>0</v>
      </c>
      <c r="DP946" s="2" t="n">
        <v>9.09</v>
      </c>
      <c r="DQ946" s="2" t="n">
        <v>9.09</v>
      </c>
      <c r="DR946" s="2" t="n">
        <v>0</v>
      </c>
      <c r="DS946" s="2" t="n">
        <v>9.09</v>
      </c>
      <c r="DT946" s="2" t="n">
        <v>9.09</v>
      </c>
      <c r="DU946" s="2" t="n">
        <v>0</v>
      </c>
      <c r="DV946" s="2" t="n">
        <v>18.18</v>
      </c>
      <c r="DW946" s="2" t="n">
        <v>18.18</v>
      </c>
      <c r="DX946" s="2" t="n">
        <v>0</v>
      </c>
      <c r="DY946" s="2" t="n">
        <v>18.18</v>
      </c>
      <c r="DZ946" s="2" t="n">
        <v>18.18</v>
      </c>
      <c r="EA946" s="2" t="n">
        <v>0</v>
      </c>
      <c r="EB946" s="2" t="n">
        <v>18.18</v>
      </c>
      <c r="EC946" s="2" t="n">
        <v>18.79</v>
      </c>
      <c r="ED946" s="2" t="n">
        <v>0</v>
      </c>
      <c r="EE946" s="2" t="n">
        <v>18.18</v>
      </c>
      <c r="EF946" s="2" t="n">
        <v>27.27</v>
      </c>
      <c r="EG946" s="2" t="n">
        <v>0</v>
      </c>
      <c r="EH946" s="2" t="n">
        <v>27.27</v>
      </c>
      <c r="EI946" s="2" t="n">
        <v>37.58</v>
      </c>
      <c r="EJ946" s="2" t="n">
        <v>0</v>
      </c>
      <c r="EK946" s="2" t="n">
        <v>37.58</v>
      </c>
      <c r="EL946" s="2" t="n">
        <v>61.82</v>
      </c>
      <c r="EM946" s="2" t="n">
        <v>0</v>
      </c>
      <c r="EN946" s="2" t="n">
        <v>87.27</v>
      </c>
      <c r="EO946" s="2" t="n">
        <v>99.39</v>
      </c>
      <c r="EP946" s="2" t="n">
        <v>0</v>
      </c>
      <c r="EQ946" s="2" t="n">
        <v>100</v>
      </c>
      <c r="ER946" s="2" t="n">
        <v>100</v>
      </c>
      <c r="ES946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3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Botânico </t>
        </is>
      </c>
      <c r="M1" s="115" t="inlineStr">
        <is>
          <t>CÁLCULO (não editar) — situação de cada atividade na data do retrato</t>
        </is>
      </c>
    </row>
    <row r="2">
      <c r="A2" s="4" t="inlineStr">
        <is>
          <t>Planilha Gerada Em 24/09/2026</t>
        </is>
      </c>
      <c r="M2" s="2" t="inlineStr">
        <is>
          <t>Pacotes sem de-para →</t>
        </is>
      </c>
      <c r="O2" s="68">
        <f>COUNTIF(M5:M3004,"?")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33897908</v>
      </c>
      <c r="C5" s="4" t="inlineStr">
        <is>
          <t>LOCAÇÃO DE OBRA</t>
        </is>
      </c>
      <c r="D5" s="4" t="inlineStr">
        <is>
          <t>-</t>
        </is>
      </c>
      <c r="E5" s="4" t="inlineStr">
        <is>
          <t>SERVIÇOS INICIAIS</t>
        </is>
      </c>
      <c r="F5" s="118" t="n">
        <v>45831</v>
      </c>
      <c r="G5" s="118" t="n">
        <v>45842</v>
      </c>
      <c r="H5" s="118" t="n">
        <v>46289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IF(E5="","",IF(LEFT(E5,7)="SUBSOLO",-1,IF(LEFT(E5,6)="TÉRREO",0,IFERROR(VALUE(LEFT(E5,FIND("º",SUBSTITUTE(E5,"°","º"))-1)),""))))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LOCAÇÃO DE OBRA</t>
        </is>
      </c>
      <c r="S5" s="4" t="inlineStr">
        <is>
          <t>12</t>
        </is>
      </c>
      <c r="T5" s="4" t="inlineStr">
        <is>
          <t>Locação de obra</t>
        </is>
      </c>
      <c r="U5" s="4" t="inlineStr">
        <is>
          <t>SIM</t>
        </is>
      </c>
      <c r="V5" s="2">
        <f>IF(R5="","",COUNTIF($C$5:$C$3004,R5))</f>
        <v/>
      </c>
      <c r="W5" s="2">
        <f>IF(R5="","",COUNTIFS($C$5:$C$3004,R5,$O$5:$O$3004,"CONCLUÍDA"))</f>
        <v/>
      </c>
      <c r="X5" s="2">
        <f>IF(R5="","",COUNTIFS($C$5:$C$3004,R5,$O$5:$O$3004,"EM ANDAMENTO"))</f>
        <v/>
      </c>
      <c r="Y5" s="2">
        <f>IF(R5="","",IF(COUNTIFS($C$5:$C$3004,R5,$O$5:$O$3004,"CONCLUÍDA",$N$5:$N$3004,"&gt;=-1")=0,"",_xlfn.MAXIFS($N$5:$N$3004,$C$5:$C$3004,R5,$O$5:$O$3004,"CONCLUÍDA")))</f>
        <v/>
      </c>
      <c r="Z5" s="2">
        <f>IF(R5="","",IF(COUNTIFS($C$5:$C$3004,R5,$O$5:$O$3004,"EM ANDAMENTO",$N$5:$N$3004,"&gt;=-1")=0,"",_xlfn.MAXIFS($N$5:$N$3004,$C$5:$C$3004,R5,$O$5:$O$3004,"EM ANDAMENTO")))</f>
        <v/>
      </c>
      <c r="AA5" s="2">
        <f>IF(OR(R5="",S5="",U5&lt;&gt;"SIM",V5=0),"",IF(W5+X5=0,"",T5&amp;": "&amp;IF(W5=V5,"concluído",IF(W5=0,"em execução"&amp;IF(Z5&lt;&gt;""," ("&amp;IF(Z5=-1,"subsolo",IF(Z5=0,"térreo",Z5&amp;"º pav."))&amp;")",""),IF(Y5&lt;&gt;"","até "&amp;IF(Y5=-1,"subsolo",IF(Y5=0,"térreo",Y5&amp;"º pav.")),W5&amp;" de "&amp;V5&amp;" concluídas")&amp;IF(Z5="","",IF(OR(Y5="",Z5&gt;Y5),", executando "&amp;IF(Z5=-1,"subsolo",IF(Z5=0,"térreo",Z5&amp;"º pav."))," (restam serviços no "&amp;IF(Z5=-1,"subsolo",IF(Z5=0,"térreo",Z5&amp;"º pav."))&amp;")"))))))</f>
        <v/>
      </c>
    </row>
    <row r="6">
      <c r="B6" s="4" t="n">
        <v>33897907</v>
      </c>
      <c r="C6" s="4" t="inlineStr">
        <is>
          <t>DEMOLIÇÃO</t>
        </is>
      </c>
      <c r="D6" s="4" t="inlineStr">
        <is>
          <t>-</t>
        </is>
      </c>
      <c r="E6" s="4" t="inlineStr">
        <is>
          <t>SERVIÇOS INICIAIS</t>
        </is>
      </c>
      <c r="F6" s="118" t="n">
        <v>45845</v>
      </c>
      <c r="G6" s="118" t="n">
        <v>45863</v>
      </c>
      <c r="H6" s="118" t="n">
        <v>46289</v>
      </c>
      <c r="I6" s="4" t="n">
        <v>100</v>
      </c>
      <c r="J6" s="4" t="n">
        <v>100</v>
      </c>
      <c r="K6" s="4" t="n">
        <v>100</v>
      </c>
      <c r="M6" s="2">
        <f>IF(C6="","",IFERROR(INDEX($S$5:$S$304,MATCH(C6,$R$5:$R$304,0))&amp;"","?"))</f>
        <v/>
      </c>
      <c r="N6" s="2">
        <f>IF(E6="","",IF(LEFT(E6,7)="SUBSOLO",-1,IF(LEFT(E6,6)="TÉRREO",0,IFERROR(VALUE(LEFT(E6,FIND("º",SUBSTITUTE(E6,"°","º"))-1)),""))))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DEMOLIÇÃO</t>
        </is>
      </c>
      <c r="S6" s="4" t="inlineStr">
        <is>
          <t>12</t>
        </is>
      </c>
      <c r="T6" s="4" t="inlineStr">
        <is>
          <t>Demolição</t>
        </is>
      </c>
      <c r="U6" s="4" t="inlineStr">
        <is>
          <t>SIM</t>
        </is>
      </c>
      <c r="V6" s="2">
        <f>IF(R6="","",COUNTIF($C$5:$C$3004,R6))</f>
        <v/>
      </c>
      <c r="W6" s="2">
        <f>IF(R6="","",COUNTIFS($C$5:$C$3004,R6,$O$5:$O$3004,"CONCLUÍDA"))</f>
        <v/>
      </c>
      <c r="X6" s="2">
        <f>IF(R6="","",COUNTIFS($C$5:$C$3004,R6,$O$5:$O$3004,"EM ANDAMENTO"))</f>
        <v/>
      </c>
      <c r="Y6" s="2">
        <f>IF(R6="","",IF(COUNTIFS($C$5:$C$3004,R6,$O$5:$O$3004,"CONCLUÍDA",$N$5:$N$3004,"&gt;=-1")=0,"",_xlfn.MAXIFS($N$5:$N$3004,$C$5:$C$3004,R6,$O$5:$O$3004,"CONCLUÍDA")))</f>
        <v/>
      </c>
      <c r="Z6" s="2">
        <f>IF(R6="","",IF(COUNTIFS($C$5:$C$3004,R6,$O$5:$O$3004,"EM ANDAMENTO",$N$5:$N$3004,"&gt;=-1")=0,"",_xlfn.MAXIFS($N$5:$N$3004,$C$5:$C$3004,R6,$O$5:$O$3004,"EM ANDAMENTO")))</f>
        <v/>
      </c>
      <c r="AA6" s="2">
        <f>IF(OR(R6="",S6="",U6&lt;&gt;"SIM",V6=0),"",IF(W6+X6=0,"",T6&amp;": "&amp;IF(W6=V6,"concluído",IF(W6=0,"em execução"&amp;IF(Z6&lt;&gt;""," ("&amp;IF(Z6=-1,"subsolo",IF(Z6=0,"térreo",Z6&amp;"º pav."))&amp;")",""),IF(Y6&lt;&gt;"","até "&amp;IF(Y6=-1,"subsolo",IF(Y6=0,"térreo",Y6&amp;"º pav.")),W6&amp;" de "&amp;V6&amp;" concluídas")&amp;IF(Z6="","",IF(OR(Y6="",Z6&gt;Y6),", executando "&amp;IF(Z6=-1,"subsolo",IF(Z6=0,"térreo",Z6&amp;"º pav."))," (restam serviços no "&amp;IF(Z6=-1,"subsolo",IF(Z6=0,"térreo",Z6&amp;"º pav."))&amp;")"))))))</f>
        <v/>
      </c>
    </row>
    <row r="7">
      <c r="B7" s="4" t="n">
        <v>29933153</v>
      </c>
      <c r="C7" s="4" t="inlineStr">
        <is>
          <t>CONTENÇÕES EM ESTACAS</t>
        </is>
      </c>
      <c r="D7" s="4" t="inlineStr">
        <is>
          <t>-</t>
        </is>
      </c>
      <c r="E7" s="4" t="inlineStr">
        <is>
          <t>SERVIÇOS INICIAIS</t>
        </is>
      </c>
      <c r="F7" s="118" t="n">
        <v>45859</v>
      </c>
      <c r="G7" s="118" t="n">
        <v>45883</v>
      </c>
      <c r="H7" s="118" t="n">
        <v>46289</v>
      </c>
      <c r="I7" s="4" t="n">
        <v>100</v>
      </c>
      <c r="J7" s="4" t="n">
        <v>100</v>
      </c>
      <c r="K7" s="4" t="n">
        <v>97</v>
      </c>
      <c r="M7" s="2">
        <f>IF(C7="","",IFERROR(INDEX($S$5:$S$304,MATCH(C7,$R$5:$R$304,0))&amp;"","?"))</f>
        <v/>
      </c>
      <c r="N7" s="2">
        <f>IF(E7="","",IF(LEFT(E7,7)="SUBSOLO",-1,IF(LEFT(E7,6)="TÉRREO",0,IFERROR(VALUE(LEFT(E7,FIND("º",SUBSTITUTE(E7,"°","º"))-1)),""))))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CONTENÇÕES EM ESTACAS</t>
        </is>
      </c>
      <c r="S7" s="4" t="inlineStr">
        <is>
          <t>13</t>
        </is>
      </c>
      <c r="T7" s="4" t="inlineStr">
        <is>
          <t>Contenções em estacas</t>
        </is>
      </c>
      <c r="U7" s="4" t="inlineStr">
        <is>
          <t>SIM</t>
        </is>
      </c>
      <c r="V7" s="2">
        <f>IF(R7="","",COUNTIF($C$5:$C$3004,R7))</f>
        <v/>
      </c>
      <c r="W7" s="2">
        <f>IF(R7="","",COUNTIFS($C$5:$C$3004,R7,$O$5:$O$3004,"CONCLUÍDA"))</f>
        <v/>
      </c>
      <c r="X7" s="2">
        <f>IF(R7="","",COUNTIFS($C$5:$C$3004,R7,$O$5:$O$3004,"EM ANDAMENTO"))</f>
        <v/>
      </c>
      <c r="Y7" s="2">
        <f>IF(R7="","",IF(COUNTIFS($C$5:$C$3004,R7,$O$5:$O$3004,"CONCLUÍDA",$N$5:$N$3004,"&gt;=-1")=0,"",_xlfn.MAXIFS($N$5:$N$3004,$C$5:$C$3004,R7,$O$5:$O$3004,"CONCLUÍDA")))</f>
        <v/>
      </c>
      <c r="Z7" s="2">
        <f>IF(R7="","",IF(COUNTIFS($C$5:$C$3004,R7,$O$5:$O$3004,"EM ANDAMENTO",$N$5:$N$3004,"&gt;=-1")=0,"",_xlfn.MAXIFS($N$5:$N$3004,$C$5:$C$3004,R7,$O$5:$O$3004,"EM ANDAMENTO")))</f>
        <v/>
      </c>
      <c r="AA7" s="2">
        <f>IF(OR(R7="",S7="",U7&lt;&gt;"SIM",V7=0),"",IF(W7+X7=0,"",T7&amp;": "&amp;IF(W7=V7,"concluído",IF(W7=0,"em execução"&amp;IF(Z7&lt;&gt;""," ("&amp;IF(Z7=-1,"subsolo",IF(Z7=0,"térreo",Z7&amp;"º pav."))&amp;")",""),IF(Y7&lt;&gt;"","até "&amp;IF(Y7=-1,"subsolo",IF(Y7=0,"térreo",Y7&amp;"º pav.")),W7&amp;" de "&amp;V7&amp;" concluídas")&amp;IF(Z7="","",IF(OR(Y7="",Z7&gt;Y7),", executando "&amp;IF(Z7=-1,"subsolo",IF(Z7=0,"térreo",Z7&amp;"º pav."))," (restam serviços no "&amp;IF(Z7=-1,"subsolo",IF(Z7=0,"térreo",Z7&amp;"º pav."))&amp;")"))))))</f>
        <v/>
      </c>
    </row>
    <row r="8">
      <c r="B8" s="4" t="n">
        <v>33143217</v>
      </c>
      <c r="C8" s="4" t="inlineStr">
        <is>
          <t>VIGA DE COROAMENTO (TRECHO - CENTRAL DE POLÍMEROS)</t>
        </is>
      </c>
      <c r="D8" s="4" t="inlineStr">
        <is>
          <t>-</t>
        </is>
      </c>
      <c r="E8" s="4" t="inlineStr">
        <is>
          <t>SERVIÇOS INICIAIS</t>
        </is>
      </c>
      <c r="F8" s="118" t="n">
        <v>45901</v>
      </c>
      <c r="G8" s="118" t="n">
        <v>45918</v>
      </c>
      <c r="H8" s="118" t="n">
        <v>46289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IF(E8="","",IF(LEFT(E8,7)="SUBSOLO",-1,IF(LEFT(E8,6)="TÉRREO",0,IFERROR(VALUE(LEFT(E8,FIND("º",SUBSTITUTE(E8,"°","º"))-1)),""))))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VIGA DE COROAMENTO (TRECHO - CENTRAL DE POLÍMEROS)</t>
        </is>
      </c>
      <c r="S8" s="4" t="inlineStr">
        <is>
          <t>15</t>
        </is>
      </c>
      <c r="T8" s="4" t="inlineStr">
        <is>
          <t>Viga de coroamento (trecho - central de polímeros)</t>
        </is>
      </c>
      <c r="U8" s="4" t="inlineStr">
        <is>
          <t>NÃO</t>
        </is>
      </c>
      <c r="V8" s="2">
        <f>IF(R8="","",COUNTIF($C$5:$C$3004,R8))</f>
        <v/>
      </c>
      <c r="W8" s="2">
        <f>IF(R8="","",COUNTIFS($C$5:$C$3004,R8,$O$5:$O$3004,"CONCLUÍDA"))</f>
        <v/>
      </c>
      <c r="X8" s="2">
        <f>IF(R8="","",COUNTIFS($C$5:$C$3004,R8,$O$5:$O$3004,"EM ANDAMENTO"))</f>
        <v/>
      </c>
      <c r="Y8" s="2">
        <f>IF(R8="","",IF(COUNTIFS($C$5:$C$3004,R8,$O$5:$O$3004,"CONCLUÍDA",$N$5:$N$3004,"&gt;=-1")=0,"",_xlfn.MAXIFS($N$5:$N$3004,$C$5:$C$3004,R8,$O$5:$O$3004,"CONCLUÍDA")))</f>
        <v/>
      </c>
      <c r="Z8" s="2">
        <f>IF(R8="","",IF(COUNTIFS($C$5:$C$3004,R8,$O$5:$O$3004,"EM ANDAMENTO",$N$5:$N$3004,"&gt;=-1")=0,"",_xlfn.MAXIFS($N$5:$N$3004,$C$5:$C$3004,R8,$O$5:$O$3004,"EM ANDAMENTO")))</f>
        <v/>
      </c>
      <c r="AA8" s="2">
        <f>IF(OR(R8="",S8="",U8&lt;&gt;"SIM",V8=0),"",IF(W8+X8=0,"",T8&amp;": "&amp;IF(W8=V8,"concluído",IF(W8=0,"em execução"&amp;IF(Z8&lt;&gt;""," ("&amp;IF(Z8=-1,"subsolo",IF(Z8=0,"térreo",Z8&amp;"º pav."))&amp;")",""),IF(Y8&lt;&gt;"","até "&amp;IF(Y8=-1,"subsolo",IF(Y8=0,"térreo",Y8&amp;"º pav.")),W8&amp;" de "&amp;V8&amp;" concluídas")&amp;IF(Z8="","",IF(OR(Y8="",Z8&gt;Y8),", executando "&amp;IF(Z8=-1,"subsolo",IF(Z8=0,"térreo",Z8&amp;"º pav."))," (restam serviços no "&amp;IF(Z8=-1,"subsolo",IF(Z8=0,"térreo",Z8&amp;"º pav."))&amp;")"))))))</f>
        <v/>
      </c>
    </row>
    <row r="9">
      <c r="B9" s="4" t="n">
        <v>13543135</v>
      </c>
      <c r="C9" s="4" t="inlineStr">
        <is>
          <t>VIGA DE COROAMENTO (TRECHO - CENTRAL DE POLÍMEROS)</t>
        </is>
      </c>
      <c r="D9" s="4" t="inlineStr">
        <is>
          <t>Escavação e Arrasamento</t>
        </is>
      </c>
      <c r="E9" s="4" t="inlineStr">
        <is>
          <t>SERVIÇOS INICIAIS</t>
        </is>
      </c>
      <c r="F9" s="118" t="n">
        <v>45901</v>
      </c>
      <c r="G9" s="118" t="n">
        <v>45905</v>
      </c>
      <c r="H9" s="118" t="n">
        <v>46289</v>
      </c>
      <c r="I9" s="4" t="n">
        <v>100</v>
      </c>
      <c r="J9" s="4" t="n">
        <v>100</v>
      </c>
      <c r="K9" s="4" t="n">
        <v>100</v>
      </c>
      <c r="M9" s="2">
        <f>IF(C9="","",IFERROR(INDEX($S$5:$S$304,MATCH(C9,$R$5:$R$304,0))&amp;"","?"))</f>
        <v/>
      </c>
      <c r="N9" s="2">
        <f>IF(E9="","",IF(LEFT(E9,7)="SUBSOLO",-1,IF(LEFT(E9,6)="TÉRREO",0,IFERROR(VALUE(LEFT(E9,FIND("º",SUBSTITUTE(E9,"°","º"))-1)),""))))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VIGA DE COROAMENTO (TRECHO - RUA MANACA 1º ETAPA)</t>
        </is>
      </c>
      <c r="S9" s="4" t="inlineStr">
        <is>
          <t>15</t>
        </is>
      </c>
      <c r="T9" s="4" t="inlineStr">
        <is>
          <t>Viga de coroamento (trecho - rua manaca 1º etapa)</t>
        </is>
      </c>
      <c r="U9" s="4" t="inlineStr">
        <is>
          <t>NÃO</t>
        </is>
      </c>
      <c r="V9" s="2">
        <f>IF(R9="","",COUNTIF($C$5:$C$3004,R9))</f>
        <v/>
      </c>
      <c r="W9" s="2">
        <f>IF(R9="","",COUNTIFS($C$5:$C$3004,R9,$O$5:$O$3004,"CONCLUÍDA"))</f>
        <v/>
      </c>
      <c r="X9" s="2">
        <f>IF(R9="","",COUNTIFS($C$5:$C$3004,R9,$O$5:$O$3004,"EM ANDAMENTO"))</f>
        <v/>
      </c>
      <c r="Y9" s="2">
        <f>IF(R9="","",IF(COUNTIFS($C$5:$C$3004,R9,$O$5:$O$3004,"CONCLUÍDA",$N$5:$N$3004,"&gt;=-1")=0,"",_xlfn.MAXIFS($N$5:$N$3004,$C$5:$C$3004,R9,$O$5:$O$3004,"CONCLUÍDA")))</f>
        <v/>
      </c>
      <c r="Z9" s="2">
        <f>IF(R9="","",IF(COUNTIFS($C$5:$C$3004,R9,$O$5:$O$3004,"EM ANDAMENTO",$N$5:$N$3004,"&gt;=-1")=0,"",_xlfn.MAXIFS($N$5:$N$3004,$C$5:$C$3004,R9,$O$5:$O$3004,"EM ANDAMENTO")))</f>
        <v/>
      </c>
      <c r="AA9" s="2">
        <f>IF(OR(R9="",S9="",U9&lt;&gt;"SIM",V9=0),"",IF(W9+X9=0,"",T9&amp;": "&amp;IF(W9=V9,"concluído",IF(W9=0,"em execução"&amp;IF(Z9&lt;&gt;""," ("&amp;IF(Z9=-1,"subsolo",IF(Z9=0,"térreo",Z9&amp;"º pav."))&amp;")",""),IF(Y9&lt;&gt;"","até "&amp;IF(Y9=-1,"subsolo",IF(Y9=0,"térreo",Y9&amp;"º pav.")),W9&amp;" de "&amp;V9&amp;" concluídas")&amp;IF(Z9="","",IF(OR(Y9="",Z9&gt;Y9),", executando "&amp;IF(Z9=-1,"subsolo",IF(Z9=0,"térreo",Z9&amp;"º pav."))," (restam serviços no "&amp;IF(Z9=-1,"subsolo",IF(Z9=0,"térreo",Z9&amp;"º pav."))&amp;")"))))))</f>
        <v/>
      </c>
    </row>
    <row r="10">
      <c r="B10" s="4" t="n">
        <v>13543136</v>
      </c>
      <c r="C10" s="4" t="inlineStr">
        <is>
          <t>VIGA DE COROAMENTO (TRECHO - CENTRAL DE POLÍMEROS)</t>
        </is>
      </c>
      <c r="D10" s="4" t="inlineStr">
        <is>
          <t>Armação</t>
        </is>
      </c>
      <c r="E10" s="4" t="inlineStr">
        <is>
          <t>SERVIÇOS INICIAIS</t>
        </is>
      </c>
      <c r="F10" s="118" t="n">
        <v>45911</v>
      </c>
      <c r="G10" s="118" t="n">
        <v>45915</v>
      </c>
      <c r="H10" s="118" t="n">
        <v>46289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IF(E10="","",IF(LEFT(E10,7)="SUBSOLO",-1,IF(LEFT(E10,6)="TÉRREO",0,IFERROR(VALUE(LEFT(E10,FIND("º",SUBSTITUTE(E10,"°","º"))-1)),""))))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VIGA DE COROAMENTO (TRECHO - RUA MANACA 2º ETAPA)</t>
        </is>
      </c>
      <c r="S10" s="4" t="inlineStr">
        <is>
          <t>15</t>
        </is>
      </c>
      <c r="T10" s="4" t="inlineStr">
        <is>
          <t>Viga de coroamento (trecho - rua manaca 2º etapa)</t>
        </is>
      </c>
      <c r="U10" s="4" t="inlineStr">
        <is>
          <t>NÃO</t>
        </is>
      </c>
      <c r="V10" s="2">
        <f>IF(R10="","",COUNTIF($C$5:$C$3004,R10))</f>
        <v/>
      </c>
      <c r="W10" s="2">
        <f>IF(R10="","",COUNTIFS($C$5:$C$3004,R10,$O$5:$O$3004,"CONCLUÍDA"))</f>
        <v/>
      </c>
      <c r="X10" s="2">
        <f>IF(R10="","",COUNTIFS($C$5:$C$3004,R10,$O$5:$O$3004,"EM ANDAMENTO"))</f>
        <v/>
      </c>
      <c r="Y10" s="2">
        <f>IF(R10="","",IF(COUNTIFS($C$5:$C$3004,R10,$O$5:$O$3004,"CONCLUÍDA",$N$5:$N$3004,"&gt;=-1")=0,"",_xlfn.MAXIFS($N$5:$N$3004,$C$5:$C$3004,R10,$O$5:$O$3004,"CONCLUÍDA")))</f>
        <v/>
      </c>
      <c r="Z10" s="2">
        <f>IF(R10="","",IF(COUNTIFS($C$5:$C$3004,R10,$O$5:$O$3004,"EM ANDAMENTO",$N$5:$N$3004,"&gt;=-1")=0,"",_xlfn.MAXIFS($N$5:$N$3004,$C$5:$C$3004,R10,$O$5:$O$3004,"EM ANDAMENTO")))</f>
        <v/>
      </c>
      <c r="AA10" s="2">
        <f>IF(OR(R10="",S10="",U10&lt;&gt;"SIM",V10=0),"",IF(W10+X10=0,"",T10&amp;": "&amp;IF(W10=V10,"concluído",IF(W10=0,"em execução"&amp;IF(Z10&lt;&gt;""," ("&amp;IF(Z10=-1,"subsolo",IF(Z10=0,"térreo",Z10&amp;"º pav."))&amp;")",""),IF(Y10&lt;&gt;"","até "&amp;IF(Y10=-1,"subsolo",IF(Y10=0,"térreo",Y10&amp;"º pav.")),W10&amp;" de "&amp;V10&amp;" concluídas")&amp;IF(Z10="","",IF(OR(Y10="",Z10&gt;Y10),", executando "&amp;IF(Z10=-1,"subsolo",IF(Z10=0,"térreo",Z10&amp;"º pav."))," (restam serviços no "&amp;IF(Z10=-1,"subsolo",IF(Z10=0,"térreo",Z10&amp;"º pav."))&amp;")"))))))</f>
        <v/>
      </c>
    </row>
    <row r="11">
      <c r="B11" s="4" t="n">
        <v>13543137</v>
      </c>
      <c r="C11" s="4" t="inlineStr">
        <is>
          <t>VIGA DE COROAMENTO (TRECHO - CENTRAL DE POLÍMEROS)</t>
        </is>
      </c>
      <c r="D11" s="4" t="inlineStr">
        <is>
          <t>Forma</t>
        </is>
      </c>
      <c r="E11" s="4" t="inlineStr">
        <is>
          <t>SERVIÇOS INICIAIS</t>
        </is>
      </c>
      <c r="F11" s="118" t="n">
        <v>45915</v>
      </c>
      <c r="G11" s="118" t="n">
        <v>45916</v>
      </c>
      <c r="H11" s="118" t="n">
        <v>46289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IF(E11="","",IF(LEFT(E11,7)="SUBSOLO",-1,IF(LEFT(E11,6)="TÉRREO",0,IFERROR(VALUE(LEFT(E11,FIND("º",SUBSTITUTE(E11,"°","º"))-1)),""))))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PROFUNDA</t>
        </is>
      </c>
      <c r="S11" s="4" t="inlineStr">
        <is>
          <t>15</t>
        </is>
      </c>
      <c r="T11" s="4" t="inlineStr">
        <is>
          <t>Fundação profunda</t>
        </is>
      </c>
      <c r="U11" s="4" t="inlineStr">
        <is>
          <t>SIM</t>
        </is>
      </c>
      <c r="V11" s="2">
        <f>IF(R11="","",COUNTIF($C$5:$C$3004,R11))</f>
        <v/>
      </c>
      <c r="W11" s="2">
        <f>IF(R11="","",COUNTIFS($C$5:$C$3004,R11,$O$5:$O$3004,"CONCLUÍDA"))</f>
        <v/>
      </c>
      <c r="X11" s="2">
        <f>IF(R11="","",COUNTIFS($C$5:$C$3004,R11,$O$5:$O$3004,"EM ANDAMENTO"))</f>
        <v/>
      </c>
      <c r="Y11" s="2">
        <f>IF(R11="","",IF(COUNTIFS($C$5:$C$3004,R11,$O$5:$O$3004,"CONCLUÍDA",$N$5:$N$3004,"&gt;=-1")=0,"",_xlfn.MAXIFS($N$5:$N$3004,$C$5:$C$3004,R11,$O$5:$O$3004,"CONCLUÍDA")))</f>
        <v/>
      </c>
      <c r="Z11" s="2">
        <f>IF(R11="","",IF(COUNTIFS($C$5:$C$3004,R11,$O$5:$O$3004,"EM ANDAMENTO",$N$5:$N$3004,"&gt;=-1")=0,"",_xlfn.MAXIFS($N$5:$N$3004,$C$5:$C$3004,R11,$O$5:$O$3004,"EM ANDAMENTO")))</f>
        <v/>
      </c>
      <c r="AA11" s="2">
        <f>IF(OR(R11="",S11="",U11&lt;&gt;"SIM",V11=0),"",IF(W11+X11=0,"",T11&amp;": "&amp;IF(W11=V11,"concluído",IF(W11=0,"em execução"&amp;IF(Z11&lt;&gt;""," ("&amp;IF(Z11=-1,"subsolo",IF(Z11=0,"térreo",Z11&amp;"º pav."))&amp;")",""),IF(Y11&lt;&gt;"","até "&amp;IF(Y11=-1,"subsolo",IF(Y11=0,"térreo",Y11&amp;"º pav.")),W11&amp;" de "&amp;V11&amp;" concluídas")&amp;IF(Z11="","",IF(OR(Y11="",Z11&gt;Y11),", executando "&amp;IF(Z11=-1,"subsolo",IF(Z11=0,"térreo",Z11&amp;"º pav."))," (restam serviços no "&amp;IF(Z11=-1,"subsolo",IF(Z11=0,"térreo",Z11&amp;"º pav."))&amp;")"))))))</f>
        <v/>
      </c>
    </row>
    <row r="12">
      <c r="B12" s="4" t="n">
        <v>13543138</v>
      </c>
      <c r="C12" s="4" t="inlineStr">
        <is>
          <t>VIGA DE COROAMENTO (TRECHO - CENTRAL DE POLÍMEROS)</t>
        </is>
      </c>
      <c r="D12" s="4" t="inlineStr">
        <is>
          <t>Concretagem</t>
        </is>
      </c>
      <c r="E12" s="4" t="inlineStr">
        <is>
          <t>SERVIÇOS INICIAIS</t>
        </is>
      </c>
      <c r="F12" s="118" t="n">
        <v>45917</v>
      </c>
      <c r="G12" s="118" t="n">
        <v>45917</v>
      </c>
      <c r="H12" s="118" t="n">
        <v>46289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IF(E12="","",IF(LEFT(E12,7)="SUBSOLO",-1,IF(LEFT(E12,6)="TÉRREO",0,IFERROR(VALUE(LEFT(E12,FIND("º",SUBSTITUTE(E12,"°","º"))-1)),""))))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VIGA DE COROAMENTO (TRECHO - RUA IPÊ 1º ETAPA)</t>
        </is>
      </c>
      <c r="S12" s="4" t="inlineStr">
        <is>
          <t>15</t>
        </is>
      </c>
      <c r="T12" s="4" t="inlineStr">
        <is>
          <t>Viga de coroamento (trecho - rua ipê 1º etapa)</t>
        </is>
      </c>
      <c r="U12" s="4" t="inlineStr">
        <is>
          <t>NÃO</t>
        </is>
      </c>
      <c r="V12" s="2">
        <f>IF(R12="","",COUNTIF($C$5:$C$3004,R12))</f>
        <v/>
      </c>
      <c r="W12" s="2">
        <f>IF(R12="","",COUNTIFS($C$5:$C$3004,R12,$O$5:$O$3004,"CONCLUÍDA"))</f>
        <v/>
      </c>
      <c r="X12" s="2">
        <f>IF(R12="","",COUNTIFS($C$5:$C$3004,R12,$O$5:$O$3004,"EM ANDAMENTO"))</f>
        <v/>
      </c>
      <c r="Y12" s="2">
        <f>IF(R12="","",IF(COUNTIFS($C$5:$C$3004,R12,$O$5:$O$3004,"CONCLUÍDA",$N$5:$N$3004,"&gt;=-1")=0,"",_xlfn.MAXIFS($N$5:$N$3004,$C$5:$C$3004,R12,$O$5:$O$3004,"CONCLUÍDA")))</f>
        <v/>
      </c>
      <c r="Z12" s="2">
        <f>IF(R12="","",IF(COUNTIFS($C$5:$C$3004,R12,$O$5:$O$3004,"EM ANDAMENTO",$N$5:$N$3004,"&gt;=-1")=0,"",_xlfn.MAXIFS($N$5:$N$3004,$C$5:$C$3004,R12,$O$5:$O$3004,"EM ANDAMENTO")))</f>
        <v/>
      </c>
      <c r="AA12" s="2">
        <f>IF(OR(R12="",S12="",U12&lt;&gt;"SIM",V12=0),"",IF(W12+X12=0,"",T12&amp;": "&amp;IF(W12=V12,"concluído",IF(W12=0,"em execução"&amp;IF(Z12&lt;&gt;""," ("&amp;IF(Z12=-1,"subsolo",IF(Z12=0,"térreo",Z12&amp;"º pav."))&amp;")",""),IF(Y12&lt;&gt;"","até "&amp;IF(Y12=-1,"subsolo",IF(Y12=0,"térreo",Y12&amp;"º pav.")),W12&amp;" de "&amp;V12&amp;" concluídas")&amp;IF(Z12="","",IF(OR(Y12="",Z12&gt;Y12),", executando "&amp;IF(Z12=-1,"subsolo",IF(Z12=0,"térreo",Z12&amp;"º pav."))," (restam serviços no "&amp;IF(Z12=-1,"subsolo",IF(Z12=0,"térreo",Z12&amp;"º pav."))&amp;")"))))))</f>
        <v/>
      </c>
    </row>
    <row r="13">
      <c r="B13" s="4" t="n">
        <v>13543139</v>
      </c>
      <c r="C13" s="4" t="inlineStr">
        <is>
          <t>VIGA DE COROAMENTO (TRECHO - CENTRAL DE POLÍMEROS)</t>
        </is>
      </c>
      <c r="D13" s="4" t="inlineStr">
        <is>
          <t>Aterro</t>
        </is>
      </c>
      <c r="E13" s="4" t="inlineStr">
        <is>
          <t>SERVIÇOS INICIAIS</t>
        </is>
      </c>
      <c r="F13" s="118" t="n">
        <v>45918</v>
      </c>
      <c r="G13" s="118" t="n">
        <v>45918</v>
      </c>
      <c r="H13" s="118" t="n">
        <v>46289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IF(E13="","",IF(LEFT(E13,7)="SUBSOLO",-1,IF(LEFT(E13,6)="TÉRREO",0,IFERROR(VALUE(LEFT(E13,FIND("º",SUBSTITUTE(E13,"°","º"))-1)),""))))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VIGA DE COROAMENTO (TRECHO - RUA IPÊ 2º ETAPA)</t>
        </is>
      </c>
      <c r="S13" s="4" t="inlineStr">
        <is>
          <t>15</t>
        </is>
      </c>
      <c r="T13" s="4" t="inlineStr">
        <is>
          <t>Viga de coroamento (trecho - rua ipê 2º etapa)</t>
        </is>
      </c>
      <c r="U13" s="4" t="inlineStr">
        <is>
          <t>NÃO</t>
        </is>
      </c>
      <c r="V13" s="2">
        <f>IF(R13="","",COUNTIF($C$5:$C$3004,R13))</f>
        <v/>
      </c>
      <c r="W13" s="2">
        <f>IF(R13="","",COUNTIFS($C$5:$C$3004,R13,$O$5:$O$3004,"CONCLUÍDA"))</f>
        <v/>
      </c>
      <c r="X13" s="2">
        <f>IF(R13="","",COUNTIFS($C$5:$C$3004,R13,$O$5:$O$3004,"EM ANDAMENTO"))</f>
        <v/>
      </c>
      <c r="Y13" s="2">
        <f>IF(R13="","",IF(COUNTIFS($C$5:$C$3004,R13,$O$5:$O$3004,"CONCLUÍDA",$N$5:$N$3004,"&gt;=-1")=0,"",_xlfn.MAXIFS($N$5:$N$3004,$C$5:$C$3004,R13,$O$5:$O$3004,"CONCLUÍDA")))</f>
        <v/>
      </c>
      <c r="Z13" s="2">
        <f>IF(R13="","",IF(COUNTIFS($C$5:$C$3004,R13,$O$5:$O$3004,"EM ANDAMENTO",$N$5:$N$3004,"&gt;=-1")=0,"",_xlfn.MAXIFS($N$5:$N$3004,$C$5:$C$3004,R13,$O$5:$O$3004,"EM ANDAMENTO")))</f>
        <v/>
      </c>
      <c r="AA13" s="2">
        <f>IF(OR(R13="",S13="",U13&lt;&gt;"SIM",V13=0),"",IF(W13+X13=0,"",T13&amp;": "&amp;IF(W13=V13,"concluído",IF(W13=0,"em execução"&amp;IF(Z13&lt;&gt;""," ("&amp;IF(Z13=-1,"subsolo",IF(Z13=0,"térreo",Z13&amp;"º pav."))&amp;")",""),IF(Y13&lt;&gt;"","até "&amp;IF(Y13=-1,"subsolo",IF(Y13=0,"térreo",Y13&amp;"º pav.")),W13&amp;" de "&amp;V13&amp;" concluídas")&amp;IF(Z13="","",IF(OR(Y13="",Z13&gt;Y13),", executando "&amp;IF(Z13=-1,"subsolo",IF(Z13=0,"térreo",Z13&amp;"º pav."))," (restam serviços no "&amp;IF(Z13=-1,"subsolo",IF(Z13=0,"térreo",Z13&amp;"º pav."))&amp;")"))))))</f>
        <v/>
      </c>
    </row>
    <row r="14">
      <c r="B14" s="4" t="n">
        <v>33143218</v>
      </c>
      <c r="C14" s="4" t="inlineStr">
        <is>
          <t>VIGA DE COROAMENTO (TRECHO - RUA MANACA 1º ETAPA)</t>
        </is>
      </c>
      <c r="D14" s="4" t="inlineStr">
        <is>
          <t>-</t>
        </is>
      </c>
      <c r="E14" s="4" t="inlineStr">
        <is>
          <t>SERVIÇOS INICIAIS</t>
        </is>
      </c>
      <c r="F14" s="118" t="n">
        <v>45908</v>
      </c>
      <c r="G14" s="118" t="n">
        <v>45933</v>
      </c>
      <c r="H14" s="118" t="n">
        <v>46289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IF(E14="","",IF(LEFT(E14,7)="SUBSOLO",-1,IF(LEFT(E14,6)="TÉRREO",0,IFERROR(VALUE(LEFT(E14,FIND("º",SUBSTITUTE(E14,"°","º"))-1)),""))))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VIGA DE COROAMENTO (TRECHO - RUA BOM JESUS)</t>
        </is>
      </c>
      <c r="S14" s="4" t="inlineStr">
        <is>
          <t>15</t>
        </is>
      </c>
      <c r="T14" s="4" t="inlineStr">
        <is>
          <t>Viga de coroamento (trecho - rua bom jesus)</t>
        </is>
      </c>
      <c r="U14" s="4" t="inlineStr">
        <is>
          <t>NÃO</t>
        </is>
      </c>
      <c r="V14" s="2">
        <f>IF(R14="","",COUNTIF($C$5:$C$3004,R14))</f>
        <v/>
      </c>
      <c r="W14" s="2">
        <f>IF(R14="","",COUNTIFS($C$5:$C$3004,R14,$O$5:$O$3004,"CONCLUÍDA"))</f>
        <v/>
      </c>
      <c r="X14" s="2">
        <f>IF(R14="","",COUNTIFS($C$5:$C$3004,R14,$O$5:$O$3004,"EM ANDAMENTO"))</f>
        <v/>
      </c>
      <c r="Y14" s="2">
        <f>IF(R14="","",IF(COUNTIFS($C$5:$C$3004,R14,$O$5:$O$3004,"CONCLUÍDA",$N$5:$N$3004,"&gt;=-1")=0,"",_xlfn.MAXIFS($N$5:$N$3004,$C$5:$C$3004,R14,$O$5:$O$3004,"CONCLUÍDA")))</f>
        <v/>
      </c>
      <c r="Z14" s="2">
        <f>IF(R14="","",IF(COUNTIFS($C$5:$C$3004,R14,$O$5:$O$3004,"EM ANDAMENTO",$N$5:$N$3004,"&gt;=-1")=0,"",_xlfn.MAXIFS($N$5:$N$3004,$C$5:$C$3004,R14,$O$5:$O$3004,"EM ANDAMENTO")))</f>
        <v/>
      </c>
      <c r="AA14" s="2">
        <f>IF(OR(R14="",S14="",U14&lt;&gt;"SIM",V14=0),"",IF(W14+X14=0,"",T14&amp;": "&amp;IF(W14=V14,"concluído",IF(W14=0,"em execução"&amp;IF(Z14&lt;&gt;""," ("&amp;IF(Z14=-1,"subsolo",IF(Z14=0,"térreo",Z14&amp;"º pav."))&amp;")",""),IF(Y14&lt;&gt;"","até "&amp;IF(Y14=-1,"subsolo",IF(Y14=0,"térreo",Y14&amp;"º pav.")),W14&amp;" de "&amp;V14&amp;" concluídas")&amp;IF(Z14="","",IF(OR(Y14="",Z14&gt;Y14),", executando "&amp;IF(Z14=-1,"subsolo",IF(Z14=0,"térreo",Z14&amp;"º pav."))," (restam serviços no "&amp;IF(Z14=-1,"subsolo",IF(Z14=0,"térreo",Z14&amp;"º pav."))&amp;")"))))))</f>
        <v/>
      </c>
    </row>
    <row r="15">
      <c r="B15" s="4" t="n">
        <v>13543236</v>
      </c>
      <c r="C15" s="4" t="inlineStr">
        <is>
          <t>VIGA DE COROAMENTO (TRECHO - RUA MANACA 1º ETAPA)</t>
        </is>
      </c>
      <c r="D15" s="4" t="inlineStr">
        <is>
          <t>Escavação e Arrasamento</t>
        </is>
      </c>
      <c r="E15" s="4" t="inlineStr">
        <is>
          <t>SERVIÇOS INICIAIS</t>
        </is>
      </c>
      <c r="F15" s="118" t="n">
        <v>45908</v>
      </c>
      <c r="G15" s="118" t="n">
        <v>45912</v>
      </c>
      <c r="H15" s="118" t="n">
        <v>46289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IF(E15="","",IF(LEFT(E15,7)="SUBSOLO",-1,IF(LEFT(E15,6)="TÉRREO",0,IFERROR(VALUE(LEFT(E15,FIND("º",SUBSTITUTE(E15,"°","º"))-1)),""))))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PROFUNDA - MEDIÇÃO</t>
        </is>
      </c>
      <c r="S15" s="4" t="inlineStr">
        <is>
          <t>15</t>
        </is>
      </c>
      <c r="T15" s="4" t="inlineStr">
        <is>
          <t>Fundação profunda - medição</t>
        </is>
      </c>
      <c r="U15" s="4" t="inlineStr">
        <is>
          <t>NÃO</t>
        </is>
      </c>
      <c r="V15" s="2">
        <f>IF(R15="","",COUNTIF($C$5:$C$3004,R15))</f>
        <v/>
      </c>
      <c r="W15" s="2">
        <f>IF(R15="","",COUNTIFS($C$5:$C$3004,R15,$O$5:$O$3004,"CONCLUÍDA"))</f>
        <v/>
      </c>
      <c r="X15" s="2">
        <f>IF(R15="","",COUNTIFS($C$5:$C$3004,R15,$O$5:$O$3004,"EM ANDAMENTO"))</f>
        <v/>
      </c>
      <c r="Y15" s="2">
        <f>IF(R15="","",IF(COUNTIFS($C$5:$C$3004,R15,$O$5:$O$3004,"CONCLUÍDA",$N$5:$N$3004,"&gt;=-1")=0,"",_xlfn.MAXIFS($N$5:$N$3004,$C$5:$C$3004,R15,$O$5:$O$3004,"CONCLUÍDA")))</f>
        <v/>
      </c>
      <c r="Z15" s="2">
        <f>IF(R15="","",IF(COUNTIFS($C$5:$C$3004,R15,$O$5:$O$3004,"EM ANDAMENTO",$N$5:$N$3004,"&gt;=-1")=0,"",_xlfn.MAXIFS($N$5:$N$3004,$C$5:$C$3004,R15,$O$5:$O$3004,"EM ANDAMENTO")))</f>
        <v/>
      </c>
      <c r="AA15" s="2">
        <f>IF(OR(R15="",S15="",U15&lt;&gt;"SIM",V15=0),"",IF(W15+X15=0,"",T15&amp;": "&amp;IF(W15=V15,"concluído",IF(W15=0,"em execução"&amp;IF(Z15&lt;&gt;""," ("&amp;IF(Z15=-1,"subsolo",IF(Z15=0,"térreo",Z15&amp;"º pav."))&amp;")",""),IF(Y15&lt;&gt;"","até "&amp;IF(Y15=-1,"subsolo",IF(Y15=0,"térreo",Y15&amp;"º pav.")),W15&amp;" de "&amp;V15&amp;" concluídas")&amp;IF(Z15="","",IF(OR(Y15="",Z15&gt;Y15),", executando "&amp;IF(Z15=-1,"subsolo",IF(Z15=0,"térreo",Z15&amp;"º pav."))," (restam serviços no "&amp;IF(Z15=-1,"subsolo",IF(Z15=0,"térreo",Z15&amp;"º pav."))&amp;")"))))))</f>
        <v/>
      </c>
    </row>
    <row r="16">
      <c r="B16" s="4" t="n">
        <v>13543237</v>
      </c>
      <c r="C16" s="4" t="inlineStr">
        <is>
          <t>VIGA DE COROAMENTO (TRECHO - RUA MANACA 1º ETAPA)</t>
        </is>
      </c>
      <c r="D16" s="4" t="inlineStr">
        <is>
          <t>Armação</t>
        </is>
      </c>
      <c r="E16" s="4" t="inlineStr">
        <is>
          <t>SERVIÇOS INICIAIS</t>
        </is>
      </c>
      <c r="F16" s="118" t="n">
        <v>45916</v>
      </c>
      <c r="G16" s="118" t="n">
        <v>45919</v>
      </c>
      <c r="H16" s="118" t="n">
        <v>46289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IF(E16="","",IF(LEFT(E16,7)="SUBSOLO",-1,IF(LEFT(E16,6)="TÉRREO",0,IFERROR(VALUE(LEFT(E16,FIND("º",SUBSTITUTE(E16,"°","º"))-1)),""))))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VIGA DE COROAMENTO (TRECHO - RUA IPÊ 3º ETAPA)</t>
        </is>
      </c>
      <c r="S16" s="4" t="inlineStr">
        <is>
          <t>15</t>
        </is>
      </c>
      <c r="T16" s="4" t="inlineStr">
        <is>
          <t>Viga de coroamento (trecho - rua ipê 3º etapa)</t>
        </is>
      </c>
      <c r="U16" s="4" t="inlineStr">
        <is>
          <t>NÃO</t>
        </is>
      </c>
      <c r="V16" s="2">
        <f>IF(R16="","",COUNTIF($C$5:$C$3004,R16))</f>
        <v/>
      </c>
      <c r="W16" s="2">
        <f>IF(R16="","",COUNTIFS($C$5:$C$3004,R16,$O$5:$O$3004,"CONCLUÍDA"))</f>
        <v/>
      </c>
      <c r="X16" s="2">
        <f>IF(R16="","",COUNTIFS($C$5:$C$3004,R16,$O$5:$O$3004,"EM ANDAMENTO"))</f>
        <v/>
      </c>
      <c r="Y16" s="2">
        <f>IF(R16="","",IF(COUNTIFS($C$5:$C$3004,R16,$O$5:$O$3004,"CONCLUÍDA",$N$5:$N$3004,"&gt;=-1")=0,"",_xlfn.MAXIFS($N$5:$N$3004,$C$5:$C$3004,R16,$O$5:$O$3004,"CONCLUÍDA")))</f>
        <v/>
      </c>
      <c r="Z16" s="2">
        <f>IF(R16="","",IF(COUNTIFS($C$5:$C$3004,R16,$O$5:$O$3004,"EM ANDAMENTO",$N$5:$N$3004,"&gt;=-1")=0,"",_xlfn.MAXIFS($N$5:$N$3004,$C$5:$C$3004,R16,$O$5:$O$3004,"EM ANDAMENTO")))</f>
        <v/>
      </c>
      <c r="AA16" s="2">
        <f>IF(OR(R16="",S16="",U16&lt;&gt;"SIM",V16=0),"",IF(W16+X16=0,"",T16&amp;": "&amp;IF(W16=V16,"concluído",IF(W16=0,"em execução"&amp;IF(Z16&lt;&gt;""," ("&amp;IF(Z16=-1,"subsolo",IF(Z16=0,"térreo",Z16&amp;"º pav."))&amp;")",""),IF(Y16&lt;&gt;"","até "&amp;IF(Y16=-1,"subsolo",IF(Y16=0,"térreo",Y16&amp;"º pav.")),W16&amp;" de "&amp;V16&amp;" concluídas")&amp;IF(Z16="","",IF(OR(Y16="",Z16&gt;Y16),", executando "&amp;IF(Z16=-1,"subsolo",IF(Z16=0,"térreo",Z16&amp;"º pav."))," (restam serviços no "&amp;IF(Z16=-1,"subsolo",IF(Z16=0,"térreo",Z16&amp;"º pav."))&amp;")"))))))</f>
        <v/>
      </c>
    </row>
    <row r="17">
      <c r="B17" s="4" t="n">
        <v>13543238</v>
      </c>
      <c r="C17" s="4" t="inlineStr">
        <is>
          <t>VIGA DE COROAMENTO (TRECHO - RUA MANACA 1º ETAPA)</t>
        </is>
      </c>
      <c r="D17" s="4" t="inlineStr">
        <is>
          <t>Forma</t>
        </is>
      </c>
      <c r="E17" s="4" t="inlineStr">
        <is>
          <t>SERVIÇOS INICIAIS</t>
        </is>
      </c>
      <c r="F17" s="118" t="n">
        <v>45917</v>
      </c>
      <c r="G17" s="118" t="n">
        <v>45919</v>
      </c>
      <c r="H17" s="118" t="n">
        <v>46289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IF(E17="","",IF(LEFT(E17,7)="SUBSOLO",-1,IF(LEFT(E17,6)="TÉRREO",0,IFERROR(VALUE(LEFT(E17,FIND("º",SUBSTITUTE(E17,"°","º"))-1)),""))))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TERRAPLENAGEM (FASE 1)</t>
        </is>
      </c>
      <c r="S17" s="4" t="inlineStr">
        <is>
          <t>14</t>
        </is>
      </c>
      <c r="T17" s="4" t="inlineStr">
        <is>
          <t>Terraplenagem (fase 1)</t>
        </is>
      </c>
      <c r="U17" s="4" t="inlineStr">
        <is>
          <t>SIM</t>
        </is>
      </c>
      <c r="V17" s="2">
        <f>IF(R17="","",COUNTIF($C$5:$C$3004,R17))</f>
        <v/>
      </c>
      <c r="W17" s="2">
        <f>IF(R17="","",COUNTIFS($C$5:$C$3004,R17,$O$5:$O$3004,"CONCLUÍDA"))</f>
        <v/>
      </c>
      <c r="X17" s="2">
        <f>IF(R17="","",COUNTIFS($C$5:$C$3004,R17,$O$5:$O$3004,"EM ANDAMENTO"))</f>
        <v/>
      </c>
      <c r="Y17" s="2">
        <f>IF(R17="","",IF(COUNTIFS($C$5:$C$3004,R17,$O$5:$O$3004,"CONCLUÍDA",$N$5:$N$3004,"&gt;=-1")=0,"",_xlfn.MAXIFS($N$5:$N$3004,$C$5:$C$3004,R17,$O$5:$O$3004,"CONCLUÍDA")))</f>
        <v/>
      </c>
      <c r="Z17" s="2">
        <f>IF(R17="","",IF(COUNTIFS($C$5:$C$3004,R17,$O$5:$O$3004,"EM ANDAMENTO",$N$5:$N$3004,"&gt;=-1")=0,"",_xlfn.MAXIFS($N$5:$N$3004,$C$5:$C$3004,R17,$O$5:$O$3004,"EM ANDAMENTO")))</f>
        <v/>
      </c>
      <c r="AA17" s="2">
        <f>IF(OR(R17="",S17="",U17&lt;&gt;"SIM",V17=0),"",IF(W17+X17=0,"",T17&amp;": "&amp;IF(W17=V17,"concluído",IF(W17=0,"em execução"&amp;IF(Z17&lt;&gt;""," ("&amp;IF(Z17=-1,"subsolo",IF(Z17=0,"térreo",Z17&amp;"º pav."))&amp;")",""),IF(Y17&lt;&gt;"","até "&amp;IF(Y17=-1,"subsolo",IF(Y17=0,"térreo",Y17&amp;"º pav.")),W17&amp;" de "&amp;V17&amp;" concluídas")&amp;IF(Z17="","",IF(OR(Y17="",Z17&gt;Y17),", executando "&amp;IF(Z17=-1,"subsolo",IF(Z17=0,"térreo",Z17&amp;"º pav."))," (restam serviços no "&amp;IF(Z17=-1,"subsolo",IF(Z17=0,"térreo",Z17&amp;"º pav."))&amp;")"))))))</f>
        <v/>
      </c>
    </row>
    <row r="18">
      <c r="B18" s="4" t="n">
        <v>13543239</v>
      </c>
      <c r="C18" s="4" t="inlineStr">
        <is>
          <t>VIGA DE COROAMENTO (TRECHO - RUA MANACA 1º ETAPA)</t>
        </is>
      </c>
      <c r="D18" s="4" t="inlineStr">
        <is>
          <t>Concretagem</t>
        </is>
      </c>
      <c r="E18" s="4" t="inlineStr">
        <is>
          <t>SERVIÇOS INICIAIS</t>
        </is>
      </c>
      <c r="F18" s="118" t="n">
        <v>45922</v>
      </c>
      <c r="G18" s="118" t="n">
        <v>45922</v>
      </c>
      <c r="H18" s="118" t="n">
        <v>46289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IF(E18="","",IF(LEFT(E18,7)="SUBSOLO",-1,IF(LEFT(E18,6)="TÉRREO",0,IFERROR(VALUE(LEFT(E18,FIND("º",SUBSTITUTE(E18,"°","º"))-1)),""))))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</t>
        </is>
      </c>
      <c r="S18" s="4" t="inlineStr">
        <is>
          <t>16</t>
        </is>
      </c>
      <c r="T18" s="4" t="inlineStr">
        <is>
          <t>Fundação superficial</t>
        </is>
      </c>
      <c r="U18" s="4" t="inlineStr">
        <is>
          <t>NÃO</t>
        </is>
      </c>
      <c r="V18" s="2">
        <f>IF(R18="","",COUNTIF($C$5:$C$3004,R18))</f>
        <v/>
      </c>
      <c r="W18" s="2">
        <f>IF(R18="","",COUNTIFS($C$5:$C$3004,R18,$O$5:$O$3004,"CONCLUÍDA"))</f>
        <v/>
      </c>
      <c r="X18" s="2">
        <f>IF(R18="","",COUNTIFS($C$5:$C$3004,R18,$O$5:$O$3004,"EM ANDAMENTO"))</f>
        <v/>
      </c>
      <c r="Y18" s="2">
        <f>IF(R18="","",IF(COUNTIFS($C$5:$C$3004,R18,$O$5:$O$3004,"CONCLUÍDA",$N$5:$N$3004,"&gt;=-1")=0,"",_xlfn.MAXIFS($N$5:$N$3004,$C$5:$C$3004,R18,$O$5:$O$3004,"CONCLUÍDA")))</f>
        <v/>
      </c>
      <c r="Z18" s="2">
        <f>IF(R18="","",IF(COUNTIFS($C$5:$C$3004,R18,$O$5:$O$3004,"EM ANDAMENTO",$N$5:$N$3004,"&gt;=-1")=0,"",_xlfn.MAXIFS($N$5:$N$3004,$C$5:$C$3004,R18,$O$5:$O$3004,"EM ANDAMENTO")))</f>
        <v/>
      </c>
      <c r="AA18" s="2">
        <f>IF(OR(R18="",S18="",U18&lt;&gt;"SIM",V18=0),"",IF(W18+X18=0,"",T18&amp;": "&amp;IF(W18=V18,"concluído",IF(W18=0,"em execução"&amp;IF(Z18&lt;&gt;""," ("&amp;IF(Z18=-1,"subsolo",IF(Z18=0,"térreo",Z18&amp;"º pav."))&amp;")",""),IF(Y18&lt;&gt;"","até "&amp;IF(Y18=-1,"subsolo",IF(Y18=0,"térreo",Y18&amp;"º pav.")),W18&amp;" de "&amp;V18&amp;" concluídas")&amp;IF(Z18="","",IF(OR(Y18="",Z18&gt;Y18),", executando "&amp;IF(Z18=-1,"subsolo",IF(Z18=0,"térreo",Z18&amp;"º pav."))," (restam serviços no "&amp;IF(Z18=-1,"subsolo",IF(Z18=0,"térreo",Z18&amp;"º pav."))&amp;")"))))))</f>
        <v/>
      </c>
    </row>
    <row r="19">
      <c r="B19" s="4" t="n">
        <v>13543240</v>
      </c>
      <c r="C19" s="4" t="inlineStr">
        <is>
          <t>VIGA DE COROAMENTO (TRECHO - RUA MANACA 1º ETAPA)</t>
        </is>
      </c>
      <c r="D19" s="4" t="inlineStr">
        <is>
          <t>Aterro</t>
        </is>
      </c>
      <c r="E19" s="4" t="inlineStr">
        <is>
          <t>SERVIÇOS INICIAIS</t>
        </is>
      </c>
      <c r="F19" s="118" t="n">
        <v>45933</v>
      </c>
      <c r="G19" s="118" t="n">
        <v>45933</v>
      </c>
      <c r="H19" s="118" t="n">
        <v>46289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IF(E19="","",IF(LEFT(E19,7)="SUBSOLO",-1,IF(LEFT(E19,6)="TÉRREO",0,IFERROR(VALUE(LEFT(E19,FIND("º",SUBSTITUTE(E19,"°","º"))-1)),""))))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FASE 1</t>
        </is>
      </c>
      <c r="S19" s="4" t="inlineStr">
        <is>
          <t>16</t>
        </is>
      </c>
      <c r="T19" s="4" t="inlineStr">
        <is>
          <t>Fundação superficial - fase 1</t>
        </is>
      </c>
      <c r="U19" s="4" t="inlineStr">
        <is>
          <t>NÃO</t>
        </is>
      </c>
      <c r="V19" s="2">
        <f>IF(R19="","",COUNTIF($C$5:$C$3004,R19))</f>
        <v/>
      </c>
      <c r="W19" s="2">
        <f>IF(R19="","",COUNTIFS($C$5:$C$3004,R19,$O$5:$O$3004,"CONCLUÍDA"))</f>
        <v/>
      </c>
      <c r="X19" s="2">
        <f>IF(R19="","",COUNTIFS($C$5:$C$3004,R19,$O$5:$O$3004,"EM ANDAMENTO"))</f>
        <v/>
      </c>
      <c r="Y19" s="2">
        <f>IF(R19="","",IF(COUNTIFS($C$5:$C$3004,R19,$O$5:$O$3004,"CONCLUÍDA",$N$5:$N$3004,"&gt;=-1")=0,"",_xlfn.MAXIFS($N$5:$N$3004,$C$5:$C$3004,R19,$O$5:$O$3004,"CONCLUÍDA")))</f>
        <v/>
      </c>
      <c r="Z19" s="2">
        <f>IF(R19="","",IF(COUNTIFS($C$5:$C$3004,R19,$O$5:$O$3004,"EM ANDAMENTO",$N$5:$N$3004,"&gt;=-1")=0,"",_xlfn.MAXIFS($N$5:$N$3004,$C$5:$C$3004,R19,$O$5:$O$3004,"EM ANDAMENTO")))</f>
        <v/>
      </c>
      <c r="AA19" s="2">
        <f>IF(OR(R19="",S19="",U19&lt;&gt;"SIM",V19=0),"",IF(W19+X19=0,"",T19&amp;": "&amp;IF(W19=V19,"concluído",IF(W19=0,"em execução"&amp;IF(Z19&lt;&gt;""," ("&amp;IF(Z19=-1,"subsolo",IF(Z19=0,"térreo",Z19&amp;"º pav."))&amp;")",""),IF(Y19&lt;&gt;"","até "&amp;IF(Y19=-1,"subsolo",IF(Y19=0,"térreo",Y19&amp;"º pav.")),W19&amp;" de "&amp;V19&amp;" concluídas")&amp;IF(Z19="","",IF(OR(Y19="",Z19&gt;Y19),", executando "&amp;IF(Z19=-1,"subsolo",IF(Z19=0,"térreo",Z19&amp;"º pav."))," (restam serviços no "&amp;IF(Z19=-1,"subsolo",IF(Z19=0,"térreo",Z19&amp;"º pav."))&amp;")"))))))</f>
        <v/>
      </c>
    </row>
    <row r="20">
      <c r="B20" s="4" t="n">
        <v>33143219</v>
      </c>
      <c r="C20" s="4" t="inlineStr">
        <is>
          <t>VIGA DE COROAMENTO (TRECHO - RUA MANACA 2º ETAPA)</t>
        </is>
      </c>
      <c r="D20" s="4" t="inlineStr">
        <is>
          <t>-</t>
        </is>
      </c>
      <c r="E20" s="4" t="inlineStr">
        <is>
          <t>SERVIÇOS INICIAIS</t>
        </is>
      </c>
      <c r="F20" s="118" t="n">
        <v>45915</v>
      </c>
      <c r="G20" s="118" t="n">
        <v>45936</v>
      </c>
      <c r="H20" s="118" t="n">
        <v>46289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IF(E20="","",IF(LEFT(E20,7)="SUBSOLO",-1,IF(LEFT(E20,6)="TÉRREO",0,IFERROR(VALUE(LEFT(E20,FIND("º",SUBSTITUTE(E20,"°","º"))-1)),""))))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FUNDAÇÃO SUPERFICIAL - FASE 2</t>
        </is>
      </c>
      <c r="S20" s="4" t="inlineStr">
        <is>
          <t>16</t>
        </is>
      </c>
      <c r="T20" s="4" t="inlineStr">
        <is>
          <t>Fundação superficial - fase 2</t>
        </is>
      </c>
      <c r="U20" s="4" t="inlineStr">
        <is>
          <t>SIM</t>
        </is>
      </c>
      <c r="V20" s="2">
        <f>IF(R20="","",COUNTIF($C$5:$C$3004,R20))</f>
        <v/>
      </c>
      <c r="W20" s="2">
        <f>IF(R20="","",COUNTIFS($C$5:$C$3004,R20,$O$5:$O$3004,"CONCLUÍDA"))</f>
        <v/>
      </c>
      <c r="X20" s="2">
        <f>IF(R20="","",COUNTIFS($C$5:$C$3004,R20,$O$5:$O$3004,"EM ANDAMENTO"))</f>
        <v/>
      </c>
      <c r="Y20" s="2">
        <f>IF(R20="","",IF(COUNTIFS($C$5:$C$3004,R20,$O$5:$O$3004,"CONCLUÍDA",$N$5:$N$3004,"&gt;=-1")=0,"",_xlfn.MAXIFS($N$5:$N$3004,$C$5:$C$3004,R20,$O$5:$O$3004,"CONCLUÍDA")))</f>
        <v/>
      </c>
      <c r="Z20" s="2">
        <f>IF(R20="","",IF(COUNTIFS($C$5:$C$3004,R20,$O$5:$O$3004,"EM ANDAMENTO",$N$5:$N$3004,"&gt;=-1")=0,"",_xlfn.MAXIFS($N$5:$N$3004,$C$5:$C$3004,R20,$O$5:$O$3004,"EM ANDAMENTO")))</f>
        <v/>
      </c>
      <c r="AA20" s="2">
        <f>IF(OR(R20="",S20="",U20&lt;&gt;"SIM",V20=0),"",IF(W20+X20=0,"",T20&amp;": "&amp;IF(W20=V20,"concluído",IF(W20=0,"em execução"&amp;IF(Z20&lt;&gt;""," ("&amp;IF(Z20=-1,"subsolo",IF(Z20=0,"térreo",Z20&amp;"º pav."))&amp;")",""),IF(Y20&lt;&gt;"","até "&amp;IF(Y20=-1,"subsolo",IF(Y20=0,"térreo",Y20&amp;"º pav.")),W20&amp;" de "&amp;V20&amp;" concluídas")&amp;IF(Z20="","",IF(OR(Y20="",Z20&gt;Y20),", executando "&amp;IF(Z20=-1,"subsolo",IF(Z20=0,"térreo",Z20&amp;"º pav."))," (restam serviços no "&amp;IF(Z20=-1,"subsolo",IF(Z20=0,"térreo",Z20&amp;"º pav."))&amp;")"))))))</f>
        <v/>
      </c>
    </row>
    <row r="21">
      <c r="B21" s="4" t="n">
        <v>13543287</v>
      </c>
      <c r="C21" s="4" t="inlineStr">
        <is>
          <t>VIGA DE COROAMENTO (TRECHO - RUA MANACA 2º ETAPA)</t>
        </is>
      </c>
      <c r="D21" s="4" t="inlineStr">
        <is>
          <t>Escavação e Arrasamento</t>
        </is>
      </c>
      <c r="E21" s="4" t="inlineStr">
        <is>
          <t>SERVIÇOS INICIAIS</t>
        </is>
      </c>
      <c r="F21" s="118" t="n">
        <v>45915</v>
      </c>
      <c r="G21" s="118" t="n">
        <v>45919</v>
      </c>
      <c r="H21" s="118" t="n">
        <v>46289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IF(E21="","",IF(LEFT(E21,7)="SUBSOLO",-1,IF(LEFT(E21,6)="TÉRREO",0,IFERROR(VALUE(LEFT(E21,FIND("º",SUBSTITUTE(E21,"°","º"))-1)),""))))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CONTENÇÃO - BLOCO DO ELEVADOR</t>
        </is>
      </c>
      <c r="S21" s="4" t="inlineStr">
        <is>
          <t>13</t>
        </is>
      </c>
      <c r="T21" s="4" t="inlineStr">
        <is>
          <t>Contenção - bloco do elevador</t>
        </is>
      </c>
      <c r="U21" s="4" t="inlineStr">
        <is>
          <t>SIM</t>
        </is>
      </c>
      <c r="V21" s="2">
        <f>IF(R21="","",COUNTIF($C$5:$C$3004,R21))</f>
        <v/>
      </c>
      <c r="W21" s="2">
        <f>IF(R21="","",COUNTIFS($C$5:$C$3004,R21,$O$5:$O$3004,"CONCLUÍDA"))</f>
        <v/>
      </c>
      <c r="X21" s="2">
        <f>IF(R21="","",COUNTIFS($C$5:$C$3004,R21,$O$5:$O$3004,"EM ANDAMENTO"))</f>
        <v/>
      </c>
      <c r="Y21" s="2">
        <f>IF(R21="","",IF(COUNTIFS($C$5:$C$3004,R21,$O$5:$O$3004,"CONCLUÍDA",$N$5:$N$3004,"&gt;=-1")=0,"",_xlfn.MAXIFS($N$5:$N$3004,$C$5:$C$3004,R21,$O$5:$O$3004,"CONCLUÍDA")))</f>
        <v/>
      </c>
      <c r="Z21" s="2">
        <f>IF(R21="","",IF(COUNTIFS($C$5:$C$3004,R21,$O$5:$O$3004,"EM ANDAMENTO",$N$5:$N$3004,"&gt;=-1")=0,"",_xlfn.MAXIFS($N$5:$N$3004,$C$5:$C$3004,R21,$O$5:$O$3004,"EM ANDAMENTO")))</f>
        <v/>
      </c>
      <c r="AA21" s="2">
        <f>IF(OR(R21="",S21="",U21&lt;&gt;"SIM",V21=0),"",IF(W21+X21=0,"",T21&amp;": "&amp;IF(W21=V21,"concluído",IF(W21=0,"em execução"&amp;IF(Z21&lt;&gt;""," ("&amp;IF(Z21=-1,"subsolo",IF(Z21=0,"térreo",Z21&amp;"º pav."))&amp;")",""),IF(Y21&lt;&gt;"","até "&amp;IF(Y21=-1,"subsolo",IF(Y21=0,"térreo",Y21&amp;"º pav.")),W21&amp;" de "&amp;V21&amp;" concluídas")&amp;IF(Z21="","",IF(OR(Y21="",Z21&gt;Y21),", executando "&amp;IF(Z21=-1,"subsolo",IF(Z21=0,"térreo",Z21&amp;"º pav."))," (restam serviços no "&amp;IF(Z21=-1,"subsolo",IF(Z21=0,"térreo",Z21&amp;"º pav."))&amp;")"))))))</f>
        <v/>
      </c>
    </row>
    <row r="22">
      <c r="B22" s="4" t="n">
        <v>13543288</v>
      </c>
      <c r="C22" s="4" t="inlineStr">
        <is>
          <t>VIGA DE COROAMENTO (TRECHO - RUA MANACA 2º ETAPA)</t>
        </is>
      </c>
      <c r="D22" s="4" t="inlineStr">
        <is>
          <t>Armação</t>
        </is>
      </c>
      <c r="E22" s="4" t="inlineStr">
        <is>
          <t>SERVIÇOS INICIAIS</t>
        </is>
      </c>
      <c r="F22" s="118" t="n">
        <v>45922</v>
      </c>
      <c r="G22" s="118" t="n">
        <v>45925</v>
      </c>
      <c r="H22" s="118" t="n">
        <v>46289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IF(E22="","",IF(LEFT(E22,7)="SUBSOLO",-1,IF(LEFT(E22,6)="TÉRREO",0,IFERROR(VALUE(LEFT(E22,FIND("º",SUBSTITUTE(E22,"°","º"))-1)),""))))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FUNDAÇÃO SUPERFICIAL - FASE 3</t>
        </is>
      </c>
      <c r="S22" s="4" t="inlineStr">
        <is>
          <t>16</t>
        </is>
      </c>
      <c r="T22" s="4" t="inlineStr">
        <is>
          <t>Fundação superficial - fase 3</t>
        </is>
      </c>
      <c r="U22" s="4" t="inlineStr">
        <is>
          <t>SIM</t>
        </is>
      </c>
      <c r="V22" s="2">
        <f>IF(R22="","",COUNTIF($C$5:$C$3004,R22))</f>
        <v/>
      </c>
      <c r="W22" s="2">
        <f>IF(R22="","",COUNTIFS($C$5:$C$3004,R22,$O$5:$O$3004,"CONCLUÍDA"))</f>
        <v/>
      </c>
      <c r="X22" s="2">
        <f>IF(R22="","",COUNTIFS($C$5:$C$3004,R22,$O$5:$O$3004,"EM ANDAMENTO"))</f>
        <v/>
      </c>
      <c r="Y22" s="2">
        <f>IF(R22="","",IF(COUNTIFS($C$5:$C$3004,R22,$O$5:$O$3004,"CONCLUÍDA",$N$5:$N$3004,"&gt;=-1")=0,"",_xlfn.MAXIFS($N$5:$N$3004,$C$5:$C$3004,R22,$O$5:$O$3004,"CONCLUÍDA")))</f>
        <v/>
      </c>
      <c r="Z22" s="2">
        <f>IF(R22="","",IF(COUNTIFS($C$5:$C$3004,R22,$O$5:$O$3004,"EM ANDAMENTO",$N$5:$N$3004,"&gt;=-1")=0,"",_xlfn.MAXIFS($N$5:$N$3004,$C$5:$C$3004,R22,$O$5:$O$3004,"EM ANDAMENTO")))</f>
        <v/>
      </c>
      <c r="AA22" s="2">
        <f>IF(OR(R22="",S22="",U22&lt;&gt;"SIM",V22=0),"",IF(W22+X22=0,"",T22&amp;": "&amp;IF(W22=V22,"concluído",IF(W22=0,"em execução"&amp;IF(Z22&lt;&gt;""," ("&amp;IF(Z22=-1,"subsolo",IF(Z22=0,"térreo",Z22&amp;"º pav."))&amp;")",""),IF(Y22&lt;&gt;"","até "&amp;IF(Y22=-1,"subsolo",IF(Y22=0,"térreo",Y22&amp;"º pav.")),W22&amp;" de "&amp;V22&amp;" concluídas")&amp;IF(Z22="","",IF(OR(Y22="",Z22&gt;Y22),", executando "&amp;IF(Z22=-1,"subsolo",IF(Z22=0,"térreo",Z22&amp;"º pav."))," (restam serviços no "&amp;IF(Z22=-1,"subsolo",IF(Z22=0,"térreo",Z22&amp;"º pav."))&amp;")"))))))</f>
        <v/>
      </c>
    </row>
    <row r="23">
      <c r="B23" s="4" t="n">
        <v>13543289</v>
      </c>
      <c r="C23" s="4" t="inlineStr">
        <is>
          <t>VIGA DE COROAMENTO (TRECHO - RUA MANACA 2º ETAPA)</t>
        </is>
      </c>
      <c r="D23" s="4" t="inlineStr">
        <is>
          <t>Forma</t>
        </is>
      </c>
      <c r="E23" s="4" t="inlineStr">
        <is>
          <t>SERVIÇOS INICIAIS</t>
        </is>
      </c>
      <c r="F23" s="118" t="n">
        <v>45923</v>
      </c>
      <c r="G23" s="118" t="n">
        <v>45925</v>
      </c>
      <c r="H23" s="118" t="n">
        <v>46289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IF(E23="","",IF(LEFT(E23,7)="SUBSOLO",-1,IF(LEFT(E23,6)="TÉRREO",0,IFERROR(VALUE(LEFT(E23,FIND("º",SUBSTITUTE(E23,"°","º"))-1)),""))))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FUNDAÇÃO SUPERFICIAL - NUCLEO</t>
        </is>
      </c>
      <c r="S23" s="4" t="inlineStr">
        <is>
          <t>16</t>
        </is>
      </c>
      <c r="T23" s="4" t="inlineStr">
        <is>
          <t>Fundação superficial - nucleo</t>
        </is>
      </c>
      <c r="U23" s="4" t="inlineStr">
        <is>
          <t>NÃO</t>
        </is>
      </c>
      <c r="V23" s="2">
        <f>IF(R23="","",COUNTIF($C$5:$C$3004,R23))</f>
        <v/>
      </c>
      <c r="W23" s="2">
        <f>IF(R23="","",COUNTIFS($C$5:$C$3004,R23,$O$5:$O$3004,"CONCLUÍDA"))</f>
        <v/>
      </c>
      <c r="X23" s="2">
        <f>IF(R23="","",COUNTIFS($C$5:$C$3004,R23,$O$5:$O$3004,"EM ANDAMENTO"))</f>
        <v/>
      </c>
      <c r="Y23" s="2">
        <f>IF(R23="","",IF(COUNTIFS($C$5:$C$3004,R23,$O$5:$O$3004,"CONCLUÍDA",$N$5:$N$3004,"&gt;=-1")=0,"",_xlfn.MAXIFS($N$5:$N$3004,$C$5:$C$3004,R23,$O$5:$O$3004,"CONCLUÍDA")))</f>
        <v/>
      </c>
      <c r="Z23" s="2">
        <f>IF(R23="","",IF(COUNTIFS($C$5:$C$3004,R23,$O$5:$O$3004,"EM ANDAMENTO",$N$5:$N$3004,"&gt;=-1")=0,"",_xlfn.MAXIFS($N$5:$N$3004,$C$5:$C$3004,R23,$O$5:$O$3004,"EM ANDAMENTO")))</f>
        <v/>
      </c>
      <c r="AA23" s="2">
        <f>IF(OR(R23="",S23="",U23&lt;&gt;"SIM",V23=0),"",IF(W23+X23=0,"",T23&amp;": "&amp;IF(W23=V23,"concluído",IF(W23=0,"em execução"&amp;IF(Z23&lt;&gt;""," ("&amp;IF(Z23=-1,"subsolo",IF(Z23=0,"térreo",Z23&amp;"º pav."))&amp;")",""),IF(Y23&lt;&gt;"","até "&amp;IF(Y23=-1,"subsolo",IF(Y23=0,"térreo",Y23&amp;"º pav.")),W23&amp;" de "&amp;V23&amp;" concluídas")&amp;IF(Z23="","",IF(OR(Y23="",Z23&gt;Y23),", executando "&amp;IF(Z23=-1,"subsolo",IF(Z23=0,"térreo",Z23&amp;"º pav."))," (restam serviços no "&amp;IF(Z23=-1,"subsolo",IF(Z23=0,"térreo",Z23&amp;"º pav."))&amp;")"))))))</f>
        <v/>
      </c>
    </row>
    <row r="24">
      <c r="B24" s="4" t="n">
        <v>13543290</v>
      </c>
      <c r="C24" s="4" t="inlineStr">
        <is>
          <t>VIGA DE COROAMENTO (TRECHO - RUA MANACA 2º ETAPA)</t>
        </is>
      </c>
      <c r="D24" s="4" t="inlineStr">
        <is>
          <t>Concretagem</t>
        </is>
      </c>
      <c r="E24" s="4" t="inlineStr">
        <is>
          <t>SERVIÇOS INICIAIS</t>
        </is>
      </c>
      <c r="F24" s="118" t="n">
        <v>45926</v>
      </c>
      <c r="G24" s="118" t="n">
        <v>45933</v>
      </c>
      <c r="H24" s="118" t="n">
        <v>46289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IF(E24="","",IF(LEFT(E24,7)="SUBSOLO",-1,IF(LEFT(E24,6)="TÉRREO",0,IFERROR(VALUE(LEFT(E24,FIND("º",SUBSTITUTE(E24,"°","º"))-1)),""))))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FUNDAÇÃO SUPERFICIAL - FASE 4</t>
        </is>
      </c>
      <c r="S24" s="4" t="inlineStr">
        <is>
          <t>16</t>
        </is>
      </c>
      <c r="T24" s="4" t="inlineStr">
        <is>
          <t>Fundação superficial - fase 4</t>
        </is>
      </c>
      <c r="U24" s="4" t="inlineStr">
        <is>
          <t>NÃO</t>
        </is>
      </c>
      <c r="V24" s="2">
        <f>IF(R24="","",COUNTIF($C$5:$C$3004,R24))</f>
        <v/>
      </c>
      <c r="W24" s="2">
        <f>IF(R24="","",COUNTIFS($C$5:$C$3004,R24,$O$5:$O$3004,"CONCLUÍDA"))</f>
        <v/>
      </c>
      <c r="X24" s="2">
        <f>IF(R24="","",COUNTIFS($C$5:$C$3004,R24,$O$5:$O$3004,"EM ANDAMENTO"))</f>
        <v/>
      </c>
      <c r="Y24" s="2">
        <f>IF(R24="","",IF(COUNTIFS($C$5:$C$3004,R24,$O$5:$O$3004,"CONCLUÍDA",$N$5:$N$3004,"&gt;=-1")=0,"",_xlfn.MAXIFS($N$5:$N$3004,$C$5:$C$3004,R24,$O$5:$O$3004,"CONCLUÍDA")))</f>
        <v/>
      </c>
      <c r="Z24" s="2">
        <f>IF(R24="","",IF(COUNTIFS($C$5:$C$3004,R24,$O$5:$O$3004,"EM ANDAMENTO",$N$5:$N$3004,"&gt;=-1")=0,"",_xlfn.MAXIFS($N$5:$N$3004,$C$5:$C$3004,R24,$O$5:$O$3004,"EM ANDAMENTO")))</f>
        <v/>
      </c>
      <c r="AA24" s="2">
        <f>IF(OR(R24="",S24="",U24&lt;&gt;"SIM",V24=0),"",IF(W24+X24=0,"",T24&amp;": "&amp;IF(W24=V24,"concluído",IF(W24=0,"em execução"&amp;IF(Z24&lt;&gt;""," ("&amp;IF(Z24=-1,"subsolo",IF(Z24=0,"térreo",Z24&amp;"º pav."))&amp;")",""),IF(Y24&lt;&gt;"","até "&amp;IF(Y24=-1,"subsolo",IF(Y24=0,"térreo",Y24&amp;"º pav.")),W24&amp;" de "&amp;V24&amp;" concluídas")&amp;IF(Z24="","",IF(OR(Y24="",Z24&gt;Y24),", executando "&amp;IF(Z24=-1,"subsolo",IF(Z24=0,"térreo",Z24&amp;"º pav."))," (restam serviços no "&amp;IF(Z24=-1,"subsolo",IF(Z24=0,"térreo",Z24&amp;"º pav."))&amp;")"))))))</f>
        <v/>
      </c>
    </row>
    <row r="25">
      <c r="B25" s="4" t="n">
        <v>13543291</v>
      </c>
      <c r="C25" s="4" t="inlineStr">
        <is>
          <t>VIGA DE COROAMENTO (TRECHO - RUA MANACA 2º ETAPA)</t>
        </is>
      </c>
      <c r="D25" s="4" t="inlineStr">
        <is>
          <t>Aterro</t>
        </is>
      </c>
      <c r="E25" s="4" t="inlineStr">
        <is>
          <t>SERVIÇOS INICIAIS</t>
        </is>
      </c>
      <c r="F25" s="118" t="n">
        <v>45936</v>
      </c>
      <c r="G25" s="118" t="n">
        <v>45936</v>
      </c>
      <c r="H25" s="118" t="n">
        <v>46289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IF(E25="","",IF(LEFT(E25,7)="SUBSOLO",-1,IF(LEFT(E25,6)="TÉRREO",0,IFERROR(VALUE(LEFT(E25,FIND("º",SUBSTITUTE(E25,"°","º"))-1)),""))))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</t>
        </is>
      </c>
      <c r="S25" s="4" t="inlineStr">
        <is>
          <t>17</t>
        </is>
      </c>
      <c r="T25" s="4" t="inlineStr">
        <is>
          <t>Estrutura</t>
        </is>
      </c>
      <c r="U25" s="4" t="inlineStr">
        <is>
          <t>SIM</t>
        </is>
      </c>
      <c r="V25" s="2">
        <f>IF(R25="","",COUNTIF($C$5:$C$3004,R25))</f>
        <v/>
      </c>
      <c r="W25" s="2">
        <f>IF(R25="","",COUNTIFS($C$5:$C$3004,R25,$O$5:$O$3004,"CONCLUÍDA"))</f>
        <v/>
      </c>
      <c r="X25" s="2">
        <f>IF(R25="","",COUNTIFS($C$5:$C$3004,R25,$O$5:$O$3004,"EM ANDAMENTO"))</f>
        <v/>
      </c>
      <c r="Y25" s="2">
        <f>IF(R25="","",IF(COUNTIFS($C$5:$C$3004,R25,$O$5:$O$3004,"CONCLUÍDA",$N$5:$N$3004,"&gt;=-1")=0,"",_xlfn.MAXIFS($N$5:$N$3004,$C$5:$C$3004,R25,$O$5:$O$3004,"CONCLUÍDA")))</f>
        <v/>
      </c>
      <c r="Z25" s="2">
        <f>IF(R25="","",IF(COUNTIFS($C$5:$C$3004,R25,$O$5:$O$3004,"EM ANDAMENTO",$N$5:$N$3004,"&gt;=-1")=0,"",_xlfn.MAXIFS($N$5:$N$3004,$C$5:$C$3004,R25,$O$5:$O$3004,"EM ANDAMENTO")))</f>
        <v/>
      </c>
      <c r="AA25" s="2">
        <f>IF(OR(R25="",S25="",U25&lt;&gt;"SIM",V25=0),"",IF(W25+X25=0,"",T25&amp;": "&amp;IF(W25=V25,"concluído",IF(W25=0,"em execução"&amp;IF(Z25&lt;&gt;""," ("&amp;IF(Z25=-1,"subsolo",IF(Z25=0,"térreo",Z25&amp;"º pav."))&amp;")",""),IF(Y25&lt;&gt;"","até "&amp;IF(Y25=-1,"subsolo",IF(Y25=0,"térreo",Y25&amp;"º pav.")),W25&amp;" de "&amp;V25&amp;" concluídas")&amp;IF(Z25="","",IF(OR(Y25="",Z25&gt;Y25),", executando "&amp;IF(Z25=-1,"subsolo",IF(Z25=0,"térreo",Z25&amp;"º pav."))," (restam serviços no "&amp;IF(Z25=-1,"subsolo",IF(Z25=0,"térreo",Z25&amp;"º pav."))&amp;")"))))))</f>
        <v/>
      </c>
    </row>
    <row r="26">
      <c r="B26" s="4" t="n">
        <v>29933210</v>
      </c>
      <c r="C26" s="4" t="inlineStr">
        <is>
          <t>FUNDAÇÃO PROFUNDA</t>
        </is>
      </c>
      <c r="D26" s="4" t="inlineStr">
        <is>
          <t>-</t>
        </is>
      </c>
      <c r="E26" s="4" t="inlineStr">
        <is>
          <t>SERVIÇOS INICIAIS</t>
        </is>
      </c>
      <c r="F26" s="118" t="n">
        <v>45918</v>
      </c>
      <c r="G26" s="118" t="n">
        <v>46083</v>
      </c>
      <c r="H26" s="118" t="n">
        <v>46289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IF(E26="","",IF(LEFT(E26,7)="SUBSOLO",-1,IF(LEFT(E26,6)="TÉRREO",0,IFERROR(VALUE(LEFT(E26,FIND("º",SUBSTITUTE(E26,"°","º"))-1)),""))))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FUNDAÇÃO SUPERFICIAL - FASE 5</t>
        </is>
      </c>
      <c r="S26" s="4" t="inlineStr">
        <is>
          <t>16</t>
        </is>
      </c>
      <c r="T26" s="4" t="inlineStr">
        <is>
          <t>Fundação superficial - fase 5</t>
        </is>
      </c>
      <c r="U26" s="4" t="inlineStr">
        <is>
          <t>SIM</t>
        </is>
      </c>
      <c r="V26" s="2">
        <f>IF(R26="","",COUNTIF($C$5:$C$3004,R26))</f>
        <v/>
      </c>
      <c r="W26" s="2">
        <f>IF(R26="","",COUNTIFS($C$5:$C$3004,R26,$O$5:$O$3004,"CONCLUÍDA"))</f>
        <v/>
      </c>
      <c r="X26" s="2">
        <f>IF(R26="","",COUNTIFS($C$5:$C$3004,R26,$O$5:$O$3004,"EM ANDAMENTO"))</f>
        <v/>
      </c>
      <c r="Y26" s="2">
        <f>IF(R26="","",IF(COUNTIFS($C$5:$C$3004,R26,$O$5:$O$3004,"CONCLUÍDA",$N$5:$N$3004,"&gt;=-1")=0,"",_xlfn.MAXIFS($N$5:$N$3004,$C$5:$C$3004,R26,$O$5:$O$3004,"CONCLUÍDA")))</f>
        <v/>
      </c>
      <c r="Z26" s="2">
        <f>IF(R26="","",IF(COUNTIFS($C$5:$C$3004,R26,$O$5:$O$3004,"EM ANDAMENTO",$N$5:$N$3004,"&gt;=-1")=0,"",_xlfn.MAXIFS($N$5:$N$3004,$C$5:$C$3004,R26,$O$5:$O$3004,"EM ANDAMENTO")))</f>
        <v/>
      </c>
      <c r="AA26" s="2">
        <f>IF(OR(R26="",S26="",U26&lt;&gt;"SIM",V26=0),"",IF(W26+X26=0,"",T26&amp;": "&amp;IF(W26=V26,"concluído",IF(W26=0,"em execução"&amp;IF(Z26&lt;&gt;""," ("&amp;IF(Z26=-1,"subsolo",IF(Z26=0,"térreo",Z26&amp;"º pav."))&amp;")",""),IF(Y26&lt;&gt;"","até "&amp;IF(Y26=-1,"subsolo",IF(Y26=0,"térreo",Y26&amp;"º pav.")),W26&amp;" de "&amp;V26&amp;" concluídas")&amp;IF(Z26="","",IF(OR(Y26="",Z26&gt;Y26),", executando "&amp;IF(Z26=-1,"subsolo",IF(Z26=0,"térreo",Z26&amp;"º pav."))," (restam serviços no "&amp;IF(Z26=-1,"subsolo",IF(Z26=0,"térreo",Z26&amp;"º pav."))&amp;")"))))))</f>
        <v/>
      </c>
    </row>
    <row r="27">
      <c r="B27" s="4" t="n">
        <v>13543844</v>
      </c>
      <c r="C27" s="4" t="inlineStr">
        <is>
          <t>FUNDAÇÃO PROFUNDA</t>
        </is>
      </c>
      <c r="D27" s="4" t="inlineStr">
        <is>
          <t>PF1 e P20C</t>
        </is>
      </c>
      <c r="E27" s="4" t="inlineStr">
        <is>
          <t>SERVIÇOS INICIAIS</t>
        </is>
      </c>
      <c r="F27" s="118" t="n">
        <v>45918</v>
      </c>
      <c r="G27" s="118" t="n">
        <v>45918</v>
      </c>
      <c r="H27" s="118" t="n">
        <v>46289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IF(E27="","",IF(LEFT(E27,7)="SUBSOLO",-1,IF(LEFT(E27,6)="TÉRREO",0,IFERROR(VALUE(LEFT(E27,FIND("º",SUBSTITUTE(E27,"°","º"))-1)),""))))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FUNDAÇÃO SUPERFICIAL - FASE 6</t>
        </is>
      </c>
      <c r="S27" s="4" t="inlineStr">
        <is>
          <t>16</t>
        </is>
      </c>
      <c r="T27" s="4" t="inlineStr">
        <is>
          <t>Fundação superficial - fase 6</t>
        </is>
      </c>
      <c r="U27" s="4" t="inlineStr">
        <is>
          <t>NÃO</t>
        </is>
      </c>
      <c r="V27" s="2">
        <f>IF(R27="","",COUNTIF($C$5:$C$3004,R27))</f>
        <v/>
      </c>
      <c r="W27" s="2">
        <f>IF(R27="","",COUNTIFS($C$5:$C$3004,R27,$O$5:$O$3004,"CONCLUÍDA"))</f>
        <v/>
      </c>
      <c r="X27" s="2">
        <f>IF(R27="","",COUNTIFS($C$5:$C$3004,R27,$O$5:$O$3004,"EM ANDAMENTO"))</f>
        <v/>
      </c>
      <c r="Y27" s="2">
        <f>IF(R27="","",IF(COUNTIFS($C$5:$C$3004,R27,$O$5:$O$3004,"CONCLUÍDA",$N$5:$N$3004,"&gt;=-1")=0,"",_xlfn.MAXIFS($N$5:$N$3004,$C$5:$C$3004,R27,$O$5:$O$3004,"CONCLUÍDA")))</f>
        <v/>
      </c>
      <c r="Z27" s="2">
        <f>IF(R27="","",IF(COUNTIFS($C$5:$C$3004,R27,$O$5:$O$3004,"EM ANDAMENTO",$N$5:$N$3004,"&gt;=-1")=0,"",_xlfn.MAXIFS($N$5:$N$3004,$C$5:$C$3004,R27,$O$5:$O$3004,"EM ANDAMENTO")))</f>
        <v/>
      </c>
      <c r="AA27" s="2">
        <f>IF(OR(R27="",S27="",U27&lt;&gt;"SIM",V27=0),"",IF(W27+X27=0,"",T27&amp;": "&amp;IF(W27=V27,"concluído",IF(W27=0,"em execução"&amp;IF(Z27&lt;&gt;""," ("&amp;IF(Z27=-1,"subsolo",IF(Z27=0,"térreo",Z27&amp;"º pav."))&amp;")",""),IF(Y27&lt;&gt;"","até "&amp;IF(Y27=-1,"subsolo",IF(Y27=0,"térreo",Y27&amp;"º pav.")),W27&amp;" de "&amp;V27&amp;" concluídas")&amp;IF(Z27="","",IF(OR(Y27="",Z27&gt;Y27),", executando "&amp;IF(Z27=-1,"subsolo",IF(Z27=0,"térreo",Z27&amp;"º pav."))," (restam serviços no "&amp;IF(Z27=-1,"subsolo",IF(Z27=0,"térreo",Z27&amp;"º pav."))&amp;")"))))))</f>
        <v/>
      </c>
    </row>
    <row r="28">
      <c r="B28" s="4" t="n">
        <v>13543845</v>
      </c>
      <c r="C28" s="4" t="inlineStr">
        <is>
          <t>FUNDAÇÃO PROFUNDA</t>
        </is>
      </c>
      <c r="D28" s="4" t="inlineStr">
        <is>
          <t>PF2 e P155</t>
        </is>
      </c>
      <c r="E28" s="4" t="inlineStr">
        <is>
          <t>SERVIÇOS INICIAIS</t>
        </is>
      </c>
      <c r="F28" s="118" t="n">
        <v>45929</v>
      </c>
      <c r="G28" s="118" t="n">
        <v>45929</v>
      </c>
      <c r="H28" s="118" t="n">
        <v>46289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IF(E28="","",IF(LEFT(E28,7)="SUBSOLO",-1,IF(LEFT(E28,6)="TÉRREO",0,IFERROR(VALUE(LEFT(E28,FIND("º",SUBSTITUTE(E28,"°","º"))-1)),""))))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Estrutura Térreo - Fase 2</t>
        </is>
      </c>
      <c r="S28" s="4" t="inlineStr">
        <is>
          <t>17</t>
        </is>
      </c>
      <c r="T28" s="4" t="inlineStr">
        <is>
          <t>Estrutura térreo - fase 2</t>
        </is>
      </c>
      <c r="U28" s="4" t="inlineStr">
        <is>
          <t>NÃO</t>
        </is>
      </c>
      <c r="V28" s="2">
        <f>IF(R28="","",COUNTIF($C$5:$C$3004,R28))</f>
        <v/>
      </c>
      <c r="W28" s="2">
        <f>IF(R28="","",COUNTIFS($C$5:$C$3004,R28,$O$5:$O$3004,"CONCLUÍDA"))</f>
        <v/>
      </c>
      <c r="X28" s="2">
        <f>IF(R28="","",COUNTIFS($C$5:$C$3004,R28,$O$5:$O$3004,"EM ANDAMENTO"))</f>
        <v/>
      </c>
      <c r="Y28" s="2">
        <f>IF(R28="","",IF(COUNTIFS($C$5:$C$3004,R28,$O$5:$O$3004,"CONCLUÍDA",$N$5:$N$3004,"&gt;=-1")=0,"",_xlfn.MAXIFS($N$5:$N$3004,$C$5:$C$3004,R28,$O$5:$O$3004,"CONCLUÍDA")))</f>
        <v/>
      </c>
      <c r="Z28" s="2">
        <f>IF(R28="","",IF(COUNTIFS($C$5:$C$3004,R28,$O$5:$O$3004,"EM ANDAMENTO",$N$5:$N$3004,"&gt;=-1")=0,"",_xlfn.MAXIFS($N$5:$N$3004,$C$5:$C$3004,R28,$O$5:$O$3004,"EM ANDAMENTO")))</f>
        <v/>
      </c>
      <c r="AA28" s="2">
        <f>IF(OR(R28="",S28="",U28&lt;&gt;"SIM",V28=0),"",IF(W28+X28=0,"",T28&amp;": "&amp;IF(W28=V28,"concluído",IF(W28=0,"em execução"&amp;IF(Z28&lt;&gt;""," ("&amp;IF(Z28=-1,"subsolo",IF(Z28=0,"térreo",Z28&amp;"º pav."))&amp;")",""),IF(Y28&lt;&gt;"","até "&amp;IF(Y28=-1,"subsolo",IF(Y28=0,"térreo",Y28&amp;"º pav.")),W28&amp;" de "&amp;V28&amp;" concluídas")&amp;IF(Z28="","",IF(OR(Y28="",Z28&gt;Y28),", executando "&amp;IF(Z28=-1,"subsolo",IF(Z28=0,"térreo",Z28&amp;"º pav."))," (restam serviços no "&amp;IF(Z28=-1,"subsolo",IF(Z28=0,"térreo",Z28&amp;"º pav."))&amp;")"))))))</f>
        <v/>
      </c>
    </row>
    <row r="29">
      <c r="B29" s="4" t="n">
        <v>13543846</v>
      </c>
      <c r="C29" s="4" t="inlineStr">
        <is>
          <t>FUNDAÇÃO PROFUNDA</t>
        </is>
      </c>
      <c r="D29" s="4" t="inlineStr">
        <is>
          <t>P144 e P104</t>
        </is>
      </c>
      <c r="E29" s="4" t="inlineStr">
        <is>
          <t>SERVIÇOS INICIAIS</t>
        </is>
      </c>
      <c r="F29" s="118" t="n">
        <v>45930</v>
      </c>
      <c r="G29" s="118" t="n">
        <v>45930</v>
      </c>
      <c r="H29" s="118" t="n">
        <v>46289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IF(E29="","",IF(LEFT(E29,7)="SUBSOLO",-1,IF(LEFT(E29,6)="TÉRREO",0,IFERROR(VALUE(LEFT(E29,FIND("º",SUBSTITUTE(E29,"°","º"))-1)),""))))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Térreo - Fase 3</t>
        </is>
      </c>
      <c r="S29" s="4" t="inlineStr">
        <is>
          <t>17</t>
        </is>
      </c>
      <c r="T29" s="4" t="inlineStr">
        <is>
          <t>Estrutura térreo - fase 3</t>
        </is>
      </c>
      <c r="U29" s="4" t="inlineStr">
        <is>
          <t>NÃO</t>
        </is>
      </c>
      <c r="V29" s="2">
        <f>IF(R29="","",COUNTIF($C$5:$C$3004,R29))</f>
        <v/>
      </c>
      <c r="W29" s="2">
        <f>IF(R29="","",COUNTIFS($C$5:$C$3004,R29,$O$5:$O$3004,"CONCLUÍDA"))</f>
        <v/>
      </c>
      <c r="X29" s="2">
        <f>IF(R29="","",COUNTIFS($C$5:$C$3004,R29,$O$5:$O$3004,"EM ANDAMENTO"))</f>
        <v/>
      </c>
      <c r="Y29" s="2">
        <f>IF(R29="","",IF(COUNTIFS($C$5:$C$3004,R29,$O$5:$O$3004,"CONCLUÍDA",$N$5:$N$3004,"&gt;=-1")=0,"",_xlfn.MAXIFS($N$5:$N$3004,$C$5:$C$3004,R29,$O$5:$O$3004,"CONCLUÍDA")))</f>
        <v/>
      </c>
      <c r="Z29" s="2">
        <f>IF(R29="","",IF(COUNTIFS($C$5:$C$3004,R29,$O$5:$O$3004,"EM ANDAMENTO",$N$5:$N$3004,"&gt;=-1")=0,"",_xlfn.MAXIFS($N$5:$N$3004,$C$5:$C$3004,R29,$O$5:$O$3004,"EM ANDAMENTO")))</f>
        <v/>
      </c>
      <c r="AA29" s="2">
        <f>IF(OR(R29="",S29="",U29&lt;&gt;"SIM",V29=0),"",IF(W29+X29=0,"",T29&amp;": "&amp;IF(W29=V29,"concluído",IF(W29=0,"em execução"&amp;IF(Z29&lt;&gt;""," ("&amp;IF(Z29=-1,"subsolo",IF(Z29=0,"térreo",Z29&amp;"º pav."))&amp;")",""),IF(Y29&lt;&gt;"","até "&amp;IF(Y29=-1,"subsolo",IF(Y29=0,"térreo",Y29&amp;"º pav.")),W29&amp;" de "&amp;V29&amp;" concluídas")&amp;IF(Z29="","",IF(OR(Y29="",Z29&gt;Y29),", executando "&amp;IF(Z29=-1,"subsolo",IF(Z29=0,"térreo",Z29&amp;"º pav."))," (restam serviços no "&amp;IF(Z29=-1,"subsolo",IF(Z29=0,"térreo",Z29&amp;"º pav."))&amp;")"))))))</f>
        <v/>
      </c>
    </row>
    <row r="30">
      <c r="B30" s="4" t="n">
        <v>13543847</v>
      </c>
      <c r="C30" s="4" t="inlineStr">
        <is>
          <t>FUNDAÇÃO PROFUNDA</t>
        </is>
      </c>
      <c r="D30" s="4" t="inlineStr">
        <is>
          <t>P25A e P4 A</t>
        </is>
      </c>
      <c r="E30" s="4" t="inlineStr">
        <is>
          <t>SERVIÇOS INICIAIS</t>
        </is>
      </c>
      <c r="F30" s="118" t="n">
        <v>45931</v>
      </c>
      <c r="G30" s="118" t="n">
        <v>45931</v>
      </c>
      <c r="H30" s="118" t="n">
        <v>46289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IF(E30="","",IF(LEFT(E30,7)="SUBSOLO",-1,IF(LEFT(E30,6)="TÉRREO",0,IFERROR(VALUE(LEFT(E30,FIND("º",SUBSTITUTE(E30,"°","º"))-1)),""))))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Estrutura Térreo - Fase 4</t>
        </is>
      </c>
      <c r="S30" s="4" t="inlineStr">
        <is>
          <t>17</t>
        </is>
      </c>
      <c r="T30" s="4" t="inlineStr">
        <is>
          <t>Estrutura térreo - fase 4</t>
        </is>
      </c>
      <c r="U30" s="4" t="inlineStr">
        <is>
          <t>NÃO</t>
        </is>
      </c>
      <c r="V30" s="2">
        <f>IF(R30="","",COUNTIF($C$5:$C$3004,R30))</f>
        <v/>
      </c>
      <c r="W30" s="2">
        <f>IF(R30="","",COUNTIFS($C$5:$C$3004,R30,$O$5:$O$3004,"CONCLUÍDA"))</f>
        <v/>
      </c>
      <c r="X30" s="2">
        <f>IF(R30="","",COUNTIFS($C$5:$C$3004,R30,$O$5:$O$3004,"EM ANDAMENTO"))</f>
        <v/>
      </c>
      <c r="Y30" s="2">
        <f>IF(R30="","",IF(COUNTIFS($C$5:$C$3004,R30,$O$5:$O$3004,"CONCLUÍDA",$N$5:$N$3004,"&gt;=-1")=0,"",_xlfn.MAXIFS($N$5:$N$3004,$C$5:$C$3004,R30,$O$5:$O$3004,"CONCLUÍDA")))</f>
        <v/>
      </c>
      <c r="Z30" s="2">
        <f>IF(R30="","",IF(COUNTIFS($C$5:$C$3004,R30,$O$5:$O$3004,"EM ANDAMENTO",$N$5:$N$3004,"&gt;=-1")=0,"",_xlfn.MAXIFS($N$5:$N$3004,$C$5:$C$3004,R30,$O$5:$O$3004,"EM ANDAMENTO")))</f>
        <v/>
      </c>
      <c r="AA30" s="2">
        <f>IF(OR(R30="",S30="",U30&lt;&gt;"SIM",V30=0),"",IF(W30+X30=0,"",T30&amp;": "&amp;IF(W30=V30,"concluído",IF(W30=0,"em execução"&amp;IF(Z30&lt;&gt;""," ("&amp;IF(Z30=-1,"subsolo",IF(Z30=0,"térreo",Z30&amp;"º pav."))&amp;")",""),IF(Y30&lt;&gt;"","até "&amp;IF(Y30=-1,"subsolo",IF(Y30=0,"térreo",Y30&amp;"º pav.")),W30&amp;" de "&amp;V30&amp;" concluídas")&amp;IF(Z30="","",IF(OR(Y30="",Z30&gt;Y30),", executando "&amp;IF(Z30=-1,"subsolo",IF(Z30=0,"térreo",Z30&amp;"º pav."))," (restam serviços no "&amp;IF(Z30=-1,"subsolo",IF(Z30=0,"térreo",Z30&amp;"º pav."))&amp;")"))))))</f>
        <v/>
      </c>
    </row>
    <row r="31">
      <c r="B31" s="4" t="n">
        <v>13543848</v>
      </c>
      <c r="C31" s="4" t="inlineStr">
        <is>
          <t>FUNDAÇÃO PROFUNDA</t>
        </is>
      </c>
      <c r="D31" s="4" t="inlineStr">
        <is>
          <t>P102 e P105</t>
        </is>
      </c>
      <c r="E31" s="4" t="inlineStr">
        <is>
          <t>SERVIÇOS INICIAIS</t>
        </is>
      </c>
      <c r="F31" s="118" t="n">
        <v>45932</v>
      </c>
      <c r="G31" s="118" t="n">
        <v>45932</v>
      </c>
      <c r="H31" s="118" t="n">
        <v>46289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IF(E31="","",IF(LEFT(E31,7)="SUBSOLO",-1,IF(LEFT(E31,6)="TÉRREO",0,IFERROR(VALUE(LEFT(E31,FIND("º",SUBSTITUTE(E31,"°","º"))-1)),""))))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Estrutura Mezanino</t>
        </is>
      </c>
      <c r="S31" s="4" t="inlineStr">
        <is>
          <t>17</t>
        </is>
      </c>
      <c r="T31" s="4" t="inlineStr">
        <is>
          <t>Estrutura mezanino</t>
        </is>
      </c>
      <c r="U31" s="4" t="inlineStr">
        <is>
          <t>NÃO</t>
        </is>
      </c>
      <c r="V31" s="2">
        <f>IF(R31="","",COUNTIF($C$5:$C$3004,R31))</f>
        <v/>
      </c>
      <c r="W31" s="2">
        <f>IF(R31="","",COUNTIFS($C$5:$C$3004,R31,$O$5:$O$3004,"CONCLUÍDA"))</f>
        <v/>
      </c>
      <c r="X31" s="2">
        <f>IF(R31="","",COUNTIFS($C$5:$C$3004,R31,$O$5:$O$3004,"EM ANDAMENTO"))</f>
        <v/>
      </c>
      <c r="Y31" s="2">
        <f>IF(R31="","",IF(COUNTIFS($C$5:$C$3004,R31,$O$5:$O$3004,"CONCLUÍDA",$N$5:$N$3004,"&gt;=-1")=0,"",_xlfn.MAXIFS($N$5:$N$3004,$C$5:$C$3004,R31,$O$5:$O$3004,"CONCLUÍDA")))</f>
        <v/>
      </c>
      <c r="Z31" s="2">
        <f>IF(R31="","",IF(COUNTIFS($C$5:$C$3004,R31,$O$5:$O$3004,"EM ANDAMENTO",$N$5:$N$3004,"&gt;=-1")=0,"",_xlfn.MAXIFS($N$5:$N$3004,$C$5:$C$3004,R31,$O$5:$O$3004,"EM ANDAMENTO")))</f>
        <v/>
      </c>
      <c r="AA31" s="2">
        <f>IF(OR(R31="",S31="",U31&lt;&gt;"SIM",V31=0),"",IF(W31+X31=0,"",T31&amp;": "&amp;IF(W31=V31,"concluído",IF(W31=0,"em execução"&amp;IF(Z31&lt;&gt;""," ("&amp;IF(Z31=-1,"subsolo",IF(Z31=0,"térreo",Z31&amp;"º pav."))&amp;")",""),IF(Y31&lt;&gt;"","até "&amp;IF(Y31=-1,"subsolo",IF(Y31=0,"térreo",Y31&amp;"º pav.")),W31&amp;" de "&amp;V31&amp;" concluídas")&amp;IF(Z31="","",IF(OR(Y31="",Z31&gt;Y31),", executando "&amp;IF(Z31=-1,"subsolo",IF(Z31=0,"térreo",Z31&amp;"º pav."))," (restam serviços no "&amp;IF(Z31=-1,"subsolo",IF(Z31=0,"térreo",Z31&amp;"º pav."))&amp;")"))))))</f>
        <v/>
      </c>
    </row>
    <row r="32">
      <c r="B32" s="4" t="n">
        <v>13543849</v>
      </c>
      <c r="C32" s="4" t="inlineStr">
        <is>
          <t>FUNDAÇÃO PROFUNDA</t>
        </is>
      </c>
      <c r="D32" s="4" t="inlineStr">
        <is>
          <t>P106 e P127</t>
        </is>
      </c>
      <c r="E32" s="4" t="inlineStr">
        <is>
          <t>SERVIÇOS INICIAIS</t>
        </is>
      </c>
      <c r="F32" s="118" t="n">
        <v>45933</v>
      </c>
      <c r="G32" s="118" t="n">
        <v>45933</v>
      </c>
      <c r="H32" s="118" t="n">
        <v>46289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IF(E32="","",IF(LEFT(E32,7)="SUBSOLO",-1,IF(LEFT(E32,6)="TÉRREO",0,IFERROR(VALUE(LEFT(E32,FIND("º",SUBSTITUTE(E32,"°","º"))-1)),""))))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Estrutura 2º Pav - Fase 1</t>
        </is>
      </c>
      <c r="S32" s="4" t="inlineStr">
        <is>
          <t>17</t>
        </is>
      </c>
      <c r="T32" s="4" t="inlineStr">
        <is>
          <t>Estrutura 2º pav - fase 1</t>
        </is>
      </c>
      <c r="U32" s="4" t="inlineStr">
        <is>
          <t>NÃO</t>
        </is>
      </c>
      <c r="V32" s="2">
        <f>IF(R32="","",COUNTIF($C$5:$C$3004,R32))</f>
        <v/>
      </c>
      <c r="W32" s="2">
        <f>IF(R32="","",COUNTIFS($C$5:$C$3004,R32,$O$5:$O$3004,"CONCLUÍDA"))</f>
        <v/>
      </c>
      <c r="X32" s="2">
        <f>IF(R32="","",COUNTIFS($C$5:$C$3004,R32,$O$5:$O$3004,"EM ANDAMENTO"))</f>
        <v/>
      </c>
      <c r="Y32" s="2">
        <f>IF(R32="","",IF(COUNTIFS($C$5:$C$3004,R32,$O$5:$O$3004,"CONCLUÍDA",$N$5:$N$3004,"&gt;=-1")=0,"",_xlfn.MAXIFS($N$5:$N$3004,$C$5:$C$3004,R32,$O$5:$O$3004,"CONCLUÍDA")))</f>
        <v/>
      </c>
      <c r="Z32" s="2">
        <f>IF(R32="","",IF(COUNTIFS($C$5:$C$3004,R32,$O$5:$O$3004,"EM ANDAMENTO",$N$5:$N$3004,"&gt;=-1")=0,"",_xlfn.MAXIFS($N$5:$N$3004,$C$5:$C$3004,R32,$O$5:$O$3004,"EM ANDAMENTO")))</f>
        <v/>
      </c>
      <c r="AA32" s="2">
        <f>IF(OR(R32="",S32="",U32&lt;&gt;"SIM",V32=0),"",IF(W32+X32=0,"",T32&amp;": "&amp;IF(W32=V32,"concluído",IF(W32=0,"em execução"&amp;IF(Z32&lt;&gt;""," ("&amp;IF(Z32=-1,"subsolo",IF(Z32=0,"térreo",Z32&amp;"º pav."))&amp;")",""),IF(Y32&lt;&gt;"","até "&amp;IF(Y32=-1,"subsolo",IF(Y32=0,"térreo",Y32&amp;"º pav.")),W32&amp;" de "&amp;V32&amp;" concluídas")&amp;IF(Z32="","",IF(OR(Y32="",Z32&gt;Y32),", executando "&amp;IF(Z32=-1,"subsolo",IF(Z32=0,"térreo",Z32&amp;"º pav."))," (restam serviços no "&amp;IF(Z32=-1,"subsolo",IF(Z32=0,"térreo",Z32&amp;"º pav."))&amp;")"))))))</f>
        <v/>
      </c>
    </row>
    <row r="33">
      <c r="B33" s="4" t="n">
        <v>13543850</v>
      </c>
      <c r="C33" s="4" t="inlineStr">
        <is>
          <t>FUNDAÇÃO PROFUNDA</t>
        </is>
      </c>
      <c r="D33" s="4" t="inlineStr">
        <is>
          <t>P108A e P124</t>
        </is>
      </c>
      <c r="E33" s="4" t="inlineStr">
        <is>
          <t>SERVIÇOS INICIAIS</t>
        </is>
      </c>
      <c r="F33" s="118" t="n">
        <v>45936</v>
      </c>
      <c r="G33" s="118" t="n">
        <v>45936</v>
      </c>
      <c r="H33" s="118" t="n">
        <v>46289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IF(E33="","",IF(LEFT(E33,7)="SUBSOLO",-1,IF(LEFT(E33,6)="TÉRREO",0,IFERROR(VALUE(LEFT(E33,FIND("º",SUBSTITUTE(E33,"°","º"))-1)),""))))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TERRAPLENAGEM (FASE 2)</t>
        </is>
      </c>
      <c r="S33" s="4" t="inlineStr">
        <is>
          <t>14</t>
        </is>
      </c>
      <c r="T33" s="4" t="inlineStr">
        <is>
          <t>Terraplenagem (fase 2)</t>
        </is>
      </c>
      <c r="U33" s="4" t="inlineStr">
        <is>
          <t>SIM</t>
        </is>
      </c>
      <c r="V33" s="2">
        <f>IF(R33="","",COUNTIF($C$5:$C$3004,R33))</f>
        <v/>
      </c>
      <c r="W33" s="2">
        <f>IF(R33="","",COUNTIFS($C$5:$C$3004,R33,$O$5:$O$3004,"CONCLUÍDA"))</f>
        <v/>
      </c>
      <c r="X33" s="2">
        <f>IF(R33="","",COUNTIFS($C$5:$C$3004,R33,$O$5:$O$3004,"EM ANDAMENTO"))</f>
        <v/>
      </c>
      <c r="Y33" s="2">
        <f>IF(R33="","",IF(COUNTIFS($C$5:$C$3004,R33,$O$5:$O$3004,"CONCLUÍDA",$N$5:$N$3004,"&gt;=-1")=0,"",_xlfn.MAXIFS($N$5:$N$3004,$C$5:$C$3004,R33,$O$5:$O$3004,"CONCLUÍDA")))</f>
        <v/>
      </c>
      <c r="Z33" s="2">
        <f>IF(R33="","",IF(COUNTIFS($C$5:$C$3004,R33,$O$5:$O$3004,"EM ANDAMENTO",$N$5:$N$3004,"&gt;=-1")=0,"",_xlfn.MAXIFS($N$5:$N$3004,$C$5:$C$3004,R33,$O$5:$O$3004,"EM ANDAMENTO")))</f>
        <v/>
      </c>
      <c r="AA33" s="2">
        <f>IF(OR(R33="",S33="",U33&lt;&gt;"SIM",V33=0),"",IF(W33+X33=0,"",T33&amp;": "&amp;IF(W33=V33,"concluído",IF(W33=0,"em execução"&amp;IF(Z33&lt;&gt;""," ("&amp;IF(Z33=-1,"subsolo",IF(Z33=0,"térreo",Z33&amp;"º pav."))&amp;")",""),IF(Y33&lt;&gt;"","até "&amp;IF(Y33=-1,"subsolo",IF(Y33=0,"térreo",Y33&amp;"º pav.")),W33&amp;" de "&amp;V33&amp;" concluídas")&amp;IF(Z33="","",IF(OR(Y33="",Z33&gt;Y33),", executando "&amp;IF(Z33=-1,"subsolo",IF(Z33=0,"térreo",Z33&amp;"º pav."))," (restam serviços no "&amp;IF(Z33=-1,"subsolo",IF(Z33=0,"térreo",Z33&amp;"º pav."))&amp;")"))))))</f>
        <v/>
      </c>
    </row>
    <row r="34">
      <c r="B34" s="4" t="n">
        <v>13543851</v>
      </c>
      <c r="C34" s="4" t="inlineStr">
        <is>
          <t>FUNDAÇÃO PROFUNDA</t>
        </is>
      </c>
      <c r="D34" s="4" t="inlineStr">
        <is>
          <t>P137B e P149B</t>
        </is>
      </c>
      <c r="E34" s="4" t="inlineStr">
        <is>
          <t>SERVIÇOS INICIAIS</t>
        </is>
      </c>
      <c r="F34" s="118" t="n">
        <v>45937</v>
      </c>
      <c r="G34" s="118" t="n">
        <v>45937</v>
      </c>
      <c r="H34" s="118" t="n">
        <v>46289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IF(E34="","",IF(LEFT(E34,7)="SUBSOLO",-1,IF(LEFT(E34,6)="TÉRREO",0,IFERROR(VALUE(LEFT(E34,FIND("º",SUBSTITUTE(E34,"°","º"))-1)),""))))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CINTAS FASE 1</t>
        </is>
      </c>
      <c r="S34" s="4" t="inlineStr">
        <is>
          <t>16</t>
        </is>
      </c>
      <c r="T34" s="4" t="inlineStr">
        <is>
          <t>Cintas fase 1</t>
        </is>
      </c>
      <c r="U34" s="4" t="inlineStr">
        <is>
          <t>NÃO</t>
        </is>
      </c>
      <c r="V34" s="2">
        <f>IF(R34="","",COUNTIF($C$5:$C$3004,R34))</f>
        <v/>
      </c>
      <c r="W34" s="2">
        <f>IF(R34="","",COUNTIFS($C$5:$C$3004,R34,$O$5:$O$3004,"CONCLUÍDA"))</f>
        <v/>
      </c>
      <c r="X34" s="2">
        <f>IF(R34="","",COUNTIFS($C$5:$C$3004,R34,$O$5:$O$3004,"EM ANDAMENTO"))</f>
        <v/>
      </c>
      <c r="Y34" s="2">
        <f>IF(R34="","",IF(COUNTIFS($C$5:$C$3004,R34,$O$5:$O$3004,"CONCLUÍDA",$N$5:$N$3004,"&gt;=-1")=0,"",_xlfn.MAXIFS($N$5:$N$3004,$C$5:$C$3004,R34,$O$5:$O$3004,"CONCLUÍDA")))</f>
        <v/>
      </c>
      <c r="Z34" s="2">
        <f>IF(R34="","",IF(COUNTIFS($C$5:$C$3004,R34,$O$5:$O$3004,"EM ANDAMENTO",$N$5:$N$3004,"&gt;=-1")=0,"",_xlfn.MAXIFS($N$5:$N$3004,$C$5:$C$3004,R34,$O$5:$O$3004,"EM ANDAMENTO")))</f>
        <v/>
      </c>
      <c r="AA34" s="2">
        <f>IF(OR(R34="",S34="",U34&lt;&gt;"SIM",V34=0),"",IF(W34+X34=0,"",T34&amp;": "&amp;IF(W34=V34,"concluído",IF(W34=0,"em execução"&amp;IF(Z34&lt;&gt;""," ("&amp;IF(Z34=-1,"subsolo",IF(Z34=0,"térreo",Z34&amp;"º pav."))&amp;")",""),IF(Y34&lt;&gt;"","até "&amp;IF(Y34=-1,"subsolo",IF(Y34=0,"térreo",Y34&amp;"º pav.")),W34&amp;" de "&amp;V34&amp;" concluídas")&amp;IF(Z34="","",IF(OR(Y34="",Z34&gt;Y34),", executando "&amp;IF(Z34=-1,"subsolo",IF(Z34=0,"térreo",Z34&amp;"º pav."))," (restam serviços no "&amp;IF(Z34=-1,"subsolo",IF(Z34=0,"térreo",Z34&amp;"º pav."))&amp;")"))))))</f>
        <v/>
      </c>
    </row>
    <row r="35">
      <c r="B35" s="4" t="n">
        <v>13543852</v>
      </c>
      <c r="C35" s="4" t="inlineStr">
        <is>
          <t>FUNDAÇÃO PROFUNDA</t>
        </is>
      </c>
      <c r="D35" s="4" t="inlineStr">
        <is>
          <t>P108B e P149A</t>
        </is>
      </c>
      <c r="E35" s="4" t="inlineStr">
        <is>
          <t>SERVIÇOS INICIAIS</t>
        </is>
      </c>
      <c r="F35" s="118" t="n">
        <v>45938</v>
      </c>
      <c r="G35" s="118" t="n">
        <v>45938</v>
      </c>
      <c r="H35" s="118" t="n">
        <v>46289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IF(E35="","",IF(LEFT(E35,7)="SUBSOLO",-1,IF(LEFT(E35,6)="TÉRREO",0,IFERROR(VALUE(LEFT(E35,FIND("º",SUBSTITUTE(E35,"°","º"))-1)),""))))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CINTAS FASE 2</t>
        </is>
      </c>
      <c r="S35" s="4" t="inlineStr">
        <is>
          <t>16</t>
        </is>
      </c>
      <c r="T35" s="4" t="inlineStr">
        <is>
          <t>Cintas fase 2</t>
        </is>
      </c>
      <c r="U35" s="4" t="inlineStr">
        <is>
          <t>NÃO</t>
        </is>
      </c>
      <c r="V35" s="2">
        <f>IF(R35="","",COUNTIF($C$5:$C$3004,R35))</f>
        <v/>
      </c>
      <c r="W35" s="2">
        <f>IF(R35="","",COUNTIFS($C$5:$C$3004,R35,$O$5:$O$3004,"CONCLUÍDA"))</f>
        <v/>
      </c>
      <c r="X35" s="2">
        <f>IF(R35="","",COUNTIFS($C$5:$C$3004,R35,$O$5:$O$3004,"EM ANDAMENTO"))</f>
        <v/>
      </c>
      <c r="Y35" s="2">
        <f>IF(R35="","",IF(COUNTIFS($C$5:$C$3004,R35,$O$5:$O$3004,"CONCLUÍDA",$N$5:$N$3004,"&gt;=-1")=0,"",_xlfn.MAXIFS($N$5:$N$3004,$C$5:$C$3004,R35,$O$5:$O$3004,"CONCLUÍDA")))</f>
        <v/>
      </c>
      <c r="Z35" s="2">
        <f>IF(R35="","",IF(COUNTIFS($C$5:$C$3004,R35,$O$5:$O$3004,"EM ANDAMENTO",$N$5:$N$3004,"&gt;=-1")=0,"",_xlfn.MAXIFS($N$5:$N$3004,$C$5:$C$3004,R35,$O$5:$O$3004,"EM ANDAMENTO")))</f>
        <v/>
      </c>
      <c r="AA35" s="2">
        <f>IF(OR(R35="",S35="",U35&lt;&gt;"SIM",V35=0),"",IF(W35+X35=0,"",T35&amp;": "&amp;IF(W35=V35,"concluído",IF(W35=0,"em execução"&amp;IF(Z35&lt;&gt;""," ("&amp;IF(Z35=-1,"subsolo",IF(Z35=0,"térreo",Z35&amp;"º pav."))&amp;")",""),IF(Y35&lt;&gt;"","até "&amp;IF(Y35=-1,"subsolo",IF(Y35=0,"térreo",Y35&amp;"º pav.")),W35&amp;" de "&amp;V35&amp;" concluídas")&amp;IF(Z35="","",IF(OR(Y35="",Z35&gt;Y35),", executando "&amp;IF(Z35=-1,"subsolo",IF(Z35=0,"térreo",Z35&amp;"º pav."))," (restam serviços no "&amp;IF(Z35=-1,"subsolo",IF(Z35=0,"térreo",Z35&amp;"º pav."))&amp;")"))))))</f>
        <v/>
      </c>
    </row>
    <row r="36">
      <c r="B36" s="4" t="n">
        <v>13543853</v>
      </c>
      <c r="C36" s="4" t="inlineStr">
        <is>
          <t>FUNDAÇÃO PROFUNDA</t>
        </is>
      </c>
      <c r="D36" s="4" t="inlineStr">
        <is>
          <t>P103 e P137A</t>
        </is>
      </c>
      <c r="E36" s="4" t="inlineStr">
        <is>
          <t>SERVIÇOS INICIAIS</t>
        </is>
      </c>
      <c r="F36" s="118" t="n">
        <v>45939</v>
      </c>
      <c r="G36" s="118" t="n">
        <v>45939</v>
      </c>
      <c r="H36" s="118" t="n">
        <v>46289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IF(E36="","",IF(LEFT(E36,7)="SUBSOLO",-1,IF(LEFT(E36,6)="TÉRREO",0,IFERROR(VALUE(LEFT(E36,FIND("º",SUBSTITUTE(E36,"°","º"))-1)),""))))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FECHAMENTO DE CORTINA - CONTENÇÕES</t>
        </is>
      </c>
      <c r="S36" s="4" t="inlineStr">
        <is>
          <t>13</t>
        </is>
      </c>
      <c r="T36" s="4" t="inlineStr">
        <is>
          <t>Fechamento de cortina - contenções</t>
        </is>
      </c>
      <c r="U36" s="4" t="inlineStr">
        <is>
          <t>SIM</t>
        </is>
      </c>
      <c r="V36" s="2">
        <f>IF(R36="","",COUNTIF($C$5:$C$3004,R36))</f>
        <v/>
      </c>
      <c r="W36" s="2">
        <f>IF(R36="","",COUNTIFS($C$5:$C$3004,R36,$O$5:$O$3004,"CONCLUÍDA"))</f>
        <v/>
      </c>
      <c r="X36" s="2">
        <f>IF(R36="","",COUNTIFS($C$5:$C$3004,R36,$O$5:$O$3004,"EM ANDAMENTO"))</f>
        <v/>
      </c>
      <c r="Y36" s="2">
        <f>IF(R36="","",IF(COUNTIFS($C$5:$C$3004,R36,$O$5:$O$3004,"CONCLUÍDA",$N$5:$N$3004,"&gt;=-1")=0,"",_xlfn.MAXIFS($N$5:$N$3004,$C$5:$C$3004,R36,$O$5:$O$3004,"CONCLUÍDA")))</f>
        <v/>
      </c>
      <c r="Z36" s="2">
        <f>IF(R36="","",IF(COUNTIFS($C$5:$C$3004,R36,$O$5:$O$3004,"EM ANDAMENTO",$N$5:$N$3004,"&gt;=-1")=0,"",_xlfn.MAXIFS($N$5:$N$3004,$C$5:$C$3004,R36,$O$5:$O$3004,"EM ANDAMENTO")))</f>
        <v/>
      </c>
      <c r="AA36" s="2">
        <f>IF(OR(R36="",S36="",U36&lt;&gt;"SIM",V36=0),"",IF(W36+X36=0,"",T36&amp;": "&amp;IF(W36=V36,"concluído",IF(W36=0,"em execução"&amp;IF(Z36&lt;&gt;""," ("&amp;IF(Z36=-1,"subsolo",IF(Z36=0,"térreo",Z36&amp;"º pav."))&amp;")",""),IF(Y36&lt;&gt;"","até "&amp;IF(Y36=-1,"subsolo",IF(Y36=0,"térreo",Y36&amp;"º pav.")),W36&amp;" de "&amp;V36&amp;" concluídas")&amp;IF(Z36="","",IF(OR(Y36="",Z36&gt;Y36),", executando "&amp;IF(Z36=-1,"subsolo",IF(Z36=0,"térreo",Z36&amp;"º pav."))," (restam serviços no "&amp;IF(Z36=-1,"subsolo",IF(Z36=0,"térreo",Z36&amp;"º pav."))&amp;")"))))))</f>
        <v/>
      </c>
    </row>
    <row r="37">
      <c r="B37" s="4" t="n">
        <v>13543854</v>
      </c>
      <c r="C37" s="4" t="inlineStr">
        <is>
          <t>FUNDAÇÃO PROFUNDA</t>
        </is>
      </c>
      <c r="D37" s="4" t="inlineStr">
        <is>
          <t>P107A e P25B</t>
        </is>
      </c>
      <c r="E37" s="4" t="inlineStr">
        <is>
          <t>SERVIÇOS INICIAIS</t>
        </is>
      </c>
      <c r="F37" s="118" t="n">
        <v>45940</v>
      </c>
      <c r="G37" s="118" t="n">
        <v>45940</v>
      </c>
      <c r="H37" s="118" t="n">
        <v>46289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IF(E37="","",IF(LEFT(E37,7)="SUBSOLO",-1,IF(LEFT(E37,6)="TÉRREO",0,IFERROR(VALUE(LEFT(E37,FIND("º",SUBSTITUTE(E37,"°","º"))-1)),""))))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CINTAS FASE 3</t>
        </is>
      </c>
      <c r="S37" s="4" t="inlineStr">
        <is>
          <t>16</t>
        </is>
      </c>
      <c r="T37" s="4" t="inlineStr">
        <is>
          <t>Cintas fase 3</t>
        </is>
      </c>
      <c r="U37" s="4" t="inlineStr">
        <is>
          <t>NÃO</t>
        </is>
      </c>
      <c r="V37" s="2">
        <f>IF(R37="","",COUNTIF($C$5:$C$3004,R37))</f>
        <v/>
      </c>
      <c r="W37" s="2">
        <f>IF(R37="","",COUNTIFS($C$5:$C$3004,R37,$O$5:$O$3004,"CONCLUÍDA"))</f>
        <v/>
      </c>
      <c r="X37" s="2">
        <f>IF(R37="","",COUNTIFS($C$5:$C$3004,R37,$O$5:$O$3004,"EM ANDAMENTO"))</f>
        <v/>
      </c>
      <c r="Y37" s="2">
        <f>IF(R37="","",IF(COUNTIFS($C$5:$C$3004,R37,$O$5:$O$3004,"CONCLUÍDA",$N$5:$N$3004,"&gt;=-1")=0,"",_xlfn.MAXIFS($N$5:$N$3004,$C$5:$C$3004,R37,$O$5:$O$3004,"CONCLUÍDA")))</f>
        <v/>
      </c>
      <c r="Z37" s="2">
        <f>IF(R37="","",IF(COUNTIFS($C$5:$C$3004,R37,$O$5:$O$3004,"EM ANDAMENTO",$N$5:$N$3004,"&gt;=-1")=0,"",_xlfn.MAXIFS($N$5:$N$3004,$C$5:$C$3004,R37,$O$5:$O$3004,"EM ANDAMENTO")))</f>
        <v/>
      </c>
      <c r="AA37" s="2">
        <f>IF(OR(R37="",S37="",U37&lt;&gt;"SIM",V37=0),"",IF(W37+X37=0,"",T37&amp;": "&amp;IF(W37=V37,"concluído",IF(W37=0,"em execução"&amp;IF(Z37&lt;&gt;""," ("&amp;IF(Z37=-1,"subsolo",IF(Z37=0,"térreo",Z37&amp;"º pav."))&amp;")",""),IF(Y37&lt;&gt;"","até "&amp;IF(Y37=-1,"subsolo",IF(Y37=0,"térreo",Y37&amp;"º pav.")),W37&amp;" de "&amp;V37&amp;" concluídas")&amp;IF(Z37="","",IF(OR(Y37="",Z37&gt;Y37),", executando "&amp;IF(Z37=-1,"subsolo",IF(Z37=0,"térreo",Z37&amp;"º pav."))," (restam serviços no "&amp;IF(Z37=-1,"subsolo",IF(Z37=0,"térreo",Z37&amp;"º pav."))&amp;")"))))))</f>
        <v/>
      </c>
    </row>
    <row r="38">
      <c r="B38" s="4" t="n">
        <v>13543855</v>
      </c>
      <c r="C38" s="4" t="inlineStr">
        <is>
          <t>FUNDAÇÃO PROFUNDA</t>
        </is>
      </c>
      <c r="D38" s="4" t="inlineStr">
        <is>
          <t>P107B e P137C</t>
        </is>
      </c>
      <c r="E38" s="4" t="inlineStr">
        <is>
          <t>SERVIÇOS INICIAIS</t>
        </is>
      </c>
      <c r="F38" s="118" t="n">
        <v>45943</v>
      </c>
      <c r="G38" s="118" t="n">
        <v>45943</v>
      </c>
      <c r="H38" s="118" t="n">
        <v>46289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IF(E38="","",IF(LEFT(E38,7)="SUBSOLO",-1,IF(LEFT(E38,6)="TÉRREO",0,IFERROR(VALUE(LEFT(E38,FIND("º",SUBSTITUTE(E38,"°","º"))-1)),""))))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CINTAS FASE 4</t>
        </is>
      </c>
      <c r="S38" s="4" t="inlineStr">
        <is>
          <t>16</t>
        </is>
      </c>
      <c r="T38" s="4" t="inlineStr">
        <is>
          <t>Cintas fase 4</t>
        </is>
      </c>
      <c r="U38" s="4" t="inlineStr">
        <is>
          <t>NÃO</t>
        </is>
      </c>
      <c r="V38" s="2">
        <f>IF(R38="","",COUNTIF($C$5:$C$3004,R38))</f>
        <v/>
      </c>
      <c r="W38" s="2">
        <f>IF(R38="","",COUNTIFS($C$5:$C$3004,R38,$O$5:$O$3004,"CONCLUÍDA"))</f>
        <v/>
      </c>
      <c r="X38" s="2">
        <f>IF(R38="","",COUNTIFS($C$5:$C$3004,R38,$O$5:$O$3004,"EM ANDAMENTO"))</f>
        <v/>
      </c>
      <c r="Y38" s="2">
        <f>IF(R38="","",IF(COUNTIFS($C$5:$C$3004,R38,$O$5:$O$3004,"CONCLUÍDA",$N$5:$N$3004,"&gt;=-1")=0,"",_xlfn.MAXIFS($N$5:$N$3004,$C$5:$C$3004,R38,$O$5:$O$3004,"CONCLUÍDA")))</f>
        <v/>
      </c>
      <c r="Z38" s="2">
        <f>IF(R38="","",IF(COUNTIFS($C$5:$C$3004,R38,$O$5:$O$3004,"EM ANDAMENTO",$N$5:$N$3004,"&gt;=-1")=0,"",_xlfn.MAXIFS($N$5:$N$3004,$C$5:$C$3004,R38,$O$5:$O$3004,"EM ANDAMENTO")))</f>
        <v/>
      </c>
      <c r="AA38" s="2">
        <f>IF(OR(R38="",S38="",U38&lt;&gt;"SIM",V38=0),"",IF(W38+X38=0,"",T38&amp;": "&amp;IF(W38=V38,"concluído",IF(W38=0,"em execução"&amp;IF(Z38&lt;&gt;""," ("&amp;IF(Z38=-1,"subsolo",IF(Z38=0,"térreo",Z38&amp;"º pav."))&amp;")",""),IF(Y38&lt;&gt;"","até "&amp;IF(Y38=-1,"subsolo",IF(Y38=0,"térreo",Y38&amp;"º pav.")),W38&amp;" de "&amp;V38&amp;" concluídas")&amp;IF(Z38="","",IF(OR(Y38="",Z38&gt;Y38),", executando "&amp;IF(Z38=-1,"subsolo",IF(Z38=0,"térreo",Z38&amp;"º pav."))," (restam serviços no "&amp;IF(Z38=-1,"subsolo",IF(Z38=0,"térreo",Z38&amp;"º pav."))&amp;")"))))))</f>
        <v/>
      </c>
    </row>
    <row r="39">
      <c r="B39" s="4" t="n">
        <v>13543856</v>
      </c>
      <c r="C39" s="4" t="inlineStr">
        <is>
          <t>FUNDAÇÃO PROFUNDA</t>
        </is>
      </c>
      <c r="D39" s="4" t="inlineStr">
        <is>
          <t>P154 e P153</t>
        </is>
      </c>
      <c r="E39" s="4" t="inlineStr">
        <is>
          <t>SERVIÇOS INICIAIS</t>
        </is>
      </c>
      <c r="F39" s="118" t="n">
        <v>45944</v>
      </c>
      <c r="G39" s="118" t="n">
        <v>45944</v>
      </c>
      <c r="H39" s="118" t="n">
        <v>46289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IF(E39="","",IF(LEFT(E39,7)="SUBSOLO",-1,IF(LEFT(E39,6)="TÉRREO",0,IFERROR(VALUE(LEFT(E39,FIND("º",SUBSTITUTE(E39,"°","º"))-1)),""))))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TRATAMENTO DE CONCRETO - TETO</t>
        </is>
      </c>
      <c r="S39" s="4" t="inlineStr">
        <is>
          <t>35</t>
        </is>
      </c>
      <c r="T39" s="4" t="inlineStr">
        <is>
          <t>Tratamento de concreto - teto</t>
        </is>
      </c>
      <c r="U39" s="4" t="inlineStr">
        <is>
          <t>NÃO</t>
        </is>
      </c>
      <c r="V39" s="2">
        <f>IF(R39="","",COUNTIF($C$5:$C$3004,R39))</f>
        <v/>
      </c>
      <c r="W39" s="2">
        <f>IF(R39="","",COUNTIFS($C$5:$C$3004,R39,$O$5:$O$3004,"CONCLUÍDA"))</f>
        <v/>
      </c>
      <c r="X39" s="2">
        <f>IF(R39="","",COUNTIFS($C$5:$C$3004,R39,$O$5:$O$3004,"EM ANDAMENTO"))</f>
        <v/>
      </c>
      <c r="Y39" s="2">
        <f>IF(R39="","",IF(COUNTIFS($C$5:$C$3004,R39,$O$5:$O$3004,"CONCLUÍDA",$N$5:$N$3004,"&gt;=-1")=0,"",_xlfn.MAXIFS($N$5:$N$3004,$C$5:$C$3004,R39,$O$5:$O$3004,"CONCLUÍDA")))</f>
        <v/>
      </c>
      <c r="Z39" s="2">
        <f>IF(R39="","",IF(COUNTIFS($C$5:$C$3004,R39,$O$5:$O$3004,"EM ANDAMENTO",$N$5:$N$3004,"&gt;=-1")=0,"",_xlfn.MAXIFS($N$5:$N$3004,$C$5:$C$3004,R39,$O$5:$O$3004,"EM ANDAMENTO")))</f>
        <v/>
      </c>
      <c r="AA39" s="2">
        <f>IF(OR(R39="",S39="",U39&lt;&gt;"SIM",V39=0),"",IF(W39+X39=0,"",T39&amp;": "&amp;IF(W39=V39,"concluído",IF(W39=0,"em execução"&amp;IF(Z39&lt;&gt;""," ("&amp;IF(Z39=-1,"subsolo",IF(Z39=0,"térreo",Z39&amp;"º pav."))&amp;")",""),IF(Y39&lt;&gt;"","até "&amp;IF(Y39=-1,"subsolo",IF(Y39=0,"térreo",Y39&amp;"º pav.")),W39&amp;" de "&amp;V39&amp;" concluídas")&amp;IF(Z39="","",IF(OR(Y39="",Z39&gt;Y39),", executando "&amp;IF(Z39=-1,"subsolo",IF(Z39=0,"térreo",Z39&amp;"º pav."))," (restam serviços no "&amp;IF(Z39=-1,"subsolo",IF(Z39=0,"térreo",Z39&amp;"º pav."))&amp;")"))))))</f>
        <v/>
      </c>
    </row>
    <row r="40">
      <c r="B40" s="4" t="n">
        <v>13543857</v>
      </c>
      <c r="C40" s="4" t="inlineStr">
        <is>
          <t>FUNDAÇÃO PROFUNDA</t>
        </is>
      </c>
      <c r="D40" s="4" t="inlineStr">
        <is>
          <t>P156 e P152</t>
        </is>
      </c>
      <c r="E40" s="4" t="inlineStr">
        <is>
          <t>SERVIÇOS INICIAIS</t>
        </is>
      </c>
      <c r="F40" s="118" t="n">
        <v>45945</v>
      </c>
      <c r="G40" s="118" t="n">
        <v>45945</v>
      </c>
      <c r="H40" s="118" t="n">
        <v>46289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IF(E40="","",IF(LEFT(E40,7)="SUBSOLO",-1,IF(LEFT(E40,6)="TÉRREO",0,IFERROR(VALUE(LEFT(E40,FIND("º",SUBSTITUTE(E40,"°","º"))-1)),""))))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TRATAMENTO DE CONTENÇÕES</t>
        </is>
      </c>
      <c r="S40" s="4" t="inlineStr">
        <is>
          <t>13</t>
        </is>
      </c>
      <c r="T40" s="4" t="inlineStr">
        <is>
          <t>Tratamento de contenções</t>
        </is>
      </c>
      <c r="U40" s="4" t="inlineStr">
        <is>
          <t>SIM</t>
        </is>
      </c>
      <c r="V40" s="2">
        <f>IF(R40="","",COUNTIF($C$5:$C$3004,R40))</f>
        <v/>
      </c>
      <c r="W40" s="2">
        <f>IF(R40="","",COUNTIFS($C$5:$C$3004,R40,$O$5:$O$3004,"CONCLUÍDA"))</f>
        <v/>
      </c>
      <c r="X40" s="2">
        <f>IF(R40="","",COUNTIFS($C$5:$C$3004,R40,$O$5:$O$3004,"EM ANDAMENTO"))</f>
        <v/>
      </c>
      <c r="Y40" s="2">
        <f>IF(R40="","",IF(COUNTIFS($C$5:$C$3004,R40,$O$5:$O$3004,"CONCLUÍDA",$N$5:$N$3004,"&gt;=-1")=0,"",_xlfn.MAXIFS($N$5:$N$3004,$C$5:$C$3004,R40,$O$5:$O$3004,"CONCLUÍDA")))</f>
        <v/>
      </c>
      <c r="Z40" s="2">
        <f>IF(R40="","",IF(COUNTIFS($C$5:$C$3004,R40,$O$5:$O$3004,"EM ANDAMENTO",$N$5:$N$3004,"&gt;=-1")=0,"",_xlfn.MAXIFS($N$5:$N$3004,$C$5:$C$3004,R40,$O$5:$O$3004,"EM ANDAMENTO")))</f>
        <v/>
      </c>
      <c r="AA40" s="2">
        <f>IF(OR(R40="",S40="",U40&lt;&gt;"SIM",V40=0),"",IF(W40+X40=0,"",T40&amp;": "&amp;IF(W40=V40,"concluído",IF(W40=0,"em execução"&amp;IF(Z40&lt;&gt;""," ("&amp;IF(Z40=-1,"subsolo",IF(Z40=0,"térreo",Z40&amp;"º pav."))&amp;")",""),IF(Y40&lt;&gt;"","até "&amp;IF(Y40=-1,"subsolo",IF(Y40=0,"térreo",Y40&amp;"º pav.")),W40&amp;" de "&amp;V40&amp;" concluídas")&amp;IF(Z40="","",IF(OR(Y40="",Z40&gt;Y40),", executando "&amp;IF(Z40=-1,"subsolo",IF(Z40=0,"térreo",Z40&amp;"º pav."))," (restam serviços no "&amp;IF(Z40=-1,"subsolo",IF(Z40=0,"térreo",Z40&amp;"º pav."))&amp;")"))))))</f>
        <v/>
      </c>
    </row>
    <row r="41">
      <c r="B41" s="4" t="n">
        <v>13543858</v>
      </c>
      <c r="C41" s="4" t="inlineStr">
        <is>
          <t>FUNDAÇÃO PROFUNDA</t>
        </is>
      </c>
      <c r="D41" s="4" t="inlineStr">
        <is>
          <t>P142 e P144</t>
        </is>
      </c>
      <c r="E41" s="4" t="inlineStr">
        <is>
          <t>SERVIÇOS INICIAIS</t>
        </is>
      </c>
      <c r="F41" s="118" t="n">
        <v>45946</v>
      </c>
      <c r="G41" s="118" t="n">
        <v>45946</v>
      </c>
      <c r="H41" s="118" t="n">
        <v>46289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IF(E41="","",IF(LEFT(E41,7)="SUBSOLO",-1,IF(LEFT(E41,6)="TÉRREO",0,IFERROR(VALUE(LEFT(E41,FIND("º",SUBSTITUTE(E41,"°","º"))-1)),""))))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DISTRIBUIÇÃO HIDRÁULICA - INFRAS ENTERRADAS</t>
        </is>
      </c>
      <c r="S41" s="4" t="inlineStr">
        <is>
          <t>21</t>
        </is>
      </c>
      <c r="T41" s="4" t="inlineStr">
        <is>
          <t>Distribuição hidráulica - infras enterradas</t>
        </is>
      </c>
      <c r="U41" s="4" t="inlineStr">
        <is>
          <t>NÃO</t>
        </is>
      </c>
      <c r="V41" s="2">
        <f>IF(R41="","",COUNTIF($C$5:$C$3004,R41))</f>
        <v/>
      </c>
      <c r="W41" s="2">
        <f>IF(R41="","",COUNTIFS($C$5:$C$3004,R41,$O$5:$O$3004,"CONCLUÍDA"))</f>
        <v/>
      </c>
      <c r="X41" s="2">
        <f>IF(R41="","",COUNTIFS($C$5:$C$3004,R41,$O$5:$O$3004,"EM ANDAMENTO"))</f>
        <v/>
      </c>
      <c r="Y41" s="2">
        <f>IF(R41="","",IF(COUNTIFS($C$5:$C$3004,R41,$O$5:$O$3004,"CONCLUÍDA",$N$5:$N$3004,"&gt;=-1")=0,"",_xlfn.MAXIFS($N$5:$N$3004,$C$5:$C$3004,R41,$O$5:$O$3004,"CONCLUÍDA")))</f>
        <v/>
      </c>
      <c r="Z41" s="2">
        <f>IF(R41="","",IF(COUNTIFS($C$5:$C$3004,R41,$O$5:$O$3004,"EM ANDAMENTO",$N$5:$N$3004,"&gt;=-1")=0,"",_xlfn.MAXIFS($N$5:$N$3004,$C$5:$C$3004,R41,$O$5:$O$3004,"EM ANDAMENTO")))</f>
        <v/>
      </c>
      <c r="AA41" s="2">
        <f>IF(OR(R41="",S41="",U41&lt;&gt;"SIM",V41=0),"",IF(W41+X41=0,"",T41&amp;": "&amp;IF(W41=V41,"concluído",IF(W41=0,"em execução"&amp;IF(Z41&lt;&gt;""," ("&amp;IF(Z41=-1,"subsolo",IF(Z41=0,"térreo",Z41&amp;"º pav."))&amp;")",""),IF(Y41&lt;&gt;"","até "&amp;IF(Y41=-1,"subsolo",IF(Y41=0,"térreo",Y41&amp;"º pav.")),W41&amp;" de "&amp;V41&amp;" concluídas")&amp;IF(Z41="","",IF(OR(Y41="",Z41&gt;Y41),", executando "&amp;IF(Z41=-1,"subsolo",IF(Z41=0,"térreo",Z41&amp;"º pav."))," (restam serviços no "&amp;IF(Z41=-1,"subsolo",IF(Z41=0,"térreo",Z41&amp;"º pav."))&amp;")"))))))</f>
        <v/>
      </c>
    </row>
    <row r="42">
      <c r="B42" s="4" t="n">
        <v>13543859</v>
      </c>
      <c r="C42" s="4" t="inlineStr">
        <is>
          <t>FUNDAÇÃO PROFUNDA</t>
        </is>
      </c>
      <c r="D42" s="4" t="inlineStr">
        <is>
          <t>P150 e P133B</t>
        </is>
      </c>
      <c r="E42" s="4" t="inlineStr">
        <is>
          <t>SERVIÇOS INICIAIS</t>
        </is>
      </c>
      <c r="F42" s="118" t="n">
        <v>45947</v>
      </c>
      <c r="G42" s="118" t="n">
        <v>45950</v>
      </c>
      <c r="H42" s="118" t="n">
        <v>46289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IF(E42="","",IF(LEFT(E42,7)="SUBSOLO",-1,IF(LEFT(E42,6)="TÉRREO",0,IFERROR(VALUE(LEFT(E42,FIND("º",SUBSTITUTE(E42,"°","º"))-1)),""))))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ENTRADA DE ENERGIA</t>
        </is>
      </c>
      <c r="S42" s="4" t="inlineStr">
        <is>
          <t>20</t>
        </is>
      </c>
      <c r="T42" s="4" t="inlineStr">
        <is>
          <t>Entrada de energia</t>
        </is>
      </c>
      <c r="U42" s="4" t="inlineStr">
        <is>
          <t>NÃO</t>
        </is>
      </c>
      <c r="V42" s="2">
        <f>IF(R42="","",COUNTIF($C$5:$C$3004,R42))</f>
        <v/>
      </c>
      <c r="W42" s="2">
        <f>IF(R42="","",COUNTIFS($C$5:$C$3004,R42,$O$5:$O$3004,"CONCLUÍDA"))</f>
        <v/>
      </c>
      <c r="X42" s="2">
        <f>IF(R42="","",COUNTIFS($C$5:$C$3004,R42,$O$5:$O$3004,"EM ANDAMENTO"))</f>
        <v/>
      </c>
      <c r="Y42" s="2">
        <f>IF(R42="","",IF(COUNTIFS($C$5:$C$3004,R42,$O$5:$O$3004,"CONCLUÍDA",$N$5:$N$3004,"&gt;=-1")=0,"",_xlfn.MAXIFS($N$5:$N$3004,$C$5:$C$3004,R42,$O$5:$O$3004,"CONCLUÍDA")))</f>
        <v/>
      </c>
      <c r="Z42" s="2">
        <f>IF(R42="","",IF(COUNTIFS($C$5:$C$3004,R42,$O$5:$O$3004,"EM ANDAMENTO",$N$5:$N$3004,"&gt;=-1")=0,"",_xlfn.MAXIFS($N$5:$N$3004,$C$5:$C$3004,R42,$O$5:$O$3004,"EM ANDAMENTO")))</f>
        <v/>
      </c>
      <c r="AA42" s="2">
        <f>IF(OR(R42="",S42="",U42&lt;&gt;"SIM",V42=0),"",IF(W42+X42=0,"",T42&amp;": "&amp;IF(W42=V42,"concluído",IF(W42=0,"em execução"&amp;IF(Z42&lt;&gt;""," ("&amp;IF(Z42=-1,"subsolo",IF(Z42=0,"térreo",Z42&amp;"º pav."))&amp;")",""),IF(Y42&lt;&gt;"","até "&amp;IF(Y42=-1,"subsolo",IF(Y42=0,"térreo",Y42&amp;"º pav.")),W42&amp;" de "&amp;V42&amp;" concluídas")&amp;IF(Z42="","",IF(OR(Y42="",Z42&gt;Y42),", executando "&amp;IF(Z42=-1,"subsolo",IF(Z42=0,"térreo",Z42&amp;"º pav."))," (restam serviços no "&amp;IF(Z42=-1,"subsolo",IF(Z42=0,"térreo",Z42&amp;"º pav."))&amp;")"))))))</f>
        <v/>
      </c>
    </row>
    <row r="43">
      <c r="B43" s="4" t="n">
        <v>13543860</v>
      </c>
      <c r="C43" s="4" t="inlineStr">
        <is>
          <t>FUNDAÇÃO PROFUNDA</t>
        </is>
      </c>
      <c r="D43" s="4" t="inlineStr">
        <is>
          <t>P151 e P19E</t>
        </is>
      </c>
      <c r="E43" s="4" t="inlineStr">
        <is>
          <t>SERVIÇOS INICIAIS</t>
        </is>
      </c>
      <c r="F43" s="118" t="n">
        <v>45951</v>
      </c>
      <c r="G43" s="118" t="n">
        <v>45951</v>
      </c>
      <c r="H43" s="118" t="n">
        <v>46289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IF(E43="","",IF(LEFT(E43,7)="SUBSOLO",-1,IF(LEFT(E43,6)="TÉRREO",0,IFERROR(VALUE(LEFT(E43,FIND("º",SUBSTITUTE(E43,"°","º"))-1)),""))))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ESTRUTURA IGREJA</t>
        </is>
      </c>
      <c r="S43" s="4" t="inlineStr">
        <is>
          <t>17</t>
        </is>
      </c>
      <c r="T43" s="4" t="inlineStr">
        <is>
          <t>Estrutura igreja</t>
        </is>
      </c>
      <c r="U43" s="4" t="inlineStr">
        <is>
          <t>NÃO</t>
        </is>
      </c>
      <c r="V43" s="2">
        <f>IF(R43="","",COUNTIF($C$5:$C$3004,R43))</f>
        <v/>
      </c>
      <c r="W43" s="2">
        <f>IF(R43="","",COUNTIFS($C$5:$C$3004,R43,$O$5:$O$3004,"CONCLUÍDA"))</f>
        <v/>
      </c>
      <c r="X43" s="2">
        <f>IF(R43="","",COUNTIFS($C$5:$C$3004,R43,$O$5:$O$3004,"EM ANDAMENTO"))</f>
        <v/>
      </c>
      <c r="Y43" s="2">
        <f>IF(R43="","",IF(COUNTIFS($C$5:$C$3004,R43,$O$5:$O$3004,"CONCLUÍDA",$N$5:$N$3004,"&gt;=-1")=0,"",_xlfn.MAXIFS($N$5:$N$3004,$C$5:$C$3004,R43,$O$5:$O$3004,"CONCLUÍDA")))</f>
        <v/>
      </c>
      <c r="Z43" s="2">
        <f>IF(R43="","",IF(COUNTIFS($C$5:$C$3004,R43,$O$5:$O$3004,"EM ANDAMENTO",$N$5:$N$3004,"&gt;=-1")=0,"",_xlfn.MAXIFS($N$5:$N$3004,$C$5:$C$3004,R43,$O$5:$O$3004,"EM ANDAMENTO")))</f>
        <v/>
      </c>
      <c r="AA43" s="2">
        <f>IF(OR(R43="",S43="",U43&lt;&gt;"SIM",V43=0),"",IF(W43+X43=0,"",T43&amp;": "&amp;IF(W43=V43,"concluído",IF(W43=0,"em execução"&amp;IF(Z43&lt;&gt;""," ("&amp;IF(Z43=-1,"subsolo",IF(Z43=0,"térreo",Z43&amp;"º pav."))&amp;")",""),IF(Y43&lt;&gt;"","até "&amp;IF(Y43=-1,"subsolo",IF(Y43=0,"térreo",Y43&amp;"º pav.")),W43&amp;" de "&amp;V43&amp;" concluídas")&amp;IF(Z43="","",IF(OR(Y43="",Z43&gt;Y43),", executando "&amp;IF(Z43=-1,"subsolo",IF(Z43=0,"térreo",Z43&amp;"º pav."))," (restam serviços no "&amp;IF(Z43=-1,"subsolo",IF(Z43=0,"térreo",Z43&amp;"º pav."))&amp;")"))))))</f>
        <v/>
      </c>
    </row>
    <row r="44">
      <c r="B44" s="4" t="n">
        <v>13543861</v>
      </c>
      <c r="C44" s="4" t="inlineStr">
        <is>
          <t>FUNDAÇÃO PROFUNDA</t>
        </is>
      </c>
      <c r="D44" s="4" t="inlineStr">
        <is>
          <t>P141 e P143</t>
        </is>
      </c>
      <c r="E44" s="4" t="inlineStr">
        <is>
          <t>SERVIÇOS INICIAIS</t>
        </is>
      </c>
      <c r="F44" s="118" t="n">
        <v>45952</v>
      </c>
      <c r="G44" s="118" t="n">
        <v>45952</v>
      </c>
      <c r="H44" s="118" t="n">
        <v>46289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IF(E44="","",IF(LEFT(E44,7)="SUBSOLO",-1,IF(LEFT(E44,6)="TÉRREO",0,IFERROR(VALUE(LEFT(E44,FIND("º",SUBSTITUTE(E44,"°","º"))-1)),""))))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INFRA ELÉTRICA - TETO</t>
        </is>
      </c>
      <c r="S44" s="4" t="inlineStr">
        <is>
          <t>20</t>
        </is>
      </c>
      <c r="T44" s="4" t="inlineStr">
        <is>
          <t>Infra elétrica - teto</t>
        </is>
      </c>
      <c r="U44" s="4" t="inlineStr">
        <is>
          <t>NÃO</t>
        </is>
      </c>
      <c r="V44" s="2">
        <f>IF(R44="","",COUNTIF($C$5:$C$3004,R44))</f>
        <v/>
      </c>
      <c r="W44" s="2">
        <f>IF(R44="","",COUNTIFS($C$5:$C$3004,R44,$O$5:$O$3004,"CONCLUÍDA"))</f>
        <v/>
      </c>
      <c r="X44" s="2">
        <f>IF(R44="","",COUNTIFS($C$5:$C$3004,R44,$O$5:$O$3004,"EM ANDAMENTO"))</f>
        <v/>
      </c>
      <c r="Y44" s="2">
        <f>IF(R44="","",IF(COUNTIFS($C$5:$C$3004,R44,$O$5:$O$3004,"CONCLUÍDA",$N$5:$N$3004,"&gt;=-1")=0,"",_xlfn.MAXIFS($N$5:$N$3004,$C$5:$C$3004,R44,$O$5:$O$3004,"CONCLUÍDA")))</f>
        <v/>
      </c>
      <c r="Z44" s="2">
        <f>IF(R44="","",IF(COUNTIFS($C$5:$C$3004,R44,$O$5:$O$3004,"EM ANDAMENTO",$N$5:$N$3004,"&gt;=-1")=0,"",_xlfn.MAXIFS($N$5:$N$3004,$C$5:$C$3004,R44,$O$5:$O$3004,"EM ANDAMENTO")))</f>
        <v/>
      </c>
      <c r="AA44" s="2">
        <f>IF(OR(R44="",S44="",U44&lt;&gt;"SIM",V44=0),"",IF(W44+X44=0,"",T44&amp;": "&amp;IF(W44=V44,"concluído",IF(W44=0,"em execução"&amp;IF(Z44&lt;&gt;""," ("&amp;IF(Z44=-1,"subsolo",IF(Z44=0,"térreo",Z44&amp;"º pav."))&amp;")",""),IF(Y44&lt;&gt;"","até "&amp;IF(Y44=-1,"subsolo",IF(Y44=0,"térreo",Y44&amp;"º pav.")),W44&amp;" de "&amp;V44&amp;" concluídas")&amp;IF(Z44="","",IF(OR(Y44="",Z44&gt;Y44),", executando "&amp;IF(Z44=-1,"subsolo",IF(Z44=0,"térreo",Z44&amp;"º pav."))," (restam serviços no "&amp;IF(Z44=-1,"subsolo",IF(Z44=0,"térreo",Z44&amp;"º pav."))&amp;")"))))))</f>
        <v/>
      </c>
    </row>
    <row r="45">
      <c r="B45" s="4" t="n">
        <v>13543862</v>
      </c>
      <c r="C45" s="4" t="inlineStr">
        <is>
          <t>FUNDAÇÃO PROFUNDA</t>
        </is>
      </c>
      <c r="D45" s="4" t="inlineStr">
        <is>
          <t>P19D e P133A</t>
        </is>
      </c>
      <c r="E45" s="4" t="inlineStr">
        <is>
          <t>SERVIÇOS INICIAIS</t>
        </is>
      </c>
      <c r="F45" s="118" t="n">
        <v>45953</v>
      </c>
      <c r="G45" s="118" t="n">
        <v>45953</v>
      </c>
      <c r="H45" s="118" t="n">
        <v>46289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IF(E45="","",IF(LEFT(E45,7)="SUBSOLO",-1,IF(LEFT(E45,6)="TÉRREO",0,IFERROR(VALUE(LEFT(E45,FIND("º",SUBSTITUTE(E45,"°","º"))-1)),""))))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ESTRUTURA - PISO ARMADO</t>
        </is>
      </c>
      <c r="S45" s="4" t="inlineStr">
        <is>
          <t>17</t>
        </is>
      </c>
      <c r="T45" s="4" t="inlineStr">
        <is>
          <t>Estrutura - piso armado</t>
        </is>
      </c>
      <c r="U45" s="4" t="inlineStr">
        <is>
          <t>NÃO</t>
        </is>
      </c>
      <c r="V45" s="2">
        <f>IF(R45="","",COUNTIF($C$5:$C$3004,R45))</f>
        <v/>
      </c>
      <c r="W45" s="2">
        <f>IF(R45="","",COUNTIFS($C$5:$C$3004,R45,$O$5:$O$3004,"CONCLUÍDA"))</f>
        <v/>
      </c>
      <c r="X45" s="2">
        <f>IF(R45="","",COUNTIFS($C$5:$C$3004,R45,$O$5:$O$3004,"EM ANDAMENTO"))</f>
        <v/>
      </c>
      <c r="Y45" s="2">
        <f>IF(R45="","",IF(COUNTIFS($C$5:$C$3004,R45,$O$5:$O$3004,"CONCLUÍDA",$N$5:$N$3004,"&gt;=-1")=0,"",_xlfn.MAXIFS($N$5:$N$3004,$C$5:$C$3004,R45,$O$5:$O$3004,"CONCLUÍDA")))</f>
        <v/>
      </c>
      <c r="Z45" s="2">
        <f>IF(R45="","",IF(COUNTIFS($C$5:$C$3004,R45,$O$5:$O$3004,"EM ANDAMENTO",$N$5:$N$3004,"&gt;=-1")=0,"",_xlfn.MAXIFS($N$5:$N$3004,$C$5:$C$3004,R45,$O$5:$O$3004,"EM ANDAMENTO")))</f>
        <v/>
      </c>
      <c r="AA45" s="2">
        <f>IF(OR(R45="",S45="",U45&lt;&gt;"SIM",V45=0),"",IF(W45+X45=0,"",T45&amp;": "&amp;IF(W45=V45,"concluído",IF(W45=0,"em execução"&amp;IF(Z45&lt;&gt;""," ("&amp;IF(Z45=-1,"subsolo",IF(Z45=0,"térreo",Z45&amp;"º pav."))&amp;")",""),IF(Y45&lt;&gt;"","até "&amp;IF(Y45=-1,"subsolo",IF(Y45=0,"térreo",Y45&amp;"º pav.")),W45&amp;" de "&amp;V45&amp;" concluídas")&amp;IF(Z45="","",IF(OR(Y45="",Z45&gt;Y45),", executando "&amp;IF(Z45=-1,"subsolo",IF(Z45=0,"térreo",Z45&amp;"º pav."))," (restam serviços no "&amp;IF(Z45=-1,"subsolo",IF(Z45=0,"térreo",Z45&amp;"º pav."))&amp;")"))))))</f>
        <v/>
      </c>
    </row>
    <row r="46">
      <c r="B46" s="4" t="n">
        <v>13543863</v>
      </c>
      <c r="C46" s="4" t="inlineStr">
        <is>
          <t>FUNDAÇÃO PROFUNDA</t>
        </is>
      </c>
      <c r="D46" s="4" t="inlineStr">
        <is>
          <t>P25C e P134B</t>
        </is>
      </c>
      <c r="E46" s="4" t="inlineStr">
        <is>
          <t>SERVIÇOS INICIAIS</t>
        </is>
      </c>
      <c r="F46" s="118" t="n">
        <v>45954</v>
      </c>
      <c r="G46" s="118" t="n">
        <v>45954</v>
      </c>
      <c r="H46" s="118" t="n">
        <v>46289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IF(E46="","",IF(LEFT(E46,7)="SUBSOLO",-1,IF(LEFT(E46,6)="TÉRREO",0,IFERROR(VALUE(LEFT(E46,FIND("º",SUBSTITUTE(E46,"°","º"))-1)),""))))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FUNDAÇÃO - PROJEÇÃO IGREJA</t>
        </is>
      </c>
      <c r="S46" s="4" t="inlineStr">
        <is>
          <t>16</t>
        </is>
      </c>
      <c r="T46" s="4" t="inlineStr">
        <is>
          <t>Fundação - projeção igreja</t>
        </is>
      </c>
      <c r="U46" s="4" t="inlineStr">
        <is>
          <t>NÃO</t>
        </is>
      </c>
      <c r="V46" s="2">
        <f>IF(R46="","",COUNTIF($C$5:$C$3004,R46))</f>
        <v/>
      </c>
      <c r="W46" s="2">
        <f>IF(R46="","",COUNTIFS($C$5:$C$3004,R46,$O$5:$O$3004,"CONCLUÍDA"))</f>
        <v/>
      </c>
      <c r="X46" s="2">
        <f>IF(R46="","",COUNTIFS($C$5:$C$3004,R46,$O$5:$O$3004,"EM ANDAMENTO"))</f>
        <v/>
      </c>
      <c r="Y46" s="2">
        <f>IF(R46="","",IF(COUNTIFS($C$5:$C$3004,R46,$O$5:$O$3004,"CONCLUÍDA",$N$5:$N$3004,"&gt;=-1")=0,"",_xlfn.MAXIFS($N$5:$N$3004,$C$5:$C$3004,R46,$O$5:$O$3004,"CONCLUÍDA")))</f>
        <v/>
      </c>
      <c r="Z46" s="2">
        <f>IF(R46="","",IF(COUNTIFS($C$5:$C$3004,R46,$O$5:$O$3004,"EM ANDAMENTO",$N$5:$N$3004,"&gt;=-1")=0,"",_xlfn.MAXIFS($N$5:$N$3004,$C$5:$C$3004,R46,$O$5:$O$3004,"EM ANDAMENTO")))</f>
        <v/>
      </c>
      <c r="AA46" s="2">
        <f>IF(OR(R46="",S46="",U46&lt;&gt;"SIM",V46=0),"",IF(W46+X46=0,"",T46&amp;": "&amp;IF(W46=V46,"concluído",IF(W46=0,"em execução"&amp;IF(Z46&lt;&gt;""," ("&amp;IF(Z46=-1,"subsolo",IF(Z46=0,"térreo",Z46&amp;"º pav."))&amp;")",""),IF(Y46&lt;&gt;"","até "&amp;IF(Y46=-1,"subsolo",IF(Y46=0,"térreo",Y46&amp;"º pav.")),W46&amp;" de "&amp;V46&amp;" concluídas")&amp;IF(Z46="","",IF(OR(Y46="",Z46&gt;Y46),", executando "&amp;IF(Z46=-1,"subsolo",IF(Z46=0,"térreo",Z46&amp;"º pav."))," (restam serviços no "&amp;IF(Z46=-1,"subsolo",IF(Z46=0,"térreo",Z46&amp;"º pav."))&amp;")"))))))</f>
        <v/>
      </c>
    </row>
    <row r="47">
      <c r="B47" s="4" t="n">
        <v>13543864</v>
      </c>
      <c r="C47" s="4" t="inlineStr">
        <is>
          <t>FUNDAÇÃO PROFUNDA</t>
        </is>
      </c>
      <c r="D47" s="4" t="inlineStr">
        <is>
          <t>P135 e P19C</t>
        </is>
      </c>
      <c r="E47" s="4" t="inlineStr">
        <is>
          <t>SERVIÇOS INICIAIS</t>
        </is>
      </c>
      <c r="F47" s="118" t="n">
        <v>45957</v>
      </c>
      <c r="G47" s="118" t="n">
        <v>45957</v>
      </c>
      <c r="H47" s="118" t="n">
        <v>46289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IF(E47="","",IF(LEFT(E47,7)="SUBSOLO",-1,IF(LEFT(E47,6)="TÉRREO",0,IFERROR(VALUE(LEFT(E47,FIND("º",SUBSTITUTE(E47,"°","º"))-1)),""))))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ALVENARIA</t>
        </is>
      </c>
      <c r="S47" s="4" t="inlineStr">
        <is>
          <t>18</t>
        </is>
      </c>
      <c r="T47" s="4" t="inlineStr">
        <is>
          <t>Alvenaria</t>
        </is>
      </c>
      <c r="U47" s="4" t="inlineStr">
        <is>
          <t>SIM</t>
        </is>
      </c>
      <c r="V47" s="2">
        <f>IF(R47="","",COUNTIF($C$5:$C$3004,R47))</f>
        <v/>
      </c>
      <c r="W47" s="2">
        <f>IF(R47="","",COUNTIFS($C$5:$C$3004,R47,$O$5:$O$3004,"CONCLUÍDA"))</f>
        <v/>
      </c>
      <c r="X47" s="2">
        <f>IF(R47="","",COUNTIFS($C$5:$C$3004,R47,$O$5:$O$3004,"EM ANDAMENTO"))</f>
        <v/>
      </c>
      <c r="Y47" s="2">
        <f>IF(R47="","",IF(COUNTIFS($C$5:$C$3004,R47,$O$5:$O$3004,"CONCLUÍDA",$N$5:$N$3004,"&gt;=-1")=0,"",_xlfn.MAXIFS($N$5:$N$3004,$C$5:$C$3004,R47,$O$5:$O$3004,"CONCLUÍDA")))</f>
        <v/>
      </c>
      <c r="Z47" s="2">
        <f>IF(R47="","",IF(COUNTIFS($C$5:$C$3004,R47,$O$5:$O$3004,"EM ANDAMENTO",$N$5:$N$3004,"&gt;=-1")=0,"",_xlfn.MAXIFS($N$5:$N$3004,$C$5:$C$3004,R47,$O$5:$O$3004,"EM ANDAMENTO")))</f>
        <v/>
      </c>
      <c r="AA47" s="2">
        <f>IF(OR(R47="",S47="",U47&lt;&gt;"SIM",V47=0),"",IF(W47+X47=0,"",T47&amp;": "&amp;IF(W47=V47,"concluído",IF(W47=0,"em execução"&amp;IF(Z47&lt;&gt;""," ("&amp;IF(Z47=-1,"subsolo",IF(Z47=0,"térreo",Z47&amp;"º pav."))&amp;")",""),IF(Y47&lt;&gt;"","até "&amp;IF(Y47=-1,"subsolo",IF(Y47=0,"térreo",Y47&amp;"º pav.")),W47&amp;" de "&amp;V47&amp;" concluídas")&amp;IF(Z47="","",IF(OR(Y47="",Z47&gt;Y47),", executando "&amp;IF(Z47=-1,"subsolo",IF(Z47=0,"térreo",Z47&amp;"º pav."))," (restam serviços no "&amp;IF(Z47=-1,"subsolo",IF(Z47=0,"térreo",Z47&amp;"º pav."))&amp;")"))))))</f>
        <v/>
      </c>
    </row>
    <row r="48">
      <c r="B48" s="4" t="n">
        <v>13543865</v>
      </c>
      <c r="C48" s="4" t="inlineStr">
        <is>
          <t>FUNDAÇÃO PROFUNDA</t>
        </is>
      </c>
      <c r="D48" s="4" t="inlineStr">
        <is>
          <t>P134D e P14F</t>
        </is>
      </c>
      <c r="E48" s="4" t="inlineStr">
        <is>
          <t>SERVIÇOS INICIAIS</t>
        </is>
      </c>
      <c r="F48" s="118" t="n">
        <v>45958</v>
      </c>
      <c r="G48" s="118" t="n">
        <v>45958</v>
      </c>
      <c r="H48" s="118" t="n">
        <v>46289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IF(E48="","",IF(LEFT(E48,7)="SUBSOLO",-1,IF(LEFT(E48,6)="TÉRREO",0,IFERROR(VALUE(LEFT(E48,FIND("º",SUBSTITUTE(E48,"°","º"))-1)),""))))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BLOCOS E CINTAS - IGREJA</t>
        </is>
      </c>
      <c r="S48" s="4" t="inlineStr">
        <is>
          <t>16</t>
        </is>
      </c>
      <c r="T48" s="4" t="inlineStr">
        <is>
          <t>Blocos e cintas - igreja</t>
        </is>
      </c>
      <c r="U48" s="4" t="inlineStr">
        <is>
          <t>NÃO</t>
        </is>
      </c>
      <c r="V48" s="2">
        <f>IF(R48="","",COUNTIF($C$5:$C$3004,R48))</f>
        <v/>
      </c>
      <c r="W48" s="2">
        <f>IF(R48="","",COUNTIFS($C$5:$C$3004,R48,$O$5:$O$3004,"CONCLUÍDA"))</f>
        <v/>
      </c>
      <c r="X48" s="2">
        <f>IF(R48="","",COUNTIFS($C$5:$C$3004,R48,$O$5:$O$3004,"EM ANDAMENTO"))</f>
        <v/>
      </c>
      <c r="Y48" s="2">
        <f>IF(R48="","",IF(COUNTIFS($C$5:$C$3004,R48,$O$5:$O$3004,"CONCLUÍDA",$N$5:$N$3004,"&gt;=-1")=0,"",_xlfn.MAXIFS($N$5:$N$3004,$C$5:$C$3004,R48,$O$5:$O$3004,"CONCLUÍDA")))</f>
        <v/>
      </c>
      <c r="Z48" s="2">
        <f>IF(R48="","",IF(COUNTIFS($C$5:$C$3004,R48,$O$5:$O$3004,"EM ANDAMENTO",$N$5:$N$3004,"&gt;=-1")=0,"",_xlfn.MAXIFS($N$5:$N$3004,$C$5:$C$3004,R48,$O$5:$O$3004,"EM ANDAMENTO")))</f>
        <v/>
      </c>
      <c r="AA48" s="2">
        <f>IF(OR(R48="",S48="",U48&lt;&gt;"SIM",V48=0),"",IF(W48+X48=0,"",T48&amp;": "&amp;IF(W48=V48,"concluído",IF(W48=0,"em execução"&amp;IF(Z48&lt;&gt;""," ("&amp;IF(Z48=-1,"subsolo",IF(Z48=0,"térreo",Z48&amp;"º pav."))&amp;")",""),IF(Y48&lt;&gt;"","até "&amp;IF(Y48=-1,"subsolo",IF(Y48=0,"térreo",Y48&amp;"º pav.")),W48&amp;" de "&amp;V48&amp;" concluídas")&amp;IF(Z48="","",IF(OR(Y48="",Z48&gt;Y48),", executando "&amp;IF(Z48=-1,"subsolo",IF(Z48=0,"térreo",Z48&amp;"º pav."))," (restam serviços no "&amp;IF(Z48=-1,"subsolo",IF(Z48=0,"térreo",Z48&amp;"º pav."))&amp;")"))))))</f>
        <v/>
      </c>
    </row>
    <row r="49">
      <c r="B49" s="4" t="n">
        <v>13584629</v>
      </c>
      <c r="C49" s="4" t="inlineStr">
        <is>
          <t>FUNDAÇÃO PROFUNDA</t>
        </is>
      </c>
      <c r="D49" s="4" t="inlineStr">
        <is>
          <t>P112 e P134C</t>
        </is>
      </c>
      <c r="E49" s="4" t="inlineStr">
        <is>
          <t>SERVIÇOS INICIAIS</t>
        </is>
      </c>
      <c r="F49" s="118" t="n">
        <v>45959</v>
      </c>
      <c r="G49" s="118" t="n">
        <v>45959</v>
      </c>
      <c r="H49" s="118" t="n">
        <v>46289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IF(E49="","",IF(LEFT(E49,7)="SUBSOLO",-1,IF(LEFT(E49,6)="TÉRREO",0,IFERROR(VALUE(LEFT(E49,FIND("º",SUBSTITUTE(E49,"°","º"))-1)),""))))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PRUMADA DE INCÊNDIO</t>
        </is>
      </c>
      <c r="S49" s="4" t="inlineStr">
        <is>
          <t>22</t>
        </is>
      </c>
      <c r="T49" s="4" t="inlineStr">
        <is>
          <t>Prumada de incêndio</t>
        </is>
      </c>
      <c r="U49" s="4" t="inlineStr">
        <is>
          <t>SIM</t>
        </is>
      </c>
      <c r="V49" s="2">
        <f>IF(R49="","",COUNTIF($C$5:$C$3004,R49))</f>
        <v/>
      </c>
      <c r="W49" s="2">
        <f>IF(R49="","",COUNTIFS($C$5:$C$3004,R49,$O$5:$O$3004,"CONCLUÍDA"))</f>
        <v/>
      </c>
      <c r="X49" s="2">
        <f>IF(R49="","",COUNTIFS($C$5:$C$3004,R49,$O$5:$O$3004,"EM ANDAMENTO"))</f>
        <v/>
      </c>
      <c r="Y49" s="2">
        <f>IF(R49="","",IF(COUNTIFS($C$5:$C$3004,R49,$O$5:$O$3004,"CONCLUÍDA",$N$5:$N$3004,"&gt;=-1")=0,"",_xlfn.MAXIFS($N$5:$N$3004,$C$5:$C$3004,R49,$O$5:$O$3004,"CONCLUÍDA")))</f>
        <v/>
      </c>
      <c r="Z49" s="2">
        <f>IF(R49="","",IF(COUNTIFS($C$5:$C$3004,R49,$O$5:$O$3004,"EM ANDAMENTO",$N$5:$N$3004,"&gt;=-1")=0,"",_xlfn.MAXIFS($N$5:$N$3004,$C$5:$C$3004,R49,$O$5:$O$3004,"EM ANDAMENTO")))</f>
        <v/>
      </c>
      <c r="AA49" s="2">
        <f>IF(OR(R49="",S49="",U49&lt;&gt;"SIM",V49=0),"",IF(W49+X49=0,"",T49&amp;": "&amp;IF(W49=V49,"concluído",IF(W49=0,"em execução"&amp;IF(Z49&lt;&gt;""," ("&amp;IF(Z49=-1,"subsolo",IF(Z49=0,"térreo",Z49&amp;"º pav."))&amp;")",""),IF(Y49&lt;&gt;"","até "&amp;IF(Y49=-1,"subsolo",IF(Y49=0,"térreo",Y49&amp;"º pav.")),W49&amp;" de "&amp;V49&amp;" concluídas")&amp;IF(Z49="","",IF(OR(Y49="",Z49&gt;Y49),", executando "&amp;IF(Z49=-1,"subsolo",IF(Z49=0,"térreo",Z49&amp;"º pav."))," (restam serviços no "&amp;IF(Z49=-1,"subsolo",IF(Z49=0,"térreo",Z49&amp;"º pav."))&amp;")"))))))</f>
        <v/>
      </c>
    </row>
    <row r="50">
      <c r="B50" s="4" t="n">
        <v>13584630</v>
      </c>
      <c r="C50" s="4" t="inlineStr">
        <is>
          <t>FUNDAÇÃO PROFUNDA</t>
        </is>
      </c>
      <c r="D50" s="4" t="inlineStr">
        <is>
          <t>P19B e P134A</t>
        </is>
      </c>
      <c r="E50" s="4" t="inlineStr">
        <is>
          <t>SERVIÇOS INICIAIS</t>
        </is>
      </c>
      <c r="F50" s="118" t="n">
        <v>45960</v>
      </c>
      <c r="G50" s="118" t="n">
        <v>45960</v>
      </c>
      <c r="H50" s="118" t="n">
        <v>46289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IF(E50="","",IF(LEFT(E50,7)="SUBSOLO",-1,IF(LEFT(E50,6)="TÉRREO",0,IFERROR(VALUE(LEFT(E50,FIND("º",SUBSTITUTE(E50,"°","º"))-1)),""))))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PRUMADA HIDROSSANITÁRIA</t>
        </is>
      </c>
      <c r="S50" s="4" t="inlineStr">
        <is>
          <t>21</t>
        </is>
      </c>
      <c r="T50" s="4" t="inlineStr">
        <is>
          <t>Prumada hidrossanitária</t>
        </is>
      </c>
      <c r="U50" s="4" t="inlineStr">
        <is>
          <t>SIM</t>
        </is>
      </c>
      <c r="V50" s="2">
        <f>IF(R50="","",COUNTIF($C$5:$C$3004,R50))</f>
        <v/>
      </c>
      <c r="W50" s="2">
        <f>IF(R50="","",COUNTIFS($C$5:$C$3004,R50,$O$5:$O$3004,"CONCLUÍDA"))</f>
        <v/>
      </c>
      <c r="X50" s="2">
        <f>IF(R50="","",COUNTIFS($C$5:$C$3004,R50,$O$5:$O$3004,"EM ANDAMENTO"))</f>
        <v/>
      </c>
      <c r="Y50" s="2">
        <f>IF(R50="","",IF(COUNTIFS($C$5:$C$3004,R50,$O$5:$O$3004,"CONCLUÍDA",$N$5:$N$3004,"&gt;=-1")=0,"",_xlfn.MAXIFS($N$5:$N$3004,$C$5:$C$3004,R50,$O$5:$O$3004,"CONCLUÍDA")))</f>
        <v/>
      </c>
      <c r="Z50" s="2">
        <f>IF(R50="","",IF(COUNTIFS($C$5:$C$3004,R50,$O$5:$O$3004,"EM ANDAMENTO",$N$5:$N$3004,"&gt;=-1")=0,"",_xlfn.MAXIFS($N$5:$N$3004,$C$5:$C$3004,R50,$O$5:$O$3004,"EM ANDAMENTO")))</f>
        <v/>
      </c>
      <c r="AA50" s="2">
        <f>IF(OR(R50="",S50="",U50&lt;&gt;"SIM",V50=0),"",IF(W50+X50=0,"",T50&amp;": "&amp;IF(W50=V50,"concluído",IF(W50=0,"em execução"&amp;IF(Z50&lt;&gt;""," ("&amp;IF(Z50=-1,"subsolo",IF(Z50=0,"térreo",Z50&amp;"º pav."))&amp;")",""),IF(Y50&lt;&gt;"","até "&amp;IF(Y50=-1,"subsolo",IF(Y50=0,"térreo",Y50&amp;"º pav.")),W50&amp;" de "&amp;V50&amp;" concluídas")&amp;IF(Z50="","",IF(OR(Y50="",Z50&gt;Y50),", executando "&amp;IF(Z50=-1,"subsolo",IF(Z50=0,"térreo",Z50&amp;"º pav."))," (restam serviços no "&amp;IF(Z50=-1,"subsolo",IF(Z50=0,"térreo",Z50&amp;"º pav."))&amp;")"))))))</f>
        <v/>
      </c>
    </row>
    <row r="51">
      <c r="B51" s="4" t="n">
        <v>13584631</v>
      </c>
      <c r="C51" s="4" t="inlineStr">
        <is>
          <t>FUNDAÇÃO PROFUNDA</t>
        </is>
      </c>
      <c r="D51" s="4" t="inlineStr">
        <is>
          <t>P136A e P19A</t>
        </is>
      </c>
      <c r="E51" s="4" t="inlineStr">
        <is>
          <t>SERVIÇOS INICIAIS</t>
        </is>
      </c>
      <c r="F51" s="118" t="n">
        <v>45961</v>
      </c>
      <c r="G51" s="118" t="n">
        <v>45961</v>
      </c>
      <c r="H51" s="118" t="n">
        <v>46289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IF(E51="","",IF(LEFT(E51,7)="SUBSOLO",-1,IF(LEFT(E51,6)="TÉRREO",0,IFERROR(VALUE(LEFT(E51,FIND("º",SUBSTITUTE(E51,"°","º"))-1)),""))))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ENCUNHAMENTO</t>
        </is>
      </c>
      <c r="S51" s="4" t="inlineStr">
        <is>
          <t>18</t>
        </is>
      </c>
      <c r="T51" s="4" t="inlineStr">
        <is>
          <t>Encunhamento</t>
        </is>
      </c>
      <c r="U51" s="4" t="inlineStr">
        <is>
          <t>SIM</t>
        </is>
      </c>
      <c r="V51" s="2">
        <f>IF(R51="","",COUNTIF($C$5:$C$3004,R51))</f>
        <v/>
      </c>
      <c r="W51" s="2">
        <f>IF(R51="","",COUNTIFS($C$5:$C$3004,R51,$O$5:$O$3004,"CONCLUÍDA"))</f>
        <v/>
      </c>
      <c r="X51" s="2">
        <f>IF(R51="","",COUNTIFS($C$5:$C$3004,R51,$O$5:$O$3004,"EM ANDAMENTO"))</f>
        <v/>
      </c>
      <c r="Y51" s="2">
        <f>IF(R51="","",IF(COUNTIFS($C$5:$C$3004,R51,$O$5:$O$3004,"CONCLUÍDA",$N$5:$N$3004,"&gt;=-1")=0,"",_xlfn.MAXIFS($N$5:$N$3004,$C$5:$C$3004,R51,$O$5:$O$3004,"CONCLUÍDA")))</f>
        <v/>
      </c>
      <c r="Z51" s="2">
        <f>IF(R51="","",IF(COUNTIFS($C$5:$C$3004,R51,$O$5:$O$3004,"EM ANDAMENTO",$N$5:$N$3004,"&gt;=-1")=0,"",_xlfn.MAXIFS($N$5:$N$3004,$C$5:$C$3004,R51,$O$5:$O$3004,"EM ANDAMENTO")))</f>
        <v/>
      </c>
      <c r="AA51" s="2">
        <f>IF(OR(R51="",S51="",U51&lt;&gt;"SIM",V51=0),"",IF(W51+X51=0,"",T51&amp;": "&amp;IF(W51=V51,"concluído",IF(W51=0,"em execução"&amp;IF(Z51&lt;&gt;""," ("&amp;IF(Z51=-1,"subsolo",IF(Z51=0,"térreo",Z51&amp;"º pav."))&amp;")",""),IF(Y51&lt;&gt;"","até "&amp;IF(Y51=-1,"subsolo",IF(Y51=0,"térreo",Y51&amp;"º pav.")),W51&amp;" de "&amp;V51&amp;" concluídas")&amp;IF(Z51="","",IF(OR(Y51="",Z51&gt;Y51),", executando "&amp;IF(Z51=-1,"subsolo",IF(Z51=0,"térreo",Z51&amp;"º pav."))," (restam serviços no "&amp;IF(Z51=-1,"subsolo",IF(Z51=0,"térreo",Z51&amp;"º pav."))&amp;")"))))))</f>
        <v/>
      </c>
    </row>
    <row r="52">
      <c r="B52" s="4" t="n">
        <v>13584632</v>
      </c>
      <c r="C52" s="4" t="inlineStr">
        <is>
          <t>FUNDAÇÃO PROFUNDA</t>
        </is>
      </c>
      <c r="D52" s="4" t="inlineStr">
        <is>
          <t>P10D e P136B</t>
        </is>
      </c>
      <c r="E52" s="4" t="inlineStr">
        <is>
          <t>SERVIÇOS INICIAIS</t>
        </is>
      </c>
      <c r="F52" s="118" t="n">
        <v>45964</v>
      </c>
      <c r="G52" s="118" t="n">
        <v>45964</v>
      </c>
      <c r="H52" s="118" t="n">
        <v>46289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IF(E52="","",IF(LEFT(E52,7)="SUBSOLO",-1,IF(LEFT(E52,6)="TÉRREO",0,IFERROR(VALUE(LEFT(E52,FIND("º",SUBSTITUTE(E52,"°","º"))-1)),""))))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ALVENARIA - ISOLAMENTO DE CONTENÇÕES</t>
        </is>
      </c>
      <c r="S52" s="4" t="inlineStr">
        <is>
          <t>18</t>
        </is>
      </c>
      <c r="T52" s="4" t="inlineStr">
        <is>
          <t>Alvenaria - isolamento de contenções</t>
        </is>
      </c>
      <c r="U52" s="4" t="inlineStr">
        <is>
          <t>NÃO</t>
        </is>
      </c>
      <c r="V52" s="2">
        <f>IF(R52="","",COUNTIF($C$5:$C$3004,R52))</f>
        <v/>
      </c>
      <c r="W52" s="2">
        <f>IF(R52="","",COUNTIFS($C$5:$C$3004,R52,$O$5:$O$3004,"CONCLUÍDA"))</f>
        <v/>
      </c>
      <c r="X52" s="2">
        <f>IF(R52="","",COUNTIFS($C$5:$C$3004,R52,$O$5:$O$3004,"EM ANDAMENTO"))</f>
        <v/>
      </c>
      <c r="Y52" s="2">
        <f>IF(R52="","",IF(COUNTIFS($C$5:$C$3004,R52,$O$5:$O$3004,"CONCLUÍDA",$N$5:$N$3004,"&gt;=-1")=0,"",_xlfn.MAXIFS($N$5:$N$3004,$C$5:$C$3004,R52,$O$5:$O$3004,"CONCLUÍDA")))</f>
        <v/>
      </c>
      <c r="Z52" s="2">
        <f>IF(R52="","",IF(COUNTIFS($C$5:$C$3004,R52,$O$5:$O$3004,"EM ANDAMENTO",$N$5:$N$3004,"&gt;=-1")=0,"",_xlfn.MAXIFS($N$5:$N$3004,$C$5:$C$3004,R52,$O$5:$O$3004,"EM ANDAMENTO")))</f>
        <v/>
      </c>
      <c r="AA52" s="2">
        <f>IF(OR(R52="",S52="",U52&lt;&gt;"SIM",V52=0),"",IF(W52+X52=0,"",T52&amp;": "&amp;IF(W52=V52,"concluído",IF(W52=0,"em execução"&amp;IF(Z52&lt;&gt;""," ("&amp;IF(Z52=-1,"subsolo",IF(Z52=0,"térreo",Z52&amp;"º pav."))&amp;")",""),IF(Y52&lt;&gt;"","até "&amp;IF(Y52=-1,"subsolo",IF(Y52=0,"térreo",Y52&amp;"º pav.")),W52&amp;" de "&amp;V52&amp;" concluídas")&amp;IF(Z52="","",IF(OR(Y52="",Z52&gt;Y52),", executando "&amp;IF(Z52=-1,"subsolo",IF(Z52=0,"térreo",Z52&amp;"º pav."))," (restam serviços no "&amp;IF(Z52=-1,"subsolo",IF(Z52=0,"térreo",Z52&amp;"º pav."))&amp;")"))))))</f>
        <v/>
      </c>
    </row>
    <row r="53">
      <c r="B53" s="4" t="n">
        <v>13584633</v>
      </c>
      <c r="C53" s="4" t="inlineStr">
        <is>
          <t>FUNDAÇÃO PROFUNDA</t>
        </is>
      </c>
      <c r="D53" s="4" t="inlineStr">
        <is>
          <t>P14B e P122A</t>
        </is>
      </c>
      <c r="E53" s="4" t="inlineStr">
        <is>
          <t>SERVIÇOS INICIAIS</t>
        </is>
      </c>
      <c r="F53" s="118" t="n">
        <v>45965</v>
      </c>
      <c r="G53" s="118" t="n">
        <v>45965</v>
      </c>
      <c r="H53" s="118" t="n">
        <v>46289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IF(E53="","",IF(LEFT(E53,7)="SUBSOLO",-1,IF(LEFT(E53,6)="TÉRREO",0,IFERROR(VALUE(LEFT(E53,FIND("º",SUBSTITUTE(E53,"°","º"))-1)),""))))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TALISCAMENTO</t>
        </is>
      </c>
      <c r="S53" s="4" t="inlineStr">
        <is>
          <t>29</t>
        </is>
      </c>
      <c r="T53" s="4" t="inlineStr">
        <is>
          <t>Taliscamento</t>
        </is>
      </c>
      <c r="U53" s="4" t="inlineStr">
        <is>
          <t>SIM</t>
        </is>
      </c>
      <c r="V53" s="2">
        <f>IF(R53="","",COUNTIF($C$5:$C$3004,R53))</f>
        <v/>
      </c>
      <c r="W53" s="2">
        <f>IF(R53="","",COUNTIFS($C$5:$C$3004,R53,$O$5:$O$3004,"CONCLUÍDA"))</f>
        <v/>
      </c>
      <c r="X53" s="2">
        <f>IF(R53="","",COUNTIFS($C$5:$C$3004,R53,$O$5:$O$3004,"EM ANDAMENTO"))</f>
        <v/>
      </c>
      <c r="Y53" s="2">
        <f>IF(R53="","",IF(COUNTIFS($C$5:$C$3004,R53,$O$5:$O$3004,"CONCLUÍDA",$N$5:$N$3004,"&gt;=-1")=0,"",_xlfn.MAXIFS($N$5:$N$3004,$C$5:$C$3004,R53,$O$5:$O$3004,"CONCLUÍDA")))</f>
        <v/>
      </c>
      <c r="Z53" s="2">
        <f>IF(R53="","",IF(COUNTIFS($C$5:$C$3004,R53,$O$5:$O$3004,"EM ANDAMENTO",$N$5:$N$3004,"&gt;=-1")=0,"",_xlfn.MAXIFS($N$5:$N$3004,$C$5:$C$3004,R53,$O$5:$O$3004,"EM ANDAMENTO")))</f>
        <v/>
      </c>
      <c r="AA53" s="2">
        <f>IF(OR(R53="",S53="",U53&lt;&gt;"SIM",V53=0),"",IF(W53+X53=0,"",T53&amp;": "&amp;IF(W53=V53,"concluído",IF(W53=0,"em execução"&amp;IF(Z53&lt;&gt;""," ("&amp;IF(Z53=-1,"subsolo",IF(Z53=0,"térreo",Z53&amp;"º pav."))&amp;")",""),IF(Y53&lt;&gt;"","até "&amp;IF(Y53=-1,"subsolo",IF(Y53=0,"térreo",Y53&amp;"º pav.")),W53&amp;" de "&amp;V53&amp;" concluídas")&amp;IF(Z53="","",IF(OR(Y53="",Z53&gt;Y53),", executando "&amp;IF(Z53=-1,"subsolo",IF(Z53=0,"térreo",Z53&amp;"º pav."))," (restam serviços no "&amp;IF(Z53=-1,"subsolo",IF(Z53=0,"térreo",Z53&amp;"º pav."))&amp;")"))))))</f>
        <v/>
      </c>
    </row>
    <row r="54">
      <c r="B54" s="4" t="n">
        <v>13584634</v>
      </c>
      <c r="C54" s="4" t="inlineStr">
        <is>
          <t>FUNDAÇÃO PROFUNDA</t>
        </is>
      </c>
      <c r="D54" s="4" t="inlineStr">
        <is>
          <t>P136C e P138</t>
        </is>
      </c>
      <c r="E54" s="4" t="inlineStr">
        <is>
          <t>SERVIÇOS INICIAIS</t>
        </is>
      </c>
      <c r="F54" s="118" t="n">
        <v>45966</v>
      </c>
      <c r="G54" s="118" t="n">
        <v>45966</v>
      </c>
      <c r="H54" s="118" t="n">
        <v>46289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IF(E54="","",IF(LEFT(E54,7)="SUBSOLO",-1,IF(LEFT(E54,6)="TÉRREO",0,IFERROR(VALUE(LEFT(E54,FIND("º",SUBSTITUTE(E54,"°","º"))-1)),""))))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DISTRIBUIÇÃO HIDROSSANITÁRIA</t>
        </is>
      </c>
      <c r="S54" s="4" t="inlineStr">
        <is>
          <t>21</t>
        </is>
      </c>
      <c r="T54" s="4" t="inlineStr">
        <is>
          <t>Distribuição hidrossanitária</t>
        </is>
      </c>
      <c r="U54" s="4" t="inlineStr">
        <is>
          <t>SIM</t>
        </is>
      </c>
      <c r="V54" s="2">
        <f>IF(R54="","",COUNTIF($C$5:$C$3004,R54))</f>
        <v/>
      </c>
      <c r="W54" s="2">
        <f>IF(R54="","",COUNTIFS($C$5:$C$3004,R54,$O$5:$O$3004,"CONCLUÍDA"))</f>
        <v/>
      </c>
      <c r="X54" s="2">
        <f>IF(R54="","",COUNTIFS($C$5:$C$3004,R54,$O$5:$O$3004,"EM ANDAMENTO"))</f>
        <v/>
      </c>
      <c r="Y54" s="2">
        <f>IF(R54="","",IF(COUNTIFS($C$5:$C$3004,R54,$O$5:$O$3004,"CONCLUÍDA",$N$5:$N$3004,"&gt;=-1")=0,"",_xlfn.MAXIFS($N$5:$N$3004,$C$5:$C$3004,R54,$O$5:$O$3004,"CONCLUÍDA")))</f>
        <v/>
      </c>
      <c r="Z54" s="2">
        <f>IF(R54="","",IF(COUNTIFS($C$5:$C$3004,R54,$O$5:$O$3004,"EM ANDAMENTO",$N$5:$N$3004,"&gt;=-1")=0,"",_xlfn.MAXIFS($N$5:$N$3004,$C$5:$C$3004,R54,$O$5:$O$3004,"EM ANDAMENTO")))</f>
        <v/>
      </c>
      <c r="AA54" s="2">
        <f>IF(OR(R54="",S54="",U54&lt;&gt;"SIM",V54=0),"",IF(W54+X54=0,"",T54&amp;": "&amp;IF(W54=V54,"concluído",IF(W54=0,"em execução"&amp;IF(Z54&lt;&gt;""," ("&amp;IF(Z54=-1,"subsolo",IF(Z54=0,"térreo",Z54&amp;"º pav."))&amp;")",""),IF(Y54&lt;&gt;"","até "&amp;IF(Y54=-1,"subsolo",IF(Y54=0,"térreo",Y54&amp;"º pav.")),W54&amp;" de "&amp;V54&amp;" concluídas")&amp;IF(Z54="","",IF(OR(Y54="",Z54&gt;Y54),", executando "&amp;IF(Z54=-1,"subsolo",IF(Z54=0,"térreo",Z54&amp;"º pav."))," (restam serviços no "&amp;IF(Z54=-1,"subsolo",IF(Z54=0,"térreo",Z54&amp;"º pav."))&amp;")"))))))</f>
        <v/>
      </c>
    </row>
    <row r="55">
      <c r="B55" s="4" t="n">
        <v>13584635</v>
      </c>
      <c r="C55" s="4" t="inlineStr">
        <is>
          <t>FUNDAÇÃO PROFUNDA</t>
        </is>
      </c>
      <c r="D55" s="4" t="inlineStr">
        <is>
          <t>P14D e P7B</t>
        </is>
      </c>
      <c r="E55" s="4" t="inlineStr">
        <is>
          <t>SERVIÇOS INICIAIS</t>
        </is>
      </c>
      <c r="F55" s="118" t="n">
        <v>45967</v>
      </c>
      <c r="G55" s="118" t="n">
        <v>45967</v>
      </c>
      <c r="H55" s="118" t="n">
        <v>46289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IF(E55="","",IF(LEFT(E55,7)="SUBSOLO",-1,IF(LEFT(E55,6)="TÉRREO",0,IFERROR(VALUE(LEFT(E55,FIND("º",SUBSTITUTE(E55,"°","º"))-1)),""))))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DISTRIBUIÇÃO ELÉTRICA / QUADRO</t>
        </is>
      </c>
      <c r="S55" s="4" t="inlineStr">
        <is>
          <t>20</t>
        </is>
      </c>
      <c r="T55" s="4" t="inlineStr">
        <is>
          <t>Distribuição elétrica / quadro</t>
        </is>
      </c>
      <c r="U55" s="4" t="inlineStr">
        <is>
          <t>SIM</t>
        </is>
      </c>
      <c r="V55" s="2">
        <f>IF(R55="","",COUNTIF($C$5:$C$3004,R55))</f>
        <v/>
      </c>
      <c r="W55" s="2">
        <f>IF(R55="","",COUNTIFS($C$5:$C$3004,R55,$O$5:$O$3004,"CONCLUÍDA"))</f>
        <v/>
      </c>
      <c r="X55" s="2">
        <f>IF(R55="","",COUNTIFS($C$5:$C$3004,R55,$O$5:$O$3004,"EM ANDAMENTO"))</f>
        <v/>
      </c>
      <c r="Y55" s="2">
        <f>IF(R55="","",IF(COUNTIFS($C$5:$C$3004,R55,$O$5:$O$3004,"CONCLUÍDA",$N$5:$N$3004,"&gt;=-1")=0,"",_xlfn.MAXIFS($N$5:$N$3004,$C$5:$C$3004,R55,$O$5:$O$3004,"CONCLUÍDA")))</f>
        <v/>
      </c>
      <c r="Z55" s="2">
        <f>IF(R55="","",IF(COUNTIFS($C$5:$C$3004,R55,$O$5:$O$3004,"EM ANDAMENTO",$N$5:$N$3004,"&gt;=-1")=0,"",_xlfn.MAXIFS($N$5:$N$3004,$C$5:$C$3004,R55,$O$5:$O$3004,"EM ANDAMENTO")))</f>
        <v/>
      </c>
      <c r="AA55" s="2">
        <f>IF(OR(R55="",S55="",U55&lt;&gt;"SIM",V55=0),"",IF(W55+X55=0,"",T55&amp;": "&amp;IF(W55=V55,"concluído",IF(W55=0,"em execução"&amp;IF(Z55&lt;&gt;""," ("&amp;IF(Z55=-1,"subsolo",IF(Z55=0,"térreo",Z55&amp;"º pav."))&amp;")",""),IF(Y55&lt;&gt;"","até "&amp;IF(Y55=-1,"subsolo",IF(Y55=0,"térreo",Y55&amp;"º pav.")),W55&amp;" de "&amp;V55&amp;" concluídas")&amp;IF(Z55="","",IF(OR(Y55="",Z55&gt;Y55),", executando "&amp;IF(Z55=-1,"subsolo",IF(Z55=0,"térreo",Z55&amp;"º pav."))," (restam serviços no "&amp;IF(Z55=-1,"subsolo",IF(Z55=0,"térreo",Z55&amp;"º pav."))&amp;")"))))))</f>
        <v/>
      </c>
    </row>
    <row r="56">
      <c r="B56" s="4" t="n">
        <v>13584636</v>
      </c>
      <c r="C56" s="4" t="inlineStr">
        <is>
          <t>FUNDAÇÃO PROFUNDA</t>
        </is>
      </c>
      <c r="D56" s="4" t="inlineStr">
        <is>
          <t>P139 e P145E</t>
        </is>
      </c>
      <c r="E56" s="4" t="inlineStr">
        <is>
          <t>SERVIÇOS INICIAIS</t>
        </is>
      </c>
      <c r="F56" s="118" t="n">
        <v>45968</v>
      </c>
      <c r="G56" s="118" t="n">
        <v>45968</v>
      </c>
      <c r="H56" s="118" t="n">
        <v>46289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IF(E56="","",IF(LEFT(E56,7)="SUBSOLO",-1,IF(LEFT(E56,6)="TÉRREO",0,IFERROR(VALUE(LEFT(E56,FIND("º",SUBSTITUTE(E56,"°","º"))-1)),""))))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DISTRIBUIÇÃO DE GÁS</t>
        </is>
      </c>
      <c r="S56" s="4" t="inlineStr">
        <is>
          <t>21</t>
        </is>
      </c>
      <c r="T56" s="4" t="inlineStr">
        <is>
          <t>Distribuição de gás</t>
        </is>
      </c>
      <c r="U56" s="4" t="inlineStr">
        <is>
          <t>SIM</t>
        </is>
      </c>
      <c r="V56" s="2">
        <f>IF(R56="","",COUNTIF($C$5:$C$3004,R56))</f>
        <v/>
      </c>
      <c r="W56" s="2">
        <f>IF(R56="","",COUNTIFS($C$5:$C$3004,R56,$O$5:$O$3004,"CONCLUÍDA"))</f>
        <v/>
      </c>
      <c r="X56" s="2">
        <f>IF(R56="","",COUNTIFS($C$5:$C$3004,R56,$O$5:$O$3004,"EM ANDAMENTO"))</f>
        <v/>
      </c>
      <c r="Y56" s="2">
        <f>IF(R56="","",IF(COUNTIFS($C$5:$C$3004,R56,$O$5:$O$3004,"CONCLUÍDA",$N$5:$N$3004,"&gt;=-1")=0,"",_xlfn.MAXIFS($N$5:$N$3004,$C$5:$C$3004,R56,$O$5:$O$3004,"CONCLUÍDA")))</f>
        <v/>
      </c>
      <c r="Z56" s="2">
        <f>IF(R56="","",IF(COUNTIFS($C$5:$C$3004,R56,$O$5:$O$3004,"EM ANDAMENTO",$N$5:$N$3004,"&gt;=-1")=0,"",_xlfn.MAXIFS($N$5:$N$3004,$C$5:$C$3004,R56,$O$5:$O$3004,"EM ANDAMENTO")))</f>
        <v/>
      </c>
      <c r="AA56" s="2">
        <f>IF(OR(R56="",S56="",U56&lt;&gt;"SIM",V56=0),"",IF(W56+X56=0,"",T56&amp;": "&amp;IF(W56=V56,"concluído",IF(W56=0,"em execução"&amp;IF(Z56&lt;&gt;""," ("&amp;IF(Z56=-1,"subsolo",IF(Z56=0,"térreo",Z56&amp;"º pav."))&amp;")",""),IF(Y56&lt;&gt;"","até "&amp;IF(Y56=-1,"subsolo",IF(Y56=0,"térreo",Y56&amp;"º pav.")),W56&amp;" de "&amp;V56&amp;" concluídas")&amp;IF(Z56="","",IF(OR(Y56="",Z56&gt;Y56),", executando "&amp;IF(Z56=-1,"subsolo",IF(Z56=0,"térreo",Z56&amp;"º pav."))," (restam serviços no "&amp;IF(Z56=-1,"subsolo",IF(Z56=0,"térreo",Z56&amp;"º pav."))&amp;")"))))))</f>
        <v/>
      </c>
    </row>
    <row r="57">
      <c r="B57" s="4" t="n">
        <v>13584637</v>
      </c>
      <c r="C57" s="4" t="inlineStr">
        <is>
          <t>FUNDAÇÃO PROFUNDA</t>
        </is>
      </c>
      <c r="D57" s="4" t="inlineStr">
        <is>
          <t>P7A e P11D</t>
        </is>
      </c>
      <c r="E57" s="4" t="inlineStr">
        <is>
          <t>SERVIÇOS INICIAIS</t>
        </is>
      </c>
      <c r="F57" s="118" t="n">
        <v>45971</v>
      </c>
      <c r="G57" s="118" t="n">
        <v>45971</v>
      </c>
      <c r="H57" s="118" t="n">
        <v>46289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IF(E57="","",IF(LEFT(E57,7)="SUBSOLO",-1,IF(LEFT(E57,6)="TÉRREO",0,IFERROR(VALUE(LEFT(E57,FIND("º",SUBSTITUTE(E57,"°","º"))-1)),""))))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CONTRAMARCO</t>
        </is>
      </c>
      <c r="S57" s="4" t="inlineStr">
        <is>
          <t>25</t>
        </is>
      </c>
      <c r="T57" s="4" t="inlineStr">
        <is>
          <t>Contramarco</t>
        </is>
      </c>
      <c r="U57" s="4" t="inlineStr">
        <is>
          <t>SIM</t>
        </is>
      </c>
      <c r="V57" s="2">
        <f>IF(R57="","",COUNTIF($C$5:$C$3004,R57))</f>
        <v/>
      </c>
      <c r="W57" s="2">
        <f>IF(R57="","",COUNTIFS($C$5:$C$3004,R57,$O$5:$O$3004,"CONCLUÍDA"))</f>
        <v/>
      </c>
      <c r="X57" s="2">
        <f>IF(R57="","",COUNTIFS($C$5:$C$3004,R57,$O$5:$O$3004,"EM ANDAMENTO"))</f>
        <v/>
      </c>
      <c r="Y57" s="2">
        <f>IF(R57="","",IF(COUNTIFS($C$5:$C$3004,R57,$O$5:$O$3004,"CONCLUÍDA",$N$5:$N$3004,"&gt;=-1")=0,"",_xlfn.MAXIFS($N$5:$N$3004,$C$5:$C$3004,R57,$O$5:$O$3004,"CONCLUÍDA")))</f>
        <v/>
      </c>
      <c r="Z57" s="2">
        <f>IF(R57="","",IF(COUNTIFS($C$5:$C$3004,R57,$O$5:$O$3004,"EM ANDAMENTO",$N$5:$N$3004,"&gt;=-1")=0,"",_xlfn.MAXIFS($N$5:$N$3004,$C$5:$C$3004,R57,$O$5:$O$3004,"EM ANDAMENTO")))</f>
        <v/>
      </c>
      <c r="AA57" s="2">
        <f>IF(OR(R57="",S57="",U57&lt;&gt;"SIM",V57=0),"",IF(W57+X57=0,"",T57&amp;": "&amp;IF(W57=V57,"concluído",IF(W57=0,"em execução"&amp;IF(Z57&lt;&gt;""," ("&amp;IF(Z57=-1,"subsolo",IF(Z57=0,"térreo",Z57&amp;"º pav."))&amp;")",""),IF(Y57&lt;&gt;"","até "&amp;IF(Y57=-1,"subsolo",IF(Y57=0,"térreo",Y57&amp;"º pav.")),W57&amp;" de "&amp;V57&amp;" concluídas")&amp;IF(Z57="","",IF(OR(Y57="",Z57&gt;Y57),", executando "&amp;IF(Z57=-1,"subsolo",IF(Z57=0,"térreo",Z57&amp;"º pav."))," (restam serviços no "&amp;IF(Z57=-1,"subsolo",IF(Z57=0,"térreo",Z57&amp;"º pav."))&amp;")"))))))</f>
        <v/>
      </c>
    </row>
    <row r="58">
      <c r="B58" s="4" t="n">
        <v>13584638</v>
      </c>
      <c r="C58" s="4" t="inlineStr">
        <is>
          <t>FUNDAÇÃO PROFUNDA</t>
        </is>
      </c>
      <c r="D58" s="4" t="inlineStr">
        <is>
          <t>P145F e P1C</t>
        </is>
      </c>
      <c r="E58" s="4" t="inlineStr">
        <is>
          <t>SERVIÇOS INICIAIS</t>
        </is>
      </c>
      <c r="F58" s="118" t="n">
        <v>45972</v>
      </c>
      <c r="G58" s="118" t="n">
        <v>45973</v>
      </c>
      <c r="H58" s="118" t="n">
        <v>46289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IF(E58="","",IF(LEFT(E58,7)="SUBSOLO",-1,IF(LEFT(E58,6)="TÉRREO",0,IFERROR(VALUE(LEFT(E58,FIND("º",SUBSTITUTE(E58,"°","º"))-1)),""))))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REBOCO INTERNO</t>
        </is>
      </c>
      <c r="S58" s="4" t="inlineStr">
        <is>
          <t>29</t>
        </is>
      </c>
      <c r="T58" s="4" t="inlineStr">
        <is>
          <t>Reboco interno</t>
        </is>
      </c>
      <c r="U58" s="4" t="inlineStr">
        <is>
          <t>SIM</t>
        </is>
      </c>
      <c r="V58" s="2">
        <f>IF(R58="","",COUNTIF($C$5:$C$3004,R58))</f>
        <v/>
      </c>
      <c r="W58" s="2">
        <f>IF(R58="","",COUNTIFS($C$5:$C$3004,R58,$O$5:$O$3004,"CONCLUÍDA"))</f>
        <v/>
      </c>
      <c r="X58" s="2">
        <f>IF(R58="","",COUNTIFS($C$5:$C$3004,R58,$O$5:$O$3004,"EM ANDAMENTO"))</f>
        <v/>
      </c>
      <c r="Y58" s="2">
        <f>IF(R58="","",IF(COUNTIFS($C$5:$C$3004,R58,$O$5:$O$3004,"CONCLUÍDA",$N$5:$N$3004,"&gt;=-1")=0,"",_xlfn.MAXIFS($N$5:$N$3004,$C$5:$C$3004,R58,$O$5:$O$3004,"CONCLUÍDA")))</f>
        <v/>
      </c>
      <c r="Z58" s="2">
        <f>IF(R58="","",IF(COUNTIFS($C$5:$C$3004,R58,$O$5:$O$3004,"EM ANDAMENTO",$N$5:$N$3004,"&gt;=-1")=0,"",_xlfn.MAXIFS($N$5:$N$3004,$C$5:$C$3004,R58,$O$5:$O$3004,"EM ANDAMENTO")))</f>
        <v/>
      </c>
      <c r="AA58" s="2">
        <f>IF(OR(R58="",S58="",U58&lt;&gt;"SIM",V58=0),"",IF(W58+X58=0,"",T58&amp;": "&amp;IF(W58=V58,"concluído",IF(W58=0,"em execução"&amp;IF(Z58&lt;&gt;""," ("&amp;IF(Z58=-1,"subsolo",IF(Z58=0,"térreo",Z58&amp;"º pav."))&amp;")",""),IF(Y58&lt;&gt;"","até "&amp;IF(Y58=-1,"subsolo",IF(Y58=0,"térreo",Y58&amp;"º pav.")),W58&amp;" de "&amp;V58&amp;" concluídas")&amp;IF(Z58="","",IF(OR(Y58="",Z58&gt;Y58),", executando "&amp;IF(Z58=-1,"subsolo",IF(Z58=0,"térreo",Z58&amp;"º pav."))," (restam serviços no "&amp;IF(Z58=-1,"subsolo",IF(Z58=0,"térreo",Z58&amp;"º pav."))&amp;")"))))))</f>
        <v/>
      </c>
    </row>
    <row r="59">
      <c r="B59" s="4" t="n">
        <v>13584639</v>
      </c>
      <c r="C59" s="4" t="inlineStr">
        <is>
          <t>FUNDAÇÃO PROFUNDA</t>
        </is>
      </c>
      <c r="D59" s="4" t="inlineStr">
        <is>
          <t>P11B e P4A</t>
        </is>
      </c>
      <c r="E59" s="4" t="inlineStr">
        <is>
          <t>SERVIÇOS INICIAIS</t>
        </is>
      </c>
      <c r="F59" s="118" t="n">
        <v>45974</v>
      </c>
      <c r="G59" s="118" t="n">
        <v>45974</v>
      </c>
      <c r="H59" s="118" t="n">
        <v>46289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IF(E59="","",IF(LEFT(E59,7)="SUBSOLO",-1,IF(LEFT(E59,6)="TÉRREO",0,IFERROR(VALUE(LEFT(E59,FIND("º",SUBSTITUTE(E59,"°","º"))-1)),""))))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SHAFT INTERNO INST. HIDRAÚLICAS</t>
        </is>
      </c>
      <c r="S59" s="4" t="inlineStr">
        <is>
          <t>21</t>
        </is>
      </c>
      <c r="T59" s="4" t="inlineStr">
        <is>
          <t>Shaft interno inst. hidraúlicas</t>
        </is>
      </c>
      <c r="U59" s="4" t="inlineStr">
        <is>
          <t>SIM</t>
        </is>
      </c>
      <c r="V59" s="2">
        <f>IF(R59="","",COUNTIF($C$5:$C$3004,R59))</f>
        <v/>
      </c>
      <c r="W59" s="2">
        <f>IF(R59="","",COUNTIFS($C$5:$C$3004,R59,$O$5:$O$3004,"CONCLUÍDA"))</f>
        <v/>
      </c>
      <c r="X59" s="2">
        <f>IF(R59="","",COUNTIFS($C$5:$C$3004,R59,$O$5:$O$3004,"EM ANDAMENTO"))</f>
        <v/>
      </c>
      <c r="Y59" s="2">
        <f>IF(R59="","",IF(COUNTIFS($C$5:$C$3004,R59,$O$5:$O$3004,"CONCLUÍDA",$N$5:$N$3004,"&gt;=-1")=0,"",_xlfn.MAXIFS($N$5:$N$3004,$C$5:$C$3004,R59,$O$5:$O$3004,"CONCLUÍDA")))</f>
        <v/>
      </c>
      <c r="Z59" s="2">
        <f>IF(R59="","",IF(COUNTIFS($C$5:$C$3004,R59,$O$5:$O$3004,"EM ANDAMENTO",$N$5:$N$3004,"&gt;=-1")=0,"",_xlfn.MAXIFS($N$5:$N$3004,$C$5:$C$3004,R59,$O$5:$O$3004,"EM ANDAMENTO")))</f>
        <v/>
      </c>
      <c r="AA59" s="2">
        <f>IF(OR(R59="",S59="",U59&lt;&gt;"SIM",V59=0),"",IF(W59+X59=0,"",T59&amp;": "&amp;IF(W59=V59,"concluído",IF(W59=0,"em execução"&amp;IF(Z59&lt;&gt;""," ("&amp;IF(Z59=-1,"subsolo",IF(Z59=0,"térreo",Z59&amp;"º pav."))&amp;")",""),IF(Y59&lt;&gt;"","até "&amp;IF(Y59=-1,"subsolo",IF(Y59=0,"térreo",Y59&amp;"º pav.")),W59&amp;" de "&amp;V59&amp;" concluídas")&amp;IF(Z59="","",IF(OR(Y59="",Z59&gt;Y59),", executando "&amp;IF(Z59=-1,"subsolo",IF(Z59=0,"térreo",Z59&amp;"º pav."))," (restam serviços no "&amp;IF(Z59=-1,"subsolo",IF(Z59=0,"térreo",Z59&amp;"º pav."))&amp;")"))))))</f>
        <v/>
      </c>
    </row>
    <row r="60">
      <c r="B60" s="4" t="n">
        <v>13584640</v>
      </c>
      <c r="C60" s="4" t="inlineStr">
        <is>
          <t>FUNDAÇÃO PROFUNDA</t>
        </is>
      </c>
      <c r="D60" s="4" t="inlineStr">
        <is>
          <t>P122B e P126B</t>
        </is>
      </c>
      <c r="E60" s="4" t="inlineStr">
        <is>
          <t>SERVIÇOS INICIAIS</t>
        </is>
      </c>
      <c r="F60" s="118" t="n">
        <v>45975</v>
      </c>
      <c r="G60" s="118" t="n">
        <v>45975</v>
      </c>
      <c r="H60" s="118" t="n">
        <v>46289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IF(E60="","",IF(LEFT(E60,7)="SUBSOLO",-1,IF(LEFT(E60,6)="TÉRREO",0,IFERROR(VALUE(LEFT(E60,FIND("º",SUBSTITUTE(E60,"°","º"))-1)),""))))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PRUMADA ELÉTRICA - INFRA</t>
        </is>
      </c>
      <c r="S60" s="4" t="inlineStr">
        <is>
          <t>20</t>
        </is>
      </c>
      <c r="T60" s="4" t="inlineStr">
        <is>
          <t>Prumada elétrica - infra</t>
        </is>
      </c>
      <c r="U60" s="4" t="inlineStr">
        <is>
          <t>SIM</t>
        </is>
      </c>
      <c r="V60" s="2">
        <f>IF(R60="","",COUNTIF($C$5:$C$3004,R60))</f>
        <v/>
      </c>
      <c r="W60" s="2">
        <f>IF(R60="","",COUNTIFS($C$5:$C$3004,R60,$O$5:$O$3004,"CONCLUÍDA"))</f>
        <v/>
      </c>
      <c r="X60" s="2">
        <f>IF(R60="","",COUNTIFS($C$5:$C$3004,R60,$O$5:$O$3004,"EM ANDAMENTO"))</f>
        <v/>
      </c>
      <c r="Y60" s="2">
        <f>IF(R60="","",IF(COUNTIFS($C$5:$C$3004,R60,$O$5:$O$3004,"CONCLUÍDA",$N$5:$N$3004,"&gt;=-1")=0,"",_xlfn.MAXIFS($N$5:$N$3004,$C$5:$C$3004,R60,$O$5:$O$3004,"CONCLUÍDA")))</f>
        <v/>
      </c>
      <c r="Z60" s="2">
        <f>IF(R60="","",IF(COUNTIFS($C$5:$C$3004,R60,$O$5:$O$3004,"EM ANDAMENTO",$N$5:$N$3004,"&gt;=-1")=0,"",_xlfn.MAXIFS($N$5:$N$3004,$C$5:$C$3004,R60,$O$5:$O$3004,"EM ANDAMENTO")))</f>
        <v/>
      </c>
      <c r="AA60" s="2">
        <f>IF(OR(R60="",S60="",U60&lt;&gt;"SIM",V60=0),"",IF(W60+X60=0,"",T60&amp;": "&amp;IF(W60=V60,"concluído",IF(W60=0,"em execução"&amp;IF(Z60&lt;&gt;""," ("&amp;IF(Z60=-1,"subsolo",IF(Z60=0,"térreo",Z60&amp;"º pav."))&amp;")",""),IF(Y60&lt;&gt;"","até "&amp;IF(Y60=-1,"subsolo",IF(Y60=0,"térreo",Y60&amp;"º pav.")),W60&amp;" de "&amp;V60&amp;" concluídas")&amp;IF(Z60="","",IF(OR(Y60="",Z60&gt;Y60),", executando "&amp;IF(Z60=-1,"subsolo",IF(Z60=0,"térreo",Z60&amp;"º pav."))," (restam serviços no "&amp;IF(Z60=-1,"subsolo",IF(Z60=0,"térreo",Z60&amp;"º pav."))&amp;")"))))))</f>
        <v/>
      </c>
    </row>
    <row r="61">
      <c r="B61" s="4" t="n">
        <v>13584641</v>
      </c>
      <c r="C61" s="4" t="inlineStr">
        <is>
          <t>FUNDAÇÃO PROFUNDA</t>
        </is>
      </c>
      <c r="D61" s="4" t="inlineStr">
        <is>
          <t>P145A e P901A</t>
        </is>
      </c>
      <c r="E61" s="4" t="inlineStr">
        <is>
          <t>SERVIÇOS INICIAIS</t>
        </is>
      </c>
      <c r="F61" s="118" t="n">
        <v>45978</v>
      </c>
      <c r="G61" s="118" t="n">
        <v>45978</v>
      </c>
      <c r="H61" s="118" t="n">
        <v>46289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IF(E61="","",IF(LEFT(E61,7)="SUBSOLO",-1,IF(LEFT(E61,6)="TÉRREO",0,IFERROR(VALUE(LEFT(E61,FIND("º",SUBSTITUTE(E61,"°","º"))-1)),""))))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CHUMBAMENTO DE PCF</t>
        </is>
      </c>
      <c r="S61" s="4" t="inlineStr">
        <is>
          <t>26</t>
        </is>
      </c>
      <c r="T61" s="4" t="inlineStr">
        <is>
          <t>Chumbamento de PCF</t>
        </is>
      </c>
      <c r="U61" s="4" t="inlineStr">
        <is>
          <t>SIM</t>
        </is>
      </c>
      <c r="V61" s="2">
        <f>IF(R61="","",COUNTIF($C$5:$C$3004,R61))</f>
        <v/>
      </c>
      <c r="W61" s="2">
        <f>IF(R61="","",COUNTIFS($C$5:$C$3004,R61,$O$5:$O$3004,"CONCLUÍDA"))</f>
        <v/>
      </c>
      <c r="X61" s="2">
        <f>IF(R61="","",COUNTIFS($C$5:$C$3004,R61,$O$5:$O$3004,"EM ANDAMENTO"))</f>
        <v/>
      </c>
      <c r="Y61" s="2">
        <f>IF(R61="","",IF(COUNTIFS($C$5:$C$3004,R61,$O$5:$O$3004,"CONCLUÍDA",$N$5:$N$3004,"&gt;=-1")=0,"",_xlfn.MAXIFS($N$5:$N$3004,$C$5:$C$3004,R61,$O$5:$O$3004,"CONCLUÍDA")))</f>
        <v/>
      </c>
      <c r="Z61" s="2">
        <f>IF(R61="","",IF(COUNTIFS($C$5:$C$3004,R61,$O$5:$O$3004,"EM ANDAMENTO",$N$5:$N$3004,"&gt;=-1")=0,"",_xlfn.MAXIFS($N$5:$N$3004,$C$5:$C$3004,R61,$O$5:$O$3004,"EM ANDAMENTO")))</f>
        <v/>
      </c>
      <c r="AA61" s="2">
        <f>IF(OR(R61="",S61="",U61&lt;&gt;"SIM",V61=0),"",IF(W61+X61=0,"",T61&amp;": "&amp;IF(W61=V61,"concluído",IF(W61=0,"em execução"&amp;IF(Z61&lt;&gt;""," ("&amp;IF(Z61=-1,"subsolo",IF(Z61=0,"térreo",Z61&amp;"º pav."))&amp;")",""),IF(Y61&lt;&gt;"","até "&amp;IF(Y61=-1,"subsolo",IF(Y61=0,"térreo",Y61&amp;"º pav.")),W61&amp;" de "&amp;V61&amp;" concluídas")&amp;IF(Z61="","",IF(OR(Y61="",Z61&gt;Y61),", executando "&amp;IF(Z61=-1,"subsolo",IF(Z61=0,"térreo",Z61&amp;"º pav."))," (restam serviços no "&amp;IF(Z61=-1,"subsolo",IF(Z61=0,"térreo",Z61&amp;"º pav."))&amp;")"))))))</f>
        <v/>
      </c>
    </row>
    <row r="62">
      <c r="B62" s="4" t="n">
        <v>13584642</v>
      </c>
      <c r="C62" s="4" t="inlineStr">
        <is>
          <t>FUNDAÇÃO PROFUNDA</t>
        </is>
      </c>
      <c r="D62" s="4" t="inlineStr">
        <is>
          <t>P901U e P145D</t>
        </is>
      </c>
      <c r="E62" s="4" t="inlineStr">
        <is>
          <t>SERVIÇOS INICIAIS</t>
        </is>
      </c>
      <c r="F62" s="118" t="n">
        <v>45979</v>
      </c>
      <c r="G62" s="118" t="n">
        <v>45979</v>
      </c>
      <c r="H62" s="118" t="n">
        <v>46289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IF(E62="","",IF(LEFT(E62,7)="SUBSOLO",-1,IF(LEFT(E62,6)="TÉRREO",0,IFERROR(VALUE(LEFT(E62,FIND("º",SUBSTITUTE(E62,"°","º"))-1)),""))))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CONTRAPISO</t>
        </is>
      </c>
      <c r="S62" s="4" t="inlineStr">
        <is>
          <t>28</t>
        </is>
      </c>
      <c r="T62" s="4" t="inlineStr">
        <is>
          <t>Contrapiso</t>
        </is>
      </c>
      <c r="U62" s="4" t="inlineStr">
        <is>
          <t>SIM</t>
        </is>
      </c>
      <c r="V62" s="2">
        <f>IF(R62="","",COUNTIF($C$5:$C$3004,R62))</f>
        <v/>
      </c>
      <c r="W62" s="2">
        <f>IF(R62="","",COUNTIFS($C$5:$C$3004,R62,$O$5:$O$3004,"CONCLUÍDA"))</f>
        <v/>
      </c>
      <c r="X62" s="2">
        <f>IF(R62="","",COUNTIFS($C$5:$C$3004,R62,$O$5:$O$3004,"EM ANDAMENTO"))</f>
        <v/>
      </c>
      <c r="Y62" s="2">
        <f>IF(R62="","",IF(COUNTIFS($C$5:$C$3004,R62,$O$5:$O$3004,"CONCLUÍDA",$N$5:$N$3004,"&gt;=-1")=0,"",_xlfn.MAXIFS($N$5:$N$3004,$C$5:$C$3004,R62,$O$5:$O$3004,"CONCLUÍDA")))</f>
        <v/>
      </c>
      <c r="Z62" s="2">
        <f>IF(R62="","",IF(COUNTIFS($C$5:$C$3004,R62,$O$5:$O$3004,"EM ANDAMENTO",$N$5:$N$3004,"&gt;=-1")=0,"",_xlfn.MAXIFS($N$5:$N$3004,$C$5:$C$3004,R62,$O$5:$O$3004,"EM ANDAMENTO")))</f>
        <v/>
      </c>
      <c r="AA62" s="2">
        <f>IF(OR(R62="",S62="",U62&lt;&gt;"SIM",V62=0),"",IF(W62+X62=0,"",T62&amp;": "&amp;IF(W62=V62,"concluído",IF(W62=0,"em execução"&amp;IF(Z62&lt;&gt;""," ("&amp;IF(Z62=-1,"subsolo",IF(Z62=0,"térreo",Z62&amp;"º pav."))&amp;")",""),IF(Y62&lt;&gt;"","até "&amp;IF(Y62=-1,"subsolo",IF(Y62=0,"térreo",Y62&amp;"º pav.")),W62&amp;" de "&amp;V62&amp;" concluídas")&amp;IF(Z62="","",IF(OR(Y62="",Z62&gt;Y62),", executando "&amp;IF(Z62=-1,"subsolo",IF(Z62=0,"térreo",Z62&amp;"º pav."))," (restam serviços no "&amp;IF(Z62=-1,"subsolo",IF(Z62=0,"térreo",Z62&amp;"º pav."))&amp;")"))))))</f>
        <v/>
      </c>
    </row>
    <row r="63">
      <c r="B63" s="4" t="n">
        <v>13584643</v>
      </c>
      <c r="C63" s="4" t="inlineStr">
        <is>
          <t>FUNDAÇÃO PROFUNDA</t>
        </is>
      </c>
      <c r="D63" s="4" t="inlineStr">
        <is>
          <t>P20A e P901B</t>
        </is>
      </c>
      <c r="E63" s="4" t="inlineStr">
        <is>
          <t>SERVIÇOS INICIAIS</t>
        </is>
      </c>
      <c r="F63" s="118" t="n">
        <v>45980</v>
      </c>
      <c r="G63" s="118" t="n">
        <v>45980</v>
      </c>
      <c r="H63" s="118" t="n">
        <v>46289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IF(E63="","",IF(LEFT(E63,7)="SUBSOLO",-1,IF(LEFT(E63,6)="TÉRREO",0,IFERROR(VALUE(LEFT(E63,FIND("º",SUBSTITUTE(E63,"°","º"))-1)),""))))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DISTRIBUIÇÃO HIDRÁULICA</t>
        </is>
      </c>
      <c r="S63" s="4" t="inlineStr">
        <is>
          <t>21</t>
        </is>
      </c>
      <c r="T63" s="4" t="inlineStr">
        <is>
          <t>Distribuição hidráulica</t>
        </is>
      </c>
      <c r="U63" s="4" t="inlineStr">
        <is>
          <t>SIM</t>
        </is>
      </c>
      <c r="V63" s="2">
        <f>IF(R63="","",COUNTIF($C$5:$C$3004,R63))</f>
        <v/>
      </c>
      <c r="W63" s="2">
        <f>IF(R63="","",COUNTIFS($C$5:$C$3004,R63,$O$5:$O$3004,"CONCLUÍDA"))</f>
        <v/>
      </c>
      <c r="X63" s="2">
        <f>IF(R63="","",COUNTIFS($C$5:$C$3004,R63,$O$5:$O$3004,"EM ANDAMENTO"))</f>
        <v/>
      </c>
      <c r="Y63" s="2">
        <f>IF(R63="","",IF(COUNTIFS($C$5:$C$3004,R63,$O$5:$O$3004,"CONCLUÍDA",$N$5:$N$3004,"&gt;=-1")=0,"",_xlfn.MAXIFS($N$5:$N$3004,$C$5:$C$3004,R63,$O$5:$O$3004,"CONCLUÍDA")))</f>
        <v/>
      </c>
      <c r="Z63" s="2">
        <f>IF(R63="","",IF(COUNTIFS($C$5:$C$3004,R63,$O$5:$O$3004,"EM ANDAMENTO",$N$5:$N$3004,"&gt;=-1")=0,"",_xlfn.MAXIFS($N$5:$N$3004,$C$5:$C$3004,R63,$O$5:$O$3004,"EM ANDAMENTO")))</f>
        <v/>
      </c>
      <c r="AA63" s="2">
        <f>IF(OR(R63="",S63="",U63&lt;&gt;"SIM",V63=0),"",IF(W63+X63=0,"",T63&amp;": "&amp;IF(W63=V63,"concluído",IF(W63=0,"em execução"&amp;IF(Z63&lt;&gt;""," ("&amp;IF(Z63=-1,"subsolo",IF(Z63=0,"térreo",Z63&amp;"º pav."))&amp;")",""),IF(Y63&lt;&gt;"","até "&amp;IF(Y63=-1,"subsolo",IF(Y63=0,"térreo",Y63&amp;"º pav.")),W63&amp;" de "&amp;V63&amp;" concluídas")&amp;IF(Z63="","",IF(OR(Y63="",Z63&gt;Y63),", executando "&amp;IF(Z63=-1,"subsolo",IF(Z63=0,"térreo",Z63&amp;"º pav."))," (restam serviços no "&amp;IF(Z63=-1,"subsolo",IF(Z63=0,"térreo",Z63&amp;"º pav."))&amp;")"))))))</f>
        <v/>
      </c>
    </row>
    <row r="64">
      <c r="B64" s="4" t="n">
        <v>13584644</v>
      </c>
      <c r="C64" s="4" t="inlineStr">
        <is>
          <t>FUNDAÇÃO PROFUNDA</t>
        </is>
      </c>
      <c r="D64" s="4" t="inlineStr">
        <is>
          <t>P145B e P901AD</t>
        </is>
      </c>
      <c r="E64" s="4" t="inlineStr">
        <is>
          <t>SERVIÇOS INICIAIS</t>
        </is>
      </c>
      <c r="F64" s="118" t="n">
        <v>45982</v>
      </c>
      <c r="G64" s="118" t="n">
        <v>45982</v>
      </c>
      <c r="H64" s="118" t="n">
        <v>46289</v>
      </c>
      <c r="I64" s="4" t="n">
        <v>100</v>
      </c>
      <c r="J64" s="4" t="n">
        <v>100</v>
      </c>
      <c r="K64" s="4" t="n">
        <v>100</v>
      </c>
      <c r="M64" s="2">
        <f>IF(C64="","",IFERROR(INDEX($S$5:$S$304,MATCH(C64,$R$5:$R$304,0))&amp;"","?"))</f>
        <v/>
      </c>
      <c r="N64" s="2">
        <f>IF(E64="","",IF(LEFT(E64,7)="SUBSOLO",-1,IF(LEFT(E64,6)="TÉRREO",0,IFERROR(VALUE(LEFT(E64,FIND("º",SUBSTITUTE(E64,"°","º"))-1)),""))))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DRYWALL 1º FACE</t>
        </is>
      </c>
      <c r="S64" s="4" t="inlineStr">
        <is>
          <t>18</t>
        </is>
      </c>
      <c r="T64" s="4" t="inlineStr">
        <is>
          <t>Drywall 1ª face</t>
        </is>
      </c>
      <c r="U64" s="4" t="inlineStr">
        <is>
          <t>SIM</t>
        </is>
      </c>
      <c r="V64" s="2">
        <f>IF(R64="","",COUNTIF($C$5:$C$3004,R64))</f>
        <v/>
      </c>
      <c r="W64" s="2">
        <f>IF(R64="","",COUNTIFS($C$5:$C$3004,R64,$O$5:$O$3004,"CONCLUÍDA"))</f>
        <v/>
      </c>
      <c r="X64" s="2">
        <f>IF(R64="","",COUNTIFS($C$5:$C$3004,R64,$O$5:$O$3004,"EM ANDAMENTO"))</f>
        <v/>
      </c>
      <c r="Y64" s="2">
        <f>IF(R64="","",IF(COUNTIFS($C$5:$C$3004,R64,$O$5:$O$3004,"CONCLUÍDA",$N$5:$N$3004,"&gt;=-1")=0,"",_xlfn.MAXIFS($N$5:$N$3004,$C$5:$C$3004,R64,$O$5:$O$3004,"CONCLUÍDA")))</f>
        <v/>
      </c>
      <c r="Z64" s="2">
        <f>IF(R64="","",IF(COUNTIFS($C$5:$C$3004,R64,$O$5:$O$3004,"EM ANDAMENTO",$N$5:$N$3004,"&gt;=-1")=0,"",_xlfn.MAXIFS($N$5:$N$3004,$C$5:$C$3004,R64,$O$5:$O$3004,"EM ANDAMENTO")))</f>
        <v/>
      </c>
      <c r="AA64" s="2">
        <f>IF(OR(R64="",S64="",U64&lt;&gt;"SIM",V64=0),"",IF(W64+X64=0,"",T64&amp;": "&amp;IF(W64=V64,"concluído",IF(W64=0,"em execução"&amp;IF(Z64&lt;&gt;""," ("&amp;IF(Z64=-1,"subsolo",IF(Z64=0,"térreo",Z64&amp;"º pav."))&amp;")",""),IF(Y64&lt;&gt;"","até "&amp;IF(Y64=-1,"subsolo",IF(Y64=0,"térreo",Y64&amp;"º pav.")),W64&amp;" de "&amp;V64&amp;" concluídas")&amp;IF(Z64="","",IF(OR(Y64="",Z64&gt;Y64),", executando "&amp;IF(Z64=-1,"subsolo",IF(Z64=0,"térreo",Z64&amp;"º pav."))," (restam serviços no "&amp;IF(Z64=-1,"subsolo",IF(Z64=0,"térreo",Z64&amp;"º pav."))&amp;")"))))))</f>
        <v/>
      </c>
    </row>
    <row r="65">
      <c r="B65" s="4" t="n">
        <v>13584645</v>
      </c>
      <c r="C65" s="4" t="inlineStr">
        <is>
          <t>FUNDAÇÃO PROFUNDA</t>
        </is>
      </c>
      <c r="D65" s="4" t="inlineStr">
        <is>
          <t>P901C e P901AE</t>
        </is>
      </c>
      <c r="E65" s="4" t="inlineStr">
        <is>
          <t>SERVIÇOS INICIAIS</t>
        </is>
      </c>
      <c r="F65" s="118" t="n">
        <v>45985</v>
      </c>
      <c r="G65" s="118" t="n">
        <v>45985</v>
      </c>
      <c r="H65" s="118" t="n">
        <v>46289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IF(E65="","",IF(LEFT(E65,7)="SUBSOLO",-1,IF(LEFT(E65,6)="TÉRREO",0,IFERROR(VALUE(LEFT(E65,FIND("º",SUBSTITUTE(E65,"°","º"))-1)),""))))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DISTRIBUIÇÃO DE GÁS - DRYWALL</t>
        </is>
      </c>
      <c r="S65" s="4" t="inlineStr">
        <is>
          <t>21</t>
        </is>
      </c>
      <c r="T65" s="4" t="inlineStr">
        <is>
          <t>Distribuição de gás - drywall</t>
        </is>
      </c>
      <c r="U65" s="4" t="inlineStr">
        <is>
          <t>SIM</t>
        </is>
      </c>
      <c r="V65" s="2">
        <f>IF(R65="","",COUNTIF($C$5:$C$3004,R65))</f>
        <v/>
      </c>
      <c r="W65" s="2">
        <f>IF(R65="","",COUNTIFS($C$5:$C$3004,R65,$O$5:$O$3004,"CONCLUÍDA"))</f>
        <v/>
      </c>
      <c r="X65" s="2">
        <f>IF(R65="","",COUNTIFS($C$5:$C$3004,R65,$O$5:$O$3004,"EM ANDAMENTO"))</f>
        <v/>
      </c>
      <c r="Y65" s="2">
        <f>IF(R65="","",IF(COUNTIFS($C$5:$C$3004,R65,$O$5:$O$3004,"CONCLUÍDA",$N$5:$N$3004,"&gt;=-1")=0,"",_xlfn.MAXIFS($N$5:$N$3004,$C$5:$C$3004,R65,$O$5:$O$3004,"CONCLUÍDA")))</f>
        <v/>
      </c>
      <c r="Z65" s="2">
        <f>IF(R65="","",IF(COUNTIFS($C$5:$C$3004,R65,$O$5:$O$3004,"EM ANDAMENTO",$N$5:$N$3004,"&gt;=-1")=0,"",_xlfn.MAXIFS($N$5:$N$3004,$C$5:$C$3004,R65,$O$5:$O$3004,"EM ANDAMENTO")))</f>
        <v/>
      </c>
      <c r="AA65" s="2">
        <f>IF(OR(R65="",S65="",U65&lt;&gt;"SIM",V65=0),"",IF(W65+X65=0,"",T65&amp;": "&amp;IF(W65=V65,"concluído",IF(W65=0,"em execução"&amp;IF(Z65&lt;&gt;""," ("&amp;IF(Z65=-1,"subsolo",IF(Z65=0,"térreo",Z65&amp;"º pav."))&amp;")",""),IF(Y65&lt;&gt;"","até "&amp;IF(Y65=-1,"subsolo",IF(Y65=0,"térreo",Y65&amp;"º pav.")),W65&amp;" de "&amp;V65&amp;" concluídas")&amp;IF(Z65="","",IF(OR(Y65="",Z65&gt;Y65),", executando "&amp;IF(Z65=-1,"subsolo",IF(Z65=0,"térreo",Z65&amp;"º pav."))," (restam serviços no "&amp;IF(Z65=-1,"subsolo",IF(Z65=0,"térreo",Z65&amp;"º pav."))&amp;")"))))))</f>
        <v/>
      </c>
    </row>
    <row r="66">
      <c r="B66" s="4" t="n">
        <v>13584646</v>
      </c>
      <c r="C66" s="4" t="inlineStr">
        <is>
          <t>FUNDAÇÃO PROFUNDA</t>
        </is>
      </c>
      <c r="D66" s="4" t="inlineStr">
        <is>
          <t>P901D e P145C</t>
        </is>
      </c>
      <c r="E66" s="4" t="inlineStr">
        <is>
          <t>SERVIÇOS INICIAIS</t>
        </is>
      </c>
      <c r="F66" s="118" t="n">
        <v>45986</v>
      </c>
      <c r="G66" s="118" t="n">
        <v>45986</v>
      </c>
      <c r="H66" s="118" t="n">
        <v>46289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IF(E66="","",IF(LEFT(E66,7)="SUBSOLO",-1,IF(LEFT(E66,6)="TÉRREO",0,IFERROR(VALUE(LEFT(E66,FIND("º",SUBSTITUTE(E66,"°","º"))-1)),""))))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DISTRIBUIÇÃO ELÉTRICA/QUADRO - DRYWALL</t>
        </is>
      </c>
      <c r="S66" s="4" t="inlineStr">
        <is>
          <t>20</t>
        </is>
      </c>
      <c r="T66" s="4" t="inlineStr">
        <is>
          <t>Distribuição elétrica/quadro - drywall</t>
        </is>
      </c>
      <c r="U66" s="4" t="inlineStr">
        <is>
          <t>SIM</t>
        </is>
      </c>
      <c r="V66" s="2">
        <f>IF(R66="","",COUNTIF($C$5:$C$3004,R66))</f>
        <v/>
      </c>
      <c r="W66" s="2">
        <f>IF(R66="","",COUNTIFS($C$5:$C$3004,R66,$O$5:$O$3004,"CONCLUÍDA"))</f>
        <v/>
      </c>
      <c r="X66" s="2">
        <f>IF(R66="","",COUNTIFS($C$5:$C$3004,R66,$O$5:$O$3004,"EM ANDAMENTO"))</f>
        <v/>
      </c>
      <c r="Y66" s="2">
        <f>IF(R66="","",IF(COUNTIFS($C$5:$C$3004,R66,$O$5:$O$3004,"CONCLUÍDA",$N$5:$N$3004,"&gt;=-1")=0,"",_xlfn.MAXIFS($N$5:$N$3004,$C$5:$C$3004,R66,$O$5:$O$3004,"CONCLUÍDA")))</f>
        <v/>
      </c>
      <c r="Z66" s="2">
        <f>IF(R66="","",IF(COUNTIFS($C$5:$C$3004,R66,$O$5:$O$3004,"EM ANDAMENTO",$N$5:$N$3004,"&gt;=-1")=0,"",_xlfn.MAXIFS($N$5:$N$3004,$C$5:$C$3004,R66,$O$5:$O$3004,"EM ANDAMENTO")))</f>
        <v/>
      </c>
      <c r="AA66" s="2">
        <f>IF(OR(R66="",S66="",U66&lt;&gt;"SIM",V66=0),"",IF(W66+X66=0,"",T66&amp;": "&amp;IF(W66=V66,"concluído",IF(W66=0,"em execução"&amp;IF(Z66&lt;&gt;""," ("&amp;IF(Z66=-1,"subsolo",IF(Z66=0,"térreo",Z66&amp;"º pav."))&amp;")",""),IF(Y66&lt;&gt;"","até "&amp;IF(Y66=-1,"subsolo",IF(Y66=0,"térreo",Y66&amp;"º pav.")),W66&amp;" de "&amp;V66&amp;" concluídas")&amp;IF(Z66="","",IF(OR(Y66="",Z66&gt;Y66),", executando "&amp;IF(Z66=-1,"subsolo",IF(Z66=0,"térreo",Z66&amp;"º pav."))," (restam serviços no "&amp;IF(Z66=-1,"subsolo",IF(Z66=0,"térreo",Z66&amp;"º pav."))&amp;")"))))))</f>
        <v/>
      </c>
    </row>
    <row r="67">
      <c r="B67" s="4" t="n">
        <v>13584647</v>
      </c>
      <c r="C67" s="4" t="inlineStr">
        <is>
          <t>FUNDAÇÃO PROFUNDA</t>
        </is>
      </c>
      <c r="D67" s="4" t="inlineStr">
        <is>
          <t>P901AF e P901E</t>
        </is>
      </c>
      <c r="E67" s="4" t="inlineStr">
        <is>
          <t>SERVIÇOS INICIAIS</t>
        </is>
      </c>
      <c r="F67" s="118" t="n">
        <v>45987</v>
      </c>
      <c r="G67" s="118" t="n">
        <v>45987</v>
      </c>
      <c r="H67" s="118" t="n">
        <v>46289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IF(E67="","",IF(LEFT(E67,7)="SUBSOLO",-1,IF(LEFT(E67,6)="TÉRREO",0,IFERROR(VALUE(LEFT(E67,FIND("º",SUBSTITUTE(E67,"°","º"))-1)),""))))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DISTRIBUIÇÃO HIDRÁULICA - DRYWALL</t>
        </is>
      </c>
      <c r="S67" s="4" t="inlineStr">
        <is>
          <t>21</t>
        </is>
      </c>
      <c r="T67" s="4" t="inlineStr">
        <is>
          <t>Distribuição hidráulica - drywall</t>
        </is>
      </c>
      <c r="U67" s="4" t="inlineStr">
        <is>
          <t>SIM</t>
        </is>
      </c>
      <c r="V67" s="2">
        <f>IF(R67="","",COUNTIF($C$5:$C$3004,R67))</f>
        <v/>
      </c>
      <c r="W67" s="2">
        <f>IF(R67="","",COUNTIFS($C$5:$C$3004,R67,$O$5:$O$3004,"CONCLUÍDA"))</f>
        <v/>
      </c>
      <c r="X67" s="2">
        <f>IF(R67="","",COUNTIFS($C$5:$C$3004,R67,$O$5:$O$3004,"EM ANDAMENTO"))</f>
        <v/>
      </c>
      <c r="Y67" s="2">
        <f>IF(R67="","",IF(COUNTIFS($C$5:$C$3004,R67,$O$5:$O$3004,"CONCLUÍDA",$N$5:$N$3004,"&gt;=-1")=0,"",_xlfn.MAXIFS($N$5:$N$3004,$C$5:$C$3004,R67,$O$5:$O$3004,"CONCLUÍDA")))</f>
        <v/>
      </c>
      <c r="Z67" s="2">
        <f>IF(R67="","",IF(COUNTIFS($C$5:$C$3004,R67,$O$5:$O$3004,"EM ANDAMENTO",$N$5:$N$3004,"&gt;=-1")=0,"",_xlfn.MAXIFS($N$5:$N$3004,$C$5:$C$3004,R67,$O$5:$O$3004,"EM ANDAMENTO")))</f>
        <v/>
      </c>
      <c r="AA67" s="2">
        <f>IF(OR(R67="",S67="",U67&lt;&gt;"SIM",V67=0),"",IF(W67+X67=0,"",T67&amp;": "&amp;IF(W67=V67,"concluído",IF(W67=0,"em execução"&amp;IF(Z67&lt;&gt;""," ("&amp;IF(Z67=-1,"subsolo",IF(Z67=0,"térreo",Z67&amp;"º pav."))&amp;")",""),IF(Y67&lt;&gt;"","até "&amp;IF(Y67=-1,"subsolo",IF(Y67=0,"térreo",Y67&amp;"º pav.")),W67&amp;" de "&amp;V67&amp;" concluídas")&amp;IF(Z67="","",IF(OR(Y67="",Z67&gt;Y67),", executando "&amp;IF(Z67=-1,"subsolo",IF(Z67=0,"térreo",Z67&amp;"º pav."))," (restam serviços no "&amp;IF(Z67=-1,"subsolo",IF(Z67=0,"térreo",Z67&amp;"º pav."))&amp;")"))))))</f>
        <v/>
      </c>
    </row>
    <row r="68">
      <c r="B68" s="4" t="n">
        <v>13584648</v>
      </c>
      <c r="C68" s="4" t="inlineStr">
        <is>
          <t>FUNDAÇÃO PROFUNDA</t>
        </is>
      </c>
      <c r="D68" s="4" t="inlineStr">
        <is>
          <t>P901AH e P901N</t>
        </is>
      </c>
      <c r="E68" s="4" t="inlineStr">
        <is>
          <t>SERVIÇOS INICIAIS</t>
        </is>
      </c>
      <c r="F68" s="118" t="n">
        <v>45988</v>
      </c>
      <c r="G68" s="118" t="n">
        <v>45988</v>
      </c>
      <c r="H68" s="118" t="n">
        <v>46289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IF(E68="","",IF(LEFT(E68,7)="SUBSOLO",-1,IF(LEFT(E68,6)="TÉRREO",0,IFERROR(VALUE(LEFT(E68,FIND("º",SUBSTITUTE(E68,"°","º"))-1)),""))))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INFRAESTRUTURA - AR CONDICIONADO</t>
        </is>
      </c>
      <c r="S68" s="4" t="inlineStr">
        <is>
          <t>23</t>
        </is>
      </c>
      <c r="T68" s="4" t="inlineStr">
        <is>
          <t>Infraestrutura - ar condicionado</t>
        </is>
      </c>
      <c r="U68" s="4" t="inlineStr">
        <is>
          <t>SIM</t>
        </is>
      </c>
      <c r="V68" s="2">
        <f>IF(R68="","",COUNTIF($C$5:$C$3004,R68))</f>
        <v/>
      </c>
      <c r="W68" s="2">
        <f>IF(R68="","",COUNTIFS($C$5:$C$3004,R68,$O$5:$O$3004,"CONCLUÍDA"))</f>
        <v/>
      </c>
      <c r="X68" s="2">
        <f>IF(R68="","",COUNTIFS($C$5:$C$3004,R68,$O$5:$O$3004,"EM ANDAMENTO"))</f>
        <v/>
      </c>
      <c r="Y68" s="2">
        <f>IF(R68="","",IF(COUNTIFS($C$5:$C$3004,R68,$O$5:$O$3004,"CONCLUÍDA",$N$5:$N$3004,"&gt;=-1")=0,"",_xlfn.MAXIFS($N$5:$N$3004,$C$5:$C$3004,R68,$O$5:$O$3004,"CONCLUÍDA")))</f>
        <v/>
      </c>
      <c r="Z68" s="2">
        <f>IF(R68="","",IF(COUNTIFS($C$5:$C$3004,R68,$O$5:$O$3004,"EM ANDAMENTO",$N$5:$N$3004,"&gt;=-1")=0,"",_xlfn.MAXIFS($N$5:$N$3004,$C$5:$C$3004,R68,$O$5:$O$3004,"EM ANDAMENTO")))</f>
        <v/>
      </c>
      <c r="AA68" s="2">
        <f>IF(OR(R68="",S68="",U68&lt;&gt;"SIM",V68=0),"",IF(W68+X68=0,"",T68&amp;": "&amp;IF(W68=V68,"concluído",IF(W68=0,"em execução"&amp;IF(Z68&lt;&gt;""," ("&amp;IF(Z68=-1,"subsolo",IF(Z68=0,"térreo",Z68&amp;"º pav."))&amp;")",""),IF(Y68&lt;&gt;"","até "&amp;IF(Y68=-1,"subsolo",IF(Y68=0,"térreo",Y68&amp;"º pav.")),W68&amp;" de "&amp;V68&amp;" concluídas")&amp;IF(Z68="","",IF(OR(Y68="",Z68&gt;Y68),", executando "&amp;IF(Z68=-1,"subsolo",IF(Z68=0,"térreo",Z68&amp;"º pav."))," (restam serviços no "&amp;IF(Z68=-1,"subsolo",IF(Z68=0,"térreo",Z68&amp;"º pav."))&amp;")"))))))</f>
        <v/>
      </c>
    </row>
    <row r="69">
      <c r="B69" s="4" t="n">
        <v>13584649</v>
      </c>
      <c r="C69" s="4" t="inlineStr">
        <is>
          <t>FUNDAÇÃO PROFUNDA</t>
        </is>
      </c>
      <c r="D69" s="4" t="inlineStr">
        <is>
          <t>P901K e P901X</t>
        </is>
      </c>
      <c r="E69" s="4" t="inlineStr">
        <is>
          <t>SERVIÇOS INICIAIS</t>
        </is>
      </c>
      <c r="F69" s="118" t="n">
        <v>45989</v>
      </c>
      <c r="G69" s="118" t="n">
        <v>45989</v>
      </c>
      <c r="H69" s="118" t="n">
        <v>46289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IF(E69="","",IF(LEFT(E69,7)="SUBSOLO",-1,IF(LEFT(E69,6)="TÉRREO",0,IFERROR(VALUE(LEFT(E69,FIND("º",SUBSTITUTE(E69,"°","º"))-1)),""))))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DRYWALL 2º FACE</t>
        </is>
      </c>
      <c r="S69" s="4" t="inlineStr">
        <is>
          <t>18</t>
        </is>
      </c>
      <c r="T69" s="4" t="inlineStr">
        <is>
          <t>Drywall 2ª face</t>
        </is>
      </c>
      <c r="U69" s="4" t="inlineStr">
        <is>
          <t>SIM</t>
        </is>
      </c>
      <c r="V69" s="2">
        <f>IF(R69="","",COUNTIF($C$5:$C$3004,R69))</f>
        <v/>
      </c>
      <c r="W69" s="2">
        <f>IF(R69="","",COUNTIFS($C$5:$C$3004,R69,$O$5:$O$3004,"CONCLUÍDA"))</f>
        <v/>
      </c>
      <c r="X69" s="2">
        <f>IF(R69="","",COUNTIFS($C$5:$C$3004,R69,$O$5:$O$3004,"EM ANDAMENTO"))</f>
        <v/>
      </c>
      <c r="Y69" s="2">
        <f>IF(R69="","",IF(COUNTIFS($C$5:$C$3004,R69,$O$5:$O$3004,"CONCLUÍDA",$N$5:$N$3004,"&gt;=-1")=0,"",_xlfn.MAXIFS($N$5:$N$3004,$C$5:$C$3004,R69,$O$5:$O$3004,"CONCLUÍDA")))</f>
        <v/>
      </c>
      <c r="Z69" s="2">
        <f>IF(R69="","",IF(COUNTIFS($C$5:$C$3004,R69,$O$5:$O$3004,"EM ANDAMENTO",$N$5:$N$3004,"&gt;=-1")=0,"",_xlfn.MAXIFS($N$5:$N$3004,$C$5:$C$3004,R69,$O$5:$O$3004,"EM ANDAMENTO")))</f>
        <v/>
      </c>
      <c r="AA69" s="2">
        <f>IF(OR(R69="",S69="",U69&lt;&gt;"SIM",V69=0),"",IF(W69+X69=0,"",T69&amp;": "&amp;IF(W69=V69,"concluído",IF(W69=0,"em execução"&amp;IF(Z69&lt;&gt;""," ("&amp;IF(Z69=-1,"subsolo",IF(Z69=0,"térreo",Z69&amp;"º pav."))&amp;")",""),IF(Y69&lt;&gt;"","até "&amp;IF(Y69=-1,"subsolo",IF(Y69=0,"térreo",Y69&amp;"º pav.")),W69&amp;" de "&amp;V69&amp;" concluídas")&amp;IF(Z69="","",IF(OR(Y69="",Z69&gt;Y69),", executando "&amp;IF(Z69=-1,"subsolo",IF(Z69=0,"térreo",Z69&amp;"º pav."))," (restam serviços no "&amp;IF(Z69=-1,"subsolo",IF(Z69=0,"térreo",Z69&amp;"º pav."))&amp;")"))))))</f>
        <v/>
      </c>
    </row>
    <row r="70">
      <c r="B70" s="4" t="n">
        <v>13584650</v>
      </c>
      <c r="C70" s="4" t="inlineStr">
        <is>
          <t>FUNDAÇÃO PROFUNDA</t>
        </is>
      </c>
      <c r="D70" s="4" t="inlineStr">
        <is>
          <t xml:space="preserve">P10A </t>
        </is>
      </c>
      <c r="E70" s="4" t="inlineStr">
        <is>
          <t>SERVIÇOS INICIAIS</t>
        </is>
      </c>
      <c r="F70" s="118" t="n">
        <v>45992</v>
      </c>
      <c r="G70" s="118" t="n">
        <v>45992</v>
      </c>
      <c r="H70" s="118" t="n">
        <v>46289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IF(E70="","",IF(LEFT(E70,7)="SUBSOLO",-1,IF(LEFT(E70,6)="TÉRREO",0,IFERROR(VALUE(LEFT(E70,FIND("º",SUBSTITUTE(E70,"°","º"))-1)),""))))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SERRALHERIA</t>
        </is>
      </c>
      <c r="S70" s="4" t="inlineStr">
        <is>
          <t>26</t>
        </is>
      </c>
      <c r="T70" s="4" t="inlineStr">
        <is>
          <t>Serralheria</t>
        </is>
      </c>
      <c r="U70" s="4" t="inlineStr">
        <is>
          <t>SIM</t>
        </is>
      </c>
      <c r="V70" s="2">
        <f>IF(R70="","",COUNTIF($C$5:$C$3004,R70))</f>
        <v/>
      </c>
      <c r="W70" s="2">
        <f>IF(R70="","",COUNTIFS($C$5:$C$3004,R70,$O$5:$O$3004,"CONCLUÍDA"))</f>
        <v/>
      </c>
      <c r="X70" s="2">
        <f>IF(R70="","",COUNTIFS($C$5:$C$3004,R70,$O$5:$O$3004,"EM ANDAMENTO"))</f>
        <v/>
      </c>
      <c r="Y70" s="2">
        <f>IF(R70="","",IF(COUNTIFS($C$5:$C$3004,R70,$O$5:$O$3004,"CONCLUÍDA",$N$5:$N$3004,"&gt;=-1")=0,"",_xlfn.MAXIFS($N$5:$N$3004,$C$5:$C$3004,R70,$O$5:$O$3004,"CONCLUÍDA")))</f>
        <v/>
      </c>
      <c r="Z70" s="2">
        <f>IF(R70="","",IF(COUNTIFS($C$5:$C$3004,R70,$O$5:$O$3004,"EM ANDAMENTO",$N$5:$N$3004,"&gt;=-1")=0,"",_xlfn.MAXIFS($N$5:$N$3004,$C$5:$C$3004,R70,$O$5:$O$3004,"EM ANDAMENTO")))</f>
        <v/>
      </c>
      <c r="AA70" s="2">
        <f>IF(OR(R70="",S70="",U70&lt;&gt;"SIM",V70=0),"",IF(W70+X70=0,"",T70&amp;": "&amp;IF(W70=V70,"concluído",IF(W70=0,"em execução"&amp;IF(Z70&lt;&gt;""," ("&amp;IF(Z70=-1,"subsolo",IF(Z70=0,"térreo",Z70&amp;"º pav."))&amp;")",""),IF(Y70&lt;&gt;"","até "&amp;IF(Y70=-1,"subsolo",IF(Y70=0,"térreo",Y70&amp;"º pav.")),W70&amp;" de "&amp;V70&amp;" concluídas")&amp;IF(Z70="","",IF(OR(Y70="",Z70&gt;Y70),", executando "&amp;IF(Z70=-1,"subsolo",IF(Z70=0,"térreo",Z70&amp;"º pav."))," (restam serviços no "&amp;IF(Z70=-1,"subsolo",IF(Z70=0,"térreo",Z70&amp;"º pav."))&amp;")"))))))</f>
        <v/>
      </c>
    </row>
    <row r="71">
      <c r="B71" s="4" t="n">
        <v>13584651</v>
      </c>
      <c r="C71" s="4" t="inlineStr">
        <is>
          <t>FUNDAÇÃO PROFUNDA</t>
        </is>
      </c>
      <c r="D71" s="4" t="inlineStr">
        <is>
          <t>P901P e P10C</t>
        </is>
      </c>
      <c r="E71" s="4" t="inlineStr">
        <is>
          <t>SERVIÇOS INICIAIS</t>
        </is>
      </c>
      <c r="F71" s="118" t="n">
        <v>45993</v>
      </c>
      <c r="G71" s="118" t="n">
        <v>45993</v>
      </c>
      <c r="H71" s="118" t="n">
        <v>46289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IF(E71="","",IF(LEFT(E71,7)="SUBSOLO",-1,IF(LEFT(E71,6)="TÉRREO",0,IFERROR(VALUE(LEFT(E71,FIND("º",SUBSTITUTE(E71,"°","º"))-1)),""))))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IMPERMEABILIZAÇÃO</t>
        </is>
      </c>
      <c r="S71" s="4" t="inlineStr">
        <is>
          <t>19</t>
        </is>
      </c>
      <c r="T71" s="4" t="inlineStr">
        <is>
          <t>Impermeabilização</t>
        </is>
      </c>
      <c r="U71" s="4" t="inlineStr">
        <is>
          <t>SIM</t>
        </is>
      </c>
      <c r="V71" s="2">
        <f>IF(R71="","",COUNTIF($C$5:$C$3004,R71))</f>
        <v/>
      </c>
      <c r="W71" s="2">
        <f>IF(R71="","",COUNTIFS($C$5:$C$3004,R71,$O$5:$O$3004,"CONCLUÍDA"))</f>
        <v/>
      </c>
      <c r="X71" s="2">
        <f>IF(R71="","",COUNTIFS($C$5:$C$3004,R71,$O$5:$O$3004,"EM ANDAMENTO"))</f>
        <v/>
      </c>
      <c r="Y71" s="2">
        <f>IF(R71="","",IF(COUNTIFS($C$5:$C$3004,R71,$O$5:$O$3004,"CONCLUÍDA",$N$5:$N$3004,"&gt;=-1")=0,"",_xlfn.MAXIFS($N$5:$N$3004,$C$5:$C$3004,R71,$O$5:$O$3004,"CONCLUÍDA")))</f>
        <v/>
      </c>
      <c r="Z71" s="2">
        <f>IF(R71="","",IF(COUNTIFS($C$5:$C$3004,R71,$O$5:$O$3004,"EM ANDAMENTO",$N$5:$N$3004,"&gt;=-1")=0,"",_xlfn.MAXIFS($N$5:$N$3004,$C$5:$C$3004,R71,$O$5:$O$3004,"EM ANDAMENTO")))</f>
        <v/>
      </c>
      <c r="AA71" s="2">
        <f>IF(OR(R71="",S71="",U71&lt;&gt;"SIM",V71=0),"",IF(W71+X71=0,"",T71&amp;": "&amp;IF(W71=V71,"concluído",IF(W71=0,"em execução"&amp;IF(Z71&lt;&gt;""," ("&amp;IF(Z71=-1,"subsolo",IF(Z71=0,"térreo",Z71&amp;"º pav."))&amp;")",""),IF(Y71&lt;&gt;"","até "&amp;IF(Y71=-1,"subsolo",IF(Y71=0,"térreo",Y71&amp;"º pav.")),W71&amp;" de "&amp;V71&amp;" concluídas")&amp;IF(Z71="","",IF(OR(Y71="",Z71&gt;Y71),", executando "&amp;IF(Z71=-1,"subsolo",IF(Z71=0,"térreo",Z71&amp;"º pav."))," (restam serviços no "&amp;IF(Z71=-1,"subsolo",IF(Z71=0,"térreo",Z71&amp;"º pav."))&amp;")"))))))</f>
        <v/>
      </c>
    </row>
    <row r="72">
      <c r="B72" s="4" t="n">
        <v>13584652</v>
      </c>
      <c r="C72" s="4" t="inlineStr">
        <is>
          <t>FUNDAÇÃO PROFUNDA</t>
        </is>
      </c>
      <c r="D72" s="4" t="inlineStr">
        <is>
          <t xml:space="preserve">P20D </t>
        </is>
      </c>
      <c r="E72" s="4" t="inlineStr">
        <is>
          <t>SERVIÇOS INICIAIS</t>
        </is>
      </c>
      <c r="F72" s="118" t="n">
        <v>45994</v>
      </c>
      <c r="G72" s="118" t="n">
        <v>45994</v>
      </c>
      <c r="H72" s="118" t="n">
        <v>46289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IF(E72="","",IF(LEFT(E72,7)="SUBSOLO",-1,IF(LEFT(E72,6)="TÉRREO",0,IFERROR(VALUE(LEFT(E72,FIND("º",SUBSTITUTE(E72,"°","º"))-1)),""))))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PREPARAÇÃO PARA FACHADA AERADA - F1 + F2 (1º ETAPA)</t>
        </is>
      </c>
      <c r="S72" s="4" t="inlineStr">
        <is>
          <t>32</t>
        </is>
      </c>
      <c r="T72" s="4" t="inlineStr">
        <is>
          <t>Preparação para fachada aerada - F1 + F2 (1º etapa)</t>
        </is>
      </c>
      <c r="U72" s="4" t="inlineStr">
        <is>
          <t>SIM</t>
        </is>
      </c>
      <c r="V72" s="2">
        <f>IF(R72="","",COUNTIF($C$5:$C$3004,R72))</f>
        <v/>
      </c>
      <c r="W72" s="2">
        <f>IF(R72="","",COUNTIFS($C$5:$C$3004,R72,$O$5:$O$3004,"CONCLUÍDA"))</f>
        <v/>
      </c>
      <c r="X72" s="2">
        <f>IF(R72="","",COUNTIFS($C$5:$C$3004,R72,$O$5:$O$3004,"EM ANDAMENTO"))</f>
        <v/>
      </c>
      <c r="Y72" s="2">
        <f>IF(R72="","",IF(COUNTIFS($C$5:$C$3004,R72,$O$5:$O$3004,"CONCLUÍDA",$N$5:$N$3004,"&gt;=-1")=0,"",_xlfn.MAXIFS($N$5:$N$3004,$C$5:$C$3004,R72,$O$5:$O$3004,"CONCLUÍDA")))</f>
        <v/>
      </c>
      <c r="Z72" s="2">
        <f>IF(R72="","",IF(COUNTIFS($C$5:$C$3004,R72,$O$5:$O$3004,"EM ANDAMENTO",$N$5:$N$3004,"&gt;=-1")=0,"",_xlfn.MAXIFS($N$5:$N$3004,$C$5:$C$3004,R72,$O$5:$O$3004,"EM ANDAMENTO")))</f>
        <v/>
      </c>
      <c r="AA72" s="2">
        <f>IF(OR(R72="",S72="",U72&lt;&gt;"SIM",V72=0),"",IF(W72+X72=0,"",T72&amp;": "&amp;IF(W72=V72,"concluído",IF(W72=0,"em execução"&amp;IF(Z72&lt;&gt;""," ("&amp;IF(Z72=-1,"subsolo",IF(Z72=0,"térreo",Z72&amp;"º pav."))&amp;")",""),IF(Y72&lt;&gt;"","até "&amp;IF(Y72=-1,"subsolo",IF(Y72=0,"térreo",Y72&amp;"º pav.")),W72&amp;" de "&amp;V72&amp;" concluídas")&amp;IF(Z72="","",IF(OR(Y72="",Z72&gt;Y72),", executando "&amp;IF(Z72=-1,"subsolo",IF(Z72=0,"térreo",Z72&amp;"º pav."))," (restam serviços no "&amp;IF(Z72=-1,"subsolo",IF(Z72=0,"térreo",Z72&amp;"º pav."))&amp;")"))))))</f>
        <v/>
      </c>
    </row>
    <row r="73">
      <c r="B73" s="4" t="n">
        <v>13584653</v>
      </c>
      <c r="C73" s="4" t="inlineStr">
        <is>
          <t>FUNDAÇÃO PROFUNDA</t>
        </is>
      </c>
      <c r="D73" s="4" t="inlineStr">
        <is>
          <t>P901Q e P901L</t>
        </is>
      </c>
      <c r="E73" s="4" t="inlineStr">
        <is>
          <t>SERVIÇOS INICIAIS</t>
        </is>
      </c>
      <c r="F73" s="118" t="n">
        <v>45995</v>
      </c>
      <c r="G73" s="118" t="n">
        <v>45995</v>
      </c>
      <c r="H73" s="118" t="n">
        <v>46289</v>
      </c>
      <c r="I73" s="4" t="n">
        <v>100</v>
      </c>
      <c r="J73" s="4" t="n">
        <v>100</v>
      </c>
      <c r="K73" s="4" t="n">
        <v>100</v>
      </c>
      <c r="M73" s="2">
        <f>IF(C73="","",IFERROR(INDEX($S$5:$S$304,MATCH(C73,$R$5:$R$304,0))&amp;"","?"))</f>
        <v/>
      </c>
      <c r="N73" s="2">
        <f>IF(E73="","",IF(LEFT(E73,7)="SUBSOLO",-1,IF(LEFT(E73,6)="TÉRREO",0,IFERROR(VALUE(LEFT(E73,FIND("º",SUBSTITUTE(E73,"°","º"))-1)),""))))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REVESTIMENTO PORCELANATO PAREDE</t>
        </is>
      </c>
      <c r="S73" s="4" t="inlineStr">
        <is>
          <t>30</t>
        </is>
      </c>
      <c r="T73" s="4" t="inlineStr">
        <is>
          <t>Revestimento porcelanato parede</t>
        </is>
      </c>
      <c r="U73" s="4" t="inlineStr">
        <is>
          <t>SIM</t>
        </is>
      </c>
      <c r="V73" s="2">
        <f>IF(R73="","",COUNTIF($C$5:$C$3004,R73))</f>
        <v/>
      </c>
      <c r="W73" s="2">
        <f>IF(R73="","",COUNTIFS($C$5:$C$3004,R73,$O$5:$O$3004,"CONCLUÍDA"))</f>
        <v/>
      </c>
      <c r="X73" s="2">
        <f>IF(R73="","",COUNTIFS($C$5:$C$3004,R73,$O$5:$O$3004,"EM ANDAMENTO"))</f>
        <v/>
      </c>
      <c r="Y73" s="2">
        <f>IF(R73="","",IF(COUNTIFS($C$5:$C$3004,R73,$O$5:$O$3004,"CONCLUÍDA",$N$5:$N$3004,"&gt;=-1")=0,"",_xlfn.MAXIFS($N$5:$N$3004,$C$5:$C$3004,R73,$O$5:$O$3004,"CONCLUÍDA")))</f>
        <v/>
      </c>
      <c r="Z73" s="2">
        <f>IF(R73="","",IF(COUNTIFS($C$5:$C$3004,R73,$O$5:$O$3004,"EM ANDAMENTO",$N$5:$N$3004,"&gt;=-1")=0,"",_xlfn.MAXIFS($N$5:$N$3004,$C$5:$C$3004,R73,$O$5:$O$3004,"EM ANDAMENTO")))</f>
        <v/>
      </c>
      <c r="AA73" s="2">
        <f>IF(OR(R73="",S73="",U73&lt;&gt;"SIM",V73=0),"",IF(W73+X73=0,"",T73&amp;": "&amp;IF(W73=V73,"concluído",IF(W73=0,"em execução"&amp;IF(Z73&lt;&gt;""," ("&amp;IF(Z73=-1,"subsolo",IF(Z73=0,"térreo",Z73&amp;"º pav."))&amp;")",""),IF(Y73&lt;&gt;"","até "&amp;IF(Y73=-1,"subsolo",IF(Y73=0,"térreo",Y73&amp;"º pav.")),W73&amp;" de "&amp;V73&amp;" concluídas")&amp;IF(Z73="","",IF(OR(Y73="",Z73&gt;Y73),", executando "&amp;IF(Z73=-1,"subsolo",IF(Z73=0,"térreo",Z73&amp;"º pav."))," (restam serviços no "&amp;IF(Z73=-1,"subsolo",IF(Z73=0,"térreo",Z73&amp;"º pav."))&amp;")"))))))</f>
        <v/>
      </c>
    </row>
    <row r="74">
      <c r="B74" s="4" t="n">
        <v>13584654</v>
      </c>
      <c r="C74" s="4" t="inlineStr">
        <is>
          <t>FUNDAÇÃO PROFUNDA</t>
        </is>
      </c>
      <c r="D74" s="4" t="inlineStr">
        <is>
          <t>P901R</t>
        </is>
      </c>
      <c r="E74" s="4" t="inlineStr">
        <is>
          <t>SERVIÇOS INICIAIS</t>
        </is>
      </c>
      <c r="F74" s="118" t="n">
        <v>45996</v>
      </c>
      <c r="G74" s="118" t="n">
        <v>45996</v>
      </c>
      <c r="H74" s="118" t="n">
        <v>46289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IF(E74="","",IF(LEFT(E74,7)="SUBSOLO",-1,IF(LEFT(E74,6)="TÉRREO",0,IFERROR(VALUE(LEFT(E74,FIND("º",SUBSTITUTE(E74,"°","º"))-1)),""))))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FACHADA LOJA</t>
        </is>
      </c>
      <c r="S74" s="4" t="inlineStr">
        <is>
          <t>32</t>
        </is>
      </c>
      <c r="T74" s="4" t="inlineStr">
        <is>
          <t>Fachada loja</t>
        </is>
      </c>
      <c r="U74" s="4" t="inlineStr">
        <is>
          <t>SIM</t>
        </is>
      </c>
      <c r="V74" s="2">
        <f>IF(R74="","",COUNTIF($C$5:$C$3004,R74))</f>
        <v/>
      </c>
      <c r="W74" s="2">
        <f>IF(R74="","",COUNTIFS($C$5:$C$3004,R74,$O$5:$O$3004,"CONCLUÍDA"))</f>
        <v/>
      </c>
      <c r="X74" s="2">
        <f>IF(R74="","",COUNTIFS($C$5:$C$3004,R74,$O$5:$O$3004,"EM ANDAMENTO"))</f>
        <v/>
      </c>
      <c r="Y74" s="2">
        <f>IF(R74="","",IF(COUNTIFS($C$5:$C$3004,R74,$O$5:$O$3004,"CONCLUÍDA",$N$5:$N$3004,"&gt;=-1")=0,"",_xlfn.MAXIFS($N$5:$N$3004,$C$5:$C$3004,R74,$O$5:$O$3004,"CONCLUÍDA")))</f>
        <v/>
      </c>
      <c r="Z74" s="2">
        <f>IF(R74="","",IF(COUNTIFS($C$5:$C$3004,R74,$O$5:$O$3004,"EM ANDAMENTO",$N$5:$N$3004,"&gt;=-1")=0,"",_xlfn.MAXIFS($N$5:$N$3004,$C$5:$C$3004,R74,$O$5:$O$3004,"EM ANDAMENTO")))</f>
        <v/>
      </c>
      <c r="AA74" s="2">
        <f>IF(OR(R74="",S74="",U74&lt;&gt;"SIM",V74=0),"",IF(W74+X74=0,"",T74&amp;": "&amp;IF(W74=V74,"concluído",IF(W74=0,"em execução"&amp;IF(Z74&lt;&gt;""," ("&amp;IF(Z74=-1,"subsolo",IF(Z74=0,"térreo",Z74&amp;"º pav."))&amp;")",""),IF(Y74&lt;&gt;"","até "&amp;IF(Y74=-1,"subsolo",IF(Y74=0,"térreo",Y74&amp;"º pav.")),W74&amp;" de "&amp;V74&amp;" concluídas")&amp;IF(Z74="","",IF(OR(Y74="",Z74&gt;Y74),", executando "&amp;IF(Z74=-1,"subsolo",IF(Z74=0,"térreo",Z74&amp;"º pav."))," (restam serviços no "&amp;IF(Z74=-1,"subsolo",IF(Z74=0,"térreo",Z74&amp;"º pav."))&amp;")"))))))</f>
        <v/>
      </c>
    </row>
    <row r="75">
      <c r="B75" s="4" t="n">
        <v>13584655</v>
      </c>
      <c r="C75" s="4" t="inlineStr">
        <is>
          <t>FUNDAÇÃO PROFUNDA</t>
        </is>
      </c>
      <c r="D75" s="4" t="inlineStr">
        <is>
          <t>P901AC e P10B</t>
        </is>
      </c>
      <c r="E75" s="4" t="inlineStr">
        <is>
          <t>SERVIÇOS INICIAIS</t>
        </is>
      </c>
      <c r="F75" s="118" t="n">
        <v>46000</v>
      </c>
      <c r="G75" s="118" t="n">
        <v>46000</v>
      </c>
      <c r="H75" s="118" t="n">
        <v>46289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IF(E75="","",IF(LEFT(E75,7)="SUBSOLO",-1,IF(LEFT(E75,6)="TÉRREO",0,IFERROR(VALUE(LEFT(E75,FIND("º",SUBSTITUTE(E75,"°","º"))-1)),""))))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REVESTIMENTOS PORCELANATO PISO</t>
        </is>
      </c>
      <c r="S75" s="4" t="inlineStr">
        <is>
          <t>30</t>
        </is>
      </c>
      <c r="T75" s="4" t="inlineStr">
        <is>
          <t>Revestimentos porcelanato piso</t>
        </is>
      </c>
      <c r="U75" s="4" t="inlineStr">
        <is>
          <t>SIM</t>
        </is>
      </c>
      <c r="V75" s="2">
        <f>IF(R75="","",COUNTIF($C$5:$C$3004,R75))</f>
        <v/>
      </c>
      <c r="W75" s="2">
        <f>IF(R75="","",COUNTIFS($C$5:$C$3004,R75,$O$5:$O$3004,"CONCLUÍDA"))</f>
        <v/>
      </c>
      <c r="X75" s="2">
        <f>IF(R75="","",COUNTIFS($C$5:$C$3004,R75,$O$5:$O$3004,"EM ANDAMENTO"))</f>
        <v/>
      </c>
      <c r="Y75" s="2">
        <f>IF(R75="","",IF(COUNTIFS($C$5:$C$3004,R75,$O$5:$O$3004,"CONCLUÍDA",$N$5:$N$3004,"&gt;=-1")=0,"",_xlfn.MAXIFS($N$5:$N$3004,$C$5:$C$3004,R75,$O$5:$O$3004,"CONCLUÍDA")))</f>
        <v/>
      </c>
      <c r="Z75" s="2">
        <f>IF(R75="","",IF(COUNTIFS($C$5:$C$3004,R75,$O$5:$O$3004,"EM ANDAMENTO",$N$5:$N$3004,"&gt;=-1")=0,"",_xlfn.MAXIFS($N$5:$N$3004,$C$5:$C$3004,R75,$O$5:$O$3004,"EM ANDAMENTO")))</f>
        <v/>
      </c>
      <c r="AA75" s="2">
        <f>IF(OR(R75="",S75="",U75&lt;&gt;"SIM",V75=0),"",IF(W75+X75=0,"",T75&amp;": "&amp;IF(W75=V75,"concluído",IF(W75=0,"em execução"&amp;IF(Z75&lt;&gt;""," ("&amp;IF(Z75=-1,"subsolo",IF(Z75=0,"térreo",Z75&amp;"º pav."))&amp;")",""),IF(Y75&lt;&gt;"","até "&amp;IF(Y75=-1,"subsolo",IF(Y75=0,"térreo",Y75&amp;"º pav.")),W75&amp;" de "&amp;V75&amp;" concluídas")&amp;IF(Z75="","",IF(OR(Y75="",Z75&gt;Y75),", executando "&amp;IF(Z75=-1,"subsolo",IF(Z75=0,"térreo",Z75&amp;"º pav."))," (restam serviços no "&amp;IF(Z75=-1,"subsolo",IF(Z75=0,"térreo",Z75&amp;"º pav."))&amp;")"))))))</f>
        <v/>
      </c>
    </row>
    <row r="76">
      <c r="B76" s="4" t="n">
        <v>13584656</v>
      </c>
      <c r="C76" s="4" t="inlineStr">
        <is>
          <t>FUNDAÇÃO PROFUNDA</t>
        </is>
      </c>
      <c r="D76" s="4" t="inlineStr">
        <is>
          <t xml:space="preserve">P11C </t>
        </is>
      </c>
      <c r="E76" s="4" t="inlineStr">
        <is>
          <t>SERVIÇOS INICIAIS</t>
        </is>
      </c>
      <c r="F76" s="118" t="n">
        <v>46001</v>
      </c>
      <c r="G76" s="118" t="n">
        <v>46001</v>
      </c>
      <c r="H76" s="118" t="n">
        <v>46289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IF(E76="","",IF(LEFT(E76,7)="SUBSOLO",-1,IF(LEFT(E76,6)="TÉRREO",0,IFERROR(VALUE(LEFT(E76,FIND("º",SUBSTITUTE(E76,"°","º"))-1)),""))))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FACHADA AERADA - F1 + F2 (1º ETAPA)</t>
        </is>
      </c>
      <c r="S76" s="4" t="inlineStr">
        <is>
          <t>32</t>
        </is>
      </c>
      <c r="T76" s="4" t="inlineStr">
        <is>
          <t>Fachada aerada - F1 + F2 (1º etapa)</t>
        </is>
      </c>
      <c r="U76" s="4" t="inlineStr">
        <is>
          <t>SIM</t>
        </is>
      </c>
      <c r="V76" s="2">
        <f>IF(R76="","",COUNTIF($C$5:$C$3004,R76))</f>
        <v/>
      </c>
      <c r="W76" s="2">
        <f>IF(R76="","",COUNTIFS($C$5:$C$3004,R76,$O$5:$O$3004,"CONCLUÍDA"))</f>
        <v/>
      </c>
      <c r="X76" s="2">
        <f>IF(R76="","",COUNTIFS($C$5:$C$3004,R76,$O$5:$O$3004,"EM ANDAMENTO"))</f>
        <v/>
      </c>
      <c r="Y76" s="2">
        <f>IF(R76="","",IF(COUNTIFS($C$5:$C$3004,R76,$O$5:$O$3004,"CONCLUÍDA",$N$5:$N$3004,"&gt;=-1")=0,"",_xlfn.MAXIFS($N$5:$N$3004,$C$5:$C$3004,R76,$O$5:$O$3004,"CONCLUÍDA")))</f>
        <v/>
      </c>
      <c r="Z76" s="2">
        <f>IF(R76="","",IF(COUNTIFS($C$5:$C$3004,R76,$O$5:$O$3004,"EM ANDAMENTO",$N$5:$N$3004,"&gt;=-1")=0,"",_xlfn.MAXIFS($N$5:$N$3004,$C$5:$C$3004,R76,$O$5:$O$3004,"EM ANDAMENTO")))</f>
        <v/>
      </c>
      <c r="AA76" s="2">
        <f>IF(OR(R76="",S76="",U76&lt;&gt;"SIM",V76=0),"",IF(W76+X76=0,"",T76&amp;": "&amp;IF(W76=V76,"concluído",IF(W76=0,"em execução"&amp;IF(Z76&lt;&gt;""," ("&amp;IF(Z76=-1,"subsolo",IF(Z76=0,"térreo",Z76&amp;"º pav."))&amp;")",""),IF(Y76&lt;&gt;"","até "&amp;IF(Y76=-1,"subsolo",IF(Y76=0,"térreo",Y76&amp;"º pav.")),W76&amp;" de "&amp;V76&amp;" concluídas")&amp;IF(Z76="","",IF(OR(Y76="",Z76&gt;Y76),", executando "&amp;IF(Z76=-1,"subsolo",IF(Z76=0,"térreo",Z76&amp;"º pav."))," (restam serviços no "&amp;IF(Z76=-1,"subsolo",IF(Z76=0,"térreo",Z76&amp;"º pav."))&amp;")"))))))</f>
        <v/>
      </c>
    </row>
    <row r="77">
      <c r="B77" s="4" t="n">
        <v>13584657</v>
      </c>
      <c r="C77" s="4" t="inlineStr">
        <is>
          <t>FUNDAÇÃO PROFUNDA</t>
        </is>
      </c>
      <c r="D77" s="4" t="inlineStr">
        <is>
          <t>P901G e P11A</t>
        </is>
      </c>
      <c r="E77" s="4" t="inlineStr">
        <is>
          <t>SERVIÇOS INICIAIS</t>
        </is>
      </c>
      <c r="F77" s="118" t="n">
        <v>46002</v>
      </c>
      <c r="G77" s="118" t="n">
        <v>46002</v>
      </c>
      <c r="H77" s="118" t="n">
        <v>46289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IF(E77="","",IF(LEFT(E77,7)="SUBSOLO",-1,IF(LEFT(E77,6)="TÉRREO",0,IFERROR(VALUE(LEFT(E77,FIND("º",SUBSTITUTE(E77,"°","º"))-1)),""))))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DRYWALL</t>
        </is>
      </c>
      <c r="S77" s="4" t="inlineStr">
        <is>
          <t>18</t>
        </is>
      </c>
      <c r="T77" s="4" t="inlineStr">
        <is>
          <t>Drywall</t>
        </is>
      </c>
      <c r="U77" s="4" t="inlineStr">
        <is>
          <t>SIM</t>
        </is>
      </c>
      <c r="V77" s="2">
        <f>IF(R77="","",COUNTIF($C$5:$C$3004,R77))</f>
        <v/>
      </c>
      <c r="W77" s="2">
        <f>IF(R77="","",COUNTIFS($C$5:$C$3004,R77,$O$5:$O$3004,"CONCLUÍDA"))</f>
        <v/>
      </c>
      <c r="X77" s="2">
        <f>IF(R77="","",COUNTIFS($C$5:$C$3004,R77,$O$5:$O$3004,"EM ANDAMENTO"))</f>
        <v/>
      </c>
      <c r="Y77" s="2">
        <f>IF(R77="","",IF(COUNTIFS($C$5:$C$3004,R77,$O$5:$O$3004,"CONCLUÍDA",$N$5:$N$3004,"&gt;=-1")=0,"",_xlfn.MAXIFS($N$5:$N$3004,$C$5:$C$3004,R77,$O$5:$O$3004,"CONCLUÍDA")))</f>
        <v/>
      </c>
      <c r="Z77" s="2">
        <f>IF(R77="","",IF(COUNTIFS($C$5:$C$3004,R77,$O$5:$O$3004,"EM ANDAMENTO",$N$5:$N$3004,"&gt;=-1")=0,"",_xlfn.MAXIFS($N$5:$N$3004,$C$5:$C$3004,R77,$O$5:$O$3004,"EM ANDAMENTO")))</f>
        <v/>
      </c>
      <c r="AA77" s="2">
        <f>IF(OR(R77="",S77="",U77&lt;&gt;"SIM",V77=0),"",IF(W77+X77=0,"",T77&amp;": "&amp;IF(W77=V77,"concluído",IF(W77=0,"em execução"&amp;IF(Z77&lt;&gt;""," ("&amp;IF(Z77=-1,"subsolo",IF(Z77=0,"térreo",Z77&amp;"º pav."))&amp;")",""),IF(Y77&lt;&gt;"","até "&amp;IF(Y77=-1,"subsolo",IF(Y77=0,"térreo",Y77&amp;"º pav.")),W77&amp;" de "&amp;V77&amp;" concluídas")&amp;IF(Z77="","",IF(OR(Y77="",Z77&gt;Y77),", executando "&amp;IF(Z77=-1,"subsolo",IF(Z77=0,"térreo",Z77&amp;"º pav."))," (restam serviços no "&amp;IF(Z77=-1,"subsolo",IF(Z77=0,"térreo",Z77&amp;"º pav."))&amp;")"))))))</f>
        <v/>
      </c>
    </row>
    <row r="78">
      <c r="B78" s="4" t="n">
        <v>13584658</v>
      </c>
      <c r="C78" s="4" t="inlineStr">
        <is>
          <t>FUNDAÇÃO PROFUNDA</t>
        </is>
      </c>
      <c r="D78" s="4" t="inlineStr">
        <is>
          <t>P901T</t>
        </is>
      </c>
      <c r="E78" s="4" t="inlineStr">
        <is>
          <t>SERVIÇOS INICIAIS</t>
        </is>
      </c>
      <c r="F78" s="118" t="n">
        <v>46003</v>
      </c>
      <c r="G78" s="118" t="n">
        <v>46003</v>
      </c>
      <c r="H78" s="118" t="n">
        <v>46289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IF(E78="","",IF(LEFT(E78,7)="SUBSOLO",-1,IF(LEFT(E78,6)="TÉRREO",0,IFERROR(VALUE(LEFT(E78,FIND("º",SUBSTITUTE(E78,"°","º"))-1)),""))))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INSTALAÇÃO DE ADUELAS (ELEVADORES)</t>
        </is>
      </c>
      <c r="S78" s="4" t="inlineStr">
        <is>
          <t>24</t>
        </is>
      </c>
      <c r="T78" s="4" t="inlineStr">
        <is>
          <t>Aduelas (elevadores)</t>
        </is>
      </c>
      <c r="U78" s="4" t="inlineStr">
        <is>
          <t>SIM</t>
        </is>
      </c>
      <c r="V78" s="2">
        <f>IF(R78="","",COUNTIF($C$5:$C$3004,R78))</f>
        <v/>
      </c>
      <c r="W78" s="2">
        <f>IF(R78="","",COUNTIFS($C$5:$C$3004,R78,$O$5:$O$3004,"CONCLUÍDA"))</f>
        <v/>
      </c>
      <c r="X78" s="2">
        <f>IF(R78="","",COUNTIFS($C$5:$C$3004,R78,$O$5:$O$3004,"EM ANDAMENTO"))</f>
        <v/>
      </c>
      <c r="Y78" s="2">
        <f>IF(R78="","",IF(COUNTIFS($C$5:$C$3004,R78,$O$5:$O$3004,"CONCLUÍDA",$N$5:$N$3004,"&gt;=-1")=0,"",_xlfn.MAXIFS($N$5:$N$3004,$C$5:$C$3004,R78,$O$5:$O$3004,"CONCLUÍDA")))</f>
        <v/>
      </c>
      <c r="Z78" s="2">
        <f>IF(R78="","",IF(COUNTIFS($C$5:$C$3004,R78,$O$5:$O$3004,"EM ANDAMENTO",$N$5:$N$3004,"&gt;=-1")=0,"",_xlfn.MAXIFS($N$5:$N$3004,$C$5:$C$3004,R78,$O$5:$O$3004,"EM ANDAMENTO")))</f>
        <v/>
      </c>
      <c r="AA78" s="2">
        <f>IF(OR(R78="",S78="",U78&lt;&gt;"SIM",V78=0),"",IF(W78+X78=0,"",T78&amp;": "&amp;IF(W78=V78,"concluído",IF(W78=0,"em execução"&amp;IF(Z78&lt;&gt;""," ("&amp;IF(Z78=-1,"subsolo",IF(Z78=0,"térreo",Z78&amp;"º pav."))&amp;")",""),IF(Y78&lt;&gt;"","até "&amp;IF(Y78=-1,"subsolo",IF(Y78=0,"térreo",Y78&amp;"º pav.")),W78&amp;" de "&amp;V78&amp;" concluídas")&amp;IF(Z78="","",IF(OR(Y78="",Z78&gt;Y78),", executando "&amp;IF(Z78=-1,"subsolo",IF(Z78=0,"térreo",Z78&amp;"º pav."))," (restam serviços no "&amp;IF(Z78=-1,"subsolo",IF(Z78=0,"térreo",Z78&amp;"º pav."))&amp;")"))))))</f>
        <v/>
      </c>
    </row>
    <row r="79">
      <c r="B79" s="4" t="n">
        <v>13584659</v>
      </c>
      <c r="C79" s="4" t="inlineStr">
        <is>
          <t>FUNDAÇÃO PROFUNDA</t>
        </is>
      </c>
      <c r="D79" s="4" t="inlineStr">
        <is>
          <t>P20B e P901AG</t>
        </is>
      </c>
      <c r="E79" s="4" t="inlineStr">
        <is>
          <t>SERVIÇOS INICIAIS</t>
        </is>
      </c>
      <c r="F79" s="118" t="n">
        <v>46006</v>
      </c>
      <c r="G79" s="118" t="n">
        <v>46006</v>
      </c>
      <c r="H79" s="118" t="n">
        <v>46289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IF(E79="","",IF(LEFT(E79,7)="SUBSOLO",-1,IF(LEFT(E79,6)="TÉRREO",0,IFERROR(VALUE(LEFT(E79,FIND("º",SUBSTITUTE(E79,"°","º"))-1)),""))))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REVESTIMENTO DE GRANITO PISO</t>
        </is>
      </c>
      <c r="S79" s="4" t="inlineStr">
        <is>
          <t>30</t>
        </is>
      </c>
      <c r="T79" s="4" t="inlineStr">
        <is>
          <t>Revestimento de granito piso</t>
        </is>
      </c>
      <c r="U79" s="4" t="inlineStr">
        <is>
          <t>NÃO</t>
        </is>
      </c>
      <c r="V79" s="2">
        <f>IF(R79="","",COUNTIF($C$5:$C$3004,R79))</f>
        <v/>
      </c>
      <c r="W79" s="2">
        <f>IF(R79="","",COUNTIFS($C$5:$C$3004,R79,$O$5:$O$3004,"CONCLUÍDA"))</f>
        <v/>
      </c>
      <c r="X79" s="2">
        <f>IF(R79="","",COUNTIFS($C$5:$C$3004,R79,$O$5:$O$3004,"EM ANDAMENTO"))</f>
        <v/>
      </c>
      <c r="Y79" s="2">
        <f>IF(R79="","",IF(COUNTIFS($C$5:$C$3004,R79,$O$5:$O$3004,"CONCLUÍDA",$N$5:$N$3004,"&gt;=-1")=0,"",_xlfn.MAXIFS($N$5:$N$3004,$C$5:$C$3004,R79,$O$5:$O$3004,"CONCLUÍDA")))</f>
        <v/>
      </c>
      <c r="Z79" s="2">
        <f>IF(R79="","",IF(COUNTIFS($C$5:$C$3004,R79,$O$5:$O$3004,"EM ANDAMENTO",$N$5:$N$3004,"&gt;=-1")=0,"",_xlfn.MAXIFS($N$5:$N$3004,$C$5:$C$3004,R79,$O$5:$O$3004,"EM ANDAMENTO")))</f>
        <v/>
      </c>
      <c r="AA79" s="2">
        <f>IF(OR(R79="",S79="",U79&lt;&gt;"SIM",V79=0),"",IF(W79+X79=0,"",T79&amp;": "&amp;IF(W79=V79,"concluído",IF(W79=0,"em execução"&amp;IF(Z79&lt;&gt;""," ("&amp;IF(Z79=-1,"subsolo",IF(Z79=0,"térreo",Z79&amp;"º pav."))&amp;")",""),IF(Y79&lt;&gt;"","até "&amp;IF(Y79=-1,"subsolo",IF(Y79=0,"térreo",Y79&amp;"º pav.")),W79&amp;" de "&amp;V79&amp;" concluídas")&amp;IF(Z79="","",IF(OR(Y79="",Z79&gt;Y79),", executando "&amp;IF(Z79=-1,"subsolo",IF(Z79=0,"térreo",Z79&amp;"º pav."))," (restam serviços no "&amp;IF(Z79=-1,"subsolo",IF(Z79=0,"térreo",Z79&amp;"º pav."))&amp;")"))))))</f>
        <v/>
      </c>
    </row>
    <row r="80">
      <c r="B80" s="4" t="n">
        <v>13584660</v>
      </c>
      <c r="C80" s="4" t="inlineStr">
        <is>
          <t>FUNDAÇÃO PROFUNDA</t>
        </is>
      </c>
      <c r="D80" s="4" t="inlineStr">
        <is>
          <t xml:space="preserve">P2B </t>
        </is>
      </c>
      <c r="E80" s="4" t="inlineStr">
        <is>
          <t>SERVIÇOS INICIAIS</t>
        </is>
      </c>
      <c r="F80" s="118" t="n">
        <v>46007</v>
      </c>
      <c r="G80" s="118" t="n">
        <v>46007</v>
      </c>
      <c r="H80" s="118" t="n">
        <v>46289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IF(E80="","",IF(LEFT(E80,7)="SUBSOLO",-1,IF(LEFT(E80,6)="TÉRREO",0,IFERROR(VALUE(LEFT(E80,FIND("º",SUBSTITUTE(E80,"°","º"))-1)),""))))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BANCADAS</t>
        </is>
      </c>
      <c r="S80" s="4" t="inlineStr">
        <is>
          <t>30</t>
        </is>
      </c>
      <c r="T80" s="4" t="inlineStr">
        <is>
          <t>Bancadas</t>
        </is>
      </c>
      <c r="U80" s="4" t="inlineStr">
        <is>
          <t>SIM</t>
        </is>
      </c>
      <c r="V80" s="2">
        <f>IF(R80="","",COUNTIF($C$5:$C$3004,R80))</f>
        <v/>
      </c>
      <c r="W80" s="2">
        <f>IF(R80="","",COUNTIFS($C$5:$C$3004,R80,$O$5:$O$3004,"CONCLUÍDA"))</f>
        <v/>
      </c>
      <c r="X80" s="2">
        <f>IF(R80="","",COUNTIFS($C$5:$C$3004,R80,$O$5:$O$3004,"EM ANDAMENTO"))</f>
        <v/>
      </c>
      <c r="Y80" s="2">
        <f>IF(R80="","",IF(COUNTIFS($C$5:$C$3004,R80,$O$5:$O$3004,"CONCLUÍDA",$N$5:$N$3004,"&gt;=-1")=0,"",_xlfn.MAXIFS($N$5:$N$3004,$C$5:$C$3004,R80,$O$5:$O$3004,"CONCLUÍDA")))</f>
        <v/>
      </c>
      <c r="Z80" s="2">
        <f>IF(R80="","",IF(COUNTIFS($C$5:$C$3004,R80,$O$5:$O$3004,"EM ANDAMENTO",$N$5:$N$3004,"&gt;=-1")=0,"",_xlfn.MAXIFS($N$5:$N$3004,$C$5:$C$3004,R80,$O$5:$O$3004,"EM ANDAMENTO")))</f>
        <v/>
      </c>
      <c r="AA80" s="2">
        <f>IF(OR(R80="",S80="",U80&lt;&gt;"SIM",V80=0),"",IF(W80+X80=0,"",T80&amp;": "&amp;IF(W80=V80,"concluído",IF(W80=0,"em execução"&amp;IF(Z80&lt;&gt;""," ("&amp;IF(Z80=-1,"subsolo",IF(Z80=0,"térreo",Z80&amp;"º pav."))&amp;")",""),IF(Y80&lt;&gt;"","até "&amp;IF(Y80=-1,"subsolo",IF(Y80=0,"térreo",Y80&amp;"º pav.")),W80&amp;" de "&amp;V80&amp;" concluídas")&amp;IF(Z80="","",IF(OR(Y80="",Z80&gt;Y80),", executando "&amp;IF(Z80=-1,"subsolo",IF(Z80=0,"térreo",Z80&amp;"º pav."))," (restam serviços no "&amp;IF(Z80=-1,"subsolo",IF(Z80=0,"térreo",Z80&amp;"º pav."))&amp;")"))))))</f>
        <v/>
      </c>
    </row>
    <row r="81">
      <c r="B81" s="4" t="n">
        <v>13584661</v>
      </c>
      <c r="C81" s="4" t="inlineStr">
        <is>
          <t>FUNDAÇÃO PROFUNDA</t>
        </is>
      </c>
      <c r="D81" s="4" t="inlineStr">
        <is>
          <t xml:space="preserve">P146 </t>
        </is>
      </c>
      <c r="E81" s="4" t="inlineStr">
        <is>
          <t>SERVIÇOS INICIAIS</t>
        </is>
      </c>
      <c r="F81" s="118" t="n">
        <v>46008</v>
      </c>
      <c r="G81" s="118" t="n">
        <v>46010</v>
      </c>
      <c r="H81" s="118" t="n">
        <v>46289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IF(E81="","",IF(LEFT(E81,7)="SUBSOLO",-1,IF(LEFT(E81,6)="TÉRREO",0,IFERROR(VALUE(LEFT(E81,FIND("º",SUBSTITUTE(E81,"°","º"))-1)),""))))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INSTALAÇÕES ELÉTRICAS</t>
        </is>
      </c>
      <c r="S81" s="4" t="inlineStr">
        <is>
          <t>20</t>
        </is>
      </c>
      <c r="T81" s="4" t="inlineStr">
        <is>
          <t>Inst. elétricas</t>
        </is>
      </c>
      <c r="U81" s="4" t="inlineStr">
        <is>
          <t>NÃO</t>
        </is>
      </c>
      <c r="V81" s="2">
        <f>IF(R81="","",COUNTIF($C$5:$C$3004,R81))</f>
        <v/>
      </c>
      <c r="W81" s="2">
        <f>IF(R81="","",COUNTIFS($C$5:$C$3004,R81,$O$5:$O$3004,"CONCLUÍDA"))</f>
        <v/>
      </c>
      <c r="X81" s="2">
        <f>IF(R81="","",COUNTIFS($C$5:$C$3004,R81,$O$5:$O$3004,"EM ANDAMENTO"))</f>
        <v/>
      </c>
      <c r="Y81" s="2">
        <f>IF(R81="","",IF(COUNTIFS($C$5:$C$3004,R81,$O$5:$O$3004,"CONCLUÍDA",$N$5:$N$3004,"&gt;=-1")=0,"",_xlfn.MAXIFS($N$5:$N$3004,$C$5:$C$3004,R81,$O$5:$O$3004,"CONCLUÍDA")))</f>
        <v/>
      </c>
      <c r="Z81" s="2">
        <f>IF(R81="","",IF(COUNTIFS($C$5:$C$3004,R81,$O$5:$O$3004,"EM ANDAMENTO",$N$5:$N$3004,"&gt;=-1")=0,"",_xlfn.MAXIFS($N$5:$N$3004,$C$5:$C$3004,R81,$O$5:$O$3004,"EM ANDAMENTO")))</f>
        <v/>
      </c>
      <c r="AA81" s="2">
        <f>IF(OR(R81="",S81="",U81&lt;&gt;"SIM",V81=0),"",IF(W81+X81=0,"",T81&amp;": "&amp;IF(W81=V81,"concluído",IF(W81=0,"em execução"&amp;IF(Z81&lt;&gt;""," ("&amp;IF(Z81=-1,"subsolo",IF(Z81=0,"térreo",Z81&amp;"º pav."))&amp;")",""),IF(Y81&lt;&gt;"","até "&amp;IF(Y81=-1,"subsolo",IF(Y81=0,"térreo",Y81&amp;"º pav.")),W81&amp;" de "&amp;V81&amp;" concluídas")&amp;IF(Z81="","",IF(OR(Y81="",Z81&gt;Y81),", executando "&amp;IF(Z81=-1,"subsolo",IF(Z81=0,"térreo",Z81&amp;"º pav."))," (restam serviços no "&amp;IF(Z81=-1,"subsolo",IF(Z81=0,"térreo",Z81&amp;"º pav."))&amp;")"))))))</f>
        <v/>
      </c>
    </row>
    <row r="82">
      <c r="B82" s="4" t="n">
        <v>13584662</v>
      </c>
      <c r="C82" s="4" t="inlineStr">
        <is>
          <t>FUNDAÇÃO PROFUNDA</t>
        </is>
      </c>
      <c r="D82" s="4" t="inlineStr">
        <is>
          <t>P901I e  P3A</t>
        </is>
      </c>
      <c r="E82" s="4" t="inlineStr">
        <is>
          <t>SERVIÇOS INICIAIS</t>
        </is>
      </c>
      <c r="F82" s="118" t="n">
        <v>46027</v>
      </c>
      <c r="G82" s="118" t="n">
        <v>46027</v>
      </c>
      <c r="H82" s="118" t="n">
        <v>46289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IF(E82="","",IF(LEFT(E82,7)="SUBSOLO",-1,IF(LEFT(E82,6)="TÉRREO",0,IFERROR(VALUE(LEFT(E82,FIND("º",SUBSTITUTE(E82,"°","º"))-1)),""))))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INSTALAÇÕES HIDRÁULICAS</t>
        </is>
      </c>
      <c r="S82" s="4" t="inlineStr">
        <is>
          <t>21</t>
        </is>
      </c>
      <c r="T82" s="4" t="inlineStr">
        <is>
          <t>Inst. hidráulicas</t>
        </is>
      </c>
      <c r="U82" s="4" t="inlineStr">
        <is>
          <t>NÃO</t>
        </is>
      </c>
      <c r="V82" s="2">
        <f>IF(R82="","",COUNTIF($C$5:$C$3004,R82))</f>
        <v/>
      </c>
      <c r="W82" s="2">
        <f>IF(R82="","",COUNTIFS($C$5:$C$3004,R82,$O$5:$O$3004,"CONCLUÍDA"))</f>
        <v/>
      </c>
      <c r="X82" s="2">
        <f>IF(R82="","",COUNTIFS($C$5:$C$3004,R82,$O$5:$O$3004,"EM ANDAMENTO"))</f>
        <v/>
      </c>
      <c r="Y82" s="2">
        <f>IF(R82="","",IF(COUNTIFS($C$5:$C$3004,R82,$O$5:$O$3004,"CONCLUÍDA",$N$5:$N$3004,"&gt;=-1")=0,"",_xlfn.MAXIFS($N$5:$N$3004,$C$5:$C$3004,R82,$O$5:$O$3004,"CONCLUÍDA")))</f>
        <v/>
      </c>
      <c r="Z82" s="2">
        <f>IF(R82="","",IF(COUNTIFS($C$5:$C$3004,R82,$O$5:$O$3004,"EM ANDAMENTO",$N$5:$N$3004,"&gt;=-1")=0,"",_xlfn.MAXIFS($N$5:$N$3004,$C$5:$C$3004,R82,$O$5:$O$3004,"EM ANDAMENTO")))</f>
        <v/>
      </c>
      <c r="AA82" s="2">
        <f>IF(OR(R82="",S82="",U82&lt;&gt;"SIM",V82=0),"",IF(W82+X82=0,"",T82&amp;": "&amp;IF(W82=V82,"concluído",IF(W82=0,"em execução"&amp;IF(Z82&lt;&gt;""," ("&amp;IF(Z82=-1,"subsolo",IF(Z82=0,"térreo",Z82&amp;"º pav."))&amp;")",""),IF(Y82&lt;&gt;"","até "&amp;IF(Y82=-1,"subsolo",IF(Y82=0,"térreo",Y82&amp;"º pav.")),W82&amp;" de "&amp;V82&amp;" concluídas")&amp;IF(Z82="","",IF(OR(Y82="",Z82&gt;Y82),", executando "&amp;IF(Z82=-1,"subsolo",IF(Z82=0,"térreo",Z82&amp;"º pav."))," (restam serviços no "&amp;IF(Z82=-1,"subsolo",IF(Z82=0,"térreo",Z82&amp;"º pav."))&amp;")"))))))</f>
        <v/>
      </c>
    </row>
    <row r="83">
      <c r="B83" s="4" t="n">
        <v>13584663</v>
      </c>
      <c r="C83" s="4" t="inlineStr">
        <is>
          <t>FUNDAÇÃO PROFUNDA</t>
        </is>
      </c>
      <c r="D83" s="4" t="inlineStr">
        <is>
          <t>P901J e P901Y</t>
        </is>
      </c>
      <c r="E83" s="4" t="inlineStr">
        <is>
          <t>SERVIÇOS INICIAIS</t>
        </is>
      </c>
      <c r="F83" s="118" t="n">
        <v>46028</v>
      </c>
      <c r="G83" s="118" t="n">
        <v>46028</v>
      </c>
      <c r="H83" s="118" t="n">
        <v>46289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IF(E83="","",IF(LEFT(E83,7)="SUBSOLO",-1,IF(LEFT(E83,6)="TÉRREO",0,IFERROR(VALUE(LEFT(E83,FIND("º",SUBSTITUTE(E83,"°","º"))-1)),""))))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FIAÇÃO ELÉTRICA</t>
        </is>
      </c>
      <c r="S83" s="4" t="inlineStr">
        <is>
          <t>20</t>
        </is>
      </c>
      <c r="T83" s="4" t="inlineStr">
        <is>
          <t>Fiação elétrica</t>
        </is>
      </c>
      <c r="U83" s="4" t="inlineStr">
        <is>
          <t>SIM</t>
        </is>
      </c>
      <c r="V83" s="2">
        <f>IF(R83="","",COUNTIF($C$5:$C$3004,R83))</f>
        <v/>
      </c>
      <c r="W83" s="2">
        <f>IF(R83="","",COUNTIFS($C$5:$C$3004,R83,$O$5:$O$3004,"CONCLUÍDA"))</f>
        <v/>
      </c>
      <c r="X83" s="2">
        <f>IF(R83="","",COUNTIFS($C$5:$C$3004,R83,$O$5:$O$3004,"EM ANDAMENTO"))</f>
        <v/>
      </c>
      <c r="Y83" s="2">
        <f>IF(R83="","",IF(COUNTIFS($C$5:$C$3004,R83,$O$5:$O$3004,"CONCLUÍDA",$N$5:$N$3004,"&gt;=-1")=0,"",_xlfn.MAXIFS($N$5:$N$3004,$C$5:$C$3004,R83,$O$5:$O$3004,"CONCLUÍDA")))</f>
        <v/>
      </c>
      <c r="Z83" s="2">
        <f>IF(R83="","",IF(COUNTIFS($C$5:$C$3004,R83,$O$5:$O$3004,"EM ANDAMENTO",$N$5:$N$3004,"&gt;=-1")=0,"",_xlfn.MAXIFS($N$5:$N$3004,$C$5:$C$3004,R83,$O$5:$O$3004,"EM ANDAMENTO")))</f>
        <v/>
      </c>
      <c r="AA83" s="2">
        <f>IF(OR(R83="",S83="",U83&lt;&gt;"SIM",V83=0),"",IF(W83+X83=0,"",T83&amp;": "&amp;IF(W83=V83,"concluído",IF(W83=0,"em execução"&amp;IF(Z83&lt;&gt;""," ("&amp;IF(Z83=-1,"subsolo",IF(Z83=0,"térreo",Z83&amp;"º pav."))&amp;")",""),IF(Y83&lt;&gt;"","até "&amp;IF(Y83=-1,"subsolo",IF(Y83=0,"térreo",Y83&amp;"º pav.")),W83&amp;" de "&amp;V83&amp;" concluídas")&amp;IF(Z83="","",IF(OR(Y83="",Z83&gt;Y83),", executando "&amp;IF(Z83=-1,"subsolo",IF(Z83=0,"térreo",Z83&amp;"º pav."))," (restam serviços no "&amp;IF(Z83=-1,"subsolo",IF(Z83=0,"térreo",Z83&amp;"º pav."))&amp;")"))))))</f>
        <v/>
      </c>
    </row>
    <row r="84">
      <c r="B84" s="4" t="n">
        <v>13584664</v>
      </c>
      <c r="C84" s="4" t="inlineStr">
        <is>
          <t>FUNDAÇÃO PROFUNDA</t>
        </is>
      </c>
      <c r="D84" s="4" t="inlineStr">
        <is>
          <t xml:space="preserve">P3C </t>
        </is>
      </c>
      <c r="E84" s="4" t="inlineStr">
        <is>
          <t>SERVIÇOS INICIAIS</t>
        </is>
      </c>
      <c r="F84" s="118" t="n">
        <v>46029</v>
      </c>
      <c r="G84" s="118" t="n">
        <v>46029</v>
      </c>
      <c r="H84" s="118" t="n">
        <v>46289</v>
      </c>
      <c r="I84" s="4" t="n">
        <v>100</v>
      </c>
      <c r="J84" s="4" t="n">
        <v>100</v>
      </c>
      <c r="K84" s="4" t="n">
        <v>100</v>
      </c>
      <c r="M84" s="2">
        <f>IF(C84="","",IFERROR(INDEX($S$5:$S$304,MATCH(C84,$R$5:$R$304,0))&amp;"","?"))</f>
        <v/>
      </c>
      <c r="N84" s="2">
        <f>IF(E84="","",IF(LEFT(E84,7)="SUBSOLO",-1,IF(LEFT(E84,6)="TÉRREO",0,IFERROR(VALUE(LEFT(E84,FIND("º",SUBSTITUTE(E84,"°","º"))-1)),""))))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PRUMADA ELÉTRICA - CABOS</t>
        </is>
      </c>
      <c r="S84" s="4" t="inlineStr">
        <is>
          <t>20</t>
        </is>
      </c>
      <c r="T84" s="4" t="inlineStr">
        <is>
          <t>Prumada elétrica - cabos</t>
        </is>
      </c>
      <c r="U84" s="4" t="inlineStr">
        <is>
          <t>SIM</t>
        </is>
      </c>
      <c r="V84" s="2">
        <f>IF(R84="","",COUNTIF($C$5:$C$3004,R84))</f>
        <v/>
      </c>
      <c r="W84" s="2">
        <f>IF(R84="","",COUNTIFS($C$5:$C$3004,R84,$O$5:$O$3004,"CONCLUÍDA"))</f>
        <v/>
      </c>
      <c r="X84" s="2">
        <f>IF(R84="","",COUNTIFS($C$5:$C$3004,R84,$O$5:$O$3004,"EM ANDAMENTO"))</f>
        <v/>
      </c>
      <c r="Y84" s="2">
        <f>IF(R84="","",IF(COUNTIFS($C$5:$C$3004,R84,$O$5:$O$3004,"CONCLUÍDA",$N$5:$N$3004,"&gt;=-1")=0,"",_xlfn.MAXIFS($N$5:$N$3004,$C$5:$C$3004,R84,$O$5:$O$3004,"CONCLUÍDA")))</f>
        <v/>
      </c>
      <c r="Z84" s="2">
        <f>IF(R84="","",IF(COUNTIFS($C$5:$C$3004,R84,$O$5:$O$3004,"EM ANDAMENTO",$N$5:$N$3004,"&gt;=-1")=0,"",_xlfn.MAXIFS($N$5:$N$3004,$C$5:$C$3004,R84,$O$5:$O$3004,"EM ANDAMENTO")))</f>
        <v/>
      </c>
      <c r="AA84" s="2">
        <f>IF(OR(R84="",S84="",U84&lt;&gt;"SIM",V84=0),"",IF(W84+X84=0,"",T84&amp;": "&amp;IF(W84=V84,"concluído",IF(W84=0,"em execução"&amp;IF(Z84&lt;&gt;""," ("&amp;IF(Z84=-1,"subsolo",IF(Z84=0,"térreo",Z84&amp;"º pav."))&amp;")",""),IF(Y84&lt;&gt;"","até "&amp;IF(Y84=-1,"subsolo",IF(Y84=0,"térreo",Y84&amp;"º pav.")),W84&amp;" de "&amp;V84&amp;" concluídas")&amp;IF(Z84="","",IF(OR(Y84="",Z84&gt;Y84),", executando "&amp;IF(Z84=-1,"subsolo",IF(Z84=0,"térreo",Z84&amp;"º pav."))," (restam serviços no "&amp;IF(Z84=-1,"subsolo",IF(Z84=0,"térreo",Z84&amp;"º pav."))&amp;")"))))))</f>
        <v/>
      </c>
    </row>
    <row r="85">
      <c r="B85" s="4" t="n">
        <v>13584665</v>
      </c>
      <c r="C85" s="4" t="inlineStr">
        <is>
          <t>FUNDAÇÃO PROFUNDA</t>
        </is>
      </c>
      <c r="D85" s="4" t="inlineStr">
        <is>
          <t>P4B e P901S</t>
        </is>
      </c>
      <c r="E85" s="4" t="inlineStr">
        <is>
          <t>SERVIÇOS INICIAIS</t>
        </is>
      </c>
      <c r="F85" s="118" t="n">
        <v>46030</v>
      </c>
      <c r="G85" s="118" t="n">
        <v>46030</v>
      </c>
      <c r="H85" s="118" t="n">
        <v>46289</v>
      </c>
      <c r="I85" s="4" t="n">
        <v>100</v>
      </c>
      <c r="J85" s="4" t="n">
        <v>100</v>
      </c>
      <c r="K85" s="4" t="n">
        <v>100</v>
      </c>
      <c r="M85" s="2">
        <f>IF(C85="","",IFERROR(INDEX($S$5:$S$304,MATCH(C85,$R$5:$R$304,0))&amp;"","?"))</f>
        <v/>
      </c>
      <c r="N85" s="2">
        <f>IF(E85="","",IF(LEFT(E85,7)="SUBSOLO",-1,IF(LEFT(E85,6)="TÉRREO",0,IFERROR(VALUE(LEFT(E85,FIND("º",SUBSTITUTE(E85,"°","º"))-1)),""))))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FIAÇÃO TELECOM/DADOS</t>
        </is>
      </c>
      <c r="S85" s="4" t="inlineStr">
        <is>
          <t>20</t>
        </is>
      </c>
      <c r="T85" s="4" t="inlineStr">
        <is>
          <t>Fiação telecom/dados</t>
        </is>
      </c>
      <c r="U85" s="4" t="inlineStr">
        <is>
          <t>SIM</t>
        </is>
      </c>
      <c r="V85" s="2">
        <f>IF(R85="","",COUNTIF($C$5:$C$3004,R85))</f>
        <v/>
      </c>
      <c r="W85" s="2">
        <f>IF(R85="","",COUNTIFS($C$5:$C$3004,R85,$O$5:$O$3004,"CONCLUÍDA"))</f>
        <v/>
      </c>
      <c r="X85" s="2">
        <f>IF(R85="","",COUNTIFS($C$5:$C$3004,R85,$O$5:$O$3004,"EM ANDAMENTO"))</f>
        <v/>
      </c>
      <c r="Y85" s="2">
        <f>IF(R85="","",IF(COUNTIFS($C$5:$C$3004,R85,$O$5:$O$3004,"CONCLUÍDA",$N$5:$N$3004,"&gt;=-1")=0,"",_xlfn.MAXIFS($N$5:$N$3004,$C$5:$C$3004,R85,$O$5:$O$3004,"CONCLUÍDA")))</f>
        <v/>
      </c>
      <c r="Z85" s="2">
        <f>IF(R85="","",IF(COUNTIFS($C$5:$C$3004,R85,$O$5:$O$3004,"EM ANDAMENTO",$N$5:$N$3004,"&gt;=-1")=0,"",_xlfn.MAXIFS($N$5:$N$3004,$C$5:$C$3004,R85,$O$5:$O$3004,"EM ANDAMENTO")))</f>
        <v/>
      </c>
      <c r="AA85" s="2">
        <f>IF(OR(R85="",S85="",U85&lt;&gt;"SIM",V85=0),"",IF(W85+X85=0,"",T85&amp;": "&amp;IF(W85=V85,"concluído",IF(W85=0,"em execução"&amp;IF(Z85&lt;&gt;""," ("&amp;IF(Z85=-1,"subsolo",IF(Z85=0,"térreo",Z85&amp;"º pav."))&amp;")",""),IF(Y85&lt;&gt;"","até "&amp;IF(Y85=-1,"subsolo",IF(Y85=0,"térreo",Y85&amp;"º pav.")),W85&amp;" de "&amp;V85&amp;" concluídas")&amp;IF(Z85="","",IF(OR(Y85="",Z85&gt;Y85),", executando "&amp;IF(Z85=-1,"subsolo",IF(Z85=0,"térreo",Z85&amp;"º pav."))," (restam serviços no "&amp;IF(Z85=-1,"subsolo",IF(Z85=0,"térreo",Z85&amp;"º pav."))&amp;")"))))))</f>
        <v/>
      </c>
    </row>
    <row r="86">
      <c r="B86" s="4" t="n">
        <v>13584666</v>
      </c>
      <c r="C86" s="4" t="inlineStr">
        <is>
          <t>FUNDAÇÃO PROFUNDA</t>
        </is>
      </c>
      <c r="D86" s="4" t="inlineStr">
        <is>
          <t xml:space="preserve">P24C </t>
        </is>
      </c>
      <c r="E86" s="4" t="inlineStr">
        <is>
          <t>SERVIÇOS INICIAIS</t>
        </is>
      </c>
      <c r="F86" s="118" t="n">
        <v>46031</v>
      </c>
      <c r="G86" s="118" t="n">
        <v>46031</v>
      </c>
      <c r="H86" s="118" t="n">
        <v>46289</v>
      </c>
      <c r="I86" s="4" t="n">
        <v>100</v>
      </c>
      <c r="J86" s="4" t="n">
        <v>100</v>
      </c>
      <c r="K86" s="4" t="n">
        <v>100</v>
      </c>
      <c r="M86" s="2">
        <f>IF(C86="","",IFERROR(INDEX($S$5:$S$304,MATCH(C86,$R$5:$R$304,0))&amp;"","?"))</f>
        <v/>
      </c>
      <c r="N86" s="2">
        <f>IF(E86="","",IF(LEFT(E86,7)="SUBSOLO",-1,IF(LEFT(E86,6)="TÉRREO",0,IFERROR(VALUE(LEFT(E86,FIND("º",SUBSTITUTE(E86,"°","º"))-1)),""))))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INSTALAÇÕES DE INCÊNDIO</t>
        </is>
      </c>
      <c r="S86" s="4" t="inlineStr">
        <is>
          <t>22</t>
        </is>
      </c>
      <c r="T86" s="4" t="inlineStr">
        <is>
          <t>Inst. de incêndio</t>
        </is>
      </c>
      <c r="U86" s="4" t="inlineStr">
        <is>
          <t>NÃO</t>
        </is>
      </c>
      <c r="V86" s="2">
        <f>IF(R86="","",COUNTIF($C$5:$C$3004,R86))</f>
        <v/>
      </c>
      <c r="W86" s="2">
        <f>IF(R86="","",COUNTIFS($C$5:$C$3004,R86,$O$5:$O$3004,"CONCLUÍDA"))</f>
        <v/>
      </c>
      <c r="X86" s="2">
        <f>IF(R86="","",COUNTIFS($C$5:$C$3004,R86,$O$5:$O$3004,"EM ANDAMENTO"))</f>
        <v/>
      </c>
      <c r="Y86" s="2">
        <f>IF(R86="","",IF(COUNTIFS($C$5:$C$3004,R86,$O$5:$O$3004,"CONCLUÍDA",$N$5:$N$3004,"&gt;=-1")=0,"",_xlfn.MAXIFS($N$5:$N$3004,$C$5:$C$3004,R86,$O$5:$O$3004,"CONCLUÍDA")))</f>
        <v/>
      </c>
      <c r="Z86" s="2">
        <f>IF(R86="","",IF(COUNTIFS($C$5:$C$3004,R86,$O$5:$O$3004,"EM ANDAMENTO",$N$5:$N$3004,"&gt;=-1")=0,"",_xlfn.MAXIFS($N$5:$N$3004,$C$5:$C$3004,R86,$O$5:$O$3004,"EM ANDAMENTO")))</f>
        <v/>
      </c>
      <c r="AA86" s="2">
        <f>IF(OR(R86="",S86="",U86&lt;&gt;"SIM",V86=0),"",IF(W86+X86=0,"",T86&amp;": "&amp;IF(W86=V86,"concluído",IF(W86=0,"em execução"&amp;IF(Z86&lt;&gt;""," ("&amp;IF(Z86=-1,"subsolo",IF(Z86=0,"térreo",Z86&amp;"º pav."))&amp;")",""),IF(Y86&lt;&gt;"","até "&amp;IF(Y86=-1,"subsolo",IF(Y86=0,"térreo",Y86&amp;"º pav.")),W86&amp;" de "&amp;V86&amp;" concluídas")&amp;IF(Z86="","",IF(OR(Y86="",Z86&gt;Y86),", executando "&amp;IF(Z86=-1,"subsolo",IF(Z86=0,"térreo",Z86&amp;"º pav."))," (restam serviços no "&amp;IF(Z86=-1,"subsolo",IF(Z86=0,"térreo",Z86&amp;"º pav."))&amp;")"))))))</f>
        <v/>
      </c>
    </row>
    <row r="87">
      <c r="B87" s="4" t="n">
        <v>13584667</v>
      </c>
      <c r="C87" s="4" t="inlineStr">
        <is>
          <t>FUNDAÇÃO PROFUNDA</t>
        </is>
      </c>
      <c r="D87" s="4" t="inlineStr">
        <is>
          <t>P901Z e P14A</t>
        </is>
      </c>
      <c r="E87" s="4" t="inlineStr">
        <is>
          <t>SERVIÇOS INICIAIS</t>
        </is>
      </c>
      <c r="F87" s="118" t="n">
        <v>46034</v>
      </c>
      <c r="G87" s="118" t="n">
        <v>46034</v>
      </c>
      <c r="H87" s="118" t="n">
        <v>46289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IF(E87="","",IF(LEFT(E87,7)="SUBSOLO",-1,IF(LEFT(E87,6)="TÉRREO",0,IFERROR(VALUE(LEFT(E87,FIND("º",SUBSTITUTE(E87,"°","º"))-1)),""))))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PREPARAÇÃO PARA FACHADA AERADA - F3 + F4 (1º ETAPA)</t>
        </is>
      </c>
      <c r="S87" s="4" t="inlineStr">
        <is>
          <t>32</t>
        </is>
      </c>
      <c r="T87" s="4" t="inlineStr">
        <is>
          <t>Preparação para fachada aerada - F3 + F4 (1º etapa)</t>
        </is>
      </c>
      <c r="U87" s="4" t="inlineStr">
        <is>
          <t>SIM</t>
        </is>
      </c>
      <c r="V87" s="2">
        <f>IF(R87="","",COUNTIF($C$5:$C$3004,R87))</f>
        <v/>
      </c>
      <c r="W87" s="2">
        <f>IF(R87="","",COUNTIFS($C$5:$C$3004,R87,$O$5:$O$3004,"CONCLUÍDA"))</f>
        <v/>
      </c>
      <c r="X87" s="2">
        <f>IF(R87="","",COUNTIFS($C$5:$C$3004,R87,$O$5:$O$3004,"EM ANDAMENTO"))</f>
        <v/>
      </c>
      <c r="Y87" s="2">
        <f>IF(R87="","",IF(COUNTIFS($C$5:$C$3004,R87,$O$5:$O$3004,"CONCLUÍDA",$N$5:$N$3004,"&gt;=-1")=0,"",_xlfn.MAXIFS($N$5:$N$3004,$C$5:$C$3004,R87,$O$5:$O$3004,"CONCLUÍDA")))</f>
        <v/>
      </c>
      <c r="Z87" s="2">
        <f>IF(R87="","",IF(COUNTIFS($C$5:$C$3004,R87,$O$5:$O$3004,"EM ANDAMENTO",$N$5:$N$3004,"&gt;=-1")=0,"",_xlfn.MAXIFS($N$5:$N$3004,$C$5:$C$3004,R87,$O$5:$O$3004,"EM ANDAMENTO")))</f>
        <v/>
      </c>
      <c r="AA87" s="2">
        <f>IF(OR(R87="",S87="",U87&lt;&gt;"SIM",V87=0),"",IF(W87+X87=0,"",T87&amp;": "&amp;IF(W87=V87,"concluído",IF(W87=0,"em execução"&amp;IF(Z87&lt;&gt;""," ("&amp;IF(Z87=-1,"subsolo",IF(Z87=0,"térreo",Z87&amp;"º pav."))&amp;")",""),IF(Y87&lt;&gt;"","até "&amp;IF(Y87=-1,"subsolo",IF(Y87=0,"térreo",Y87&amp;"º pav.")),W87&amp;" de "&amp;V87&amp;" concluídas")&amp;IF(Z87="","",IF(OR(Y87="",Z87&gt;Y87),", executando "&amp;IF(Z87=-1,"subsolo",IF(Z87=0,"térreo",Z87&amp;"º pav."))," (restam serviços no "&amp;IF(Z87=-1,"subsolo",IF(Z87=0,"térreo",Z87&amp;"º pav."))&amp;")"))))))</f>
        <v/>
      </c>
    </row>
    <row r="88">
      <c r="B88" s="4" t="n">
        <v>13584668</v>
      </c>
      <c r="C88" s="4" t="inlineStr">
        <is>
          <t>FUNDAÇÃO PROFUNDA</t>
        </is>
      </c>
      <c r="D88" s="4" t="inlineStr">
        <is>
          <t xml:space="preserve">P5A </t>
        </is>
      </c>
      <c r="E88" s="4" t="inlineStr">
        <is>
          <t>SERVIÇOS INICIAIS</t>
        </is>
      </c>
      <c r="F88" s="118" t="n">
        <v>46035</v>
      </c>
      <c r="G88" s="118" t="n">
        <v>46035</v>
      </c>
      <c r="H88" s="118" t="n">
        <v>46289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IF(E88="","",IF(LEFT(E88,7)="SUBSOLO",-1,IF(LEFT(E88,6)="TÉRREO",0,IFERROR(VALUE(LEFT(E88,FIND("º",SUBSTITUTE(E88,"°","º"))-1)),""))))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FORRO</t>
        </is>
      </c>
      <c r="S88" s="4" t="inlineStr">
        <is>
          <t>33</t>
        </is>
      </c>
      <c r="T88" s="4" t="inlineStr">
        <is>
          <t>Forro</t>
        </is>
      </c>
      <c r="U88" s="4" t="inlineStr">
        <is>
          <t>SIM</t>
        </is>
      </c>
      <c r="V88" s="2">
        <f>IF(R88="","",COUNTIF($C$5:$C$3004,R88))</f>
        <v/>
      </c>
      <c r="W88" s="2">
        <f>IF(R88="","",COUNTIFS($C$5:$C$3004,R88,$O$5:$O$3004,"CONCLUÍDA"))</f>
        <v/>
      </c>
      <c r="X88" s="2">
        <f>IF(R88="","",COUNTIFS($C$5:$C$3004,R88,$O$5:$O$3004,"EM ANDAMENTO"))</f>
        <v/>
      </c>
      <c r="Y88" s="2">
        <f>IF(R88="","",IF(COUNTIFS($C$5:$C$3004,R88,$O$5:$O$3004,"CONCLUÍDA",$N$5:$N$3004,"&gt;=-1")=0,"",_xlfn.MAXIFS($N$5:$N$3004,$C$5:$C$3004,R88,$O$5:$O$3004,"CONCLUÍDA")))</f>
        <v/>
      </c>
      <c r="Z88" s="2">
        <f>IF(R88="","",IF(COUNTIFS($C$5:$C$3004,R88,$O$5:$O$3004,"EM ANDAMENTO",$N$5:$N$3004,"&gt;=-1")=0,"",_xlfn.MAXIFS($N$5:$N$3004,$C$5:$C$3004,R88,$O$5:$O$3004,"EM ANDAMENTO")))</f>
        <v/>
      </c>
      <c r="AA88" s="2">
        <f>IF(OR(R88="",S88="",U88&lt;&gt;"SIM",V88=0),"",IF(W88+X88=0,"",T88&amp;": "&amp;IF(W88=V88,"concluído",IF(W88=0,"em execução"&amp;IF(Z88&lt;&gt;""," ("&amp;IF(Z88=-1,"subsolo",IF(Z88=0,"térreo",Z88&amp;"º pav."))&amp;")",""),IF(Y88&lt;&gt;"","até "&amp;IF(Y88=-1,"subsolo",IF(Y88=0,"térreo",Y88&amp;"º pav.")),W88&amp;" de "&amp;V88&amp;" concluídas")&amp;IF(Z88="","",IF(OR(Y88="",Z88&gt;Y88),", executando "&amp;IF(Z88=-1,"subsolo",IF(Z88=0,"térreo",Z88&amp;"º pav."))," (restam serviços no "&amp;IF(Z88=-1,"subsolo",IF(Z88=0,"térreo",Z88&amp;"º pav."))&amp;")"))))))</f>
        <v/>
      </c>
    </row>
    <row r="89">
      <c r="B89" s="4" t="n">
        <v>13584669</v>
      </c>
      <c r="C89" s="4" t="inlineStr">
        <is>
          <t>FUNDAÇÃO PROFUNDA</t>
        </is>
      </c>
      <c r="D89" s="4" t="inlineStr">
        <is>
          <t>P6A e P901Z</t>
        </is>
      </c>
      <c r="E89" s="4" t="inlineStr">
        <is>
          <t>SERVIÇOS INICIAIS</t>
        </is>
      </c>
      <c r="F89" s="118" t="n">
        <v>46036</v>
      </c>
      <c r="G89" s="118" t="n">
        <v>46036</v>
      </c>
      <c r="H89" s="118" t="n">
        <v>46289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IF(E89="","",IF(LEFT(E89,7)="SUBSOLO",-1,IF(LEFT(E89,6)="TÉRREO",0,IFERROR(VALUE(LEFT(E89,FIND("º",SUBSTITUTE(E89,"°","º"))-1)),""))))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SHAFT</t>
        </is>
      </c>
      <c r="S89" s="4" t="inlineStr">
        <is>
          <t>18</t>
        </is>
      </c>
      <c r="T89" s="4" t="inlineStr">
        <is>
          <t>Shaft</t>
        </is>
      </c>
      <c r="U89" s="4" t="inlineStr">
        <is>
          <t>NÃO</t>
        </is>
      </c>
      <c r="V89" s="2">
        <f>IF(R89="","",COUNTIF($C$5:$C$3004,R89))</f>
        <v/>
      </c>
      <c r="W89" s="2">
        <f>IF(R89="","",COUNTIFS($C$5:$C$3004,R89,$O$5:$O$3004,"CONCLUÍDA"))</f>
        <v/>
      </c>
      <c r="X89" s="2">
        <f>IF(R89="","",COUNTIFS($C$5:$C$3004,R89,$O$5:$O$3004,"EM ANDAMENTO"))</f>
        <v/>
      </c>
      <c r="Y89" s="2">
        <f>IF(R89="","",IF(COUNTIFS($C$5:$C$3004,R89,$O$5:$O$3004,"CONCLUÍDA",$N$5:$N$3004,"&gt;=-1")=0,"",_xlfn.MAXIFS($N$5:$N$3004,$C$5:$C$3004,R89,$O$5:$O$3004,"CONCLUÍDA")))</f>
        <v/>
      </c>
      <c r="Z89" s="2">
        <f>IF(R89="","",IF(COUNTIFS($C$5:$C$3004,R89,$O$5:$O$3004,"EM ANDAMENTO",$N$5:$N$3004,"&gt;=-1")=0,"",_xlfn.MAXIFS($N$5:$N$3004,$C$5:$C$3004,R89,$O$5:$O$3004,"EM ANDAMENTO")))</f>
        <v/>
      </c>
      <c r="AA89" s="2">
        <f>IF(OR(R89="",S89="",U89&lt;&gt;"SIM",V89=0),"",IF(W89+X89=0,"",T89&amp;": "&amp;IF(W89=V89,"concluído",IF(W89=0,"em execução"&amp;IF(Z89&lt;&gt;""," ("&amp;IF(Z89=-1,"subsolo",IF(Z89=0,"térreo",Z89&amp;"º pav."))&amp;")",""),IF(Y89&lt;&gt;"","até "&amp;IF(Y89=-1,"subsolo",IF(Y89=0,"térreo",Y89&amp;"º pav.")),W89&amp;" de "&amp;V89&amp;" concluídas")&amp;IF(Z89="","",IF(OR(Y89="",Z89&gt;Y89),", executando "&amp;IF(Z89=-1,"subsolo",IF(Z89=0,"térreo",Z89&amp;"º pav."))," (restam serviços no "&amp;IF(Z89=-1,"subsolo",IF(Z89=0,"térreo",Z89&amp;"º pav."))&amp;")"))))))</f>
        <v/>
      </c>
    </row>
    <row r="90">
      <c r="B90" s="4" t="n">
        <v>13584670</v>
      </c>
      <c r="C90" s="4" t="inlineStr">
        <is>
          <t>FUNDAÇÃO PROFUNDA</t>
        </is>
      </c>
      <c r="D90" s="4" t="inlineStr">
        <is>
          <t xml:space="preserve">P140 </t>
        </is>
      </c>
      <c r="E90" s="4" t="inlineStr">
        <is>
          <t>SERVIÇOS INICIAIS</t>
        </is>
      </c>
      <c r="F90" s="118" t="n">
        <v>46037</v>
      </c>
      <c r="G90" s="118" t="n">
        <v>46037</v>
      </c>
      <c r="H90" s="118" t="n">
        <v>46289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IF(E90="","",IF(LEFT(E90,7)="SUBSOLO",-1,IF(LEFT(E90,6)="TÉRREO",0,IFERROR(VALUE(LEFT(E90,FIND("º",SUBSTITUTE(E90,"°","º"))-1)),""))))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PRESSURIZAÇÃO (VENTILAÇÃO)</t>
        </is>
      </c>
      <c r="S90" s="4" t="inlineStr">
        <is>
          <t>23</t>
        </is>
      </c>
      <c r="T90" s="4" t="inlineStr">
        <is>
          <t>Pressurização (ventilação)</t>
        </is>
      </c>
      <c r="U90" s="4" t="inlineStr">
        <is>
          <t>NÃO</t>
        </is>
      </c>
      <c r="V90" s="2">
        <f>IF(R90="","",COUNTIF($C$5:$C$3004,R90))</f>
        <v/>
      </c>
      <c r="W90" s="2">
        <f>IF(R90="","",COUNTIFS($C$5:$C$3004,R90,$O$5:$O$3004,"CONCLUÍDA"))</f>
        <v/>
      </c>
      <c r="X90" s="2">
        <f>IF(R90="","",COUNTIFS($C$5:$C$3004,R90,$O$5:$O$3004,"EM ANDAMENTO"))</f>
        <v/>
      </c>
      <c r="Y90" s="2">
        <f>IF(R90="","",IF(COUNTIFS($C$5:$C$3004,R90,$O$5:$O$3004,"CONCLUÍDA",$N$5:$N$3004,"&gt;=-1")=0,"",_xlfn.MAXIFS($N$5:$N$3004,$C$5:$C$3004,R90,$O$5:$O$3004,"CONCLUÍDA")))</f>
        <v/>
      </c>
      <c r="Z90" s="2">
        <f>IF(R90="","",IF(COUNTIFS($C$5:$C$3004,R90,$O$5:$O$3004,"EM ANDAMENTO",$N$5:$N$3004,"&gt;=-1")=0,"",_xlfn.MAXIFS($N$5:$N$3004,$C$5:$C$3004,R90,$O$5:$O$3004,"EM ANDAMENTO")))</f>
        <v/>
      </c>
      <c r="AA90" s="2">
        <f>IF(OR(R90="",S90="",U90&lt;&gt;"SIM",V90=0),"",IF(W90+X90=0,"",T90&amp;": "&amp;IF(W90=V90,"concluído",IF(W90=0,"em execução"&amp;IF(Z90&lt;&gt;""," ("&amp;IF(Z90=-1,"subsolo",IF(Z90=0,"térreo",Z90&amp;"º pav."))&amp;")",""),IF(Y90&lt;&gt;"","até "&amp;IF(Y90=-1,"subsolo",IF(Y90=0,"térreo",Y90&amp;"º pav.")),W90&amp;" de "&amp;V90&amp;" concluídas")&amp;IF(Z90="","",IF(OR(Y90="",Z90&gt;Y90),", executando "&amp;IF(Z90=-1,"subsolo",IF(Z90=0,"térreo",Z90&amp;"º pav."))," (restam serviços no "&amp;IF(Z90=-1,"subsolo",IF(Z90=0,"térreo",Z90&amp;"º pav."))&amp;")"))))))</f>
        <v/>
      </c>
    </row>
    <row r="91">
      <c r="B91" s="4" t="n">
        <v>13584671</v>
      </c>
      <c r="C91" s="4" t="inlineStr">
        <is>
          <t>FUNDAÇÃO PROFUNDA</t>
        </is>
      </c>
      <c r="D91" s="4" t="inlineStr">
        <is>
          <t>P7C e P148</t>
        </is>
      </c>
      <c r="E91" s="4" t="inlineStr">
        <is>
          <t>SERVIÇOS INICIAIS</t>
        </is>
      </c>
      <c r="F91" s="118" t="n">
        <v>46038</v>
      </c>
      <c r="G91" s="118" t="n">
        <v>46038</v>
      </c>
      <c r="H91" s="118" t="n">
        <v>46289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IF(E91="","",IF(LEFT(E91,7)="SUBSOLO",-1,IF(LEFT(E91,6)="TÉRREO",0,IFERROR(VALUE(LEFT(E91,FIND("º",SUBSTITUTE(E91,"°","º"))-1)),""))))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RESERVATÓRIO</t>
        </is>
      </c>
      <c r="S91" s="4" t="inlineStr">
        <is>
          <t>21</t>
        </is>
      </c>
      <c r="T91" s="4" t="inlineStr">
        <is>
          <t>Reservatório</t>
        </is>
      </c>
      <c r="U91" s="4" t="inlineStr">
        <is>
          <t>NÃO</t>
        </is>
      </c>
      <c r="V91" s="2">
        <f>IF(R91="","",COUNTIF($C$5:$C$3004,R91))</f>
        <v/>
      </c>
      <c r="W91" s="2">
        <f>IF(R91="","",COUNTIFS($C$5:$C$3004,R91,$O$5:$O$3004,"CONCLUÍDA"))</f>
        <v/>
      </c>
      <c r="X91" s="2">
        <f>IF(R91="","",COUNTIFS($C$5:$C$3004,R91,$O$5:$O$3004,"EM ANDAMENTO"))</f>
        <v/>
      </c>
      <c r="Y91" s="2">
        <f>IF(R91="","",IF(COUNTIFS($C$5:$C$3004,R91,$O$5:$O$3004,"CONCLUÍDA",$N$5:$N$3004,"&gt;=-1")=0,"",_xlfn.MAXIFS($N$5:$N$3004,$C$5:$C$3004,R91,$O$5:$O$3004,"CONCLUÍDA")))</f>
        <v/>
      </c>
      <c r="Z91" s="2">
        <f>IF(R91="","",IF(COUNTIFS($C$5:$C$3004,R91,$O$5:$O$3004,"EM ANDAMENTO",$N$5:$N$3004,"&gt;=-1")=0,"",_xlfn.MAXIFS($N$5:$N$3004,$C$5:$C$3004,R91,$O$5:$O$3004,"EM ANDAMENTO")))</f>
        <v/>
      </c>
      <c r="AA91" s="2">
        <f>IF(OR(R91="",S91="",U91&lt;&gt;"SIM",V91=0),"",IF(W91+X91=0,"",T91&amp;": "&amp;IF(W91=V91,"concluído",IF(W91=0,"em execução"&amp;IF(Z91&lt;&gt;""," ("&amp;IF(Z91=-1,"subsolo",IF(Z91=0,"térreo",Z91&amp;"º pav."))&amp;")",""),IF(Y91&lt;&gt;"","até "&amp;IF(Y91=-1,"subsolo",IF(Y91=0,"térreo",Y91&amp;"º pav.")),W91&amp;" de "&amp;V91&amp;" concluídas")&amp;IF(Z91="","",IF(OR(Y91="",Z91&gt;Y91),", executando "&amp;IF(Z91=-1,"subsolo",IF(Z91=0,"térreo",Z91&amp;"º pav."))," (restam serviços no "&amp;IF(Z91=-1,"subsolo",IF(Z91=0,"térreo",Z91&amp;"º pav."))&amp;")"))))))</f>
        <v/>
      </c>
    </row>
    <row r="92">
      <c r="B92" s="4" t="n">
        <v>13584672</v>
      </c>
      <c r="C92" s="4" t="inlineStr">
        <is>
          <t>FUNDAÇÃO PROFUNDA</t>
        </is>
      </c>
      <c r="D92" s="4" t="inlineStr">
        <is>
          <t>P135</t>
        </is>
      </c>
      <c r="E92" s="4" t="inlineStr">
        <is>
          <t>SERVIÇOS INICIAIS</t>
        </is>
      </c>
      <c r="F92" s="118" t="n">
        <v>46041</v>
      </c>
      <c r="G92" s="118" t="n">
        <v>46041</v>
      </c>
      <c r="H92" s="118" t="n">
        <v>46289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IF(E92="","",IF(LEFT(E92,7)="SUBSOLO",-1,IF(LEFT(E92,6)="TÉRREO",0,IFERROR(VALUE(LEFT(E92,FIND("º",SUBSTITUTE(E92,"°","º"))-1)),""))))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FACHADA AERADA - F3 + F4 (1º ETAPA)</t>
        </is>
      </c>
      <c r="S92" s="4" t="inlineStr">
        <is>
          <t>32</t>
        </is>
      </c>
      <c r="T92" s="4" t="inlineStr">
        <is>
          <t>Fachada aerada - F3 + F4 (1º etapa)</t>
        </is>
      </c>
      <c r="U92" s="4" t="inlineStr">
        <is>
          <t>SIM</t>
        </is>
      </c>
      <c r="V92" s="2">
        <f>IF(R92="","",COUNTIF($C$5:$C$3004,R92))</f>
        <v/>
      </c>
      <c r="W92" s="2">
        <f>IF(R92="","",COUNTIFS($C$5:$C$3004,R92,$O$5:$O$3004,"CONCLUÍDA"))</f>
        <v/>
      </c>
      <c r="X92" s="2">
        <f>IF(R92="","",COUNTIFS($C$5:$C$3004,R92,$O$5:$O$3004,"EM ANDAMENTO"))</f>
        <v/>
      </c>
      <c r="Y92" s="2">
        <f>IF(R92="","",IF(COUNTIFS($C$5:$C$3004,R92,$O$5:$O$3004,"CONCLUÍDA",$N$5:$N$3004,"&gt;=-1")=0,"",_xlfn.MAXIFS($N$5:$N$3004,$C$5:$C$3004,R92,$O$5:$O$3004,"CONCLUÍDA")))</f>
        <v/>
      </c>
      <c r="Z92" s="2">
        <f>IF(R92="","",IF(COUNTIFS($C$5:$C$3004,R92,$O$5:$O$3004,"EM ANDAMENTO",$N$5:$N$3004,"&gt;=-1")=0,"",_xlfn.MAXIFS($N$5:$N$3004,$C$5:$C$3004,R92,$O$5:$O$3004,"EM ANDAMENTO")))</f>
        <v/>
      </c>
      <c r="AA92" s="2">
        <f>IF(OR(R92="",S92="",U92&lt;&gt;"SIM",V92=0),"",IF(W92+X92=0,"",T92&amp;": "&amp;IF(W92=V92,"concluído",IF(W92=0,"em execução"&amp;IF(Z92&lt;&gt;""," ("&amp;IF(Z92=-1,"subsolo",IF(Z92=0,"térreo",Z92&amp;"º pav."))&amp;")",""),IF(Y92&lt;&gt;"","até "&amp;IF(Y92=-1,"subsolo",IF(Y92=0,"térreo",Y92&amp;"º pav.")),W92&amp;" de "&amp;V92&amp;" concluídas")&amp;IF(Z92="","",IF(OR(Y92="",Z92&gt;Y92),", executando "&amp;IF(Z92=-1,"subsolo",IF(Z92=0,"térreo",Z92&amp;"º pav."))," (restam serviços no "&amp;IF(Z92=-1,"subsolo",IF(Z92=0,"térreo",Z92&amp;"º pav."))&amp;")"))))))</f>
        <v/>
      </c>
    </row>
    <row r="93">
      <c r="B93" s="4" t="n">
        <v>13584673</v>
      </c>
      <c r="C93" s="4" t="inlineStr">
        <is>
          <t>FUNDAÇÃO PROFUNDA</t>
        </is>
      </c>
      <c r="D93" s="4" t="inlineStr">
        <is>
          <t>P5C e P7D</t>
        </is>
      </c>
      <c r="E93" s="4" t="inlineStr">
        <is>
          <t>SERVIÇOS INICIAIS</t>
        </is>
      </c>
      <c r="F93" s="118" t="n">
        <v>46042</v>
      </c>
      <c r="G93" s="118" t="n">
        <v>46042</v>
      </c>
      <c r="H93" s="118" t="n">
        <v>46289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IF(E93="","",IF(LEFT(E93,7)="SUBSOLO",-1,IF(LEFT(E93,6)="TÉRREO",0,IFERROR(VALUE(LEFT(E93,FIND("º",SUBSTITUTE(E93,"°","º"))-1)),""))))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PEITORIS E REQUADROS DE FACHADA - F1 + F2 (1º ETAPA)</t>
        </is>
      </c>
      <c r="S93" s="4" t="inlineStr">
        <is>
          <t>32</t>
        </is>
      </c>
      <c r="T93" s="4" t="inlineStr">
        <is>
          <t>Peitoris e requadros de fachada - F1 + F2 (1º etapa)</t>
        </is>
      </c>
      <c r="U93" s="4" t="inlineStr">
        <is>
          <t>SIM</t>
        </is>
      </c>
      <c r="V93" s="2">
        <f>IF(R93="","",COUNTIF($C$5:$C$3004,R93))</f>
        <v/>
      </c>
      <c r="W93" s="2">
        <f>IF(R93="","",COUNTIFS($C$5:$C$3004,R93,$O$5:$O$3004,"CONCLUÍDA"))</f>
        <v/>
      </c>
      <c r="X93" s="2">
        <f>IF(R93="","",COUNTIFS($C$5:$C$3004,R93,$O$5:$O$3004,"EM ANDAMENTO"))</f>
        <v/>
      </c>
      <c r="Y93" s="2">
        <f>IF(R93="","",IF(COUNTIFS($C$5:$C$3004,R93,$O$5:$O$3004,"CONCLUÍDA",$N$5:$N$3004,"&gt;=-1")=0,"",_xlfn.MAXIFS($N$5:$N$3004,$C$5:$C$3004,R93,$O$5:$O$3004,"CONCLUÍDA")))</f>
        <v/>
      </c>
      <c r="Z93" s="2">
        <f>IF(R93="","",IF(COUNTIFS($C$5:$C$3004,R93,$O$5:$O$3004,"EM ANDAMENTO",$N$5:$N$3004,"&gt;=-1")=0,"",_xlfn.MAXIFS($N$5:$N$3004,$C$5:$C$3004,R93,$O$5:$O$3004,"EM ANDAMENTO")))</f>
        <v/>
      </c>
      <c r="AA93" s="2">
        <f>IF(OR(R93="",S93="",U93&lt;&gt;"SIM",V93=0),"",IF(W93+X93=0,"",T93&amp;": "&amp;IF(W93=V93,"concluído",IF(W93=0,"em execução"&amp;IF(Z93&lt;&gt;""," ("&amp;IF(Z93=-1,"subsolo",IF(Z93=0,"térreo",Z93&amp;"º pav."))&amp;")",""),IF(Y93&lt;&gt;"","até "&amp;IF(Y93=-1,"subsolo",IF(Y93=0,"térreo",Y93&amp;"º pav.")),W93&amp;" de "&amp;V93&amp;" concluídas")&amp;IF(Z93="","",IF(OR(Y93="",Z93&gt;Y93),", executando "&amp;IF(Z93=-1,"subsolo",IF(Z93=0,"térreo",Z93&amp;"º pav."))," (restam serviços no "&amp;IF(Z93=-1,"subsolo",IF(Z93=0,"térreo",Z93&amp;"º pav."))&amp;")"))))))</f>
        <v/>
      </c>
    </row>
    <row r="94">
      <c r="B94" s="4" t="n">
        <v>13584674</v>
      </c>
      <c r="C94" s="4" t="inlineStr">
        <is>
          <t>FUNDAÇÃO PROFUNDA</t>
        </is>
      </c>
      <c r="D94" s="4" t="inlineStr">
        <is>
          <t xml:space="preserve">P14C </t>
        </is>
      </c>
      <c r="E94" s="4" t="inlineStr">
        <is>
          <t>SERVIÇOS INICIAIS</t>
        </is>
      </c>
      <c r="F94" s="118" t="n">
        <v>46043</v>
      </c>
      <c r="G94" s="118" t="n">
        <v>46043</v>
      </c>
      <c r="H94" s="118" t="n">
        <v>46289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IF(E94="","",IF(LEFT(E94,7)="SUBSOLO",-1,IF(LEFT(E94,6)="TÉRREO",0,IFERROR(VALUE(LEFT(E94,FIND("º",SUBSTITUTE(E94,"°","º"))-1)),""))))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MASSA CORRIDA</t>
        </is>
      </c>
      <c r="S94" s="4" t="inlineStr">
        <is>
          <t>35</t>
        </is>
      </c>
      <c r="T94" s="4" t="inlineStr">
        <is>
          <t>Massa corrida</t>
        </is>
      </c>
      <c r="U94" s="4" t="inlineStr">
        <is>
          <t>SIM</t>
        </is>
      </c>
      <c r="V94" s="2">
        <f>IF(R94="","",COUNTIF($C$5:$C$3004,R94))</f>
        <v/>
      </c>
      <c r="W94" s="2">
        <f>IF(R94="","",COUNTIFS($C$5:$C$3004,R94,$O$5:$O$3004,"CONCLUÍDA"))</f>
        <v/>
      </c>
      <c r="X94" s="2">
        <f>IF(R94="","",COUNTIFS($C$5:$C$3004,R94,$O$5:$O$3004,"EM ANDAMENTO"))</f>
        <v/>
      </c>
      <c r="Y94" s="2">
        <f>IF(R94="","",IF(COUNTIFS($C$5:$C$3004,R94,$O$5:$O$3004,"CONCLUÍDA",$N$5:$N$3004,"&gt;=-1")=0,"",_xlfn.MAXIFS($N$5:$N$3004,$C$5:$C$3004,R94,$O$5:$O$3004,"CONCLUÍDA")))</f>
        <v/>
      </c>
      <c r="Z94" s="2">
        <f>IF(R94="","",IF(COUNTIFS($C$5:$C$3004,R94,$O$5:$O$3004,"EM ANDAMENTO",$N$5:$N$3004,"&gt;=-1")=0,"",_xlfn.MAXIFS($N$5:$N$3004,$C$5:$C$3004,R94,$O$5:$O$3004,"EM ANDAMENTO")))</f>
        <v/>
      </c>
      <c r="AA94" s="2">
        <f>IF(OR(R94="",S94="",U94&lt;&gt;"SIM",V94=0),"",IF(W94+X94=0,"",T94&amp;": "&amp;IF(W94=V94,"concluído",IF(W94=0,"em execução"&amp;IF(Z94&lt;&gt;""," ("&amp;IF(Z94=-1,"subsolo",IF(Z94=0,"térreo",Z94&amp;"º pav."))&amp;")",""),IF(Y94&lt;&gt;"","até "&amp;IF(Y94=-1,"subsolo",IF(Y94=0,"térreo",Y94&amp;"º pav.")),W94&amp;" de "&amp;V94&amp;" concluídas")&amp;IF(Z94="","",IF(OR(Y94="",Z94&gt;Y94),", executando "&amp;IF(Z94=-1,"subsolo",IF(Z94=0,"térreo",Z94&amp;"º pav."))," (restam serviços no "&amp;IF(Z94=-1,"subsolo",IF(Z94=0,"térreo",Z94&amp;"º pav."))&amp;")"))))))</f>
        <v/>
      </c>
    </row>
    <row r="95">
      <c r="B95" s="4" t="n">
        <v>13584675</v>
      </c>
      <c r="C95" s="4" t="inlineStr">
        <is>
          <t>FUNDAÇÃO PROFUNDA</t>
        </is>
      </c>
      <c r="D95" s="4" t="inlineStr">
        <is>
          <t>P6B e P24B</t>
        </is>
      </c>
      <c r="E95" s="4" t="inlineStr">
        <is>
          <t>SERVIÇOS INICIAIS</t>
        </is>
      </c>
      <c r="F95" s="118" t="n">
        <v>46044</v>
      </c>
      <c r="G95" s="118" t="n">
        <v>46044</v>
      </c>
      <c r="H95" s="118" t="n">
        <v>46289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IF(E95="","",IF(LEFT(E95,7)="SUBSOLO",-1,IF(LEFT(E95,6)="TÉRREO",0,IFERROR(VALUE(LEFT(E95,FIND("º",SUBSTITUTE(E95,"°","º"))-1)),""))))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PASSEIOS, MURETAS E RAMPAS</t>
        </is>
      </c>
      <c r="S95" s="4" t="inlineStr">
        <is>
          <t>31</t>
        </is>
      </c>
      <c r="T95" s="4" t="inlineStr">
        <is>
          <t>Passeios, muretas e rampas</t>
        </is>
      </c>
      <c r="U95" s="4" t="inlineStr">
        <is>
          <t>SIM</t>
        </is>
      </c>
      <c r="V95" s="2">
        <f>IF(R95="","",COUNTIF($C$5:$C$3004,R95))</f>
        <v/>
      </c>
      <c r="W95" s="2">
        <f>IF(R95="","",COUNTIFS($C$5:$C$3004,R95,$O$5:$O$3004,"CONCLUÍDA"))</f>
        <v/>
      </c>
      <c r="X95" s="2">
        <f>IF(R95="","",COUNTIFS($C$5:$C$3004,R95,$O$5:$O$3004,"EM ANDAMENTO"))</f>
        <v/>
      </c>
      <c r="Y95" s="2">
        <f>IF(R95="","",IF(COUNTIFS($C$5:$C$3004,R95,$O$5:$O$3004,"CONCLUÍDA",$N$5:$N$3004,"&gt;=-1")=0,"",_xlfn.MAXIFS($N$5:$N$3004,$C$5:$C$3004,R95,$O$5:$O$3004,"CONCLUÍDA")))</f>
        <v/>
      </c>
      <c r="Z95" s="2">
        <f>IF(R95="","",IF(COUNTIFS($C$5:$C$3004,R95,$O$5:$O$3004,"EM ANDAMENTO",$N$5:$N$3004,"&gt;=-1")=0,"",_xlfn.MAXIFS($N$5:$N$3004,$C$5:$C$3004,R95,$O$5:$O$3004,"EM ANDAMENTO")))</f>
        <v/>
      </c>
      <c r="AA95" s="2">
        <f>IF(OR(R95="",S95="",U95&lt;&gt;"SIM",V95=0),"",IF(W95+X95=0,"",T95&amp;": "&amp;IF(W95=V95,"concluído",IF(W95=0,"em execução"&amp;IF(Z95&lt;&gt;""," ("&amp;IF(Z95=-1,"subsolo",IF(Z95=0,"térreo",Z95&amp;"º pav."))&amp;")",""),IF(Y95&lt;&gt;"","até "&amp;IF(Y95=-1,"subsolo",IF(Y95=0,"térreo",Y95&amp;"º pav.")),W95&amp;" de "&amp;V95&amp;" concluídas")&amp;IF(Z95="","",IF(OR(Y95="",Z95&gt;Y95),", executando "&amp;IF(Z95=-1,"subsolo",IF(Z95=0,"térreo",Z95&amp;"º pav."))," (restam serviços no "&amp;IF(Z95=-1,"subsolo",IF(Z95=0,"térreo",Z95&amp;"º pav."))&amp;")"))))))</f>
        <v/>
      </c>
    </row>
    <row r="96">
      <c r="B96" s="4" t="n">
        <v>13584676</v>
      </c>
      <c r="C96" s="4" t="inlineStr">
        <is>
          <t>FUNDAÇÃO PROFUNDA</t>
        </is>
      </c>
      <c r="D96" s="4" t="inlineStr">
        <is>
          <t xml:space="preserve">P6C </t>
        </is>
      </c>
      <c r="E96" s="4" t="inlineStr">
        <is>
          <t>SERVIÇOS INICIAIS</t>
        </is>
      </c>
      <c r="F96" s="118" t="n">
        <v>46045</v>
      </c>
      <c r="G96" s="118" t="n">
        <v>46048</v>
      </c>
      <c r="H96" s="118" t="n">
        <v>46289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IF(E96="","",IF(LEFT(E96,7)="SUBSOLO",-1,IF(LEFT(E96,6)="TÉRREO",0,IFERROR(VALUE(LEFT(E96,FIND("º",SUBSTITUTE(E96,"°","º"))-1)),""))))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ESQUADRIA DE ALUMÍNIO</t>
        </is>
      </c>
      <c r="S96" s="4" t="inlineStr">
        <is>
          <t>25</t>
        </is>
      </c>
      <c r="T96" s="4" t="inlineStr">
        <is>
          <t>Esquadria de alumínio</t>
        </is>
      </c>
      <c r="U96" s="4" t="inlineStr">
        <is>
          <t>SIM</t>
        </is>
      </c>
      <c r="V96" s="2">
        <f>IF(R96="","",COUNTIF($C$5:$C$3004,R96))</f>
        <v/>
      </c>
      <c r="W96" s="2">
        <f>IF(R96="","",COUNTIFS($C$5:$C$3004,R96,$O$5:$O$3004,"CONCLUÍDA"))</f>
        <v/>
      </c>
      <c r="X96" s="2">
        <f>IF(R96="","",COUNTIFS($C$5:$C$3004,R96,$O$5:$O$3004,"EM ANDAMENTO"))</f>
        <v/>
      </c>
      <c r="Y96" s="2">
        <f>IF(R96="","",IF(COUNTIFS($C$5:$C$3004,R96,$O$5:$O$3004,"CONCLUÍDA",$N$5:$N$3004,"&gt;=-1")=0,"",_xlfn.MAXIFS($N$5:$N$3004,$C$5:$C$3004,R96,$O$5:$O$3004,"CONCLUÍDA")))</f>
        <v/>
      </c>
      <c r="Z96" s="2">
        <f>IF(R96="","",IF(COUNTIFS($C$5:$C$3004,R96,$O$5:$O$3004,"EM ANDAMENTO",$N$5:$N$3004,"&gt;=-1")=0,"",_xlfn.MAXIFS($N$5:$N$3004,$C$5:$C$3004,R96,$O$5:$O$3004,"EM ANDAMENTO")))</f>
        <v/>
      </c>
      <c r="AA96" s="2">
        <f>IF(OR(R96="",S96="",U96&lt;&gt;"SIM",V96=0),"",IF(W96+X96=0,"",T96&amp;": "&amp;IF(W96=V96,"concluído",IF(W96=0,"em execução"&amp;IF(Z96&lt;&gt;""," ("&amp;IF(Z96=-1,"subsolo",IF(Z96=0,"térreo",Z96&amp;"º pav."))&amp;")",""),IF(Y96&lt;&gt;"","até "&amp;IF(Y96=-1,"subsolo",IF(Y96=0,"térreo",Y96&amp;"º pav.")),W96&amp;" de "&amp;V96&amp;" concluídas")&amp;IF(Z96="","",IF(OR(Y96="",Z96&gt;Y96),", executando "&amp;IF(Z96=-1,"subsolo",IF(Z96=0,"térreo",Z96&amp;"º pav."))," (restam serviços no "&amp;IF(Z96=-1,"subsolo",IF(Z96=0,"térreo",Z96&amp;"º pav."))&amp;")"))))))</f>
        <v/>
      </c>
    </row>
    <row r="97">
      <c r="B97" s="4" t="n">
        <v>13584677</v>
      </c>
      <c r="C97" s="4" t="inlineStr">
        <is>
          <t>FUNDAÇÃO PROFUNDA</t>
        </is>
      </c>
      <c r="D97" s="4" t="inlineStr">
        <is>
          <t>P101B e P110</t>
        </is>
      </c>
      <c r="E97" s="4" t="inlineStr">
        <is>
          <t>SERVIÇOS INICIAIS</t>
        </is>
      </c>
      <c r="F97" s="118" t="n">
        <v>46049</v>
      </c>
      <c r="G97" s="118" t="n">
        <v>46052</v>
      </c>
      <c r="H97" s="118" t="n">
        <v>46289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IF(E97="","",IF(LEFT(E97,7)="SUBSOLO",-1,IF(LEFT(E97,6)="TÉRREO",0,IFERROR(VALUE(LEFT(E97,FIND("º",SUBSTITUTE(E97,"°","º"))-1)),""))))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PREPARAÇÃO PARA FACHADA AERADA - F5 (1º ETAPA)</t>
        </is>
      </c>
      <c r="S97" s="4" t="inlineStr">
        <is>
          <t>32</t>
        </is>
      </c>
      <c r="T97" s="4" t="inlineStr">
        <is>
          <t>Preparação para fachada aerada - F5 (1º etapa)</t>
        </is>
      </c>
      <c r="U97" s="4" t="inlineStr">
        <is>
          <t>SIM</t>
        </is>
      </c>
      <c r="V97" s="2">
        <f>IF(R97="","",COUNTIF($C$5:$C$3004,R97))</f>
        <v/>
      </c>
      <c r="W97" s="2">
        <f>IF(R97="","",COUNTIFS($C$5:$C$3004,R97,$O$5:$O$3004,"CONCLUÍDA"))</f>
        <v/>
      </c>
      <c r="X97" s="2">
        <f>IF(R97="","",COUNTIFS($C$5:$C$3004,R97,$O$5:$O$3004,"EM ANDAMENTO"))</f>
        <v/>
      </c>
      <c r="Y97" s="2">
        <f>IF(R97="","",IF(COUNTIFS($C$5:$C$3004,R97,$O$5:$O$3004,"CONCLUÍDA",$N$5:$N$3004,"&gt;=-1")=0,"",_xlfn.MAXIFS($N$5:$N$3004,$C$5:$C$3004,R97,$O$5:$O$3004,"CONCLUÍDA")))</f>
        <v/>
      </c>
      <c r="Z97" s="2">
        <f>IF(R97="","",IF(COUNTIFS($C$5:$C$3004,R97,$O$5:$O$3004,"EM ANDAMENTO",$N$5:$N$3004,"&gt;=-1")=0,"",_xlfn.MAXIFS($N$5:$N$3004,$C$5:$C$3004,R97,$O$5:$O$3004,"EM ANDAMENTO")))</f>
        <v/>
      </c>
      <c r="AA97" s="2">
        <f>IF(OR(R97="",S97="",U97&lt;&gt;"SIM",V97=0),"",IF(W97+X97=0,"",T97&amp;": "&amp;IF(W97=V97,"concluído",IF(W97=0,"em execução"&amp;IF(Z97&lt;&gt;""," ("&amp;IF(Z97=-1,"subsolo",IF(Z97=0,"térreo",Z97&amp;"º pav."))&amp;")",""),IF(Y97&lt;&gt;"","até "&amp;IF(Y97=-1,"subsolo",IF(Y97=0,"térreo",Y97&amp;"º pav.")),W97&amp;" de "&amp;V97&amp;" concluídas")&amp;IF(Z97="","",IF(OR(Y97="",Z97&gt;Y97),", executando "&amp;IF(Z97=-1,"subsolo",IF(Z97=0,"térreo",Z97&amp;"º pav."))," (restam serviços no "&amp;IF(Z97=-1,"subsolo",IF(Z97=0,"térreo",Z97&amp;"º pav."))&amp;")"))))))</f>
        <v/>
      </c>
    </row>
    <row r="98">
      <c r="B98" s="4" t="n">
        <v>13584678</v>
      </c>
      <c r="C98" s="4" t="inlineStr">
        <is>
          <t>FUNDAÇÃO PROFUNDA</t>
        </is>
      </c>
      <c r="D98" s="4" t="inlineStr">
        <is>
          <t>Nucleo U</t>
        </is>
      </c>
      <c r="E98" s="4" t="inlineStr">
        <is>
          <t>SERVIÇOS INICIAIS</t>
        </is>
      </c>
      <c r="F98" s="118" t="n">
        <v>46055</v>
      </c>
      <c r="G98" s="118" t="n">
        <v>46055</v>
      </c>
      <c r="H98" s="118" t="n">
        <v>46289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IF(E98="","",IF(LEFT(E98,7)="SUBSOLO",-1,IF(LEFT(E98,6)="TÉRREO",0,IFERROR(VALUE(LEFT(E98,FIND("º",SUBSTITUTE(E98,"°","º"))-1)),""))))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PEITORIS E REQUADROS DE FACHADA - F3 + F4 (1º ETAPA)</t>
        </is>
      </c>
      <c r="S98" s="4" t="inlineStr">
        <is>
          <t>32</t>
        </is>
      </c>
      <c r="T98" s="4" t="inlineStr">
        <is>
          <t>Peitoris e requadros de fachada - F3 + F4 (1º etapa)</t>
        </is>
      </c>
      <c r="U98" s="4" t="inlineStr">
        <is>
          <t>SIM</t>
        </is>
      </c>
      <c r="V98" s="2">
        <f>IF(R98="","",COUNTIF($C$5:$C$3004,R98))</f>
        <v/>
      </c>
      <c r="W98" s="2">
        <f>IF(R98="","",COUNTIFS($C$5:$C$3004,R98,$O$5:$O$3004,"CONCLUÍDA"))</f>
        <v/>
      </c>
      <c r="X98" s="2">
        <f>IF(R98="","",COUNTIFS($C$5:$C$3004,R98,$O$5:$O$3004,"EM ANDAMENTO"))</f>
        <v/>
      </c>
      <c r="Y98" s="2">
        <f>IF(R98="","",IF(COUNTIFS($C$5:$C$3004,R98,$O$5:$O$3004,"CONCLUÍDA",$N$5:$N$3004,"&gt;=-1")=0,"",_xlfn.MAXIFS($N$5:$N$3004,$C$5:$C$3004,R98,$O$5:$O$3004,"CONCLUÍDA")))</f>
        <v/>
      </c>
      <c r="Z98" s="2">
        <f>IF(R98="","",IF(COUNTIFS($C$5:$C$3004,R98,$O$5:$O$3004,"EM ANDAMENTO",$N$5:$N$3004,"&gt;=-1")=0,"",_xlfn.MAXIFS($N$5:$N$3004,$C$5:$C$3004,R98,$O$5:$O$3004,"EM ANDAMENTO")))</f>
        <v/>
      </c>
      <c r="AA98" s="2">
        <f>IF(OR(R98="",S98="",U98&lt;&gt;"SIM",V98=0),"",IF(W98+X98=0,"",T98&amp;": "&amp;IF(W98=V98,"concluído",IF(W98=0,"em execução"&amp;IF(Z98&lt;&gt;""," ("&amp;IF(Z98=-1,"subsolo",IF(Z98=0,"térreo",Z98&amp;"º pav."))&amp;")",""),IF(Y98&lt;&gt;"","até "&amp;IF(Y98=-1,"subsolo",IF(Y98=0,"térreo",Y98&amp;"º pav.")),W98&amp;" de "&amp;V98&amp;" concluídas")&amp;IF(Z98="","",IF(OR(Y98="",Z98&gt;Y98),", executando "&amp;IF(Z98=-1,"subsolo",IF(Z98=0,"térreo",Z98&amp;"º pav."))," (restam serviços no "&amp;IF(Z98=-1,"subsolo",IF(Z98=0,"térreo",Z98&amp;"º pav."))&amp;")"))))))</f>
        <v/>
      </c>
    </row>
    <row r="99">
      <c r="B99" s="4" t="n">
        <v>13584679</v>
      </c>
      <c r="C99" s="4" t="inlineStr">
        <is>
          <t>FUNDAÇÃO PROFUNDA</t>
        </is>
      </c>
      <c r="D99" s="4" t="inlineStr">
        <is>
          <t>Nucleo A-A</t>
        </is>
      </c>
      <c r="E99" s="4" t="inlineStr">
        <is>
          <t>SERVIÇOS INICIAIS</t>
        </is>
      </c>
      <c r="F99" s="118" t="n">
        <v>46056</v>
      </c>
      <c r="G99" s="118" t="n">
        <v>46056</v>
      </c>
      <c r="H99" s="118" t="n">
        <v>46289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IF(E99="","",IF(LEFT(E99,7)="SUBSOLO",-1,IF(LEFT(E99,6)="TÉRREO",0,IFERROR(VALUE(LEFT(E99,FIND("º",SUBSTITUTE(E99,"°","º"))-1)),""))))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PINTURA 1º DEMÃO</t>
        </is>
      </c>
      <c r="S99" s="4" t="inlineStr">
        <is>
          <t>35</t>
        </is>
      </c>
      <c r="T99" s="4" t="inlineStr">
        <is>
          <t>Pintura 1ª demão</t>
        </is>
      </c>
      <c r="U99" s="4" t="inlineStr">
        <is>
          <t>SIM</t>
        </is>
      </c>
      <c r="V99" s="2">
        <f>IF(R99="","",COUNTIF($C$5:$C$3004,R99))</f>
        <v/>
      </c>
      <c r="W99" s="2">
        <f>IF(R99="","",COUNTIFS($C$5:$C$3004,R99,$O$5:$O$3004,"CONCLUÍDA"))</f>
        <v/>
      </c>
      <c r="X99" s="2">
        <f>IF(R99="","",COUNTIFS($C$5:$C$3004,R99,$O$5:$O$3004,"EM ANDAMENTO"))</f>
        <v/>
      </c>
      <c r="Y99" s="2">
        <f>IF(R99="","",IF(COUNTIFS($C$5:$C$3004,R99,$O$5:$O$3004,"CONCLUÍDA",$N$5:$N$3004,"&gt;=-1")=0,"",_xlfn.MAXIFS($N$5:$N$3004,$C$5:$C$3004,R99,$O$5:$O$3004,"CONCLUÍDA")))</f>
        <v/>
      </c>
      <c r="Z99" s="2">
        <f>IF(R99="","",IF(COUNTIFS($C$5:$C$3004,R99,$O$5:$O$3004,"EM ANDAMENTO",$N$5:$N$3004,"&gt;=-1")=0,"",_xlfn.MAXIFS($N$5:$N$3004,$C$5:$C$3004,R99,$O$5:$O$3004,"EM ANDAMENTO")))</f>
        <v/>
      </c>
      <c r="AA99" s="2">
        <f>IF(OR(R99="",S99="",U99&lt;&gt;"SIM",V99=0),"",IF(W99+X99=0,"",T99&amp;": "&amp;IF(W99=V99,"concluído",IF(W99=0,"em execução"&amp;IF(Z99&lt;&gt;""," ("&amp;IF(Z99=-1,"subsolo",IF(Z99=0,"térreo",Z99&amp;"º pav."))&amp;")",""),IF(Y99&lt;&gt;"","até "&amp;IF(Y99=-1,"subsolo",IF(Y99=0,"térreo",Y99&amp;"º pav.")),W99&amp;" de "&amp;V99&amp;" concluídas")&amp;IF(Z99="","",IF(OR(Y99="",Z99&gt;Y99),", executando "&amp;IF(Z99=-1,"subsolo",IF(Z99=0,"térreo",Z99&amp;"º pav."))," (restam serviços no "&amp;IF(Z99=-1,"subsolo",IF(Z99=0,"térreo",Z99&amp;"º pav."))&amp;")"))))))</f>
        <v/>
      </c>
    </row>
    <row r="100">
      <c r="B100" s="4" t="n">
        <v>13584680</v>
      </c>
      <c r="C100" s="4" t="inlineStr">
        <is>
          <t>FUNDAÇÃO PROFUNDA</t>
        </is>
      </c>
      <c r="D100" s="4" t="inlineStr">
        <is>
          <t>Nucleo V</t>
        </is>
      </c>
      <c r="E100" s="4" t="inlineStr">
        <is>
          <t>SERVIÇOS INICIAIS</t>
        </is>
      </c>
      <c r="F100" s="118" t="n">
        <v>46057</v>
      </c>
      <c r="G100" s="118" t="n">
        <v>46057</v>
      </c>
      <c r="H100" s="118" t="n">
        <v>46289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IF(E100="","",IF(LEFT(E100,7)="SUBSOLO",-1,IF(LEFT(E100,6)="TÉRREO",0,IFERROR(VALUE(LEFT(E100,FIND("º",SUBSTITUTE(E100,"°","º"))-1)),""))))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FACHADA AERADA - F5 (1º ETAPA)</t>
        </is>
      </c>
      <c r="S100" s="4" t="inlineStr">
        <is>
          <t>32</t>
        </is>
      </c>
      <c r="T100" s="4" t="inlineStr">
        <is>
          <t>Fachada aerada - F5 (1º etapa)</t>
        </is>
      </c>
      <c r="U100" s="4" t="inlineStr">
        <is>
          <t>SIM</t>
        </is>
      </c>
      <c r="V100" s="2">
        <f>IF(R100="","",COUNTIF($C$5:$C$3004,R100))</f>
        <v/>
      </c>
      <c r="W100" s="2">
        <f>IF(R100="","",COUNTIFS($C$5:$C$3004,R100,$O$5:$O$3004,"CONCLUÍDA"))</f>
        <v/>
      </c>
      <c r="X100" s="2">
        <f>IF(R100="","",COUNTIFS($C$5:$C$3004,R100,$O$5:$O$3004,"EM ANDAMENTO"))</f>
        <v/>
      </c>
      <c r="Y100" s="2">
        <f>IF(R100="","",IF(COUNTIFS($C$5:$C$3004,R100,$O$5:$O$3004,"CONCLUÍDA",$N$5:$N$3004,"&gt;=-1")=0,"",_xlfn.MAXIFS($N$5:$N$3004,$C$5:$C$3004,R100,$O$5:$O$3004,"CONCLUÍDA")))</f>
        <v/>
      </c>
      <c r="Z100" s="2">
        <f>IF(R100="","",IF(COUNTIFS($C$5:$C$3004,R100,$O$5:$O$3004,"EM ANDAMENTO",$N$5:$N$3004,"&gt;=-1")=0,"",_xlfn.MAXIFS($N$5:$N$3004,$C$5:$C$3004,R100,$O$5:$O$3004,"EM ANDAMENTO")))</f>
        <v/>
      </c>
      <c r="AA100" s="2">
        <f>IF(OR(R100="",S100="",U100&lt;&gt;"SIM",V100=0),"",IF(W100+X100=0,"",T100&amp;": "&amp;IF(W100=V100,"concluído",IF(W100=0,"em execução"&amp;IF(Z100&lt;&gt;""," ("&amp;IF(Z100=-1,"subsolo",IF(Z100=0,"térreo",Z100&amp;"º pav."))&amp;")",""),IF(Y100&lt;&gt;"","até "&amp;IF(Y100=-1,"subsolo",IF(Y100=0,"térreo",Y100&amp;"º pav.")),W100&amp;" de "&amp;V100&amp;" concluídas")&amp;IF(Z100="","",IF(OR(Y100="",Z100&gt;Y100),", executando "&amp;IF(Z100=-1,"subsolo",IF(Z100=0,"térreo",Z100&amp;"º pav."))," (restam serviços no "&amp;IF(Z100=-1,"subsolo",IF(Z100=0,"térreo",Z100&amp;"º pav."))&amp;")"))))))</f>
        <v/>
      </c>
    </row>
    <row r="101">
      <c r="B101" s="4" t="n">
        <v>13584682</v>
      </c>
      <c r="C101" s="4" t="inlineStr">
        <is>
          <t>FUNDAÇÃO PROFUNDA</t>
        </is>
      </c>
      <c r="D101" s="4" t="inlineStr">
        <is>
          <t>Nucleo AB</t>
        </is>
      </c>
      <c r="E101" s="4" t="inlineStr">
        <is>
          <t>SERVIÇOS INICIAIS</t>
        </is>
      </c>
      <c r="F101" s="118" t="n">
        <v>46058</v>
      </c>
      <c r="G101" s="118" t="n">
        <v>46058</v>
      </c>
      <c r="H101" s="118" t="n">
        <v>46289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IF(E101="","",IF(LEFT(E101,7)="SUBSOLO",-1,IF(LEFT(E101,6)="TÉRREO",0,IFERROR(VALUE(LEFT(E101,FIND("º",SUBSTITUTE(E101,"°","º"))-1)),""))))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GERADOR/TRANSFORMADOR</t>
        </is>
      </c>
      <c r="S101" s="4" t="inlineStr">
        <is>
          <t>20</t>
        </is>
      </c>
      <c r="T101" s="4" t="inlineStr">
        <is>
          <t>Gerador/transformador</t>
        </is>
      </c>
      <c r="U101" s="4" t="inlineStr">
        <is>
          <t>NÃO</t>
        </is>
      </c>
      <c r="V101" s="2">
        <f>IF(R101="","",COUNTIF($C$5:$C$3004,R101))</f>
        <v/>
      </c>
      <c r="W101" s="2">
        <f>IF(R101="","",COUNTIFS($C$5:$C$3004,R101,$O$5:$O$3004,"CONCLUÍDA"))</f>
        <v/>
      </c>
      <c r="X101" s="2">
        <f>IF(R101="","",COUNTIFS($C$5:$C$3004,R101,$O$5:$O$3004,"EM ANDAMENTO"))</f>
        <v/>
      </c>
      <c r="Y101" s="2">
        <f>IF(R101="","",IF(COUNTIFS($C$5:$C$3004,R101,$O$5:$O$3004,"CONCLUÍDA",$N$5:$N$3004,"&gt;=-1")=0,"",_xlfn.MAXIFS($N$5:$N$3004,$C$5:$C$3004,R101,$O$5:$O$3004,"CONCLUÍDA")))</f>
        <v/>
      </c>
      <c r="Z101" s="2">
        <f>IF(R101="","",IF(COUNTIFS($C$5:$C$3004,R101,$O$5:$O$3004,"EM ANDAMENTO",$N$5:$N$3004,"&gt;=-1")=0,"",_xlfn.MAXIFS($N$5:$N$3004,$C$5:$C$3004,R101,$O$5:$O$3004,"EM ANDAMENTO")))</f>
        <v/>
      </c>
      <c r="AA101" s="2">
        <f>IF(OR(R101="",S101="",U101&lt;&gt;"SIM",V101=0),"",IF(W101+X101=0,"",T101&amp;": "&amp;IF(W101=V101,"concluído",IF(W101=0,"em execução"&amp;IF(Z101&lt;&gt;""," ("&amp;IF(Z101=-1,"subsolo",IF(Z101=0,"térreo",Z101&amp;"º pav."))&amp;")",""),IF(Y101&lt;&gt;"","até "&amp;IF(Y101=-1,"subsolo",IF(Y101=0,"térreo",Y101&amp;"º pav.")),W101&amp;" de "&amp;V101&amp;" concluídas")&amp;IF(Z101="","",IF(OR(Y101="",Z101&gt;Y101),", executando "&amp;IF(Z101=-1,"subsolo",IF(Z101=0,"térreo",Z101&amp;"º pav."))," (restam serviços no "&amp;IF(Z101=-1,"subsolo",IF(Z101=0,"térreo",Z101&amp;"º pav."))&amp;")"))))))</f>
        <v/>
      </c>
    </row>
    <row r="102">
      <c r="B102" s="4" t="n">
        <v>14668329</v>
      </c>
      <c r="C102" s="4" t="inlineStr">
        <is>
          <t>FUNDAÇÃO PROFUNDA</t>
        </is>
      </c>
      <c r="D102" s="4" t="inlineStr">
        <is>
          <t>Nucleo W</t>
        </is>
      </c>
      <c r="E102" s="4" t="inlineStr">
        <is>
          <t>SERVIÇOS INICIAIS</t>
        </is>
      </c>
      <c r="F102" s="118" t="n">
        <v>46059</v>
      </c>
      <c r="G102" s="118" t="n">
        <v>46059</v>
      </c>
      <c r="H102" s="118" t="n">
        <v>46289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IF(E102="","",IF(LEFT(E102,7)="SUBSOLO",-1,IF(LEFT(E102,6)="TÉRREO",0,IFERROR(VALUE(LEFT(E102,FIND("º",SUBSTITUTE(E102,"°","º"))-1)),""))))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DISJUNTORES / MIOLOS</t>
        </is>
      </c>
      <c r="S102" s="4" t="inlineStr">
        <is>
          <t>20</t>
        </is>
      </c>
      <c r="T102" s="4" t="inlineStr">
        <is>
          <t>Disjuntores / miolos</t>
        </is>
      </c>
      <c r="U102" s="4" t="inlineStr">
        <is>
          <t>SIM</t>
        </is>
      </c>
      <c r="V102" s="2">
        <f>IF(R102="","",COUNTIF($C$5:$C$3004,R102))</f>
        <v/>
      </c>
      <c r="W102" s="2">
        <f>IF(R102="","",COUNTIFS($C$5:$C$3004,R102,$O$5:$O$3004,"CONCLUÍDA"))</f>
        <v/>
      </c>
      <c r="X102" s="2">
        <f>IF(R102="","",COUNTIFS($C$5:$C$3004,R102,$O$5:$O$3004,"EM ANDAMENTO"))</f>
        <v/>
      </c>
      <c r="Y102" s="2">
        <f>IF(R102="","",IF(COUNTIFS($C$5:$C$3004,R102,$O$5:$O$3004,"CONCLUÍDA",$N$5:$N$3004,"&gt;=-1")=0,"",_xlfn.MAXIFS($N$5:$N$3004,$C$5:$C$3004,R102,$O$5:$O$3004,"CONCLUÍDA")))</f>
        <v/>
      </c>
      <c r="Z102" s="2">
        <f>IF(R102="","",IF(COUNTIFS($C$5:$C$3004,R102,$O$5:$O$3004,"EM ANDAMENTO",$N$5:$N$3004,"&gt;=-1")=0,"",_xlfn.MAXIFS($N$5:$N$3004,$C$5:$C$3004,R102,$O$5:$O$3004,"EM ANDAMENTO")))</f>
        <v/>
      </c>
      <c r="AA102" s="2">
        <f>IF(OR(R102="",S102="",U102&lt;&gt;"SIM",V102=0),"",IF(W102+X102=0,"",T102&amp;": "&amp;IF(W102=V102,"concluído",IF(W102=0,"em execução"&amp;IF(Z102&lt;&gt;""," ("&amp;IF(Z102=-1,"subsolo",IF(Z102=0,"térreo",Z102&amp;"º pav."))&amp;")",""),IF(Y102&lt;&gt;"","até "&amp;IF(Y102=-1,"subsolo",IF(Y102=0,"térreo",Y102&amp;"º pav.")),W102&amp;" de "&amp;V102&amp;" concluídas")&amp;IF(Z102="","",IF(OR(Y102="",Z102&gt;Y102),", executando "&amp;IF(Z102=-1,"subsolo",IF(Z102=0,"térreo",Z102&amp;"º pav."))," (restam serviços no "&amp;IF(Z102=-1,"subsolo",IF(Z102=0,"térreo",Z102&amp;"º pav."))&amp;")"))))))</f>
        <v/>
      </c>
    </row>
    <row r="103">
      <c r="B103" s="4" t="n">
        <v>14668330</v>
      </c>
      <c r="C103" s="4" t="inlineStr">
        <is>
          <t>FUNDAÇÃO PROFUNDA</t>
        </is>
      </c>
      <c r="D103" s="4" t="inlineStr">
        <is>
          <t>Nucleo AC e 101A</t>
        </is>
      </c>
      <c r="E103" s="4" t="inlineStr">
        <is>
          <t>SERVIÇOS INICIAIS</t>
        </is>
      </c>
      <c r="F103" s="118" t="n">
        <v>46062</v>
      </c>
      <c r="G103" s="118" t="n">
        <v>46062</v>
      </c>
      <c r="H103" s="118" t="n">
        <v>46289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IF(E103="","",IF(LEFT(E103,7)="SUBSOLO",-1,IF(LEFT(E103,6)="TÉRREO",0,IFERROR(VALUE(LEFT(E103,FIND("º",SUBSTITUTE(E103,"°","º"))-1)),""))))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INSTALAÇÃO DE LUMINÁRIAS E SENSORES</t>
        </is>
      </c>
      <c r="S103" s="4" t="inlineStr">
        <is>
          <t>20</t>
        </is>
      </c>
      <c r="T103" s="4" t="inlineStr">
        <is>
          <t>Luminárias e sensores</t>
        </is>
      </c>
      <c r="U103" s="4" t="inlineStr">
        <is>
          <t>NÃO</t>
        </is>
      </c>
      <c r="V103" s="2">
        <f>IF(R103="","",COUNTIF($C$5:$C$3004,R103))</f>
        <v/>
      </c>
      <c r="W103" s="2">
        <f>IF(R103="","",COUNTIFS($C$5:$C$3004,R103,$O$5:$O$3004,"CONCLUÍDA"))</f>
        <v/>
      </c>
      <c r="X103" s="2">
        <f>IF(R103="","",COUNTIFS($C$5:$C$3004,R103,$O$5:$O$3004,"EM ANDAMENTO"))</f>
        <v/>
      </c>
      <c r="Y103" s="2">
        <f>IF(R103="","",IF(COUNTIFS($C$5:$C$3004,R103,$O$5:$O$3004,"CONCLUÍDA",$N$5:$N$3004,"&gt;=-1")=0,"",_xlfn.MAXIFS($N$5:$N$3004,$C$5:$C$3004,R103,$O$5:$O$3004,"CONCLUÍDA")))</f>
        <v/>
      </c>
      <c r="Z103" s="2">
        <f>IF(R103="","",IF(COUNTIFS($C$5:$C$3004,R103,$O$5:$O$3004,"EM ANDAMENTO",$N$5:$N$3004,"&gt;=-1")=0,"",_xlfn.MAXIFS($N$5:$N$3004,$C$5:$C$3004,R103,$O$5:$O$3004,"EM ANDAMENTO")))</f>
        <v/>
      </c>
      <c r="AA103" s="2">
        <f>IF(OR(R103="",S103="",U103&lt;&gt;"SIM",V103=0),"",IF(W103+X103=0,"",T103&amp;": "&amp;IF(W103=V103,"concluído",IF(W103=0,"em execução"&amp;IF(Z103&lt;&gt;""," ("&amp;IF(Z103=-1,"subsolo",IF(Z103=0,"térreo",Z103&amp;"º pav."))&amp;")",""),IF(Y103&lt;&gt;"","até "&amp;IF(Y103=-1,"subsolo",IF(Y103=0,"térreo",Y103&amp;"º pav.")),W103&amp;" de "&amp;V103&amp;" concluídas")&amp;IF(Z103="","",IF(OR(Y103="",Z103&gt;Y103),", executando "&amp;IF(Z103=-1,"subsolo",IF(Z103=0,"térreo",Z103&amp;"º pav."))," (restam serviços no "&amp;IF(Z103=-1,"subsolo",IF(Z103=0,"térreo",Z103&amp;"º pav."))&amp;")"))))))</f>
        <v/>
      </c>
    </row>
    <row r="104">
      <c r="B104" s="4" t="n">
        <v>14668331</v>
      </c>
      <c r="C104" s="4" t="inlineStr">
        <is>
          <t>FUNDAÇÃO PROFUNDA</t>
        </is>
      </c>
      <c r="D104" s="4" t="inlineStr">
        <is>
          <t>Nucleo H e 101B</t>
        </is>
      </c>
      <c r="E104" s="4" t="inlineStr">
        <is>
          <t>SERVIÇOS INICIAIS</t>
        </is>
      </c>
      <c r="F104" s="118" t="n">
        <v>46063</v>
      </c>
      <c r="G104" s="118" t="n">
        <v>46063</v>
      </c>
      <c r="H104" s="118" t="n">
        <v>46289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IF(E104="","",IF(LEFT(E104,7)="SUBSOLO",-1,IF(LEFT(E104,6)="TÉRREO",0,IFERROR(VALUE(LEFT(E104,FIND("º",SUBSTITUTE(E104,"°","º"))-1)),""))))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PISO VINÍLICO / LAMINADO</t>
        </is>
      </c>
      <c r="S104" s="4" t="inlineStr">
        <is>
          <t>30</t>
        </is>
      </c>
      <c r="T104" s="4" t="inlineStr">
        <is>
          <t>Piso vinílico / laminado</t>
        </is>
      </c>
      <c r="U104" s="4" t="inlineStr">
        <is>
          <t>SIM</t>
        </is>
      </c>
      <c r="V104" s="2">
        <f>IF(R104="","",COUNTIF($C$5:$C$3004,R104))</f>
        <v/>
      </c>
      <c r="W104" s="2">
        <f>IF(R104="","",COUNTIFS($C$5:$C$3004,R104,$O$5:$O$3004,"CONCLUÍDA"))</f>
        <v/>
      </c>
      <c r="X104" s="2">
        <f>IF(R104="","",COUNTIFS($C$5:$C$3004,R104,$O$5:$O$3004,"EM ANDAMENTO"))</f>
        <v/>
      </c>
      <c r="Y104" s="2">
        <f>IF(R104="","",IF(COUNTIFS($C$5:$C$3004,R104,$O$5:$O$3004,"CONCLUÍDA",$N$5:$N$3004,"&gt;=-1")=0,"",_xlfn.MAXIFS($N$5:$N$3004,$C$5:$C$3004,R104,$O$5:$O$3004,"CONCLUÍDA")))</f>
        <v/>
      </c>
      <c r="Z104" s="2">
        <f>IF(R104="","",IF(COUNTIFS($C$5:$C$3004,R104,$O$5:$O$3004,"EM ANDAMENTO",$N$5:$N$3004,"&gt;=-1")=0,"",_xlfn.MAXIFS($N$5:$N$3004,$C$5:$C$3004,R104,$O$5:$O$3004,"EM ANDAMENTO")))</f>
        <v/>
      </c>
      <c r="AA104" s="2">
        <f>IF(OR(R104="",S104="",U104&lt;&gt;"SIM",V104=0),"",IF(W104+X104=0,"",T104&amp;": "&amp;IF(W104=V104,"concluído",IF(W104=0,"em execução"&amp;IF(Z104&lt;&gt;""," ("&amp;IF(Z104=-1,"subsolo",IF(Z104=0,"térreo",Z104&amp;"º pav."))&amp;")",""),IF(Y104&lt;&gt;"","até "&amp;IF(Y104=-1,"subsolo",IF(Y104=0,"térreo",Y104&amp;"º pav.")),W104&amp;" de "&amp;V104&amp;" concluídas")&amp;IF(Z104="","",IF(OR(Y104="",Z104&gt;Y104),", executando "&amp;IF(Z104=-1,"subsolo",IF(Z104=0,"térreo",Z104&amp;"º pav."))," (restam serviços no "&amp;IF(Z104=-1,"subsolo",IF(Z104=0,"térreo",Z104&amp;"º pav."))&amp;")"))))))</f>
        <v/>
      </c>
    </row>
    <row r="105">
      <c r="B105" s="4" t="n">
        <v>14668332</v>
      </c>
      <c r="C105" s="4" t="inlineStr">
        <is>
          <t>FUNDAÇÃO PROFUNDA</t>
        </is>
      </c>
      <c r="D105" s="4" t="inlineStr">
        <is>
          <t>Nucleo I e PF4</t>
        </is>
      </c>
      <c r="E105" s="4" t="inlineStr">
        <is>
          <t>SERVIÇOS INICIAIS</t>
        </is>
      </c>
      <c r="F105" s="118" t="n">
        <v>46064</v>
      </c>
      <c r="G105" s="118" t="n">
        <v>46064</v>
      </c>
      <c r="H105" s="118" t="n">
        <v>46289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IF(E105="","",IF(LEFT(E105,7)="SUBSOLO",-1,IF(LEFT(E105,6)="TÉRREO",0,IFERROR(VALUE(LEFT(E105,FIND("º",SUBSTITUTE(E105,"°","º"))-1)),""))))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INSTALAÇÕES INCÊNDIO</t>
        </is>
      </c>
      <c r="S105" s="4" t="inlineStr">
        <is>
          <t>22</t>
        </is>
      </c>
      <c r="T105" s="4" t="inlineStr">
        <is>
          <t>Inst. incêndio</t>
        </is>
      </c>
      <c r="U105" s="4" t="inlineStr">
        <is>
          <t>NÃO</t>
        </is>
      </c>
      <c r="V105" s="2">
        <f>IF(R105="","",COUNTIF($C$5:$C$3004,R105))</f>
        <v/>
      </c>
      <c r="W105" s="2">
        <f>IF(R105="","",COUNTIFS($C$5:$C$3004,R105,$O$5:$O$3004,"CONCLUÍDA"))</f>
        <v/>
      </c>
      <c r="X105" s="2">
        <f>IF(R105="","",COUNTIFS($C$5:$C$3004,R105,$O$5:$O$3004,"EM ANDAMENTO"))</f>
        <v/>
      </c>
      <c r="Y105" s="2">
        <f>IF(R105="","",IF(COUNTIFS($C$5:$C$3004,R105,$O$5:$O$3004,"CONCLUÍDA",$N$5:$N$3004,"&gt;=-1")=0,"",_xlfn.MAXIFS($N$5:$N$3004,$C$5:$C$3004,R105,$O$5:$O$3004,"CONCLUÍDA")))</f>
        <v/>
      </c>
      <c r="Z105" s="2">
        <f>IF(R105="","",IF(COUNTIFS($C$5:$C$3004,R105,$O$5:$O$3004,"EM ANDAMENTO",$N$5:$N$3004,"&gt;=-1")=0,"",_xlfn.MAXIFS($N$5:$N$3004,$C$5:$C$3004,R105,$O$5:$O$3004,"EM ANDAMENTO")))</f>
        <v/>
      </c>
      <c r="AA105" s="2">
        <f>IF(OR(R105="",S105="",U105&lt;&gt;"SIM",V105=0),"",IF(W105+X105=0,"",T105&amp;": "&amp;IF(W105=V105,"concluído",IF(W105=0,"em execução"&amp;IF(Z105&lt;&gt;""," ("&amp;IF(Z105=-1,"subsolo",IF(Z105=0,"térreo",Z105&amp;"º pav."))&amp;")",""),IF(Y105&lt;&gt;"","até "&amp;IF(Y105=-1,"subsolo",IF(Y105=0,"térreo",Y105&amp;"º pav.")),W105&amp;" de "&amp;V105&amp;" concluídas")&amp;IF(Z105="","",IF(OR(Y105="",Z105&gt;Y105),", executando "&amp;IF(Z105=-1,"subsolo",IF(Z105=0,"térreo",Z105&amp;"º pav."))," (restam serviços no "&amp;IF(Z105=-1,"subsolo",IF(Z105=0,"térreo",Z105&amp;"º pav."))&amp;")"))))))</f>
        <v/>
      </c>
    </row>
    <row r="106">
      <c r="B106" s="4" t="n">
        <v>14668333</v>
      </c>
      <c r="C106" s="4" t="inlineStr">
        <is>
          <t>FUNDAÇÃO PROFUNDA</t>
        </is>
      </c>
      <c r="D106" s="4" t="inlineStr">
        <is>
          <t>Nucleo K e PF3</t>
        </is>
      </c>
      <c r="E106" s="4" t="inlineStr">
        <is>
          <t>SERVIÇOS INICIAIS</t>
        </is>
      </c>
      <c r="F106" s="118" t="n">
        <v>46065</v>
      </c>
      <c r="G106" s="118" t="n">
        <v>46065</v>
      </c>
      <c r="H106" s="118" t="n">
        <v>46289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IF(E106="","",IF(LEFT(E106,7)="SUBSOLO",-1,IF(LEFT(E106,6)="TÉRREO",0,IFERROR(VALUE(LEFT(E106,FIND("º",SUBSTITUTE(E106,"°","º"))-1)),""))))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INST. MÓDULOS CHURRASQUEIRA</t>
        </is>
      </c>
      <c r="S106" s="4" t="inlineStr">
        <is>
          <t>23</t>
        </is>
      </c>
      <c r="T106" s="4" t="inlineStr">
        <is>
          <t>Inst. módulos churrasqueira</t>
        </is>
      </c>
      <c r="U106" s="4" t="inlineStr">
        <is>
          <t>NÃO</t>
        </is>
      </c>
      <c r="V106" s="2">
        <f>IF(R106="","",COUNTIF($C$5:$C$3004,R106))</f>
        <v/>
      </c>
      <c r="W106" s="2">
        <f>IF(R106="","",COUNTIFS($C$5:$C$3004,R106,$O$5:$O$3004,"CONCLUÍDA"))</f>
        <v/>
      </c>
      <c r="X106" s="2">
        <f>IF(R106="","",COUNTIFS($C$5:$C$3004,R106,$O$5:$O$3004,"EM ANDAMENTO"))</f>
        <v/>
      </c>
      <c r="Y106" s="2">
        <f>IF(R106="","",IF(COUNTIFS($C$5:$C$3004,R106,$O$5:$O$3004,"CONCLUÍDA",$N$5:$N$3004,"&gt;=-1")=0,"",_xlfn.MAXIFS($N$5:$N$3004,$C$5:$C$3004,R106,$O$5:$O$3004,"CONCLUÍDA")))</f>
        <v/>
      </c>
      <c r="Z106" s="2">
        <f>IF(R106="","",IF(COUNTIFS($C$5:$C$3004,R106,$O$5:$O$3004,"EM ANDAMENTO",$N$5:$N$3004,"&gt;=-1")=0,"",_xlfn.MAXIFS($N$5:$N$3004,$C$5:$C$3004,R106,$O$5:$O$3004,"EM ANDAMENTO")))</f>
        <v/>
      </c>
      <c r="AA106" s="2">
        <f>IF(OR(R106="",S106="",U106&lt;&gt;"SIM",V106=0),"",IF(W106+X106=0,"",T106&amp;": "&amp;IF(W106=V106,"concluído",IF(W106=0,"em execução"&amp;IF(Z106&lt;&gt;""," ("&amp;IF(Z106=-1,"subsolo",IF(Z106=0,"térreo",Z106&amp;"º pav."))&amp;")",""),IF(Y106&lt;&gt;"","até "&amp;IF(Y106=-1,"subsolo",IF(Y106=0,"térreo",Y106&amp;"º pav.")),W106&amp;" de "&amp;V106&amp;" concluídas")&amp;IF(Z106="","",IF(OR(Y106="",Z106&gt;Y106),", executando "&amp;IF(Z106=-1,"subsolo",IF(Z106=0,"térreo",Z106&amp;"º pav."))," (restam serviços no "&amp;IF(Z106=-1,"subsolo",IF(Z106=0,"térreo",Z106&amp;"º pav."))&amp;")"))))))</f>
        <v/>
      </c>
    </row>
    <row r="107">
      <c r="B107" s="4" t="n">
        <v>14668334</v>
      </c>
      <c r="C107" s="4" t="inlineStr">
        <is>
          <t>FUNDAÇÃO PROFUNDA</t>
        </is>
      </c>
      <c r="D107" s="4" t="inlineStr">
        <is>
          <t>7C e 109B</t>
        </is>
      </c>
      <c r="E107" s="4" t="inlineStr">
        <is>
          <t>SERVIÇOS INICIAIS</t>
        </is>
      </c>
      <c r="F107" s="118" t="n">
        <v>46066</v>
      </c>
      <c r="G107" s="118" t="n">
        <v>46066</v>
      </c>
      <c r="H107" s="118" t="n">
        <v>46289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IF(E107="","",IF(LEFT(E107,7)="SUBSOLO",-1,IF(LEFT(E107,6)="TÉRREO",0,IFERROR(VALUE(LEFT(E107,FIND("º",SUBSTITUTE(E107,"°","º"))-1)),""))))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ESQUADRIA MADEIRA</t>
        </is>
      </c>
      <c r="S107" s="4" t="inlineStr">
        <is>
          <t>25</t>
        </is>
      </c>
      <c r="T107" s="4" t="inlineStr">
        <is>
          <t>Esquadria madeira</t>
        </is>
      </c>
      <c r="U107" s="4" t="inlineStr">
        <is>
          <t>SIM</t>
        </is>
      </c>
      <c r="V107" s="2">
        <f>IF(R107="","",COUNTIF($C$5:$C$3004,R107))</f>
        <v/>
      </c>
      <c r="W107" s="2">
        <f>IF(R107="","",COUNTIFS($C$5:$C$3004,R107,$O$5:$O$3004,"CONCLUÍDA"))</f>
        <v/>
      </c>
      <c r="X107" s="2">
        <f>IF(R107="","",COUNTIFS($C$5:$C$3004,R107,$O$5:$O$3004,"EM ANDAMENTO"))</f>
        <v/>
      </c>
      <c r="Y107" s="2">
        <f>IF(R107="","",IF(COUNTIFS($C$5:$C$3004,R107,$O$5:$O$3004,"CONCLUÍDA",$N$5:$N$3004,"&gt;=-1")=0,"",_xlfn.MAXIFS($N$5:$N$3004,$C$5:$C$3004,R107,$O$5:$O$3004,"CONCLUÍDA")))</f>
        <v/>
      </c>
      <c r="Z107" s="2">
        <f>IF(R107="","",IF(COUNTIFS($C$5:$C$3004,R107,$O$5:$O$3004,"EM ANDAMENTO",$N$5:$N$3004,"&gt;=-1")=0,"",_xlfn.MAXIFS($N$5:$N$3004,$C$5:$C$3004,R107,$O$5:$O$3004,"EM ANDAMENTO")))</f>
        <v/>
      </c>
      <c r="AA107" s="2">
        <f>IF(OR(R107="",S107="",U107&lt;&gt;"SIM",V107=0),"",IF(W107+X107=0,"",T107&amp;": "&amp;IF(W107=V107,"concluído",IF(W107=0,"em execução"&amp;IF(Z107&lt;&gt;""," ("&amp;IF(Z107=-1,"subsolo",IF(Z107=0,"térreo",Z107&amp;"º pav."))&amp;")",""),IF(Y107&lt;&gt;"","até "&amp;IF(Y107=-1,"subsolo",IF(Y107=0,"térreo",Y107&amp;"º pav.")),W107&amp;" de "&amp;V107&amp;" concluídas")&amp;IF(Z107="","",IF(OR(Y107="",Z107&gt;Y107),", executando "&amp;IF(Z107=-1,"subsolo",IF(Z107=0,"térreo",Z107&amp;"º pav."))," (restam serviços no "&amp;IF(Z107=-1,"subsolo",IF(Z107=0,"térreo",Z107&amp;"º pav."))&amp;")"))))))</f>
        <v/>
      </c>
    </row>
    <row r="108">
      <c r="B108" s="4" t="n">
        <v>14668335</v>
      </c>
      <c r="C108" s="4" t="inlineStr">
        <is>
          <t>FUNDAÇÃO PROFUNDA</t>
        </is>
      </c>
      <c r="D108" s="4" t="inlineStr">
        <is>
          <t>4A e 119B</t>
        </is>
      </c>
      <c r="E108" s="4" t="inlineStr">
        <is>
          <t>SERVIÇOS INICIAIS</t>
        </is>
      </c>
      <c r="F108" s="118" t="n">
        <v>46071</v>
      </c>
      <c r="G108" s="118" t="n">
        <v>46071</v>
      </c>
      <c r="H108" s="118" t="n">
        <v>46289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IF(E108="","",IF(LEFT(E108,7)="SUBSOLO",-1,IF(LEFT(E108,6)="TÉRREO",0,IFERROR(VALUE(LEFT(E108,FIND("º",SUBSTITUTE(E108,"°","º"))-1)),""))))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PLACAS E IDEINTIFIC. VISUAIS</t>
        </is>
      </c>
      <c r="S108" s="4" t="n"/>
      <c r="T108" s="4" t="inlineStr">
        <is>
          <t>Placas e ideintific. visuais</t>
        </is>
      </c>
      <c r="U108" s="4" t="inlineStr">
        <is>
          <t>NÃO</t>
        </is>
      </c>
      <c r="V108" s="2">
        <f>IF(R108="","",COUNTIF($C$5:$C$3004,R108))</f>
        <v/>
      </c>
      <c r="W108" s="2">
        <f>IF(R108="","",COUNTIFS($C$5:$C$3004,R108,$O$5:$O$3004,"CONCLUÍDA"))</f>
        <v/>
      </c>
      <c r="X108" s="2">
        <f>IF(R108="","",COUNTIFS($C$5:$C$3004,R108,$O$5:$O$3004,"EM ANDAMENTO"))</f>
        <v/>
      </c>
      <c r="Y108" s="2">
        <f>IF(R108="","",IF(COUNTIFS($C$5:$C$3004,R108,$O$5:$O$3004,"CONCLUÍDA",$N$5:$N$3004,"&gt;=-1")=0,"",_xlfn.MAXIFS($N$5:$N$3004,$C$5:$C$3004,R108,$O$5:$O$3004,"CONCLUÍDA")))</f>
        <v/>
      </c>
      <c r="Z108" s="2">
        <f>IF(R108="","",IF(COUNTIFS($C$5:$C$3004,R108,$O$5:$O$3004,"EM ANDAMENTO",$N$5:$N$3004,"&gt;=-1")=0,"",_xlfn.MAXIFS($N$5:$N$3004,$C$5:$C$3004,R108,$O$5:$O$3004,"EM ANDAMENTO")))</f>
        <v/>
      </c>
      <c r="AA108" s="2">
        <f>IF(OR(R108="",S108="",U108&lt;&gt;"SIM",V108=0),"",IF(W108+X108=0,"",T108&amp;": "&amp;IF(W108=V108,"concluído",IF(W108=0,"em execução"&amp;IF(Z108&lt;&gt;""," ("&amp;IF(Z108=-1,"subsolo",IF(Z108=0,"térreo",Z108&amp;"º pav."))&amp;")",""),IF(Y108&lt;&gt;"","até "&amp;IF(Y108=-1,"subsolo",IF(Y108=0,"térreo",Y108&amp;"º pav.")),W108&amp;" de "&amp;V108&amp;" concluídas")&amp;IF(Z108="","",IF(OR(Y108="",Z108&gt;Y108),", executando "&amp;IF(Z108=-1,"subsolo",IF(Z108=0,"térreo",Z108&amp;"º pav."))," (restam serviços no "&amp;IF(Z108=-1,"subsolo",IF(Z108=0,"térreo",Z108&amp;"º pav."))&amp;")"))))))</f>
        <v/>
      </c>
    </row>
    <row r="109">
      <c r="B109" s="4" t="n">
        <v>14668336</v>
      </c>
      <c r="C109" s="4" t="inlineStr">
        <is>
          <t>FUNDAÇÃO PROFUNDA</t>
        </is>
      </c>
      <c r="D109" s="4" t="inlineStr">
        <is>
          <t>4B e 110</t>
        </is>
      </c>
      <c r="E109" s="4" t="inlineStr">
        <is>
          <t>SERVIÇOS INICIAIS</t>
        </is>
      </c>
      <c r="F109" s="118" t="n">
        <v>46072</v>
      </c>
      <c r="G109" s="118" t="n">
        <v>46072</v>
      </c>
      <c r="H109" s="118" t="n">
        <v>46289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IF(E109="","",IF(LEFT(E109,7)="SUBSOLO",-1,IF(LEFT(E109,6)="TÉRREO",0,IFERROR(VALUE(LEFT(E109,FIND("º",SUBSTITUTE(E109,"°","º"))-1)),""))))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INSTALAÇÃO DE LUMINÁRIAS</t>
        </is>
      </c>
      <c r="S109" s="4" t="inlineStr">
        <is>
          <t>20</t>
        </is>
      </c>
      <c r="T109" s="4" t="inlineStr">
        <is>
          <t>Luminárias</t>
        </is>
      </c>
      <c r="U109" s="4" t="inlineStr">
        <is>
          <t>SIM</t>
        </is>
      </c>
      <c r="V109" s="2">
        <f>IF(R109="","",COUNTIF($C$5:$C$3004,R109))</f>
        <v/>
      </c>
      <c r="W109" s="2">
        <f>IF(R109="","",COUNTIFS($C$5:$C$3004,R109,$O$5:$O$3004,"CONCLUÍDA"))</f>
        <v/>
      </c>
      <c r="X109" s="2">
        <f>IF(R109="","",COUNTIFS($C$5:$C$3004,R109,$O$5:$O$3004,"EM ANDAMENTO"))</f>
        <v/>
      </c>
      <c r="Y109" s="2">
        <f>IF(R109="","",IF(COUNTIFS($C$5:$C$3004,R109,$O$5:$O$3004,"CONCLUÍDA",$N$5:$N$3004,"&gt;=-1")=0,"",_xlfn.MAXIFS($N$5:$N$3004,$C$5:$C$3004,R109,$O$5:$O$3004,"CONCLUÍDA")))</f>
        <v/>
      </c>
      <c r="Z109" s="2">
        <f>IF(R109="","",IF(COUNTIFS($C$5:$C$3004,R109,$O$5:$O$3004,"EM ANDAMENTO",$N$5:$N$3004,"&gt;=-1")=0,"",_xlfn.MAXIFS($N$5:$N$3004,$C$5:$C$3004,R109,$O$5:$O$3004,"EM ANDAMENTO")))</f>
        <v/>
      </c>
      <c r="AA109" s="2">
        <f>IF(OR(R109="",S109="",U109&lt;&gt;"SIM",V109=0),"",IF(W109+X109=0,"",T109&amp;": "&amp;IF(W109=V109,"concluído",IF(W109=0,"em execução"&amp;IF(Z109&lt;&gt;""," ("&amp;IF(Z109=-1,"subsolo",IF(Z109=0,"térreo",Z109&amp;"º pav."))&amp;")",""),IF(Y109&lt;&gt;"","até "&amp;IF(Y109=-1,"subsolo",IF(Y109=0,"térreo",Y109&amp;"º pav.")),W109&amp;" de "&amp;V109&amp;" concluídas")&amp;IF(Z109="","",IF(OR(Y109="",Z109&gt;Y109),", executando "&amp;IF(Z109=-1,"subsolo",IF(Z109=0,"térreo",Z109&amp;"º pav."))," (restam serviços no "&amp;IF(Z109=-1,"subsolo",IF(Z109=0,"térreo",Z109&amp;"º pav."))&amp;")"))))))</f>
        <v/>
      </c>
    </row>
    <row r="110">
      <c r="B110" s="4" t="n">
        <v>14668337</v>
      </c>
      <c r="C110" s="4" t="inlineStr">
        <is>
          <t>FUNDAÇÃO PROFUNDA</t>
        </is>
      </c>
      <c r="D110" s="4" t="inlineStr">
        <is>
          <t>4C e 118A</t>
        </is>
      </c>
      <c r="E110" s="4" t="inlineStr">
        <is>
          <t>SERVIÇOS INICIAIS</t>
        </is>
      </c>
      <c r="F110" s="118" t="n">
        <v>46073</v>
      </c>
      <c r="G110" s="118" t="n">
        <v>46073</v>
      </c>
      <c r="H110" s="118" t="n">
        <v>46289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IF(E110="","",IF(LEFT(E110,7)="SUBSOLO",-1,IF(LEFT(E110,6)="TÉRREO",0,IFERROR(VALUE(LEFT(E110,FIND("º",SUBSTITUTE(E110,"°","º"))-1)),""))))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INSTALAÇÃO DE PCF (FOLHA)</t>
        </is>
      </c>
      <c r="S110" s="4" t="inlineStr">
        <is>
          <t>26</t>
        </is>
      </c>
      <c r="T110" s="4" t="inlineStr">
        <is>
          <t>PCF (folha)</t>
        </is>
      </c>
      <c r="U110" s="4" t="inlineStr">
        <is>
          <t>SIM</t>
        </is>
      </c>
      <c r="V110" s="2">
        <f>IF(R110="","",COUNTIF($C$5:$C$3004,R110))</f>
        <v/>
      </c>
      <c r="W110" s="2">
        <f>IF(R110="","",COUNTIFS($C$5:$C$3004,R110,$O$5:$O$3004,"CONCLUÍDA"))</f>
        <v/>
      </c>
      <c r="X110" s="2">
        <f>IF(R110="","",COUNTIFS($C$5:$C$3004,R110,$O$5:$O$3004,"EM ANDAMENTO"))</f>
        <v/>
      </c>
      <c r="Y110" s="2">
        <f>IF(R110="","",IF(COUNTIFS($C$5:$C$3004,R110,$O$5:$O$3004,"CONCLUÍDA",$N$5:$N$3004,"&gt;=-1")=0,"",_xlfn.MAXIFS($N$5:$N$3004,$C$5:$C$3004,R110,$O$5:$O$3004,"CONCLUÍDA")))</f>
        <v/>
      </c>
      <c r="Z110" s="2">
        <f>IF(R110="","",IF(COUNTIFS($C$5:$C$3004,R110,$O$5:$O$3004,"EM ANDAMENTO",$N$5:$N$3004,"&gt;=-1")=0,"",_xlfn.MAXIFS($N$5:$N$3004,$C$5:$C$3004,R110,$O$5:$O$3004,"EM ANDAMENTO")))</f>
        <v/>
      </c>
      <c r="AA110" s="2">
        <f>IF(OR(R110="",S110="",U110&lt;&gt;"SIM",V110=0),"",IF(W110+X110=0,"",T110&amp;": "&amp;IF(W110=V110,"concluído",IF(W110=0,"em execução"&amp;IF(Z110&lt;&gt;""," ("&amp;IF(Z110=-1,"subsolo",IF(Z110=0,"térreo",Z110&amp;"º pav."))&amp;")",""),IF(Y110&lt;&gt;"","até "&amp;IF(Y110=-1,"subsolo",IF(Y110=0,"térreo",Y110&amp;"º pav.")),W110&amp;" de "&amp;V110&amp;" concluídas")&amp;IF(Z110="","",IF(OR(Y110="",Z110&gt;Y110),", executando "&amp;IF(Z110=-1,"subsolo",IF(Z110=0,"térreo",Z110&amp;"º pav."))," (restam serviços no "&amp;IF(Z110=-1,"subsolo",IF(Z110=0,"térreo",Z110&amp;"º pav."))&amp;")"))))))</f>
        <v/>
      </c>
    </row>
    <row r="111">
      <c r="B111" s="4" t="n">
        <v>14668338</v>
      </c>
      <c r="C111" s="4" t="inlineStr">
        <is>
          <t>FUNDAÇÃO PROFUNDA</t>
        </is>
      </c>
      <c r="D111" s="4" t="inlineStr">
        <is>
          <t>1A e 118B</t>
        </is>
      </c>
      <c r="E111" s="4" t="inlineStr">
        <is>
          <t>SERVIÇOS INICIAIS</t>
        </is>
      </c>
      <c r="F111" s="118" t="n">
        <v>46076</v>
      </c>
      <c r="G111" s="118" t="n">
        <v>46076</v>
      </c>
      <c r="H111" s="118" t="n">
        <v>46289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IF(E111="","",IF(LEFT(E111,7)="SUBSOLO",-1,IF(LEFT(E111,6)="TÉRREO",0,IFERROR(VALUE(LEFT(E111,FIND("º",SUBSTITUTE(E111,"°","º"))-1)),""))))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MARCENARIA - SHAFTS</t>
        </is>
      </c>
      <c r="S111" s="4" t="inlineStr">
        <is>
          <t>27</t>
        </is>
      </c>
      <c r="T111" s="4" t="inlineStr">
        <is>
          <t>Marcenaria - shafts</t>
        </is>
      </c>
      <c r="U111" s="4" t="inlineStr">
        <is>
          <t>SIM</t>
        </is>
      </c>
      <c r="V111" s="2">
        <f>IF(R111="","",COUNTIF($C$5:$C$3004,R111))</f>
        <v/>
      </c>
      <c r="W111" s="2">
        <f>IF(R111="","",COUNTIFS($C$5:$C$3004,R111,$O$5:$O$3004,"CONCLUÍDA"))</f>
        <v/>
      </c>
      <c r="X111" s="2">
        <f>IF(R111="","",COUNTIFS($C$5:$C$3004,R111,$O$5:$O$3004,"EM ANDAMENTO"))</f>
        <v/>
      </c>
      <c r="Y111" s="2">
        <f>IF(R111="","",IF(COUNTIFS($C$5:$C$3004,R111,$O$5:$O$3004,"CONCLUÍDA",$N$5:$N$3004,"&gt;=-1")=0,"",_xlfn.MAXIFS($N$5:$N$3004,$C$5:$C$3004,R111,$O$5:$O$3004,"CONCLUÍDA")))</f>
        <v/>
      </c>
      <c r="Z111" s="2">
        <f>IF(R111="","",IF(COUNTIFS($C$5:$C$3004,R111,$O$5:$O$3004,"EM ANDAMENTO",$N$5:$N$3004,"&gt;=-1")=0,"",_xlfn.MAXIFS($N$5:$N$3004,$C$5:$C$3004,R111,$O$5:$O$3004,"EM ANDAMENTO")))</f>
        <v/>
      </c>
      <c r="AA111" s="2">
        <f>IF(OR(R111="",S111="",U111&lt;&gt;"SIM",V111=0),"",IF(W111+X111=0,"",T111&amp;": "&amp;IF(W111=V111,"concluído",IF(W111=0,"em execução"&amp;IF(Z111&lt;&gt;""," ("&amp;IF(Z111=-1,"subsolo",IF(Z111=0,"térreo",Z111&amp;"º pav."))&amp;")",""),IF(Y111&lt;&gt;"","até "&amp;IF(Y111=-1,"subsolo",IF(Y111=0,"térreo",Y111&amp;"º pav.")),W111&amp;" de "&amp;V111&amp;" concluídas")&amp;IF(Z111="","",IF(OR(Y111="",Z111&gt;Y111),", executando "&amp;IF(Z111=-1,"subsolo",IF(Z111=0,"térreo",Z111&amp;"º pav."))," (restam serviços no "&amp;IF(Z111=-1,"subsolo",IF(Z111=0,"térreo",Z111&amp;"º pav."))&amp;")"))))))</f>
        <v/>
      </c>
    </row>
    <row r="112">
      <c r="B112" s="4" t="n">
        <v>14668339</v>
      </c>
      <c r="C112" s="4" t="inlineStr">
        <is>
          <t>FUNDAÇÃO PROFUNDA</t>
        </is>
      </c>
      <c r="D112" s="4" t="inlineStr">
        <is>
          <t>1B e 120A</t>
        </is>
      </c>
      <c r="E112" s="4" t="inlineStr">
        <is>
          <t>SERVIÇOS INICIAIS</t>
        </is>
      </c>
      <c r="F112" s="118" t="n">
        <v>46077</v>
      </c>
      <c r="G112" s="118" t="n">
        <v>46077</v>
      </c>
      <c r="H112" s="118" t="n">
        <v>46289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IF(E112="","",IF(LEFT(E112,7)="SUBSOLO",-1,IF(LEFT(E112,6)="TÉRREO",0,IFERROR(VALUE(LEFT(E112,FIND("º",SUBSTITUTE(E112,"°","º"))-1)),""))))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PREPARAÇÃO - POÇO DE ELEVADOR</t>
        </is>
      </c>
      <c r="S112" s="4" t="inlineStr">
        <is>
          <t>24</t>
        </is>
      </c>
      <c r="T112" s="4" t="inlineStr">
        <is>
          <t>Preparação - poço de elevador</t>
        </is>
      </c>
      <c r="U112" s="4" t="inlineStr">
        <is>
          <t>SIM</t>
        </is>
      </c>
      <c r="V112" s="2">
        <f>IF(R112="","",COUNTIF($C$5:$C$3004,R112))</f>
        <v/>
      </c>
      <c r="W112" s="2">
        <f>IF(R112="","",COUNTIFS($C$5:$C$3004,R112,$O$5:$O$3004,"CONCLUÍDA"))</f>
        <v/>
      </c>
      <c r="X112" s="2">
        <f>IF(R112="","",COUNTIFS($C$5:$C$3004,R112,$O$5:$O$3004,"EM ANDAMENTO"))</f>
        <v/>
      </c>
      <c r="Y112" s="2">
        <f>IF(R112="","",IF(COUNTIFS($C$5:$C$3004,R112,$O$5:$O$3004,"CONCLUÍDA",$N$5:$N$3004,"&gt;=-1")=0,"",_xlfn.MAXIFS($N$5:$N$3004,$C$5:$C$3004,R112,$O$5:$O$3004,"CONCLUÍDA")))</f>
        <v/>
      </c>
      <c r="Z112" s="2">
        <f>IF(R112="","",IF(COUNTIFS($C$5:$C$3004,R112,$O$5:$O$3004,"EM ANDAMENTO",$N$5:$N$3004,"&gt;=-1")=0,"",_xlfn.MAXIFS($N$5:$N$3004,$C$5:$C$3004,R112,$O$5:$O$3004,"EM ANDAMENTO")))</f>
        <v/>
      </c>
      <c r="AA112" s="2">
        <f>IF(OR(R112="",S112="",U112&lt;&gt;"SIM",V112=0),"",IF(W112+X112=0,"",T112&amp;": "&amp;IF(W112=V112,"concluído",IF(W112=0,"em execução"&amp;IF(Z112&lt;&gt;""," ("&amp;IF(Z112=-1,"subsolo",IF(Z112=0,"térreo",Z112&amp;"º pav."))&amp;")",""),IF(Y112&lt;&gt;"","até "&amp;IF(Y112=-1,"subsolo",IF(Y112=0,"térreo",Y112&amp;"º pav.")),W112&amp;" de "&amp;V112&amp;" concluídas")&amp;IF(Z112="","",IF(OR(Y112="",Z112&gt;Y112),", executando "&amp;IF(Z112=-1,"subsolo",IF(Z112=0,"térreo",Z112&amp;"º pav."))," (restam serviços no "&amp;IF(Z112=-1,"subsolo",IF(Z112=0,"térreo",Z112&amp;"º pav."))&amp;")"))))))</f>
        <v/>
      </c>
    </row>
    <row r="113">
      <c r="B113" s="4" t="n">
        <v>14668340</v>
      </c>
      <c r="C113" s="4" t="inlineStr">
        <is>
          <t>FUNDAÇÃO PROFUNDA</t>
        </is>
      </c>
      <c r="D113" s="4" t="inlineStr">
        <is>
          <t>1C e 120B</t>
        </is>
      </c>
      <c r="E113" s="4" t="inlineStr">
        <is>
          <t>SERVIÇOS INICIAIS</t>
        </is>
      </c>
      <c r="F113" s="118" t="n">
        <v>46078</v>
      </c>
      <c r="G113" s="118" t="n">
        <v>46078</v>
      </c>
      <c r="H113" s="118" t="n">
        <v>46289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IF(E113="","",IF(LEFT(E113,7)="SUBSOLO",-1,IF(LEFT(E113,6)="TÉRREO",0,IFERROR(VALUE(LEFT(E113,FIND("º",SUBSTITUTE(E113,"°","º"))-1)),""))))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PREPARAÇÃO PARA FACHADA AERADA - F1 + F2 (2º ETAPA)</t>
        </is>
      </c>
      <c r="S113" s="4" t="inlineStr">
        <is>
          <t>32</t>
        </is>
      </c>
      <c r="T113" s="4" t="inlineStr">
        <is>
          <t>Preparação para fachada aerada - F1 + F2 (2º etapa)</t>
        </is>
      </c>
      <c r="U113" s="4" t="inlineStr">
        <is>
          <t>SIM</t>
        </is>
      </c>
      <c r="V113" s="2">
        <f>IF(R113="","",COUNTIF($C$5:$C$3004,R113))</f>
        <v/>
      </c>
      <c r="W113" s="2">
        <f>IF(R113="","",COUNTIFS($C$5:$C$3004,R113,$O$5:$O$3004,"CONCLUÍDA"))</f>
        <v/>
      </c>
      <c r="X113" s="2">
        <f>IF(R113="","",COUNTIFS($C$5:$C$3004,R113,$O$5:$O$3004,"EM ANDAMENTO"))</f>
        <v/>
      </c>
      <c r="Y113" s="2">
        <f>IF(R113="","",IF(COUNTIFS($C$5:$C$3004,R113,$O$5:$O$3004,"CONCLUÍDA",$N$5:$N$3004,"&gt;=-1")=0,"",_xlfn.MAXIFS($N$5:$N$3004,$C$5:$C$3004,R113,$O$5:$O$3004,"CONCLUÍDA")))</f>
        <v/>
      </c>
      <c r="Z113" s="2">
        <f>IF(R113="","",IF(COUNTIFS($C$5:$C$3004,R113,$O$5:$O$3004,"EM ANDAMENTO",$N$5:$N$3004,"&gt;=-1")=0,"",_xlfn.MAXIFS($N$5:$N$3004,$C$5:$C$3004,R113,$O$5:$O$3004,"EM ANDAMENTO")))</f>
        <v/>
      </c>
      <c r="AA113" s="2">
        <f>IF(OR(R113="",S113="",U113&lt;&gt;"SIM",V113=0),"",IF(W113+X113=0,"",T113&amp;": "&amp;IF(W113=V113,"concluído",IF(W113=0,"em execução"&amp;IF(Z113&lt;&gt;""," ("&amp;IF(Z113=-1,"subsolo",IF(Z113=0,"térreo",Z113&amp;"º pav."))&amp;")",""),IF(Y113&lt;&gt;"","até "&amp;IF(Y113=-1,"subsolo",IF(Y113=0,"térreo",Y113&amp;"º pav.")),W113&amp;" de "&amp;V113&amp;" concluídas")&amp;IF(Z113="","",IF(OR(Y113="",Z113&gt;Y113),", executando "&amp;IF(Z113=-1,"subsolo",IF(Z113=0,"térreo",Z113&amp;"º pav."))," (restam serviços no "&amp;IF(Z113=-1,"subsolo",IF(Z113=0,"térreo",Z113&amp;"º pav."))&amp;")"))))))</f>
        <v/>
      </c>
    </row>
    <row r="114">
      <c r="B114" s="4" t="n">
        <v>14668341</v>
      </c>
      <c r="C114" s="4" t="inlineStr">
        <is>
          <t>FUNDAÇÃO PROFUNDA</t>
        </is>
      </c>
      <c r="D114" s="4" t="inlineStr">
        <is>
          <t>126A e 129</t>
        </is>
      </c>
      <c r="E114" s="4" t="inlineStr">
        <is>
          <t>SERVIÇOS INICIAIS</t>
        </is>
      </c>
      <c r="F114" s="118" t="n">
        <v>46079</v>
      </c>
      <c r="G114" s="118" t="n">
        <v>46079</v>
      </c>
      <c r="H114" s="118" t="n">
        <v>46289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IF(E114="","",IF(LEFT(E114,7)="SUBSOLO",-1,IF(LEFT(E114,6)="TÉRREO",0,IFERROR(VALUE(LEFT(E114,FIND("º",SUBSTITUTE(E114,"°","º"))-1)),""))))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RODAPÉ MADEIRA / PVC</t>
        </is>
      </c>
      <c r="S114" s="4" t="inlineStr">
        <is>
          <t>30</t>
        </is>
      </c>
      <c r="T114" s="4" t="inlineStr">
        <is>
          <t>Rodapé madeira / pvc</t>
        </is>
      </c>
      <c r="U114" s="4" t="inlineStr">
        <is>
          <t>SIM</t>
        </is>
      </c>
      <c r="V114" s="2">
        <f>IF(R114="","",COUNTIF($C$5:$C$3004,R114))</f>
        <v/>
      </c>
      <c r="W114" s="2">
        <f>IF(R114="","",COUNTIFS($C$5:$C$3004,R114,$O$5:$O$3004,"CONCLUÍDA"))</f>
        <v/>
      </c>
      <c r="X114" s="2">
        <f>IF(R114="","",COUNTIFS($C$5:$C$3004,R114,$O$5:$O$3004,"EM ANDAMENTO"))</f>
        <v/>
      </c>
      <c r="Y114" s="2">
        <f>IF(R114="","",IF(COUNTIFS($C$5:$C$3004,R114,$O$5:$O$3004,"CONCLUÍDA",$N$5:$N$3004,"&gt;=-1")=0,"",_xlfn.MAXIFS($N$5:$N$3004,$C$5:$C$3004,R114,$O$5:$O$3004,"CONCLUÍDA")))</f>
        <v/>
      </c>
      <c r="Z114" s="2">
        <f>IF(R114="","",IF(COUNTIFS($C$5:$C$3004,R114,$O$5:$O$3004,"EM ANDAMENTO",$N$5:$N$3004,"&gt;=-1")=0,"",_xlfn.MAXIFS($N$5:$N$3004,$C$5:$C$3004,R114,$O$5:$O$3004,"EM ANDAMENTO")))</f>
        <v/>
      </c>
      <c r="AA114" s="2">
        <f>IF(OR(R114="",S114="",U114&lt;&gt;"SIM",V114=0),"",IF(W114+X114=0,"",T114&amp;": "&amp;IF(W114=V114,"concluído",IF(W114=0,"em execução"&amp;IF(Z114&lt;&gt;""," ("&amp;IF(Z114=-1,"subsolo",IF(Z114=0,"térreo",Z114&amp;"º pav."))&amp;")",""),IF(Y114&lt;&gt;"","até "&amp;IF(Y114=-1,"subsolo",IF(Y114=0,"térreo",Y114&amp;"º pav.")),W114&amp;" de "&amp;V114&amp;" concluídas")&amp;IF(Z114="","",IF(OR(Y114="",Z114&gt;Y114),", executando "&amp;IF(Z114=-1,"subsolo",IF(Z114=0,"térreo",Z114&amp;"º pav."))," (restam serviços no "&amp;IF(Z114=-1,"subsolo",IF(Z114=0,"térreo",Z114&amp;"º pav."))&amp;")"))))))</f>
        <v/>
      </c>
    </row>
    <row r="115">
      <c r="B115" s="4" t="n">
        <v>14668342</v>
      </c>
      <c r="C115" s="4" t="inlineStr">
        <is>
          <t>FUNDAÇÃO PROFUNDA</t>
        </is>
      </c>
      <c r="D115" s="4" t="inlineStr">
        <is>
          <t>126B e 121B</t>
        </is>
      </c>
      <c r="E115" s="4" t="inlineStr">
        <is>
          <t>SERVIÇOS INICIAIS</t>
        </is>
      </c>
      <c r="F115" s="118" t="n">
        <v>46080</v>
      </c>
      <c r="G115" s="118" t="n">
        <v>46080</v>
      </c>
      <c r="H115" s="118" t="n">
        <v>46289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IF(E115="","",IF(LEFT(E115,7)="SUBSOLO",-1,IF(LEFT(E115,6)="TÉRREO",0,IFERROR(VALUE(LEFT(E115,FIND("º",SUBSTITUTE(E115,"°","º"))-1)),""))))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INSTALAÇÃO DE CORRIMÃO (SERRALHERIA)</t>
        </is>
      </c>
      <c r="S115" s="4" t="inlineStr">
        <is>
          <t>26</t>
        </is>
      </c>
      <c r="T115" s="4" t="inlineStr">
        <is>
          <t>Corrimão (serralheria)</t>
        </is>
      </c>
      <c r="U115" s="4" t="inlineStr">
        <is>
          <t>SIM</t>
        </is>
      </c>
      <c r="V115" s="2">
        <f>IF(R115="","",COUNTIF($C$5:$C$3004,R115))</f>
        <v/>
      </c>
      <c r="W115" s="2">
        <f>IF(R115="","",COUNTIFS($C$5:$C$3004,R115,$O$5:$O$3004,"CONCLUÍDA"))</f>
        <v/>
      </c>
      <c r="X115" s="2">
        <f>IF(R115="","",COUNTIFS($C$5:$C$3004,R115,$O$5:$O$3004,"EM ANDAMENTO"))</f>
        <v/>
      </c>
      <c r="Y115" s="2">
        <f>IF(R115="","",IF(COUNTIFS($C$5:$C$3004,R115,$O$5:$O$3004,"CONCLUÍDA",$N$5:$N$3004,"&gt;=-1")=0,"",_xlfn.MAXIFS($N$5:$N$3004,$C$5:$C$3004,R115,$O$5:$O$3004,"CONCLUÍDA")))</f>
        <v/>
      </c>
      <c r="Z115" s="2">
        <f>IF(R115="","",IF(COUNTIFS($C$5:$C$3004,R115,$O$5:$O$3004,"EM ANDAMENTO",$N$5:$N$3004,"&gt;=-1")=0,"",_xlfn.MAXIFS($N$5:$N$3004,$C$5:$C$3004,R115,$O$5:$O$3004,"EM ANDAMENTO")))</f>
        <v/>
      </c>
      <c r="AA115" s="2">
        <f>IF(OR(R115="",S115="",U115&lt;&gt;"SIM",V115=0),"",IF(W115+X115=0,"",T115&amp;": "&amp;IF(W115=V115,"concluído",IF(W115=0,"em execução"&amp;IF(Z115&lt;&gt;""," ("&amp;IF(Z115=-1,"subsolo",IF(Z115=0,"térreo",Z115&amp;"º pav."))&amp;")",""),IF(Y115&lt;&gt;"","até "&amp;IF(Y115=-1,"subsolo",IF(Y115=0,"térreo",Y115&amp;"º pav.")),W115&amp;" de "&amp;V115&amp;" concluídas")&amp;IF(Z115="","",IF(OR(Y115="",Z115&gt;Y115),", executando "&amp;IF(Z115=-1,"subsolo",IF(Z115=0,"térreo",Z115&amp;"º pav."))," (restam serviços no "&amp;IF(Z115=-1,"subsolo",IF(Z115=0,"térreo",Z115&amp;"º pav."))&amp;")"))))))</f>
        <v/>
      </c>
    </row>
    <row r="116">
      <c r="B116" s="4" t="n">
        <v>14668343</v>
      </c>
      <c r="C116" s="4" t="inlineStr">
        <is>
          <t>FUNDAÇÃO PROFUNDA</t>
        </is>
      </c>
      <c r="D116" s="4" t="inlineStr">
        <is>
          <t>121A</t>
        </is>
      </c>
      <c r="E116" s="4" t="inlineStr">
        <is>
          <t>SERVIÇOS INICIAIS</t>
        </is>
      </c>
      <c r="F116" s="118" t="n">
        <v>46083</v>
      </c>
      <c r="G116" s="118" t="n">
        <v>46083</v>
      </c>
      <c r="H116" s="118" t="n">
        <v>46289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IF(E116="","",IF(LEFT(E116,7)="SUBSOLO",-1,IF(LEFT(E116,6)="TÉRREO",0,IFERROR(VALUE(LEFT(E116,FIND("º",SUBSTITUTE(E116,"°","º"))-1)),""))))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LOUÇAS</t>
        </is>
      </c>
      <c r="S116" s="4" t="inlineStr">
        <is>
          <t>34</t>
        </is>
      </c>
      <c r="T116" s="4" t="inlineStr">
        <is>
          <t>Louças</t>
        </is>
      </c>
      <c r="U116" s="4" t="inlineStr">
        <is>
          <t>SIM</t>
        </is>
      </c>
      <c r="V116" s="2">
        <f>IF(R116="","",COUNTIF($C$5:$C$3004,R116))</f>
        <v/>
      </c>
      <c r="W116" s="2">
        <f>IF(R116="","",COUNTIFS($C$5:$C$3004,R116,$O$5:$O$3004,"CONCLUÍDA"))</f>
        <v/>
      </c>
      <c r="X116" s="2">
        <f>IF(R116="","",COUNTIFS($C$5:$C$3004,R116,$O$5:$O$3004,"EM ANDAMENTO"))</f>
        <v/>
      </c>
      <c r="Y116" s="2">
        <f>IF(R116="","",IF(COUNTIFS($C$5:$C$3004,R116,$O$5:$O$3004,"CONCLUÍDA",$N$5:$N$3004,"&gt;=-1")=0,"",_xlfn.MAXIFS($N$5:$N$3004,$C$5:$C$3004,R116,$O$5:$O$3004,"CONCLUÍDA")))</f>
        <v/>
      </c>
      <c r="Z116" s="2">
        <f>IF(R116="","",IF(COUNTIFS($C$5:$C$3004,R116,$O$5:$O$3004,"EM ANDAMENTO",$N$5:$N$3004,"&gt;=-1")=0,"",_xlfn.MAXIFS($N$5:$N$3004,$C$5:$C$3004,R116,$O$5:$O$3004,"EM ANDAMENTO")))</f>
        <v/>
      </c>
      <c r="AA116" s="2">
        <f>IF(OR(R116="",S116="",U116&lt;&gt;"SIM",V116=0),"",IF(W116+X116=0,"",T116&amp;": "&amp;IF(W116=V116,"concluído",IF(W116=0,"em execução"&amp;IF(Z116&lt;&gt;""," ("&amp;IF(Z116=-1,"subsolo",IF(Z116=0,"térreo",Z116&amp;"º pav."))&amp;")",""),IF(Y116&lt;&gt;"","até "&amp;IF(Y116=-1,"subsolo",IF(Y116=0,"térreo",Y116&amp;"º pav.")),W116&amp;" de "&amp;V116&amp;" concluídas")&amp;IF(Z116="","",IF(OR(Y116="",Z116&gt;Y116),", executando "&amp;IF(Z116=-1,"subsolo",IF(Z116=0,"térreo",Z116&amp;"º pav."))," (restam serviços no "&amp;IF(Z116=-1,"subsolo",IF(Z116=0,"térreo",Z116&amp;"º pav."))&amp;")"))))))</f>
        <v/>
      </c>
    </row>
    <row r="117">
      <c r="B117" s="4" t="n">
        <v>33143226</v>
      </c>
      <c r="C117" s="4" t="inlineStr">
        <is>
          <t>VIGA DE COROAMENTO (TRECHO - RUA IPÊ 1º ETAPA)</t>
        </is>
      </c>
      <c r="D117" s="4" t="inlineStr">
        <is>
          <t>-</t>
        </is>
      </c>
      <c r="E117" s="4" t="inlineStr">
        <is>
          <t>SERVIÇOS INICIAIS</t>
        </is>
      </c>
      <c r="F117" s="118" t="n">
        <v>45922</v>
      </c>
      <c r="G117" s="118" t="n">
        <v>45943</v>
      </c>
      <c r="H117" s="118" t="n">
        <v>46289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IF(E117="","",IF(LEFT(E117,7)="SUBSOLO",-1,IF(LEFT(E117,6)="TÉRREO",0,IFERROR(VALUE(LEFT(E117,FIND("º",SUBSTITUTE(E117,"°","º"))-1)),""))))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METAIS</t>
        </is>
      </c>
      <c r="S117" s="4" t="inlineStr">
        <is>
          <t>34</t>
        </is>
      </c>
      <c r="T117" s="4" t="inlineStr">
        <is>
          <t>Metais</t>
        </is>
      </c>
      <c r="U117" s="4" t="inlineStr">
        <is>
          <t>SIM</t>
        </is>
      </c>
      <c r="V117" s="2">
        <f>IF(R117="","",COUNTIF($C$5:$C$3004,R117))</f>
        <v/>
      </c>
      <c r="W117" s="2">
        <f>IF(R117="","",COUNTIFS($C$5:$C$3004,R117,$O$5:$O$3004,"CONCLUÍDA"))</f>
        <v/>
      </c>
      <c r="X117" s="2">
        <f>IF(R117="","",COUNTIFS($C$5:$C$3004,R117,$O$5:$O$3004,"EM ANDAMENTO"))</f>
        <v/>
      </c>
      <c r="Y117" s="2">
        <f>IF(R117="","",IF(COUNTIFS($C$5:$C$3004,R117,$O$5:$O$3004,"CONCLUÍDA",$N$5:$N$3004,"&gt;=-1")=0,"",_xlfn.MAXIFS($N$5:$N$3004,$C$5:$C$3004,R117,$O$5:$O$3004,"CONCLUÍDA")))</f>
        <v/>
      </c>
      <c r="Z117" s="2">
        <f>IF(R117="","",IF(COUNTIFS($C$5:$C$3004,R117,$O$5:$O$3004,"EM ANDAMENTO",$N$5:$N$3004,"&gt;=-1")=0,"",_xlfn.MAXIFS($N$5:$N$3004,$C$5:$C$3004,R117,$O$5:$O$3004,"EM ANDAMENTO")))</f>
        <v/>
      </c>
      <c r="AA117" s="2">
        <f>IF(OR(R117="",S117="",U117&lt;&gt;"SIM",V117=0),"",IF(W117+X117=0,"",T117&amp;": "&amp;IF(W117=V117,"concluído",IF(W117=0,"em execução"&amp;IF(Z117&lt;&gt;""," ("&amp;IF(Z117=-1,"subsolo",IF(Z117=0,"térreo",Z117&amp;"º pav."))&amp;")",""),IF(Y117&lt;&gt;"","até "&amp;IF(Y117=-1,"subsolo",IF(Y117=0,"térreo",Y117&amp;"º pav.")),W117&amp;" de "&amp;V117&amp;" concluídas")&amp;IF(Z117="","",IF(OR(Y117="",Z117&gt;Y117),", executando "&amp;IF(Z117=-1,"subsolo",IF(Z117=0,"térreo",Z117&amp;"º pav."))," (restam serviços no "&amp;IF(Z117=-1,"subsolo",IF(Z117=0,"térreo",Z117&amp;"º pav."))&amp;")"))))))</f>
        <v/>
      </c>
    </row>
    <row r="118">
      <c r="B118" s="4" t="n">
        <v>13543293</v>
      </c>
      <c r="C118" s="4" t="inlineStr">
        <is>
          <t>VIGA DE COROAMENTO (TRECHO - RUA IPÊ 1º ETAPA)</t>
        </is>
      </c>
      <c r="D118" s="4" t="inlineStr">
        <is>
          <t>Escavação e Arrasamento</t>
        </is>
      </c>
      <c r="E118" s="4" t="inlineStr">
        <is>
          <t>SERVIÇOS INICIAIS</t>
        </is>
      </c>
      <c r="F118" s="118" t="n">
        <v>45922</v>
      </c>
      <c r="G118" s="118" t="n">
        <v>45938</v>
      </c>
      <c r="H118" s="118" t="n">
        <v>46289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IF(E118="","",IF(LEFT(E118,7)="SUBSOLO",-1,IF(LEFT(E118,6)="TÉRREO",0,IFERROR(VALUE(LEFT(E118,FIND("º",SUBSTITUTE(E118,"°","º"))-1)),""))))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COMUNICAÇÃO E ALARME</t>
        </is>
      </c>
      <c r="S118" s="4" t="inlineStr">
        <is>
          <t>23</t>
        </is>
      </c>
      <c r="T118" s="4" t="inlineStr">
        <is>
          <t>Comunicação e alarme</t>
        </is>
      </c>
      <c r="U118" s="4" t="inlineStr">
        <is>
          <t>SIM</t>
        </is>
      </c>
      <c r="V118" s="2">
        <f>IF(R118="","",COUNTIF($C$5:$C$3004,R118))</f>
        <v/>
      </c>
      <c r="W118" s="2">
        <f>IF(R118="","",COUNTIFS($C$5:$C$3004,R118,$O$5:$O$3004,"CONCLUÍDA"))</f>
        <v/>
      </c>
      <c r="X118" s="2">
        <f>IF(R118="","",COUNTIFS($C$5:$C$3004,R118,$O$5:$O$3004,"EM ANDAMENTO"))</f>
        <v/>
      </c>
      <c r="Y118" s="2">
        <f>IF(R118="","",IF(COUNTIFS($C$5:$C$3004,R118,$O$5:$O$3004,"CONCLUÍDA",$N$5:$N$3004,"&gt;=-1")=0,"",_xlfn.MAXIFS($N$5:$N$3004,$C$5:$C$3004,R118,$O$5:$O$3004,"CONCLUÍDA")))</f>
        <v/>
      </c>
      <c r="Z118" s="2">
        <f>IF(R118="","",IF(COUNTIFS($C$5:$C$3004,R118,$O$5:$O$3004,"EM ANDAMENTO",$N$5:$N$3004,"&gt;=-1")=0,"",_xlfn.MAXIFS($N$5:$N$3004,$C$5:$C$3004,R118,$O$5:$O$3004,"EM ANDAMENTO")))</f>
        <v/>
      </c>
      <c r="AA118" s="2">
        <f>IF(OR(R118="",S118="",U118&lt;&gt;"SIM",V118=0),"",IF(W118+X118=0,"",T118&amp;": "&amp;IF(W118=V118,"concluído",IF(W118=0,"em execução"&amp;IF(Z118&lt;&gt;""," ("&amp;IF(Z118=-1,"subsolo",IF(Z118=0,"térreo",Z118&amp;"º pav."))&amp;")",""),IF(Y118&lt;&gt;"","até "&amp;IF(Y118=-1,"subsolo",IF(Y118=0,"térreo",Y118&amp;"º pav.")),W118&amp;" de "&amp;V118&amp;" concluídas")&amp;IF(Z118="","",IF(OR(Y118="",Z118&gt;Y118),", executando "&amp;IF(Z118=-1,"subsolo",IF(Z118=0,"térreo",Z118&amp;"º pav."))," (restam serviços no "&amp;IF(Z118=-1,"subsolo",IF(Z118=0,"térreo",Z118&amp;"º pav."))&amp;")"))))))</f>
        <v/>
      </c>
    </row>
    <row r="119">
      <c r="B119" s="4" t="n">
        <v>13543294</v>
      </c>
      <c r="C119" s="4" t="inlineStr">
        <is>
          <t>VIGA DE COROAMENTO (TRECHO - RUA IPÊ 1º ETAPA)</t>
        </is>
      </c>
      <c r="D119" s="4" t="inlineStr">
        <is>
          <t>Armação</t>
        </is>
      </c>
      <c r="E119" s="4" t="inlineStr">
        <is>
          <t>SERVIÇOS INICIAIS</t>
        </is>
      </c>
      <c r="F119" s="118" t="n">
        <v>45926</v>
      </c>
      <c r="G119" s="118" t="n">
        <v>45936</v>
      </c>
      <c r="H119" s="118" t="n">
        <v>46289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IF(E119="","",IF(LEFT(E119,7)="SUBSOLO",-1,IF(LEFT(E119,6)="TÉRREO",0,IFERROR(VALUE(LEFT(E119,FIND("º",SUBSTITUTE(E119,"°","º"))-1)),""))))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REBOCO EXTERNO</t>
        </is>
      </c>
      <c r="S119" s="4" t="inlineStr">
        <is>
          <t>32</t>
        </is>
      </c>
      <c r="T119" s="4" t="inlineStr">
        <is>
          <t>Reboco externo</t>
        </is>
      </c>
      <c r="U119" s="4" t="inlineStr">
        <is>
          <t>SIM</t>
        </is>
      </c>
      <c r="V119" s="2">
        <f>IF(R119="","",COUNTIF($C$5:$C$3004,R119))</f>
        <v/>
      </c>
      <c r="W119" s="2">
        <f>IF(R119="","",COUNTIFS($C$5:$C$3004,R119,$O$5:$O$3004,"CONCLUÍDA"))</f>
        <v/>
      </c>
      <c r="X119" s="2">
        <f>IF(R119="","",COUNTIFS($C$5:$C$3004,R119,$O$5:$O$3004,"EM ANDAMENTO"))</f>
        <v/>
      </c>
      <c r="Y119" s="2">
        <f>IF(R119="","",IF(COUNTIFS($C$5:$C$3004,R119,$O$5:$O$3004,"CONCLUÍDA",$N$5:$N$3004,"&gt;=-1")=0,"",_xlfn.MAXIFS($N$5:$N$3004,$C$5:$C$3004,R119,$O$5:$O$3004,"CONCLUÍDA")))</f>
        <v/>
      </c>
      <c r="Z119" s="2">
        <f>IF(R119="","",IF(COUNTIFS($C$5:$C$3004,R119,$O$5:$O$3004,"EM ANDAMENTO",$N$5:$N$3004,"&gt;=-1")=0,"",_xlfn.MAXIFS($N$5:$N$3004,$C$5:$C$3004,R119,$O$5:$O$3004,"EM ANDAMENTO")))</f>
        <v/>
      </c>
      <c r="AA119" s="2">
        <f>IF(OR(R119="",S119="",U119&lt;&gt;"SIM",V119=0),"",IF(W119+X119=0,"",T119&amp;": "&amp;IF(W119=V119,"concluído",IF(W119=0,"em execução"&amp;IF(Z119&lt;&gt;""," ("&amp;IF(Z119=-1,"subsolo",IF(Z119=0,"térreo",Z119&amp;"º pav."))&amp;")",""),IF(Y119&lt;&gt;"","até "&amp;IF(Y119=-1,"subsolo",IF(Y119=0,"térreo",Y119&amp;"º pav.")),W119&amp;" de "&amp;V119&amp;" concluídas")&amp;IF(Z119="","",IF(OR(Y119="",Z119&gt;Y119),", executando "&amp;IF(Z119=-1,"subsolo",IF(Z119=0,"térreo",Z119&amp;"º pav."))," (restam serviços no "&amp;IF(Z119=-1,"subsolo",IF(Z119=0,"térreo",Z119&amp;"º pav."))&amp;")"))))))</f>
        <v/>
      </c>
    </row>
    <row r="120">
      <c r="B120" s="4" t="n">
        <v>13543297</v>
      </c>
      <c r="C120" s="4" t="inlineStr">
        <is>
          <t>VIGA DE COROAMENTO (TRECHO - RUA IPÊ 1º ETAPA)</t>
        </is>
      </c>
      <c r="D120" s="4" t="inlineStr">
        <is>
          <t>Forma</t>
        </is>
      </c>
      <c r="E120" s="4" t="inlineStr">
        <is>
          <t>SERVIÇOS INICIAIS</t>
        </is>
      </c>
      <c r="F120" s="118" t="n">
        <v>45937</v>
      </c>
      <c r="G120" s="118" t="n">
        <v>45939</v>
      </c>
      <c r="H120" s="118" t="n">
        <v>46289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IF(E120="","",IF(LEFT(E120,7)="SUBSOLO",-1,IF(LEFT(E120,6)="TÉRREO",0,IFERROR(VALUE(LEFT(E120,FIND("º",SUBSTITUTE(E120,"°","º"))-1)),""))))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FACHADA AERADA - F1 + F2 (2º ETAPA)</t>
        </is>
      </c>
      <c r="S120" s="4" t="inlineStr">
        <is>
          <t>32</t>
        </is>
      </c>
      <c r="T120" s="4" t="inlineStr">
        <is>
          <t>Fachada aerada - F1 + F2 (2º etapa)</t>
        </is>
      </c>
      <c r="U120" s="4" t="inlineStr">
        <is>
          <t>SIM</t>
        </is>
      </c>
      <c r="V120" s="2">
        <f>IF(R120="","",COUNTIF($C$5:$C$3004,R120))</f>
        <v/>
      </c>
      <c r="W120" s="2">
        <f>IF(R120="","",COUNTIFS($C$5:$C$3004,R120,$O$5:$O$3004,"CONCLUÍDA"))</f>
        <v/>
      </c>
      <c r="X120" s="2">
        <f>IF(R120="","",COUNTIFS($C$5:$C$3004,R120,$O$5:$O$3004,"EM ANDAMENTO"))</f>
        <v/>
      </c>
      <c r="Y120" s="2">
        <f>IF(R120="","",IF(COUNTIFS($C$5:$C$3004,R120,$O$5:$O$3004,"CONCLUÍDA",$N$5:$N$3004,"&gt;=-1")=0,"",_xlfn.MAXIFS($N$5:$N$3004,$C$5:$C$3004,R120,$O$5:$O$3004,"CONCLUÍDA")))</f>
        <v/>
      </c>
      <c r="Z120" s="2">
        <f>IF(R120="","",IF(COUNTIFS($C$5:$C$3004,R120,$O$5:$O$3004,"EM ANDAMENTO",$N$5:$N$3004,"&gt;=-1")=0,"",_xlfn.MAXIFS($N$5:$N$3004,$C$5:$C$3004,R120,$O$5:$O$3004,"EM ANDAMENTO")))</f>
        <v/>
      </c>
      <c r="AA120" s="2">
        <f>IF(OR(R120="",S120="",U120&lt;&gt;"SIM",V120=0),"",IF(W120+X120=0,"",T120&amp;": "&amp;IF(W120=V120,"concluído",IF(W120=0,"em execução"&amp;IF(Z120&lt;&gt;""," ("&amp;IF(Z120=-1,"subsolo",IF(Z120=0,"térreo",Z120&amp;"º pav."))&amp;")",""),IF(Y120&lt;&gt;"","até "&amp;IF(Y120=-1,"subsolo",IF(Y120=0,"térreo",Y120&amp;"º pav.")),W120&amp;" de "&amp;V120&amp;" concluídas")&amp;IF(Z120="","",IF(OR(Y120="",Z120&gt;Y120),", executando "&amp;IF(Z120=-1,"subsolo",IF(Z120=0,"térreo",Z120&amp;"º pav."))," (restam serviços no "&amp;IF(Z120=-1,"subsolo",IF(Z120=0,"térreo",Z120&amp;"º pav."))&amp;")"))))))</f>
        <v/>
      </c>
    </row>
    <row r="121">
      <c r="B121" s="4" t="n">
        <v>13543298</v>
      </c>
      <c r="C121" s="4" t="inlineStr">
        <is>
          <t>VIGA DE COROAMENTO (TRECHO - RUA IPÊ 1º ETAPA)</t>
        </is>
      </c>
      <c r="D121" s="4" t="inlineStr">
        <is>
          <t>Concretagem</t>
        </is>
      </c>
      <c r="E121" s="4" t="inlineStr">
        <is>
          <t>SERVIÇOS INICIAIS</t>
        </is>
      </c>
      <c r="F121" s="118" t="n">
        <v>45940</v>
      </c>
      <c r="G121" s="118" t="n">
        <v>45940</v>
      </c>
      <c r="H121" s="118" t="n">
        <v>46289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IF(E121="","",IF(LEFT(E121,7)="SUBSOLO",-1,IF(LEFT(E121,6)="TÉRREO",0,IFERROR(VALUE(LEFT(E121,FIND("º",SUBSTITUTE(E121,"°","º"))-1)),""))))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LIMPEZA GROSSA</t>
        </is>
      </c>
      <c r="S121" s="4" t="inlineStr">
        <is>
          <t>37</t>
        </is>
      </c>
      <c r="T121" s="4" t="inlineStr">
        <is>
          <t>Limpeza grossa</t>
        </is>
      </c>
      <c r="U121" s="4" t="inlineStr">
        <is>
          <t>SIM</t>
        </is>
      </c>
      <c r="V121" s="2">
        <f>IF(R121="","",COUNTIF($C$5:$C$3004,R121))</f>
        <v/>
      </c>
      <c r="W121" s="2">
        <f>IF(R121="","",COUNTIFS($C$5:$C$3004,R121,$O$5:$O$3004,"CONCLUÍDA"))</f>
        <v/>
      </c>
      <c r="X121" s="2">
        <f>IF(R121="","",COUNTIFS($C$5:$C$3004,R121,$O$5:$O$3004,"EM ANDAMENTO"))</f>
        <v/>
      </c>
      <c r="Y121" s="2">
        <f>IF(R121="","",IF(COUNTIFS($C$5:$C$3004,R121,$O$5:$O$3004,"CONCLUÍDA",$N$5:$N$3004,"&gt;=-1")=0,"",_xlfn.MAXIFS($N$5:$N$3004,$C$5:$C$3004,R121,$O$5:$O$3004,"CONCLUÍDA")))</f>
        <v/>
      </c>
      <c r="Z121" s="2">
        <f>IF(R121="","",IF(COUNTIFS($C$5:$C$3004,R121,$O$5:$O$3004,"EM ANDAMENTO",$N$5:$N$3004,"&gt;=-1")=0,"",_xlfn.MAXIFS($N$5:$N$3004,$C$5:$C$3004,R121,$O$5:$O$3004,"EM ANDAMENTO")))</f>
        <v/>
      </c>
      <c r="AA121" s="2">
        <f>IF(OR(R121="",S121="",U121&lt;&gt;"SIM",V121=0),"",IF(W121+X121=0,"",T121&amp;": "&amp;IF(W121=V121,"concluído",IF(W121=0,"em execução"&amp;IF(Z121&lt;&gt;""," ("&amp;IF(Z121=-1,"subsolo",IF(Z121=0,"térreo",Z121&amp;"º pav."))&amp;")",""),IF(Y121&lt;&gt;"","até "&amp;IF(Y121=-1,"subsolo",IF(Y121=0,"térreo",Y121&amp;"º pav.")),W121&amp;" de "&amp;V121&amp;" concluídas")&amp;IF(Z121="","",IF(OR(Y121="",Z121&gt;Y121),", executando "&amp;IF(Z121=-1,"subsolo",IF(Z121=0,"térreo",Z121&amp;"º pav."))," (restam serviços no "&amp;IF(Z121=-1,"subsolo",IF(Z121=0,"térreo",Z121&amp;"º pav."))&amp;")"))))))</f>
        <v/>
      </c>
    </row>
    <row r="122">
      <c r="B122" s="4" t="n">
        <v>13543299</v>
      </c>
      <c r="C122" s="4" t="inlineStr">
        <is>
          <t>VIGA DE COROAMENTO (TRECHO - RUA IPÊ 1º ETAPA)</t>
        </is>
      </c>
      <c r="D122" s="4" t="inlineStr">
        <is>
          <t>Aterro</t>
        </is>
      </c>
      <c r="E122" s="4" t="inlineStr">
        <is>
          <t>SERVIÇOS INICIAIS</t>
        </is>
      </c>
      <c r="F122" s="118" t="n">
        <v>45943</v>
      </c>
      <c r="G122" s="118" t="n">
        <v>45943</v>
      </c>
      <c r="H122" s="118" t="n">
        <v>46289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IF(E122="","",IF(LEFT(E122,7)="SUBSOLO",-1,IF(LEFT(E122,6)="TÉRREO",0,IFERROR(VALUE(LEFT(E122,FIND("º",SUBSTITUTE(E122,"°","º"))-1)),""))))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PEITORIS E REQUADROS DE FACHADA - F5 (1º ETAPA)</t>
        </is>
      </c>
      <c r="S122" s="4" t="inlineStr">
        <is>
          <t>32</t>
        </is>
      </c>
      <c r="T122" s="4" t="inlineStr">
        <is>
          <t>Peitoris e requadros de fachada - F5 (1º etapa)</t>
        </is>
      </c>
      <c r="U122" s="4" t="inlineStr">
        <is>
          <t>SIM</t>
        </is>
      </c>
      <c r="V122" s="2">
        <f>IF(R122="","",COUNTIF($C$5:$C$3004,R122))</f>
        <v/>
      </c>
      <c r="W122" s="2">
        <f>IF(R122="","",COUNTIFS($C$5:$C$3004,R122,$O$5:$O$3004,"CONCLUÍDA"))</f>
        <v/>
      </c>
      <c r="X122" s="2">
        <f>IF(R122="","",COUNTIFS($C$5:$C$3004,R122,$O$5:$O$3004,"EM ANDAMENTO"))</f>
        <v/>
      </c>
      <c r="Y122" s="2">
        <f>IF(R122="","",IF(COUNTIFS($C$5:$C$3004,R122,$O$5:$O$3004,"CONCLUÍDA",$N$5:$N$3004,"&gt;=-1")=0,"",_xlfn.MAXIFS($N$5:$N$3004,$C$5:$C$3004,R122,$O$5:$O$3004,"CONCLUÍDA")))</f>
        <v/>
      </c>
      <c r="Z122" s="2">
        <f>IF(R122="","",IF(COUNTIFS($C$5:$C$3004,R122,$O$5:$O$3004,"EM ANDAMENTO",$N$5:$N$3004,"&gt;=-1")=0,"",_xlfn.MAXIFS($N$5:$N$3004,$C$5:$C$3004,R122,$O$5:$O$3004,"EM ANDAMENTO")))</f>
        <v/>
      </c>
      <c r="AA122" s="2">
        <f>IF(OR(R122="",S122="",U122&lt;&gt;"SIM",V122=0),"",IF(W122+X122=0,"",T122&amp;": "&amp;IF(W122=V122,"concluído",IF(W122=0,"em execução"&amp;IF(Z122&lt;&gt;""," ("&amp;IF(Z122=-1,"subsolo",IF(Z122=0,"térreo",Z122&amp;"º pav."))&amp;")",""),IF(Y122&lt;&gt;"","até "&amp;IF(Y122=-1,"subsolo",IF(Y122=0,"térreo",Y122&amp;"º pav.")),W122&amp;" de "&amp;V122&amp;" concluídas")&amp;IF(Z122="","",IF(OR(Y122="",Z122&gt;Y122),", executando "&amp;IF(Z122=-1,"subsolo",IF(Z122=0,"térreo",Z122&amp;"º pav."))," (restam serviços no "&amp;IF(Z122=-1,"subsolo",IF(Z122=0,"térreo",Z122&amp;"º pav."))&amp;")"))))))</f>
        <v/>
      </c>
    </row>
    <row r="123">
      <c r="B123" s="4" t="n">
        <v>33143599</v>
      </c>
      <c r="C123" s="4" t="inlineStr">
        <is>
          <t>VIGA DE COROAMENTO (TRECHO - RUA IPÊ 2º ETAPA)</t>
        </is>
      </c>
      <c r="D123" s="4" t="inlineStr">
        <is>
          <t>-</t>
        </is>
      </c>
      <c r="E123" s="4" t="inlineStr">
        <is>
          <t>SERVIÇOS INICIAIS</t>
        </is>
      </c>
      <c r="F123" s="118" t="n">
        <v>45936</v>
      </c>
      <c r="G123" s="118" t="n">
        <v>45947</v>
      </c>
      <c r="H123" s="118" t="n">
        <v>46289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IF(E123="","",IF(LEFT(E123,7)="SUBSOLO",-1,IF(LEFT(E123,6)="TÉRREO",0,IFERROR(VALUE(LEFT(E123,FIND("º",SUBSTITUTE(E123,"°","º"))-1)),""))))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POLIMENTO DE PISO</t>
        </is>
      </c>
      <c r="S123" s="4" t="inlineStr">
        <is>
          <t>30</t>
        </is>
      </c>
      <c r="T123" s="4" t="inlineStr">
        <is>
          <t>Polimento de piso</t>
        </is>
      </c>
      <c r="U123" s="4" t="inlineStr">
        <is>
          <t>NÃO</t>
        </is>
      </c>
      <c r="V123" s="2">
        <f>IF(R123="","",COUNTIF($C$5:$C$3004,R123))</f>
        <v/>
      </c>
      <c r="W123" s="2">
        <f>IF(R123="","",COUNTIFS($C$5:$C$3004,R123,$O$5:$O$3004,"CONCLUÍDA"))</f>
        <v/>
      </c>
      <c r="X123" s="2">
        <f>IF(R123="","",COUNTIFS($C$5:$C$3004,R123,$O$5:$O$3004,"EM ANDAMENTO"))</f>
        <v/>
      </c>
      <c r="Y123" s="2">
        <f>IF(R123="","",IF(COUNTIFS($C$5:$C$3004,R123,$O$5:$O$3004,"CONCLUÍDA",$N$5:$N$3004,"&gt;=-1")=0,"",_xlfn.MAXIFS($N$5:$N$3004,$C$5:$C$3004,R123,$O$5:$O$3004,"CONCLUÍDA")))</f>
        <v/>
      </c>
      <c r="Z123" s="2">
        <f>IF(R123="","",IF(COUNTIFS($C$5:$C$3004,R123,$O$5:$O$3004,"EM ANDAMENTO",$N$5:$N$3004,"&gt;=-1")=0,"",_xlfn.MAXIFS($N$5:$N$3004,$C$5:$C$3004,R123,$O$5:$O$3004,"EM ANDAMENTO")))</f>
        <v/>
      </c>
      <c r="AA123" s="2">
        <f>IF(OR(R123="",S123="",U123&lt;&gt;"SIM",V123=0),"",IF(W123+X123=0,"",T123&amp;": "&amp;IF(W123=V123,"concluído",IF(W123=0,"em execução"&amp;IF(Z123&lt;&gt;""," ("&amp;IF(Z123=-1,"subsolo",IF(Z123=0,"térreo",Z123&amp;"º pav."))&amp;")",""),IF(Y123&lt;&gt;"","até "&amp;IF(Y123=-1,"subsolo",IF(Y123=0,"térreo",Y123&amp;"º pav.")),W123&amp;" de "&amp;V123&amp;" concluídas")&amp;IF(Z123="","",IF(OR(Y123="",Z123&gt;Y123),", executando "&amp;IF(Z123=-1,"subsolo",IF(Z123=0,"térreo",Z123&amp;"º pav."))," (restam serviços no "&amp;IF(Z123=-1,"subsolo",IF(Z123=0,"térreo",Z123&amp;"º pav."))&amp;")"))))))</f>
        <v/>
      </c>
    </row>
    <row r="124">
      <c r="B124" s="4" t="n">
        <v>13543429</v>
      </c>
      <c r="C124" s="4" t="inlineStr">
        <is>
          <t>VIGA DE COROAMENTO (TRECHO - RUA IPÊ 2º ETAPA)</t>
        </is>
      </c>
      <c r="D124" s="4" t="inlineStr">
        <is>
          <t>Escavação e Arrasamento</t>
        </is>
      </c>
      <c r="E124" s="4" t="inlineStr">
        <is>
          <t>SERVIÇOS INICIAIS</t>
        </is>
      </c>
      <c r="F124" s="118" t="n">
        <v>45936</v>
      </c>
      <c r="G124" s="118" t="n">
        <v>45938</v>
      </c>
      <c r="H124" s="118" t="n">
        <v>46289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IF(E124="","",IF(LEFT(E124,7)="SUBSOLO",-1,IF(LEFT(E124,6)="TÉRREO",0,IFERROR(VALUE(LEFT(E124,FIND("º",SUBSTITUTE(E124,"°","º"))-1)),""))))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PREPARAÇÃO PARA FACHADA AERADA - F3 + F4 (2º ETAPA)</t>
        </is>
      </c>
      <c r="S124" s="4" t="inlineStr">
        <is>
          <t>32</t>
        </is>
      </c>
      <c r="T124" s="4" t="inlineStr">
        <is>
          <t>Preparação para fachada aerada - F3 + F4 (2º etapa)</t>
        </is>
      </c>
      <c r="U124" s="4" t="inlineStr">
        <is>
          <t>SIM</t>
        </is>
      </c>
      <c r="V124" s="2">
        <f>IF(R124="","",COUNTIF($C$5:$C$3004,R124))</f>
        <v/>
      </c>
      <c r="W124" s="2">
        <f>IF(R124="","",COUNTIFS($C$5:$C$3004,R124,$O$5:$O$3004,"CONCLUÍDA"))</f>
        <v/>
      </c>
      <c r="X124" s="2">
        <f>IF(R124="","",COUNTIFS($C$5:$C$3004,R124,$O$5:$O$3004,"EM ANDAMENTO"))</f>
        <v/>
      </c>
      <c r="Y124" s="2">
        <f>IF(R124="","",IF(COUNTIFS($C$5:$C$3004,R124,$O$5:$O$3004,"CONCLUÍDA",$N$5:$N$3004,"&gt;=-1")=0,"",_xlfn.MAXIFS($N$5:$N$3004,$C$5:$C$3004,R124,$O$5:$O$3004,"CONCLUÍDA")))</f>
        <v/>
      </c>
      <c r="Z124" s="2">
        <f>IF(R124="","",IF(COUNTIFS($C$5:$C$3004,R124,$O$5:$O$3004,"EM ANDAMENTO",$N$5:$N$3004,"&gt;=-1")=0,"",_xlfn.MAXIFS($N$5:$N$3004,$C$5:$C$3004,R124,$O$5:$O$3004,"EM ANDAMENTO")))</f>
        <v/>
      </c>
      <c r="AA124" s="2">
        <f>IF(OR(R124="",S124="",U124&lt;&gt;"SIM",V124=0),"",IF(W124+X124=0,"",T124&amp;": "&amp;IF(W124=V124,"concluído",IF(W124=0,"em execução"&amp;IF(Z124&lt;&gt;""," ("&amp;IF(Z124=-1,"subsolo",IF(Z124=0,"térreo",Z124&amp;"º pav."))&amp;")",""),IF(Y124&lt;&gt;"","até "&amp;IF(Y124=-1,"subsolo",IF(Y124=0,"térreo",Y124&amp;"º pav.")),W124&amp;" de "&amp;V124&amp;" concluídas")&amp;IF(Z124="","",IF(OR(Y124="",Z124&gt;Y124),", executando "&amp;IF(Z124=-1,"subsolo",IF(Z124=0,"térreo",Z124&amp;"º pav."))," (restam serviços no "&amp;IF(Z124=-1,"subsolo",IF(Z124=0,"térreo",Z124&amp;"º pav."))&amp;")"))))))</f>
        <v/>
      </c>
    </row>
    <row r="125">
      <c r="B125" s="4" t="n">
        <v>13543430</v>
      </c>
      <c r="C125" s="4" t="inlineStr">
        <is>
          <t>VIGA DE COROAMENTO (TRECHO - RUA IPÊ 2º ETAPA)</t>
        </is>
      </c>
      <c r="D125" s="4" t="inlineStr">
        <is>
          <t>Armação</t>
        </is>
      </c>
      <c r="E125" s="4" t="inlineStr">
        <is>
          <t>SERVIÇOS INICIAIS</t>
        </is>
      </c>
      <c r="F125" s="118" t="n">
        <v>45939</v>
      </c>
      <c r="G125" s="118" t="n">
        <v>45944</v>
      </c>
      <c r="H125" s="118" t="n">
        <v>46289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IF(E125="","",IF(LEFT(E125,7)="SUBSOLO",-1,IF(LEFT(E125,6)="TÉRREO",0,IFERROR(VALUE(LEFT(E125,FIND("º",SUBSTITUTE(E125,"°","º"))-1)),""))))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2º DEMÃO</t>
        </is>
      </c>
      <c r="S125" s="4" t="inlineStr">
        <is>
          <t>35</t>
        </is>
      </c>
      <c r="T125" s="4" t="inlineStr">
        <is>
          <t>Pintura 2ª demão</t>
        </is>
      </c>
      <c r="U125" s="4" t="inlineStr">
        <is>
          <t>SIM</t>
        </is>
      </c>
      <c r="V125" s="2">
        <f>IF(R125="","",COUNTIF($C$5:$C$3004,R125))</f>
        <v/>
      </c>
      <c r="W125" s="2">
        <f>IF(R125="","",COUNTIFS($C$5:$C$3004,R125,$O$5:$O$3004,"CONCLUÍDA"))</f>
        <v/>
      </c>
      <c r="X125" s="2">
        <f>IF(R125="","",COUNTIFS($C$5:$C$3004,R125,$O$5:$O$3004,"EM ANDAMENTO"))</f>
        <v/>
      </c>
      <c r="Y125" s="2">
        <f>IF(R125="","",IF(COUNTIFS($C$5:$C$3004,R125,$O$5:$O$3004,"CONCLUÍDA",$N$5:$N$3004,"&gt;=-1")=0,"",_xlfn.MAXIFS($N$5:$N$3004,$C$5:$C$3004,R125,$O$5:$O$3004,"CONCLUÍDA")))</f>
        <v/>
      </c>
      <c r="Z125" s="2">
        <f>IF(R125="","",IF(COUNTIFS($C$5:$C$3004,R125,$O$5:$O$3004,"EM ANDAMENTO",$N$5:$N$3004,"&gt;=-1")=0,"",_xlfn.MAXIFS($N$5:$N$3004,$C$5:$C$3004,R125,$O$5:$O$3004,"EM ANDAMENTO")))</f>
        <v/>
      </c>
      <c r="AA125" s="2">
        <f>IF(OR(R125="",S125="",U125&lt;&gt;"SIM",V125=0),"",IF(W125+X125=0,"",T125&amp;": "&amp;IF(W125=V125,"concluído",IF(W125=0,"em execução"&amp;IF(Z125&lt;&gt;""," ("&amp;IF(Z125=-1,"subsolo",IF(Z125=0,"térreo",Z125&amp;"º pav."))&amp;")",""),IF(Y125&lt;&gt;"","até "&amp;IF(Y125=-1,"subsolo",IF(Y125=0,"térreo",Y125&amp;"º pav.")),W125&amp;" de "&amp;V125&amp;" concluídas")&amp;IF(Z125="","",IF(OR(Y125="",Z125&gt;Y125),", executando "&amp;IF(Z125=-1,"subsolo",IF(Z125=0,"térreo",Z125&amp;"º pav."))," (restam serviços no "&amp;IF(Z125=-1,"subsolo",IF(Z125=0,"térreo",Z125&amp;"º pav."))&amp;")"))))))</f>
        <v/>
      </c>
    </row>
    <row r="126">
      <c r="B126" s="4" t="n">
        <v>13543451</v>
      </c>
      <c r="C126" s="4" t="inlineStr">
        <is>
          <t>VIGA DE COROAMENTO (TRECHO - RUA IPÊ 2º ETAPA)</t>
        </is>
      </c>
      <c r="D126" s="4" t="inlineStr">
        <is>
          <t>Forma</t>
        </is>
      </c>
      <c r="E126" s="4" t="inlineStr">
        <is>
          <t>SERVIÇOS INICIAIS</t>
        </is>
      </c>
      <c r="F126" s="118" t="n">
        <v>45943</v>
      </c>
      <c r="G126" s="118" t="n">
        <v>45945</v>
      </c>
      <c r="H126" s="118" t="n">
        <v>46289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IF(E126="","",IF(LEFT(E126,7)="SUBSOLO",-1,IF(LEFT(E126,6)="TÉRREO",0,IFERROR(VALUE(LEFT(E126,FIND("º",SUBSTITUTE(E126,"°","º"))-1)),""))))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TEXTURA - EXTERNA</t>
        </is>
      </c>
      <c r="S126" s="4" t="inlineStr">
        <is>
          <t>32</t>
        </is>
      </c>
      <c r="T126" s="4" t="inlineStr">
        <is>
          <t>Textura - externa</t>
        </is>
      </c>
      <c r="U126" s="4" t="inlineStr">
        <is>
          <t>SIM</t>
        </is>
      </c>
      <c r="V126" s="2">
        <f>IF(R126="","",COUNTIF($C$5:$C$3004,R126))</f>
        <v/>
      </c>
      <c r="W126" s="2">
        <f>IF(R126="","",COUNTIFS($C$5:$C$3004,R126,$O$5:$O$3004,"CONCLUÍDA"))</f>
        <v/>
      </c>
      <c r="X126" s="2">
        <f>IF(R126="","",COUNTIFS($C$5:$C$3004,R126,$O$5:$O$3004,"EM ANDAMENTO"))</f>
        <v/>
      </c>
      <c r="Y126" s="2">
        <f>IF(R126="","",IF(COUNTIFS($C$5:$C$3004,R126,$O$5:$O$3004,"CONCLUÍDA",$N$5:$N$3004,"&gt;=-1")=0,"",_xlfn.MAXIFS($N$5:$N$3004,$C$5:$C$3004,R126,$O$5:$O$3004,"CONCLUÍDA")))</f>
        <v/>
      </c>
      <c r="Z126" s="2">
        <f>IF(R126="","",IF(COUNTIFS($C$5:$C$3004,R126,$O$5:$O$3004,"EM ANDAMENTO",$N$5:$N$3004,"&gt;=-1")=0,"",_xlfn.MAXIFS($N$5:$N$3004,$C$5:$C$3004,R126,$O$5:$O$3004,"EM ANDAMENTO")))</f>
        <v/>
      </c>
      <c r="AA126" s="2">
        <f>IF(OR(R126="",S126="",U126&lt;&gt;"SIM",V126=0),"",IF(W126+X126=0,"",T126&amp;": "&amp;IF(W126=V126,"concluído",IF(W126=0,"em execução"&amp;IF(Z126&lt;&gt;""," ("&amp;IF(Z126=-1,"subsolo",IF(Z126=0,"térreo",Z126&amp;"º pav."))&amp;")",""),IF(Y126&lt;&gt;"","até "&amp;IF(Y126=-1,"subsolo",IF(Y126=0,"térreo",Y126&amp;"º pav.")),W126&amp;" de "&amp;V126&amp;" concluídas")&amp;IF(Z126="","",IF(OR(Y126="",Z126&gt;Y126),", executando "&amp;IF(Z126=-1,"subsolo",IF(Z126=0,"térreo",Z126&amp;"º pav."))," (restam serviços no "&amp;IF(Z126=-1,"subsolo",IF(Z126=0,"térreo",Z126&amp;"º pav."))&amp;")"))))))</f>
        <v/>
      </c>
    </row>
    <row r="127">
      <c r="B127" s="4" t="n">
        <v>13543452</v>
      </c>
      <c r="C127" s="4" t="inlineStr">
        <is>
          <t>VIGA DE COROAMENTO (TRECHO - RUA IPÊ 2º ETAPA)</t>
        </is>
      </c>
      <c r="D127" s="4" t="inlineStr">
        <is>
          <t>Concretagem</t>
        </is>
      </c>
      <c r="E127" s="4" t="inlineStr">
        <is>
          <t>SERVIÇOS INICIAIS</t>
        </is>
      </c>
      <c r="F127" s="118" t="n">
        <v>45946</v>
      </c>
      <c r="G127" s="118" t="n">
        <v>45946</v>
      </c>
      <c r="H127" s="118" t="n">
        <v>46289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IF(E127="","",IF(LEFT(E127,7)="SUBSOLO",-1,IF(LEFT(E127,6)="TÉRREO",0,IFERROR(VALUE(LEFT(E127,FIND("º",SUBSTITUTE(E127,"°","º"))-1)),""))))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PONTOS DE ANCORAGEM INOX</t>
        </is>
      </c>
      <c r="S127" s="4" t="inlineStr">
        <is>
          <t>26</t>
        </is>
      </c>
      <c r="T127" s="4" t="inlineStr">
        <is>
          <t>Pontos de ancoragem inox</t>
        </is>
      </c>
      <c r="U127" s="4" t="inlineStr">
        <is>
          <t>SIM</t>
        </is>
      </c>
      <c r="V127" s="2">
        <f>IF(R127="","",COUNTIF($C$5:$C$3004,R127))</f>
        <v/>
      </c>
      <c r="W127" s="2">
        <f>IF(R127="","",COUNTIFS($C$5:$C$3004,R127,$O$5:$O$3004,"CONCLUÍDA"))</f>
        <v/>
      </c>
      <c r="X127" s="2">
        <f>IF(R127="","",COUNTIFS($C$5:$C$3004,R127,$O$5:$O$3004,"EM ANDAMENTO"))</f>
        <v/>
      </c>
      <c r="Y127" s="2">
        <f>IF(R127="","",IF(COUNTIFS($C$5:$C$3004,R127,$O$5:$O$3004,"CONCLUÍDA",$N$5:$N$3004,"&gt;=-1")=0,"",_xlfn.MAXIFS($N$5:$N$3004,$C$5:$C$3004,R127,$O$5:$O$3004,"CONCLUÍDA")))</f>
        <v/>
      </c>
      <c r="Z127" s="2">
        <f>IF(R127="","",IF(COUNTIFS($C$5:$C$3004,R127,$O$5:$O$3004,"EM ANDAMENTO",$N$5:$N$3004,"&gt;=-1")=0,"",_xlfn.MAXIFS($N$5:$N$3004,$C$5:$C$3004,R127,$O$5:$O$3004,"EM ANDAMENTO")))</f>
        <v/>
      </c>
      <c r="AA127" s="2">
        <f>IF(OR(R127="",S127="",U127&lt;&gt;"SIM",V127=0),"",IF(W127+X127=0,"",T127&amp;": "&amp;IF(W127=V127,"concluído",IF(W127=0,"em execução"&amp;IF(Z127&lt;&gt;""," ("&amp;IF(Z127=-1,"subsolo",IF(Z127=0,"térreo",Z127&amp;"º pav."))&amp;")",""),IF(Y127&lt;&gt;"","até "&amp;IF(Y127=-1,"subsolo",IF(Y127=0,"térreo",Y127&amp;"º pav.")),W127&amp;" de "&amp;V127&amp;" concluídas")&amp;IF(Z127="","",IF(OR(Y127="",Z127&gt;Y127),", executando "&amp;IF(Z127=-1,"subsolo",IF(Z127=0,"térreo",Z127&amp;"º pav."))," (restam serviços no "&amp;IF(Z127=-1,"subsolo",IF(Z127=0,"térreo",Z127&amp;"º pav."))&amp;")"))))))</f>
        <v/>
      </c>
    </row>
    <row r="128">
      <c r="B128" s="4" t="n">
        <v>13543453</v>
      </c>
      <c r="C128" s="4" t="inlineStr">
        <is>
          <t>VIGA DE COROAMENTO (TRECHO - RUA IPÊ 2º ETAPA)</t>
        </is>
      </c>
      <c r="D128" s="4" t="inlineStr">
        <is>
          <t>Aterro</t>
        </is>
      </c>
      <c r="E128" s="4" t="inlineStr">
        <is>
          <t>SERVIÇOS INICIAIS</t>
        </is>
      </c>
      <c r="F128" s="118" t="n">
        <v>45947</v>
      </c>
      <c r="G128" s="118" t="n">
        <v>45947</v>
      </c>
      <c r="H128" s="118" t="n">
        <v>46289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IF(E128="","",IF(LEFT(E128,7)="SUBSOLO",-1,IF(LEFT(E128,6)="TÉRREO",0,IFERROR(VALUE(LEFT(E128,FIND("º",SUBSTITUTE(E128,"°","º"))-1)),""))))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ACABAMENTOS ELÉTRICOS</t>
        </is>
      </c>
      <c r="S128" s="4" t="inlineStr">
        <is>
          <t>20</t>
        </is>
      </c>
      <c r="T128" s="4" t="inlineStr">
        <is>
          <t>Acabamentos elétricos</t>
        </is>
      </c>
      <c r="U128" s="4" t="inlineStr">
        <is>
          <t>SIM</t>
        </is>
      </c>
      <c r="V128" s="2">
        <f>IF(R128="","",COUNTIF($C$5:$C$3004,R128))</f>
        <v/>
      </c>
      <c r="W128" s="2">
        <f>IF(R128="","",COUNTIFS($C$5:$C$3004,R128,$O$5:$O$3004,"CONCLUÍDA"))</f>
        <v/>
      </c>
      <c r="X128" s="2">
        <f>IF(R128="","",COUNTIFS($C$5:$C$3004,R128,$O$5:$O$3004,"EM ANDAMENTO"))</f>
        <v/>
      </c>
      <c r="Y128" s="2">
        <f>IF(R128="","",IF(COUNTIFS($C$5:$C$3004,R128,$O$5:$O$3004,"CONCLUÍDA",$N$5:$N$3004,"&gt;=-1")=0,"",_xlfn.MAXIFS($N$5:$N$3004,$C$5:$C$3004,R128,$O$5:$O$3004,"CONCLUÍDA")))</f>
        <v/>
      </c>
      <c r="Z128" s="2">
        <f>IF(R128="","",IF(COUNTIFS($C$5:$C$3004,R128,$O$5:$O$3004,"EM ANDAMENTO",$N$5:$N$3004,"&gt;=-1")=0,"",_xlfn.MAXIFS($N$5:$N$3004,$C$5:$C$3004,R128,$O$5:$O$3004,"EM ANDAMENTO")))</f>
        <v/>
      </c>
      <c r="AA128" s="2">
        <f>IF(OR(R128="",S128="",U128&lt;&gt;"SIM",V128=0),"",IF(W128+X128=0,"",T128&amp;": "&amp;IF(W128=V128,"concluído",IF(W128=0,"em execução"&amp;IF(Z128&lt;&gt;""," ("&amp;IF(Z128=-1,"subsolo",IF(Z128=0,"térreo",Z128&amp;"º pav."))&amp;")",""),IF(Y128&lt;&gt;"","até "&amp;IF(Y128=-1,"subsolo",IF(Y128=0,"térreo",Y128&amp;"º pav.")),W128&amp;" de "&amp;V128&amp;" concluídas")&amp;IF(Z128="","",IF(OR(Y128="",Z128&gt;Y128),", executando "&amp;IF(Z128=-1,"subsolo",IF(Z128=0,"térreo",Z128&amp;"º pav."))," (restam serviços no "&amp;IF(Z128=-1,"subsolo",IF(Z128=0,"térreo",Z128&amp;"º pav."))&amp;")"))))))</f>
        <v/>
      </c>
    </row>
    <row r="129">
      <c r="B129" s="4" t="n">
        <v>33143640</v>
      </c>
      <c r="C129" s="4" t="inlineStr">
        <is>
          <t>VIGA DE COROAMENTO (TRECHO - RUA BOM JESUS)</t>
        </is>
      </c>
      <c r="D129" s="4" t="inlineStr">
        <is>
          <t>-</t>
        </is>
      </c>
      <c r="E129" s="4" t="inlineStr">
        <is>
          <t>SERVIÇOS INICIAIS</t>
        </is>
      </c>
      <c r="F129" s="118" t="n">
        <v>45943</v>
      </c>
      <c r="G129" s="118" t="n">
        <v>45957</v>
      </c>
      <c r="H129" s="118" t="n">
        <v>46289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IF(E129="","",IF(LEFT(E129,7)="SUBSOLO",-1,IF(LEFT(E129,6)="TÉRREO",0,IFERROR(VALUE(LEFT(E129,FIND("º",SUBSTITUTE(E129,"°","º"))-1)),""))))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TEXTURA - 1º DEMÃO</t>
        </is>
      </c>
      <c r="S129" s="4" t="inlineStr">
        <is>
          <t>35</t>
        </is>
      </c>
      <c r="T129" s="4" t="inlineStr">
        <is>
          <t>Textura - 1ª demão</t>
        </is>
      </c>
      <c r="U129" s="4" t="inlineStr">
        <is>
          <t>NÃO</t>
        </is>
      </c>
      <c r="V129" s="2">
        <f>IF(R129="","",COUNTIF($C$5:$C$3004,R129))</f>
        <v/>
      </c>
      <c r="W129" s="2">
        <f>IF(R129="","",COUNTIFS($C$5:$C$3004,R129,$O$5:$O$3004,"CONCLUÍDA"))</f>
        <v/>
      </c>
      <c r="X129" s="2">
        <f>IF(R129="","",COUNTIFS($C$5:$C$3004,R129,$O$5:$O$3004,"EM ANDAMENTO"))</f>
        <v/>
      </c>
      <c r="Y129" s="2">
        <f>IF(R129="","",IF(COUNTIFS($C$5:$C$3004,R129,$O$5:$O$3004,"CONCLUÍDA",$N$5:$N$3004,"&gt;=-1")=0,"",_xlfn.MAXIFS($N$5:$N$3004,$C$5:$C$3004,R129,$O$5:$O$3004,"CONCLUÍDA")))</f>
        <v/>
      </c>
      <c r="Z129" s="2">
        <f>IF(R129="","",IF(COUNTIFS($C$5:$C$3004,R129,$O$5:$O$3004,"EM ANDAMENTO",$N$5:$N$3004,"&gt;=-1")=0,"",_xlfn.MAXIFS($N$5:$N$3004,$C$5:$C$3004,R129,$O$5:$O$3004,"EM ANDAMENTO")))</f>
        <v/>
      </c>
      <c r="AA129" s="2">
        <f>IF(OR(R129="",S129="",U129&lt;&gt;"SIM",V129=0),"",IF(W129+X129=0,"",T129&amp;": "&amp;IF(W129=V129,"concluído",IF(W129=0,"em execução"&amp;IF(Z129&lt;&gt;""," ("&amp;IF(Z129=-1,"subsolo",IF(Z129=0,"térreo",Z129&amp;"º pav."))&amp;")",""),IF(Y129&lt;&gt;"","até "&amp;IF(Y129=-1,"subsolo",IF(Y129=0,"térreo",Y129&amp;"º pav.")),W129&amp;" de "&amp;V129&amp;" concluídas")&amp;IF(Z129="","",IF(OR(Y129="",Z129&gt;Y129),", executando "&amp;IF(Z129=-1,"subsolo",IF(Z129=0,"térreo",Z129&amp;"º pav."))," (restam serviços no "&amp;IF(Z129=-1,"subsolo",IF(Z129=0,"térreo",Z129&amp;"º pav."))&amp;")"))))))</f>
        <v/>
      </c>
    </row>
    <row r="130">
      <c r="B130" s="4" t="n">
        <v>13543499</v>
      </c>
      <c r="C130" s="4" t="inlineStr">
        <is>
          <t>VIGA DE COROAMENTO (TRECHO - RUA BOM JESUS)</t>
        </is>
      </c>
      <c r="D130" s="4" t="inlineStr">
        <is>
          <t>Escavação e Arrasamento</t>
        </is>
      </c>
      <c r="E130" s="4" t="inlineStr">
        <is>
          <t>SERVIÇOS INICIAIS</t>
        </is>
      </c>
      <c r="F130" s="118" t="n">
        <v>45943</v>
      </c>
      <c r="G130" s="118" t="n">
        <v>45946</v>
      </c>
      <c r="H130" s="118" t="n">
        <v>46289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IF(E130="","",IF(LEFT(E130,7)="SUBSOLO",-1,IF(LEFT(E130,6)="TÉRREO",0,IFERROR(VALUE(LEFT(E130,FIND("º",SUBSTITUTE(E130,"°","º"))-1)),""))))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PINTURA DE TUBULAÇÕES (PAREDE E TETO)</t>
        </is>
      </c>
      <c r="S130" s="4" t="inlineStr">
        <is>
          <t>35</t>
        </is>
      </c>
      <c r="T130" s="4" t="inlineStr">
        <is>
          <t>Pintura de tubulações (parede e teto)</t>
        </is>
      </c>
      <c r="U130" s="4" t="inlineStr">
        <is>
          <t>NÃO</t>
        </is>
      </c>
      <c r="V130" s="2">
        <f>IF(R130="","",COUNTIF($C$5:$C$3004,R130))</f>
        <v/>
      </c>
      <c r="W130" s="2">
        <f>IF(R130="","",COUNTIFS($C$5:$C$3004,R130,$O$5:$O$3004,"CONCLUÍDA"))</f>
        <v/>
      </c>
      <c r="X130" s="2">
        <f>IF(R130="","",COUNTIFS($C$5:$C$3004,R130,$O$5:$O$3004,"EM ANDAMENTO"))</f>
        <v/>
      </c>
      <c r="Y130" s="2">
        <f>IF(R130="","",IF(COUNTIFS($C$5:$C$3004,R130,$O$5:$O$3004,"CONCLUÍDA",$N$5:$N$3004,"&gt;=-1")=0,"",_xlfn.MAXIFS($N$5:$N$3004,$C$5:$C$3004,R130,$O$5:$O$3004,"CONCLUÍDA")))</f>
        <v/>
      </c>
      <c r="Z130" s="2">
        <f>IF(R130="","",IF(COUNTIFS($C$5:$C$3004,R130,$O$5:$O$3004,"EM ANDAMENTO",$N$5:$N$3004,"&gt;=-1")=0,"",_xlfn.MAXIFS($N$5:$N$3004,$C$5:$C$3004,R130,$O$5:$O$3004,"EM ANDAMENTO")))</f>
        <v/>
      </c>
      <c r="AA130" s="2">
        <f>IF(OR(R130="",S130="",U130&lt;&gt;"SIM",V130=0),"",IF(W130+X130=0,"",T130&amp;": "&amp;IF(W130=V130,"concluído",IF(W130=0,"em execução"&amp;IF(Z130&lt;&gt;""," ("&amp;IF(Z130=-1,"subsolo",IF(Z130=0,"térreo",Z130&amp;"º pav."))&amp;")",""),IF(Y130&lt;&gt;"","até "&amp;IF(Y130=-1,"subsolo",IF(Y130=0,"térreo",Y130&amp;"º pav.")),W130&amp;" de "&amp;V130&amp;" concluídas")&amp;IF(Z130="","",IF(OR(Y130="",Z130&gt;Y130),", executando "&amp;IF(Z130=-1,"subsolo",IF(Z130=0,"térreo",Z130&amp;"º pav."))," (restam serviços no "&amp;IF(Z130=-1,"subsolo",IF(Z130=0,"térreo",Z130&amp;"º pav."))&amp;")"))))))</f>
        <v/>
      </c>
    </row>
    <row r="131">
      <c r="B131" s="4" t="n">
        <v>13543500</v>
      </c>
      <c r="C131" s="4" t="inlineStr">
        <is>
          <t>VIGA DE COROAMENTO (TRECHO - RUA BOM JESUS)</t>
        </is>
      </c>
      <c r="D131" s="4" t="inlineStr">
        <is>
          <t>Armação</t>
        </is>
      </c>
      <c r="E131" s="4" t="inlineStr">
        <is>
          <t>SERVIÇOS INICIAIS</t>
        </is>
      </c>
      <c r="F131" s="118" t="n">
        <v>45950</v>
      </c>
      <c r="G131" s="118" t="n">
        <v>45953</v>
      </c>
      <c r="H131" s="118" t="n">
        <v>46289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IF(E131="","",IF(LEFT(E131,7)="SUBSOLO",-1,IF(LEFT(E131,6)="TÉRREO",0,IFERROR(VALUE(LEFT(E131,FIND("º",SUBSTITUTE(E131,"°","º"))-1)),""))))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PEITORIS E REQUADROS DE FACHADA - F1 + F2 (2º ETAPA)</t>
        </is>
      </c>
      <c r="S131" s="4" t="inlineStr">
        <is>
          <t>32</t>
        </is>
      </c>
      <c r="T131" s="4" t="inlineStr">
        <is>
          <t>Peitoris e requadros de fachada - F1 + F2 (2º etapa)</t>
        </is>
      </c>
      <c r="U131" s="4" t="inlineStr">
        <is>
          <t>SIM</t>
        </is>
      </c>
      <c r="V131" s="2">
        <f>IF(R131="","",COUNTIF($C$5:$C$3004,R131))</f>
        <v/>
      </c>
      <c r="W131" s="2">
        <f>IF(R131="","",COUNTIFS($C$5:$C$3004,R131,$O$5:$O$3004,"CONCLUÍDA"))</f>
        <v/>
      </c>
      <c r="X131" s="2">
        <f>IF(R131="","",COUNTIFS($C$5:$C$3004,R131,$O$5:$O$3004,"EM ANDAMENTO"))</f>
        <v/>
      </c>
      <c r="Y131" s="2">
        <f>IF(R131="","",IF(COUNTIFS($C$5:$C$3004,R131,$O$5:$O$3004,"CONCLUÍDA",$N$5:$N$3004,"&gt;=-1")=0,"",_xlfn.MAXIFS($N$5:$N$3004,$C$5:$C$3004,R131,$O$5:$O$3004,"CONCLUÍDA")))</f>
        <v/>
      </c>
      <c r="Z131" s="2">
        <f>IF(R131="","",IF(COUNTIFS($C$5:$C$3004,R131,$O$5:$O$3004,"EM ANDAMENTO",$N$5:$N$3004,"&gt;=-1")=0,"",_xlfn.MAXIFS($N$5:$N$3004,$C$5:$C$3004,R131,$O$5:$O$3004,"EM ANDAMENTO")))</f>
        <v/>
      </c>
      <c r="AA131" s="2">
        <f>IF(OR(R131="",S131="",U131&lt;&gt;"SIM",V131=0),"",IF(W131+X131=0,"",T131&amp;": "&amp;IF(W131=V131,"concluído",IF(W131=0,"em execução"&amp;IF(Z131&lt;&gt;""," ("&amp;IF(Z131=-1,"subsolo",IF(Z131=0,"térreo",Z131&amp;"º pav."))&amp;")",""),IF(Y131&lt;&gt;"","até "&amp;IF(Y131=-1,"subsolo",IF(Y131=0,"térreo",Y131&amp;"º pav.")),W131&amp;" de "&amp;V131&amp;" concluídas")&amp;IF(Z131="","",IF(OR(Y131="",Z131&gt;Y131),", executando "&amp;IF(Z131=-1,"subsolo",IF(Z131=0,"térreo",Z131&amp;"º pav."))," (restam serviços no "&amp;IF(Z131=-1,"subsolo",IF(Z131=0,"térreo",Z131&amp;"º pav."))&amp;")"))))))</f>
        <v/>
      </c>
    </row>
    <row r="132">
      <c r="B132" s="4" t="n">
        <v>13543501</v>
      </c>
      <c r="C132" s="4" t="inlineStr">
        <is>
          <t>VIGA DE COROAMENTO (TRECHO - RUA BOM JESUS)</t>
        </is>
      </c>
      <c r="D132" s="4" t="inlineStr">
        <is>
          <t>Forma</t>
        </is>
      </c>
      <c r="E132" s="4" t="inlineStr">
        <is>
          <t>SERVIÇOS INICIAIS</t>
        </is>
      </c>
      <c r="F132" s="118" t="n">
        <v>45951</v>
      </c>
      <c r="G132" s="118" t="n">
        <v>45953</v>
      </c>
      <c r="H132" s="118" t="n">
        <v>46289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IF(E132="","",IF(LEFT(E132,7)="SUBSOLO",-1,IF(LEFT(E132,6)="TÉRREO",0,IFERROR(VALUE(LEFT(E132,FIND("º",SUBSTITUTE(E132,"°","º"))-1)),""))))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CHECKLIST</t>
        </is>
      </c>
      <c r="S132" s="4" t="n"/>
      <c r="T132" s="4" t="inlineStr">
        <is>
          <t>Checklist</t>
        </is>
      </c>
      <c r="U132" s="4" t="inlineStr">
        <is>
          <t>SIM</t>
        </is>
      </c>
      <c r="V132" s="2">
        <f>IF(R132="","",COUNTIF($C$5:$C$3004,R132))</f>
        <v/>
      </c>
      <c r="W132" s="2">
        <f>IF(R132="","",COUNTIFS($C$5:$C$3004,R132,$O$5:$O$3004,"CONCLUÍDA"))</f>
        <v/>
      </c>
      <c r="X132" s="2">
        <f>IF(R132="","",COUNTIFS($C$5:$C$3004,R132,$O$5:$O$3004,"EM ANDAMENTO"))</f>
        <v/>
      </c>
      <c r="Y132" s="2">
        <f>IF(R132="","",IF(COUNTIFS($C$5:$C$3004,R132,$O$5:$O$3004,"CONCLUÍDA",$N$5:$N$3004,"&gt;=-1")=0,"",_xlfn.MAXIFS($N$5:$N$3004,$C$5:$C$3004,R132,$O$5:$O$3004,"CONCLUÍDA")))</f>
        <v/>
      </c>
      <c r="Z132" s="2">
        <f>IF(R132="","",IF(COUNTIFS($C$5:$C$3004,R132,$O$5:$O$3004,"EM ANDAMENTO",$N$5:$N$3004,"&gt;=-1")=0,"",_xlfn.MAXIFS($N$5:$N$3004,$C$5:$C$3004,R132,$O$5:$O$3004,"EM ANDAMENTO")))</f>
        <v/>
      </c>
      <c r="AA132" s="2">
        <f>IF(OR(R132="",S132="",U132&lt;&gt;"SIM",V132=0),"",IF(W132+X132=0,"",T132&amp;": "&amp;IF(W132=V132,"concluído",IF(W132=0,"em execução"&amp;IF(Z132&lt;&gt;""," ("&amp;IF(Z132=-1,"subsolo",IF(Z132=0,"térreo",Z132&amp;"º pav."))&amp;")",""),IF(Y132&lt;&gt;"","até "&amp;IF(Y132=-1,"subsolo",IF(Y132=0,"térreo",Y132&amp;"º pav.")),W132&amp;" de "&amp;V132&amp;" concluídas")&amp;IF(Z132="","",IF(OR(Y132="",Z132&gt;Y132),", executando "&amp;IF(Z132=-1,"subsolo",IF(Z132=0,"térreo",Z132&amp;"º pav."))," (restam serviços no "&amp;IF(Z132=-1,"subsolo",IF(Z132=0,"térreo",Z132&amp;"º pav."))&amp;")"))))))</f>
        <v/>
      </c>
    </row>
    <row r="133">
      <c r="B133" s="4" t="n">
        <v>13543502</v>
      </c>
      <c r="C133" s="4" t="inlineStr">
        <is>
          <t>VIGA DE COROAMENTO (TRECHO - RUA BOM JESUS)</t>
        </is>
      </c>
      <c r="D133" s="4" t="inlineStr">
        <is>
          <t>Concretagem</t>
        </is>
      </c>
      <c r="E133" s="4" t="inlineStr">
        <is>
          <t>SERVIÇOS INICIAIS</t>
        </is>
      </c>
      <c r="F133" s="118" t="n">
        <v>45954</v>
      </c>
      <c r="G133" s="118" t="n">
        <v>45954</v>
      </c>
      <c r="H133" s="118" t="n">
        <v>46289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IF(E133="","",IF(LEFT(E133,7)="SUBSOLO",-1,IF(LEFT(E133,6)="TÉRREO",0,IFERROR(VALUE(LEFT(E133,FIND("º",SUBSTITUTE(E133,"°","º"))-1)),""))))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FACHADA AERADA - F3 + F4 (2º ETAPA)</t>
        </is>
      </c>
      <c r="S133" s="4" t="inlineStr">
        <is>
          <t>32</t>
        </is>
      </c>
      <c r="T133" s="4" t="inlineStr">
        <is>
          <t>Fachada aerada - F3 + F4 (2º etapa)</t>
        </is>
      </c>
      <c r="U133" s="4" t="inlineStr">
        <is>
          <t>SIM</t>
        </is>
      </c>
      <c r="V133" s="2">
        <f>IF(R133="","",COUNTIF($C$5:$C$3004,R133))</f>
        <v/>
      </c>
      <c r="W133" s="2">
        <f>IF(R133="","",COUNTIFS($C$5:$C$3004,R133,$O$5:$O$3004,"CONCLUÍDA"))</f>
        <v/>
      </c>
      <c r="X133" s="2">
        <f>IF(R133="","",COUNTIFS($C$5:$C$3004,R133,$O$5:$O$3004,"EM ANDAMENTO"))</f>
        <v/>
      </c>
      <c r="Y133" s="2">
        <f>IF(R133="","",IF(COUNTIFS($C$5:$C$3004,R133,$O$5:$O$3004,"CONCLUÍDA",$N$5:$N$3004,"&gt;=-1")=0,"",_xlfn.MAXIFS($N$5:$N$3004,$C$5:$C$3004,R133,$O$5:$O$3004,"CONCLUÍDA")))</f>
        <v/>
      </c>
      <c r="Z133" s="2">
        <f>IF(R133="","",IF(COUNTIFS($C$5:$C$3004,R133,$O$5:$O$3004,"EM ANDAMENTO",$N$5:$N$3004,"&gt;=-1")=0,"",_xlfn.MAXIFS($N$5:$N$3004,$C$5:$C$3004,R133,$O$5:$O$3004,"EM ANDAMENTO")))</f>
        <v/>
      </c>
      <c r="AA133" s="2">
        <f>IF(OR(R133="",S133="",U133&lt;&gt;"SIM",V133=0),"",IF(W133+X133=0,"",T133&amp;": "&amp;IF(W133=V133,"concluído",IF(W133=0,"em execução"&amp;IF(Z133&lt;&gt;""," ("&amp;IF(Z133=-1,"subsolo",IF(Z133=0,"térreo",Z133&amp;"º pav."))&amp;")",""),IF(Y133&lt;&gt;"","até "&amp;IF(Y133=-1,"subsolo",IF(Y133=0,"térreo",Y133&amp;"º pav.")),W133&amp;" de "&amp;V133&amp;" concluídas")&amp;IF(Z133="","",IF(OR(Y133="",Z133&gt;Y133),", executando "&amp;IF(Z133=-1,"subsolo",IF(Z133=0,"térreo",Z133&amp;"º pav."))," (restam serviços no "&amp;IF(Z133=-1,"subsolo",IF(Z133=0,"térreo",Z133&amp;"º pav."))&amp;")"))))))</f>
        <v/>
      </c>
    </row>
    <row r="134">
      <c r="B134" s="4" t="n">
        <v>13543503</v>
      </c>
      <c r="C134" s="4" t="inlineStr">
        <is>
          <t>VIGA DE COROAMENTO (TRECHO - RUA BOM JESUS)</t>
        </is>
      </c>
      <c r="D134" s="4" t="inlineStr">
        <is>
          <t>Aterro</t>
        </is>
      </c>
      <c r="E134" s="4" t="inlineStr">
        <is>
          <t>SERVIÇOS INICIAIS</t>
        </is>
      </c>
      <c r="F134" s="118" t="n">
        <v>45957</v>
      </c>
      <c r="G134" s="118" t="n">
        <v>45957</v>
      </c>
      <c r="H134" s="118" t="n">
        <v>46289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IF(E134="","",IF(LEFT(E134,7)="SUBSOLO",-1,IF(LEFT(E134,6)="TÉRREO",0,IFERROR(VALUE(LEFT(E134,FIND("º",SUBSTITUTE(E134,"°","º"))-1)),""))))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PINTURA 3º DEMÃO</t>
        </is>
      </c>
      <c r="S134" s="4" t="inlineStr">
        <is>
          <t>35</t>
        </is>
      </c>
      <c r="T134" s="4" t="inlineStr">
        <is>
          <t>Pintura 3ª demão</t>
        </is>
      </c>
      <c r="U134" s="4" t="inlineStr">
        <is>
          <t>SIM</t>
        </is>
      </c>
      <c r="V134" s="2">
        <f>IF(R134="","",COUNTIF($C$5:$C$3004,R134))</f>
        <v/>
      </c>
      <c r="W134" s="2">
        <f>IF(R134="","",COUNTIFS($C$5:$C$3004,R134,$O$5:$O$3004,"CONCLUÍDA"))</f>
        <v/>
      </c>
      <c r="X134" s="2">
        <f>IF(R134="","",COUNTIFS($C$5:$C$3004,R134,$O$5:$O$3004,"EM ANDAMENTO"))</f>
        <v/>
      </c>
      <c r="Y134" s="2">
        <f>IF(R134="","",IF(COUNTIFS($C$5:$C$3004,R134,$O$5:$O$3004,"CONCLUÍDA",$N$5:$N$3004,"&gt;=-1")=0,"",_xlfn.MAXIFS($N$5:$N$3004,$C$5:$C$3004,R134,$O$5:$O$3004,"CONCLUÍDA")))</f>
        <v/>
      </c>
      <c r="Z134" s="2">
        <f>IF(R134="","",IF(COUNTIFS($C$5:$C$3004,R134,$O$5:$O$3004,"EM ANDAMENTO",$N$5:$N$3004,"&gt;=-1")=0,"",_xlfn.MAXIFS($N$5:$N$3004,$C$5:$C$3004,R134,$O$5:$O$3004,"EM ANDAMENTO")))</f>
        <v/>
      </c>
      <c r="AA134" s="2">
        <f>IF(OR(R134="",S134="",U134&lt;&gt;"SIM",V134=0),"",IF(W134+X134=0,"",T134&amp;": "&amp;IF(W134=V134,"concluído",IF(W134=0,"em execução"&amp;IF(Z134&lt;&gt;""," ("&amp;IF(Z134=-1,"subsolo",IF(Z134=0,"térreo",Z134&amp;"º pav."))&amp;")",""),IF(Y134&lt;&gt;"","até "&amp;IF(Y134=-1,"subsolo",IF(Y134=0,"térreo",Y134&amp;"º pav.")),W134&amp;" de "&amp;V134&amp;" concluídas")&amp;IF(Z134="","",IF(OR(Y134="",Z134&gt;Y134),", executando "&amp;IF(Z134=-1,"subsolo",IF(Z134=0,"térreo",Z134&amp;"º pav."))," (restam serviços no "&amp;IF(Z134=-1,"subsolo",IF(Z134=0,"térreo",Z134&amp;"º pav."))&amp;")"))))))</f>
        <v/>
      </c>
    </row>
    <row r="135">
      <c r="B135" s="4" t="n">
        <v>35364375</v>
      </c>
      <c r="C135" s="4" t="inlineStr">
        <is>
          <t>FUNDAÇÃO PROFUNDA - MEDIÇÃO</t>
        </is>
      </c>
      <c r="D135" s="4" t="inlineStr">
        <is>
          <t>-</t>
        </is>
      </c>
      <c r="E135" s="4" t="inlineStr">
        <is>
          <t>SERVIÇOS INICIAIS</t>
        </is>
      </c>
      <c r="F135" s="118" t="n">
        <v>45943</v>
      </c>
      <c r="G135" s="118" t="n">
        <v>46084</v>
      </c>
      <c r="H135" s="118" t="n">
        <v>46289</v>
      </c>
      <c r="I135" s="4" t="n">
        <v>100</v>
      </c>
      <c r="J135" s="4" t="n">
        <v>100</v>
      </c>
      <c r="K135" s="4" t="n">
        <v>99.53</v>
      </c>
      <c r="M135" s="2">
        <f>IF(C135="","",IFERROR(INDEX($S$5:$S$304,MATCH(C135,$R$5:$R$304,0))&amp;"","?"))</f>
        <v/>
      </c>
      <c r="N135" s="2">
        <f>IF(E135="","",IF(LEFT(E135,7)="SUBSOLO",-1,IF(LEFT(E135,6)="TÉRREO",0,IFERROR(VALUE(LEFT(E135,FIND("º",SUBSTITUTE(E135,"°","º"))-1)),""))))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PINTURA - CORRIMÃO</t>
        </is>
      </c>
      <c r="S135" s="4" t="inlineStr">
        <is>
          <t>35</t>
        </is>
      </c>
      <c r="T135" s="4" t="inlineStr">
        <is>
          <t>Pintura - corrimão</t>
        </is>
      </c>
      <c r="U135" s="4" t="inlineStr">
        <is>
          <t>NÃO</t>
        </is>
      </c>
      <c r="V135" s="2">
        <f>IF(R135="","",COUNTIF($C$5:$C$3004,R135))</f>
        <v/>
      </c>
      <c r="W135" s="2">
        <f>IF(R135="","",COUNTIFS($C$5:$C$3004,R135,$O$5:$O$3004,"CONCLUÍDA"))</f>
        <v/>
      </c>
      <c r="X135" s="2">
        <f>IF(R135="","",COUNTIFS($C$5:$C$3004,R135,$O$5:$O$3004,"EM ANDAMENTO"))</f>
        <v/>
      </c>
      <c r="Y135" s="2">
        <f>IF(R135="","",IF(COUNTIFS($C$5:$C$3004,R135,$O$5:$O$3004,"CONCLUÍDA",$N$5:$N$3004,"&gt;=-1")=0,"",_xlfn.MAXIFS($N$5:$N$3004,$C$5:$C$3004,R135,$O$5:$O$3004,"CONCLUÍDA")))</f>
        <v/>
      </c>
      <c r="Z135" s="2">
        <f>IF(R135="","",IF(COUNTIFS($C$5:$C$3004,R135,$O$5:$O$3004,"EM ANDAMENTO",$N$5:$N$3004,"&gt;=-1")=0,"",_xlfn.MAXIFS($N$5:$N$3004,$C$5:$C$3004,R135,$O$5:$O$3004,"EM ANDAMENTO")))</f>
        <v/>
      </c>
      <c r="AA135" s="2">
        <f>IF(OR(R135="",S135="",U135&lt;&gt;"SIM",V135=0),"",IF(W135+X135=0,"",T135&amp;": "&amp;IF(W135=V135,"concluído",IF(W135=0,"em execução"&amp;IF(Z135&lt;&gt;""," ("&amp;IF(Z135=-1,"subsolo",IF(Z135=0,"térreo",Z135&amp;"º pav."))&amp;")",""),IF(Y135&lt;&gt;"","até "&amp;IF(Y135=-1,"subsolo",IF(Y135=0,"térreo",Y135&amp;"º pav.")),W135&amp;" de "&amp;V135&amp;" concluídas")&amp;IF(Z135="","",IF(OR(Y135="",Z135&gt;Y135),", executando "&amp;IF(Z135=-1,"subsolo",IF(Z135=0,"térreo",Z135&amp;"º pav."))," (restam serviços no "&amp;IF(Z135=-1,"subsolo",IF(Z135=0,"térreo",Z135&amp;"º pav."))&amp;")"))))))</f>
        <v/>
      </c>
    </row>
    <row r="136">
      <c r="B136" s="4" t="n">
        <v>35051204</v>
      </c>
      <c r="C136" s="4" t="inlineStr">
        <is>
          <t>VIGA DE COROAMENTO (TRECHO - RUA IPÊ 3º ETAPA)</t>
        </is>
      </c>
      <c r="D136" s="4" t="inlineStr">
        <is>
          <t>-</t>
        </is>
      </c>
      <c r="E136" s="4" t="inlineStr">
        <is>
          <t>SERVIÇOS INICIAIS</t>
        </is>
      </c>
      <c r="F136" s="118" t="n">
        <v>45951</v>
      </c>
      <c r="G136" s="118" t="n">
        <v>45964</v>
      </c>
      <c r="H136" s="118" t="n">
        <v>46289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IF(E136="","",IF(LEFT(E136,7)="SUBSOLO",-1,IF(LEFT(E136,6)="TÉRREO",0,IFERROR(VALUE(LEFT(E136,FIND("º",SUBSTITUTE(E136,"°","º"))-1)),""))))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PREPARAÇÃO PARA FACHADA AERADA - F5 (2º ETAPA)</t>
        </is>
      </c>
      <c r="S136" s="4" t="inlineStr">
        <is>
          <t>32</t>
        </is>
      </c>
      <c r="T136" s="4" t="inlineStr">
        <is>
          <t>Preparação para fachada aerada - F5 (2º etapa)</t>
        </is>
      </c>
      <c r="U136" s="4" t="inlineStr">
        <is>
          <t>SIM</t>
        </is>
      </c>
      <c r="V136" s="2">
        <f>IF(R136="","",COUNTIF($C$5:$C$3004,R136))</f>
        <v/>
      </c>
      <c r="W136" s="2">
        <f>IF(R136="","",COUNTIFS($C$5:$C$3004,R136,$O$5:$O$3004,"CONCLUÍDA"))</f>
        <v/>
      </c>
      <c r="X136" s="2">
        <f>IF(R136="","",COUNTIFS($C$5:$C$3004,R136,$O$5:$O$3004,"EM ANDAMENTO"))</f>
        <v/>
      </c>
      <c r="Y136" s="2">
        <f>IF(R136="","",IF(COUNTIFS($C$5:$C$3004,R136,$O$5:$O$3004,"CONCLUÍDA",$N$5:$N$3004,"&gt;=-1")=0,"",_xlfn.MAXIFS($N$5:$N$3004,$C$5:$C$3004,R136,$O$5:$O$3004,"CONCLUÍDA")))</f>
        <v/>
      </c>
      <c r="Z136" s="2">
        <f>IF(R136="","",IF(COUNTIFS($C$5:$C$3004,R136,$O$5:$O$3004,"EM ANDAMENTO",$N$5:$N$3004,"&gt;=-1")=0,"",_xlfn.MAXIFS($N$5:$N$3004,$C$5:$C$3004,R136,$O$5:$O$3004,"EM ANDAMENTO")))</f>
        <v/>
      </c>
      <c r="AA136" s="2">
        <f>IF(OR(R136="",S136="",U136&lt;&gt;"SIM",V136=0),"",IF(W136+X136=0,"",T136&amp;": "&amp;IF(W136=V136,"concluído",IF(W136=0,"em execução"&amp;IF(Z136&lt;&gt;""," ("&amp;IF(Z136=-1,"subsolo",IF(Z136=0,"térreo",Z136&amp;"º pav."))&amp;")",""),IF(Y136&lt;&gt;"","até "&amp;IF(Y136=-1,"subsolo",IF(Y136=0,"térreo",Y136&amp;"º pav.")),W136&amp;" de "&amp;V136&amp;" concluídas")&amp;IF(Z136="","",IF(OR(Y136="",Z136&gt;Y136),", executando "&amp;IF(Z136=-1,"subsolo",IF(Z136=0,"térreo",Z136&amp;"º pav."))," (restam serviços no "&amp;IF(Z136=-1,"subsolo",IF(Z136=0,"térreo",Z136&amp;"º pav."))&amp;")"))))))</f>
        <v/>
      </c>
    </row>
    <row r="137">
      <c r="B137" s="4" t="n">
        <v>14338681</v>
      </c>
      <c r="C137" s="4" t="inlineStr">
        <is>
          <t>VIGA DE COROAMENTO (TRECHO - RUA IPÊ 3º ETAPA)</t>
        </is>
      </c>
      <c r="D137" s="4" t="inlineStr">
        <is>
          <t>Escavação e Arrasamento</t>
        </is>
      </c>
      <c r="E137" s="4" t="inlineStr">
        <is>
          <t>SERVIÇOS INICIAIS</t>
        </is>
      </c>
      <c r="F137" s="118" t="n">
        <v>45951</v>
      </c>
      <c r="G137" s="118" t="n">
        <v>45957</v>
      </c>
      <c r="H137" s="118" t="n">
        <v>46289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IF(E137="","",IF(LEFT(E137,7)="SUBSOLO",-1,IF(LEFT(E137,6)="TÉRREO",0,IFERROR(VALUE(LEFT(E137,FIND("º",SUBSTITUTE(E137,"°","º"))-1)),""))))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INSTALAÇÃO DE SHADOWBOX E BRISE - F1 + F2</t>
        </is>
      </c>
      <c r="S137" s="4" t="inlineStr">
        <is>
          <t>25</t>
        </is>
      </c>
      <c r="T137" s="4" t="inlineStr">
        <is>
          <t>Shadowbox e brise - F1 + F2</t>
        </is>
      </c>
      <c r="U137" s="4" t="inlineStr">
        <is>
          <t>NÃO</t>
        </is>
      </c>
      <c r="V137" s="2">
        <f>IF(R137="","",COUNTIF($C$5:$C$3004,R137))</f>
        <v/>
      </c>
      <c r="W137" s="2">
        <f>IF(R137="","",COUNTIFS($C$5:$C$3004,R137,$O$5:$O$3004,"CONCLUÍDA"))</f>
        <v/>
      </c>
      <c r="X137" s="2">
        <f>IF(R137="","",COUNTIFS($C$5:$C$3004,R137,$O$5:$O$3004,"EM ANDAMENTO"))</f>
        <v/>
      </c>
      <c r="Y137" s="2">
        <f>IF(R137="","",IF(COUNTIFS($C$5:$C$3004,R137,$O$5:$O$3004,"CONCLUÍDA",$N$5:$N$3004,"&gt;=-1")=0,"",_xlfn.MAXIFS($N$5:$N$3004,$C$5:$C$3004,R137,$O$5:$O$3004,"CONCLUÍDA")))</f>
        <v/>
      </c>
      <c r="Z137" s="2">
        <f>IF(R137="","",IF(COUNTIFS($C$5:$C$3004,R137,$O$5:$O$3004,"EM ANDAMENTO",$N$5:$N$3004,"&gt;=-1")=0,"",_xlfn.MAXIFS($N$5:$N$3004,$C$5:$C$3004,R137,$O$5:$O$3004,"EM ANDAMENTO")))</f>
        <v/>
      </c>
      <c r="AA137" s="2">
        <f>IF(OR(R137="",S137="",U137&lt;&gt;"SIM",V137=0),"",IF(W137+X137=0,"",T137&amp;": "&amp;IF(W137=V137,"concluído",IF(W137=0,"em execução"&amp;IF(Z137&lt;&gt;""," ("&amp;IF(Z137=-1,"subsolo",IF(Z137=0,"térreo",Z137&amp;"º pav."))&amp;")",""),IF(Y137&lt;&gt;"","até "&amp;IF(Y137=-1,"subsolo",IF(Y137=0,"térreo",Y137&amp;"º pav.")),W137&amp;" de "&amp;V137&amp;" concluídas")&amp;IF(Z137="","",IF(OR(Y137="",Z137&gt;Y137),", executando "&amp;IF(Z137=-1,"subsolo",IF(Z137=0,"térreo",Z137&amp;"º pav."))," (restam serviços no "&amp;IF(Z137=-1,"subsolo",IF(Z137=0,"térreo",Z137&amp;"º pav."))&amp;")"))))))</f>
        <v/>
      </c>
    </row>
    <row r="138">
      <c r="B138" s="4" t="n">
        <v>14338682</v>
      </c>
      <c r="C138" s="4" t="inlineStr">
        <is>
          <t>VIGA DE COROAMENTO (TRECHO - RUA IPÊ 3º ETAPA)</t>
        </is>
      </c>
      <c r="D138" s="4" t="inlineStr">
        <is>
          <t>Armação</t>
        </is>
      </c>
      <c r="E138" s="4" t="inlineStr">
        <is>
          <t>SERVIÇOS INICIAIS</t>
        </is>
      </c>
      <c r="F138" s="118" t="n">
        <v>45958</v>
      </c>
      <c r="G138" s="118" t="n">
        <v>45959</v>
      </c>
      <c r="H138" s="118" t="n">
        <v>46289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IF(E138="","",IF(LEFT(E138,7)="SUBSOLO",-1,IF(LEFT(E138,6)="TÉRREO",0,IFERROR(VALUE(LEFT(E138,FIND("º",SUBSTITUTE(E138,"°","º"))-1)),""))))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LIMPEZA FINA</t>
        </is>
      </c>
      <c r="S138" s="4" t="inlineStr">
        <is>
          <t>37</t>
        </is>
      </c>
      <c r="T138" s="4" t="inlineStr">
        <is>
          <t>Limpeza fina</t>
        </is>
      </c>
      <c r="U138" s="4" t="inlineStr">
        <is>
          <t>SIM</t>
        </is>
      </c>
      <c r="V138" s="2">
        <f>IF(R138="","",COUNTIF($C$5:$C$3004,R138))</f>
        <v/>
      </c>
      <c r="W138" s="2">
        <f>IF(R138="","",COUNTIFS($C$5:$C$3004,R138,$O$5:$O$3004,"CONCLUÍDA"))</f>
        <v/>
      </c>
      <c r="X138" s="2">
        <f>IF(R138="","",COUNTIFS($C$5:$C$3004,R138,$O$5:$O$3004,"EM ANDAMENTO"))</f>
        <v/>
      </c>
      <c r="Y138" s="2">
        <f>IF(R138="","",IF(COUNTIFS($C$5:$C$3004,R138,$O$5:$O$3004,"CONCLUÍDA",$N$5:$N$3004,"&gt;=-1")=0,"",_xlfn.MAXIFS($N$5:$N$3004,$C$5:$C$3004,R138,$O$5:$O$3004,"CONCLUÍDA")))</f>
        <v/>
      </c>
      <c r="Z138" s="2">
        <f>IF(R138="","",IF(COUNTIFS($C$5:$C$3004,R138,$O$5:$O$3004,"EM ANDAMENTO",$N$5:$N$3004,"&gt;=-1")=0,"",_xlfn.MAXIFS($N$5:$N$3004,$C$5:$C$3004,R138,$O$5:$O$3004,"EM ANDAMENTO")))</f>
        <v/>
      </c>
      <c r="AA138" s="2">
        <f>IF(OR(R138="",S138="",U138&lt;&gt;"SIM",V138=0),"",IF(W138+X138=0,"",T138&amp;": "&amp;IF(W138=V138,"concluído",IF(W138=0,"em execução"&amp;IF(Z138&lt;&gt;""," ("&amp;IF(Z138=-1,"subsolo",IF(Z138=0,"térreo",Z138&amp;"º pav."))&amp;")",""),IF(Y138&lt;&gt;"","até "&amp;IF(Y138=-1,"subsolo",IF(Y138=0,"térreo",Y138&amp;"º pav.")),W138&amp;" de "&amp;V138&amp;" concluídas")&amp;IF(Z138="","",IF(OR(Y138="",Z138&gt;Y138),", executando "&amp;IF(Z138=-1,"subsolo",IF(Z138=0,"térreo",Z138&amp;"º pav."))," (restam serviços no "&amp;IF(Z138=-1,"subsolo",IF(Z138=0,"térreo",Z138&amp;"º pav."))&amp;")"))))))</f>
        <v/>
      </c>
    </row>
    <row r="139">
      <c r="B139" s="4" t="n">
        <v>14338683</v>
      </c>
      <c r="C139" s="4" t="inlineStr">
        <is>
          <t>VIGA DE COROAMENTO (TRECHO - RUA IPÊ 3º ETAPA)</t>
        </is>
      </c>
      <c r="D139" s="4" t="inlineStr">
        <is>
          <t>Forma</t>
        </is>
      </c>
      <c r="E139" s="4" t="inlineStr">
        <is>
          <t>SERVIÇOS INICIAIS</t>
        </is>
      </c>
      <c r="F139" s="118" t="n">
        <v>45960</v>
      </c>
      <c r="G139" s="118" t="n">
        <v>45961</v>
      </c>
      <c r="H139" s="118" t="n">
        <v>46289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IF(E139="","",IF(LEFT(E139,7)="SUBSOLO",-1,IF(LEFT(E139,6)="TÉRREO",0,IFERROR(VALUE(LEFT(E139,FIND("º",SUBSTITUTE(E139,"°","º"))-1)),""))))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EMBORRACHADO</t>
        </is>
      </c>
      <c r="S139" s="4" t="inlineStr">
        <is>
          <t>30</t>
        </is>
      </c>
      <c r="T139" s="4" t="inlineStr">
        <is>
          <t>Piso emborrachado</t>
        </is>
      </c>
      <c r="U139" s="4" t="inlineStr">
        <is>
          <t>NÃO</t>
        </is>
      </c>
      <c r="V139" s="2">
        <f>IF(R139="","",COUNTIF($C$5:$C$3004,R139))</f>
        <v/>
      </c>
      <c r="W139" s="2">
        <f>IF(R139="","",COUNTIFS($C$5:$C$3004,R139,$O$5:$O$3004,"CONCLUÍDA"))</f>
        <v/>
      </c>
      <c r="X139" s="2">
        <f>IF(R139="","",COUNTIFS($C$5:$C$3004,R139,$O$5:$O$3004,"EM ANDAMENTO"))</f>
        <v/>
      </c>
      <c r="Y139" s="2">
        <f>IF(R139="","",IF(COUNTIFS($C$5:$C$3004,R139,$O$5:$O$3004,"CONCLUÍDA",$N$5:$N$3004,"&gt;=-1")=0,"",_xlfn.MAXIFS($N$5:$N$3004,$C$5:$C$3004,R139,$O$5:$O$3004,"CONCLUÍDA")))</f>
        <v/>
      </c>
      <c r="Z139" s="2">
        <f>IF(R139="","",IF(COUNTIFS($C$5:$C$3004,R139,$O$5:$O$3004,"EM ANDAMENTO",$N$5:$N$3004,"&gt;=-1")=0,"",_xlfn.MAXIFS($N$5:$N$3004,$C$5:$C$3004,R139,$O$5:$O$3004,"EM ANDAMENTO")))</f>
        <v/>
      </c>
      <c r="AA139" s="2">
        <f>IF(OR(R139="",S139="",U139&lt;&gt;"SIM",V139=0),"",IF(W139+X139=0,"",T139&amp;": "&amp;IF(W139=V139,"concluído",IF(W139=0,"em execução"&amp;IF(Z139&lt;&gt;""," ("&amp;IF(Z139=-1,"subsolo",IF(Z139=0,"térreo",Z139&amp;"º pav."))&amp;")",""),IF(Y139&lt;&gt;"","até "&amp;IF(Y139=-1,"subsolo",IF(Y139=0,"térreo",Y139&amp;"º pav.")),W139&amp;" de "&amp;V139&amp;" concluídas")&amp;IF(Z139="","",IF(OR(Y139="",Z139&gt;Y139),", executando "&amp;IF(Z139=-1,"subsolo",IF(Z139=0,"térreo",Z139&amp;"º pav."))," (restam serviços no "&amp;IF(Z139=-1,"subsolo",IF(Z139=0,"térreo",Z139&amp;"º pav."))&amp;")"))))))</f>
        <v/>
      </c>
    </row>
    <row r="140">
      <c r="B140" s="4" t="n">
        <v>14338684</v>
      </c>
      <c r="C140" s="4" t="inlineStr">
        <is>
          <t>VIGA DE COROAMENTO (TRECHO - RUA IPÊ 3º ETAPA)</t>
        </is>
      </c>
      <c r="D140" s="4" t="inlineStr">
        <is>
          <t>Concretagem</t>
        </is>
      </c>
      <c r="E140" s="4" t="inlineStr">
        <is>
          <t>SERVIÇOS INICIAIS</t>
        </is>
      </c>
      <c r="F140" s="118" t="n">
        <v>45964</v>
      </c>
      <c r="G140" s="118" t="n">
        <v>45964</v>
      </c>
      <c r="H140" s="118" t="n">
        <v>46289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IF(E140="","",IF(LEFT(E140,7)="SUBSOLO",-1,IF(LEFT(E140,6)="TÉRREO",0,IFERROR(VALUE(LEFT(E140,FIND("º",SUBSTITUTE(E140,"°","º"))-1)),""))))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DEMARCAÇÃO DE VAGAS</t>
        </is>
      </c>
      <c r="S140" s="4" t="inlineStr">
        <is>
          <t>31</t>
        </is>
      </c>
      <c r="T140" s="4" t="inlineStr">
        <is>
          <t>Demarcação de vagas</t>
        </is>
      </c>
      <c r="U140" s="4" t="inlineStr">
        <is>
          <t>SIM</t>
        </is>
      </c>
      <c r="V140" s="2">
        <f>IF(R140="","",COUNTIF($C$5:$C$3004,R140))</f>
        <v/>
      </c>
      <c r="W140" s="2">
        <f>IF(R140="","",COUNTIFS($C$5:$C$3004,R140,$O$5:$O$3004,"CONCLUÍDA"))</f>
        <v/>
      </c>
      <c r="X140" s="2">
        <f>IF(R140="","",COUNTIFS($C$5:$C$3004,R140,$O$5:$O$3004,"EM ANDAMENTO"))</f>
        <v/>
      </c>
      <c r="Y140" s="2">
        <f>IF(R140="","",IF(COUNTIFS($C$5:$C$3004,R140,$O$5:$O$3004,"CONCLUÍDA",$N$5:$N$3004,"&gt;=-1")=0,"",_xlfn.MAXIFS($N$5:$N$3004,$C$5:$C$3004,R140,$O$5:$O$3004,"CONCLUÍDA")))</f>
        <v/>
      </c>
      <c r="Z140" s="2">
        <f>IF(R140="","",IF(COUNTIFS($C$5:$C$3004,R140,$O$5:$O$3004,"EM ANDAMENTO",$N$5:$N$3004,"&gt;=-1")=0,"",_xlfn.MAXIFS($N$5:$N$3004,$C$5:$C$3004,R140,$O$5:$O$3004,"EM ANDAMENTO")))</f>
        <v/>
      </c>
      <c r="AA140" s="2">
        <f>IF(OR(R140="",S140="",U140&lt;&gt;"SIM",V140=0),"",IF(W140+X140=0,"",T140&amp;": "&amp;IF(W140=V140,"concluído",IF(W140=0,"em execução"&amp;IF(Z140&lt;&gt;""," ("&amp;IF(Z140=-1,"subsolo",IF(Z140=0,"térreo",Z140&amp;"º pav."))&amp;")",""),IF(Y140&lt;&gt;"","até "&amp;IF(Y140=-1,"subsolo",IF(Y140=0,"térreo",Y140&amp;"º pav.")),W140&amp;" de "&amp;V140&amp;" concluídas")&amp;IF(Z140="","",IF(OR(Y140="",Z140&gt;Y140),", executando "&amp;IF(Z140=-1,"subsolo",IF(Z140=0,"térreo",Z140&amp;"º pav."))," (restam serviços no "&amp;IF(Z140=-1,"subsolo",IF(Z140=0,"térreo",Z140&amp;"º pav."))&amp;")"))))))</f>
        <v/>
      </c>
    </row>
    <row r="141">
      <c r="B141" s="4" t="n">
        <v>30203719</v>
      </c>
      <c r="C141" s="4" t="inlineStr">
        <is>
          <t>TERRAPLENAGEM (FASE 1)</t>
        </is>
      </c>
      <c r="D141" s="4" t="inlineStr">
        <is>
          <t>-</t>
        </is>
      </c>
      <c r="E141" s="4" t="inlineStr">
        <is>
          <t>SERVIÇOS INICIAIS</t>
        </is>
      </c>
      <c r="F141" s="118" t="n">
        <v>46084</v>
      </c>
      <c r="G141" s="118" t="n">
        <v>46139</v>
      </c>
      <c r="H141" s="118" t="n">
        <v>46289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IF(E141="","",IF(LEFT(E141,7)="SUBSOLO",-1,IF(LEFT(E141,6)="TÉRREO",0,IFERROR(VALUE(LEFT(E141,FIND("º",SUBSTITUTE(E141,"°","º"))-1)),""))))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INSTALAÇÃO DE METAIS</t>
        </is>
      </c>
      <c r="S141" s="4" t="inlineStr">
        <is>
          <t>34</t>
        </is>
      </c>
      <c r="T141" s="4" t="inlineStr">
        <is>
          <t>Metais</t>
        </is>
      </c>
      <c r="U141" s="4" t="inlineStr">
        <is>
          <t>NÃO</t>
        </is>
      </c>
      <c r="V141" s="2">
        <f>IF(R141="","",COUNTIF($C$5:$C$3004,R141))</f>
        <v/>
      </c>
      <c r="W141" s="2">
        <f>IF(R141="","",COUNTIFS($C$5:$C$3004,R141,$O$5:$O$3004,"CONCLUÍDA"))</f>
        <v/>
      </c>
      <c r="X141" s="2">
        <f>IF(R141="","",COUNTIFS($C$5:$C$3004,R141,$O$5:$O$3004,"EM ANDAMENTO"))</f>
        <v/>
      </c>
      <c r="Y141" s="2">
        <f>IF(R141="","",IF(COUNTIFS($C$5:$C$3004,R141,$O$5:$O$3004,"CONCLUÍDA",$N$5:$N$3004,"&gt;=-1")=0,"",_xlfn.MAXIFS($N$5:$N$3004,$C$5:$C$3004,R141,$O$5:$O$3004,"CONCLUÍDA")))</f>
        <v/>
      </c>
      <c r="Z141" s="2">
        <f>IF(R141="","",IF(COUNTIFS($C$5:$C$3004,R141,$O$5:$O$3004,"EM ANDAMENTO",$N$5:$N$3004,"&gt;=-1")=0,"",_xlfn.MAXIFS($N$5:$N$3004,$C$5:$C$3004,R141,$O$5:$O$3004,"EM ANDAMENTO")))</f>
        <v/>
      </c>
      <c r="AA141" s="2">
        <f>IF(OR(R141="",S141="",U141&lt;&gt;"SIM",V141=0),"",IF(W141+X141=0,"",T141&amp;": "&amp;IF(W141=V141,"concluído",IF(W141=0,"em execução"&amp;IF(Z141&lt;&gt;""," ("&amp;IF(Z141=-1,"subsolo",IF(Z141=0,"térreo",Z141&amp;"º pav."))&amp;")",""),IF(Y141&lt;&gt;"","até "&amp;IF(Y141=-1,"subsolo",IF(Y141=0,"térreo",Y141&amp;"º pav.")),W141&amp;" de "&amp;V141&amp;" concluídas")&amp;IF(Z141="","",IF(OR(Y141="",Z141&gt;Y141),", executando "&amp;IF(Z141=-1,"subsolo",IF(Z141=0,"térreo",Z141&amp;"º pav."))," (restam serviços no "&amp;IF(Z141=-1,"subsolo",IF(Z141=0,"térreo",Z141&amp;"º pav."))&amp;")"))))))</f>
        <v/>
      </c>
    </row>
    <row r="142">
      <c r="B142" s="4" t="n">
        <v>29933217</v>
      </c>
      <c r="C142" s="4" t="inlineStr">
        <is>
          <t>FUNDAÇÃO SUPERFICIAL</t>
        </is>
      </c>
      <c r="D142" s="4" t="inlineStr">
        <is>
          <t>-</t>
        </is>
      </c>
      <c r="E142" s="4" t="inlineStr">
        <is>
          <t>SERVIÇOS INICIAIS</t>
        </is>
      </c>
      <c r="F142" s="118" t="n">
        <v>46125</v>
      </c>
      <c r="G142" s="118" t="n">
        <v>46241</v>
      </c>
      <c r="H142" s="118" t="n">
        <v>46289</v>
      </c>
      <c r="I142" s="4" t="n">
        <v>100</v>
      </c>
      <c r="J142" s="4" t="n">
        <v>100</v>
      </c>
      <c r="K142" s="4" t="n">
        <v>99</v>
      </c>
      <c r="M142" s="2">
        <f>IF(C142="","",IFERROR(INDEX($S$5:$S$304,MATCH(C142,$R$5:$R$304,0))&amp;"","?"))</f>
        <v/>
      </c>
      <c r="N142" s="2">
        <f>IF(E142="","",IF(LEFT(E142,7)="SUBSOLO",-1,IF(LEFT(E142,6)="TÉRREO",0,IFERROR(VALUE(LEFT(E142,FIND("º",SUBSTITUTE(E142,"°","º"))-1)),""))))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INST. CARREGADOR DE VEÍCULOS</t>
        </is>
      </c>
      <c r="S142" s="4" t="inlineStr">
        <is>
          <t>20</t>
        </is>
      </c>
      <c r="T142" s="4" t="inlineStr">
        <is>
          <t>Inst. carregador de veículos</t>
        </is>
      </c>
      <c r="U142" s="4" t="inlineStr">
        <is>
          <t>NÃO</t>
        </is>
      </c>
      <c r="V142" s="2">
        <f>IF(R142="","",COUNTIF($C$5:$C$3004,R142))</f>
        <v/>
      </c>
      <c r="W142" s="2">
        <f>IF(R142="","",COUNTIFS($C$5:$C$3004,R142,$O$5:$O$3004,"CONCLUÍDA"))</f>
        <v/>
      </c>
      <c r="X142" s="2">
        <f>IF(R142="","",COUNTIFS($C$5:$C$3004,R142,$O$5:$O$3004,"EM ANDAMENTO"))</f>
        <v/>
      </c>
      <c r="Y142" s="2">
        <f>IF(R142="","",IF(COUNTIFS($C$5:$C$3004,R142,$O$5:$O$3004,"CONCLUÍDA",$N$5:$N$3004,"&gt;=-1")=0,"",_xlfn.MAXIFS($N$5:$N$3004,$C$5:$C$3004,R142,$O$5:$O$3004,"CONCLUÍDA")))</f>
        <v/>
      </c>
      <c r="Z142" s="2">
        <f>IF(R142="","",IF(COUNTIFS($C$5:$C$3004,R142,$O$5:$O$3004,"EM ANDAMENTO",$N$5:$N$3004,"&gt;=-1")=0,"",_xlfn.MAXIFS($N$5:$N$3004,$C$5:$C$3004,R142,$O$5:$O$3004,"EM ANDAMENTO")))</f>
        <v/>
      </c>
      <c r="AA142" s="2">
        <f>IF(OR(R142="",S142="",U142&lt;&gt;"SIM",V142=0),"",IF(W142+X142=0,"",T142&amp;": "&amp;IF(W142=V142,"concluído",IF(W142=0,"em execução"&amp;IF(Z142&lt;&gt;""," ("&amp;IF(Z142=-1,"subsolo",IF(Z142=0,"térreo",Z142&amp;"º pav."))&amp;")",""),IF(Y142&lt;&gt;"","até "&amp;IF(Y142=-1,"subsolo",IF(Y142=0,"térreo",Y142&amp;"º pav.")),W142&amp;" de "&amp;V142&amp;" concluídas")&amp;IF(Z142="","",IF(OR(Y142="",Z142&gt;Y142),", executando "&amp;IF(Z142=-1,"subsolo",IF(Z142=0,"térreo",Z142&amp;"º pav."))," (restam serviços no "&amp;IF(Z142=-1,"subsolo",IF(Z142=0,"térreo",Z142&amp;"º pav."))&amp;")"))))))</f>
        <v/>
      </c>
    </row>
    <row r="143">
      <c r="B143" s="4" t="n">
        <v>44503348</v>
      </c>
      <c r="C143" s="4" t="inlineStr">
        <is>
          <t>FUNDAÇÃO SUPERFICIAL - FASE 1</t>
        </is>
      </c>
      <c r="D143" s="4" t="inlineStr">
        <is>
          <t>-</t>
        </is>
      </c>
      <c r="E143" s="4" t="inlineStr">
        <is>
          <t>SERVIÇOS INICIAIS</t>
        </is>
      </c>
      <c r="F143" s="118" t="n">
        <v>46125</v>
      </c>
      <c r="G143" s="118" t="n">
        <v>46139</v>
      </c>
      <c r="H143" s="118" t="n">
        <v>46289</v>
      </c>
      <c r="I143" s="4" t="n">
        <v>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IF(E143="","",IF(LEFT(E143,7)="SUBSOLO",-1,IF(LEFT(E143,6)="TÉRREO",0,IFERROR(VALUE(LEFT(E143,FIND("º",SUBSTITUTE(E143,"°","º"))-1)),""))))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MONTAGEM - ELEVADOR 1</t>
        </is>
      </c>
      <c r="S143" s="4" t="inlineStr">
        <is>
          <t>24</t>
        </is>
      </c>
      <c r="T143" s="4" t="inlineStr">
        <is>
          <t>Montagem - elevador 1</t>
        </is>
      </c>
      <c r="U143" s="4" t="inlineStr">
        <is>
          <t>SIM</t>
        </is>
      </c>
      <c r="V143" s="2">
        <f>IF(R143="","",COUNTIF($C$5:$C$3004,R143))</f>
        <v/>
      </c>
      <c r="W143" s="2">
        <f>IF(R143="","",COUNTIFS($C$5:$C$3004,R143,$O$5:$O$3004,"CONCLUÍDA"))</f>
        <v/>
      </c>
      <c r="X143" s="2">
        <f>IF(R143="","",COUNTIFS($C$5:$C$3004,R143,$O$5:$O$3004,"EM ANDAMENTO"))</f>
        <v/>
      </c>
      <c r="Y143" s="2">
        <f>IF(R143="","",IF(COUNTIFS($C$5:$C$3004,R143,$O$5:$O$3004,"CONCLUÍDA",$N$5:$N$3004,"&gt;=-1")=0,"",_xlfn.MAXIFS($N$5:$N$3004,$C$5:$C$3004,R143,$O$5:$O$3004,"CONCLUÍDA")))</f>
        <v/>
      </c>
      <c r="Z143" s="2">
        <f>IF(R143="","",IF(COUNTIFS($C$5:$C$3004,R143,$O$5:$O$3004,"EM ANDAMENTO",$N$5:$N$3004,"&gt;=-1")=0,"",_xlfn.MAXIFS($N$5:$N$3004,$C$5:$C$3004,R143,$O$5:$O$3004,"EM ANDAMENTO")))</f>
        <v/>
      </c>
      <c r="AA143" s="2">
        <f>IF(OR(R143="",S143="",U143&lt;&gt;"SIM",V143=0),"",IF(W143+X143=0,"",T143&amp;": "&amp;IF(W143=V143,"concluído",IF(W143=0,"em execução"&amp;IF(Z143&lt;&gt;""," ("&amp;IF(Z143=-1,"subsolo",IF(Z143=0,"térreo",Z143&amp;"º pav."))&amp;")",""),IF(Y143&lt;&gt;"","até "&amp;IF(Y143=-1,"subsolo",IF(Y143=0,"térreo",Y143&amp;"º pav.")),W143&amp;" de "&amp;V143&amp;" concluídas")&amp;IF(Z143="","",IF(OR(Y143="",Z143&gt;Y143),", executando "&amp;IF(Z143=-1,"subsolo",IF(Z143=0,"térreo",Z143&amp;"º pav."))," (restam serviços no "&amp;IF(Z143=-1,"subsolo",IF(Z143=0,"térreo",Z143&amp;"º pav."))&amp;")"))))))</f>
        <v/>
      </c>
    </row>
    <row r="144">
      <c r="B144" s="4" t="n">
        <v>28389396</v>
      </c>
      <c r="C144" s="4" t="inlineStr">
        <is>
          <t>FUNDAÇÃO SUPERFICIAL - FASE 1</t>
        </is>
      </c>
      <c r="D144" s="4" t="inlineStr">
        <is>
          <t xml:space="preserve">Escavação - F3 - F4 / 101 -108 / 110 - 112 - 118 </t>
        </is>
      </c>
      <c r="E144" s="4" t="inlineStr">
        <is>
          <t>SERVIÇOS INICIAIS</t>
        </is>
      </c>
      <c r="F144" s="118" t="n">
        <v>46125</v>
      </c>
      <c r="G144" s="118" t="n">
        <v>46129</v>
      </c>
      <c r="H144" s="118" t="n">
        <v>46289</v>
      </c>
      <c r="I144" s="4" t="n">
        <v>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IF(E144="","",IF(LEFT(E144,7)="SUBSOLO",-1,IF(LEFT(E144,6)="TÉRREO",0,IFERROR(VALUE(LEFT(E144,FIND("º",SUBSTITUTE(E144,"°","º"))-1)),""))))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REVESTIMENTO ACABAMENTO</t>
        </is>
      </c>
      <c r="S144" s="4" t="inlineStr">
        <is>
          <t>30</t>
        </is>
      </c>
      <c r="T144" s="4" t="inlineStr">
        <is>
          <t>Revestimento acabamento</t>
        </is>
      </c>
      <c r="U144" s="4" t="inlineStr">
        <is>
          <t>NÃO</t>
        </is>
      </c>
      <c r="V144" s="2">
        <f>IF(R144="","",COUNTIF($C$5:$C$3004,R144))</f>
        <v/>
      </c>
      <c r="W144" s="2">
        <f>IF(R144="","",COUNTIFS($C$5:$C$3004,R144,$O$5:$O$3004,"CONCLUÍDA"))</f>
        <v/>
      </c>
      <c r="X144" s="2">
        <f>IF(R144="","",COUNTIFS($C$5:$C$3004,R144,$O$5:$O$3004,"EM ANDAMENTO"))</f>
        <v/>
      </c>
      <c r="Y144" s="2">
        <f>IF(R144="","",IF(COUNTIFS($C$5:$C$3004,R144,$O$5:$O$3004,"CONCLUÍDA",$N$5:$N$3004,"&gt;=-1")=0,"",_xlfn.MAXIFS($N$5:$N$3004,$C$5:$C$3004,R144,$O$5:$O$3004,"CONCLUÍDA")))</f>
        <v/>
      </c>
      <c r="Z144" s="2">
        <f>IF(R144="","",IF(COUNTIFS($C$5:$C$3004,R144,$O$5:$O$3004,"EM ANDAMENTO",$N$5:$N$3004,"&gt;=-1")=0,"",_xlfn.MAXIFS($N$5:$N$3004,$C$5:$C$3004,R144,$O$5:$O$3004,"EM ANDAMENTO")))</f>
        <v/>
      </c>
      <c r="AA144" s="2">
        <f>IF(OR(R144="",S144="",U144&lt;&gt;"SIM",V144=0),"",IF(W144+X144=0,"",T144&amp;": "&amp;IF(W144=V144,"concluído",IF(W144=0,"em execução"&amp;IF(Z144&lt;&gt;""," ("&amp;IF(Z144=-1,"subsolo",IF(Z144=0,"térreo",Z144&amp;"º pav."))&amp;")",""),IF(Y144&lt;&gt;"","até "&amp;IF(Y144=-1,"subsolo",IF(Y144=0,"térreo",Y144&amp;"º pav.")),W144&amp;" de "&amp;V144&amp;" concluídas")&amp;IF(Z144="","",IF(OR(Y144="",Z144&gt;Y144),", executando "&amp;IF(Z144=-1,"subsolo",IF(Z144=0,"térreo",Z144&amp;"º pav."))," (restam serviços no "&amp;IF(Z144=-1,"subsolo",IF(Z144=0,"térreo",Z144&amp;"º pav."))&amp;")"))))))</f>
        <v/>
      </c>
    </row>
    <row r="145">
      <c r="B145" s="4" t="n">
        <v>28389397</v>
      </c>
      <c r="C145" s="4" t="inlineStr">
        <is>
          <t>FUNDAÇÃO SUPERFICIAL - FASE 1</t>
        </is>
      </c>
      <c r="D145" s="4" t="inlineStr">
        <is>
          <t>Arrasamento - F3 - F4 / 101 -108 / 110 - 112 - 118 / 2</t>
        </is>
      </c>
      <c r="E145" s="4" t="inlineStr">
        <is>
          <t>SERVIÇOS INICIAIS</t>
        </is>
      </c>
      <c r="F145" s="118" t="n">
        <v>46125</v>
      </c>
      <c r="G145" s="118" t="n">
        <v>46129</v>
      </c>
      <c r="H145" s="118" t="n">
        <v>46289</v>
      </c>
      <c r="I145" s="4" t="n">
        <v>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IF(E145="","",IF(LEFT(E145,7)="SUBSOLO",-1,IF(LEFT(E145,6)="TÉRREO",0,IFERROR(VALUE(LEFT(E145,FIND("º",SUBSTITUTE(E145,"°","º"))-1)),""))))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PEITORIS E REQUADROS DE FACHADA - F3 + F4 (2º ETAPA)</t>
        </is>
      </c>
      <c r="S145" s="4" t="inlineStr">
        <is>
          <t>32</t>
        </is>
      </c>
      <c r="T145" s="4" t="inlineStr">
        <is>
          <t>Peitoris e requadros de fachada - F3 + F4 (2º etapa)</t>
        </is>
      </c>
      <c r="U145" s="4" t="inlineStr">
        <is>
          <t>SIM</t>
        </is>
      </c>
      <c r="V145" s="2">
        <f>IF(R145="","",COUNTIF($C$5:$C$3004,R145))</f>
        <v/>
      </c>
      <c r="W145" s="2">
        <f>IF(R145="","",COUNTIFS($C$5:$C$3004,R145,$O$5:$O$3004,"CONCLUÍDA"))</f>
        <v/>
      </c>
      <c r="X145" s="2">
        <f>IF(R145="","",COUNTIFS($C$5:$C$3004,R145,$O$5:$O$3004,"EM ANDAMENTO"))</f>
        <v/>
      </c>
      <c r="Y145" s="2">
        <f>IF(R145="","",IF(COUNTIFS($C$5:$C$3004,R145,$O$5:$O$3004,"CONCLUÍDA",$N$5:$N$3004,"&gt;=-1")=0,"",_xlfn.MAXIFS($N$5:$N$3004,$C$5:$C$3004,R145,$O$5:$O$3004,"CONCLUÍDA")))</f>
        <v/>
      </c>
      <c r="Z145" s="2">
        <f>IF(R145="","",IF(COUNTIFS($C$5:$C$3004,R145,$O$5:$O$3004,"EM ANDAMENTO",$N$5:$N$3004,"&gt;=-1")=0,"",_xlfn.MAXIFS($N$5:$N$3004,$C$5:$C$3004,R145,$O$5:$O$3004,"EM ANDAMENTO")))</f>
        <v/>
      </c>
      <c r="AA145" s="2">
        <f>IF(OR(R145="",S145="",U145&lt;&gt;"SIM",V145=0),"",IF(W145+X145=0,"",T145&amp;": "&amp;IF(W145=V145,"concluído",IF(W145=0,"em execução"&amp;IF(Z145&lt;&gt;""," ("&amp;IF(Z145=-1,"subsolo",IF(Z145=0,"térreo",Z145&amp;"º pav."))&amp;")",""),IF(Y145&lt;&gt;"","até "&amp;IF(Y145=-1,"subsolo",IF(Y145=0,"térreo",Y145&amp;"º pav.")),W145&amp;" de "&amp;V145&amp;" concluídas")&amp;IF(Z145="","",IF(OR(Y145="",Z145&gt;Y145),", executando "&amp;IF(Z145=-1,"subsolo",IF(Z145=0,"térreo",Z145&amp;"º pav."))," (restam serviços no "&amp;IF(Z145=-1,"subsolo",IF(Z145=0,"térreo",Z145&amp;"º pav."))&amp;")"))))))</f>
        <v/>
      </c>
    </row>
    <row r="146">
      <c r="B146" s="4" t="n">
        <v>28389398</v>
      </c>
      <c r="C146" s="4" t="inlineStr">
        <is>
          <t>FUNDAÇÃO SUPERFICIAL - FASE 1</t>
        </is>
      </c>
      <c r="D146" s="4" t="inlineStr">
        <is>
          <t>Armação - F3 - F4 / 101 -108 / 110 - 112 - 118 / 2</t>
        </is>
      </c>
      <c r="E146" s="4" t="inlineStr">
        <is>
          <t>SERVIÇOS INICIAIS</t>
        </is>
      </c>
      <c r="F146" s="118" t="n">
        <v>46132</v>
      </c>
      <c r="G146" s="118" t="n">
        <v>46134</v>
      </c>
      <c r="H146" s="118" t="n">
        <v>46289</v>
      </c>
      <c r="I146" s="4" t="n">
        <v>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IF(E146="","",IF(LEFT(E146,7)="SUBSOLO",-1,IF(LEFT(E146,6)="TÉRREO",0,IFERROR(VALUE(LEFT(E146,FIND("º",SUBSTITUTE(E146,"°","º"))-1)),""))))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AQUECEDOR (SAUNA)</t>
        </is>
      </c>
      <c r="S146" s="4" t="inlineStr">
        <is>
          <t>23</t>
        </is>
      </c>
      <c r="T146" s="4" t="inlineStr">
        <is>
          <t>Aquecedor (sauna)</t>
        </is>
      </c>
      <c r="U146" s="4" t="inlineStr">
        <is>
          <t>NÃO</t>
        </is>
      </c>
      <c r="V146" s="2">
        <f>IF(R146="","",COUNTIF($C$5:$C$3004,R146))</f>
        <v/>
      </c>
      <c r="W146" s="2">
        <f>IF(R146="","",COUNTIFS($C$5:$C$3004,R146,$O$5:$O$3004,"CONCLUÍDA"))</f>
        <v/>
      </c>
      <c r="X146" s="2">
        <f>IF(R146="","",COUNTIFS($C$5:$C$3004,R146,$O$5:$O$3004,"EM ANDAMENTO"))</f>
        <v/>
      </c>
      <c r="Y146" s="2">
        <f>IF(R146="","",IF(COUNTIFS($C$5:$C$3004,R146,$O$5:$O$3004,"CONCLUÍDA",$N$5:$N$3004,"&gt;=-1")=0,"",_xlfn.MAXIFS($N$5:$N$3004,$C$5:$C$3004,R146,$O$5:$O$3004,"CONCLUÍDA")))</f>
        <v/>
      </c>
      <c r="Z146" s="2">
        <f>IF(R146="","",IF(COUNTIFS($C$5:$C$3004,R146,$O$5:$O$3004,"EM ANDAMENTO",$N$5:$N$3004,"&gt;=-1")=0,"",_xlfn.MAXIFS($N$5:$N$3004,$C$5:$C$3004,R146,$O$5:$O$3004,"EM ANDAMENTO")))</f>
        <v/>
      </c>
      <c r="AA146" s="2">
        <f>IF(OR(R146="",S146="",U146&lt;&gt;"SIM",V146=0),"",IF(W146+X146=0,"",T146&amp;": "&amp;IF(W146=V146,"concluído",IF(W146=0,"em execução"&amp;IF(Z146&lt;&gt;""," ("&amp;IF(Z146=-1,"subsolo",IF(Z146=0,"térreo",Z146&amp;"º pav."))&amp;")",""),IF(Y146&lt;&gt;"","até "&amp;IF(Y146=-1,"subsolo",IF(Y146=0,"térreo",Y146&amp;"º pav.")),W146&amp;" de "&amp;V146&amp;" concluídas")&amp;IF(Z146="","",IF(OR(Y146="",Z146&gt;Y146),", executando "&amp;IF(Z146=-1,"subsolo",IF(Z146=0,"térreo",Z146&amp;"º pav."))," (restam serviços no "&amp;IF(Z146=-1,"subsolo",IF(Z146=0,"térreo",Z146&amp;"º pav."))&amp;")"))))))</f>
        <v/>
      </c>
    </row>
    <row r="147">
      <c r="B147" s="4" t="n">
        <v>28389399</v>
      </c>
      <c r="C147" s="4" t="inlineStr">
        <is>
          <t>FUNDAÇÃO SUPERFICIAL - FASE 1</t>
        </is>
      </c>
      <c r="D147" s="4" t="inlineStr">
        <is>
          <t>Forma - F3 - F4 / 101 -108 / 110 - 112 - 118 / 2</t>
        </is>
      </c>
      <c r="E147" s="4" t="inlineStr">
        <is>
          <t>SERVIÇOS INICIAIS</t>
        </is>
      </c>
      <c r="F147" s="118" t="n">
        <v>46135</v>
      </c>
      <c r="G147" s="118" t="n">
        <v>46135</v>
      </c>
      <c r="H147" s="118" t="n">
        <v>46289</v>
      </c>
      <c r="I147" s="4" t="n">
        <v>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IF(E147="","",IF(LEFT(E147,7)="SUBSOLO",-1,IF(LEFT(E147,6)="TÉRREO",0,IFERROR(VALUE(LEFT(E147,FIND("º",SUBSTITUTE(E147,"°","º"))-1)),""))))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IRRIGAÇÃO</t>
        </is>
      </c>
      <c r="S147" s="4" t="inlineStr">
        <is>
          <t>36</t>
        </is>
      </c>
      <c r="T147" s="4" t="inlineStr">
        <is>
          <t>Irrigação</t>
        </is>
      </c>
      <c r="U147" s="4" t="inlineStr">
        <is>
          <t>SIM</t>
        </is>
      </c>
      <c r="V147" s="2">
        <f>IF(R147="","",COUNTIF($C$5:$C$3004,R147))</f>
        <v/>
      </c>
      <c r="W147" s="2">
        <f>IF(R147="","",COUNTIFS($C$5:$C$3004,R147,$O$5:$O$3004,"CONCLUÍDA"))</f>
        <v/>
      </c>
      <c r="X147" s="2">
        <f>IF(R147="","",COUNTIFS($C$5:$C$3004,R147,$O$5:$O$3004,"EM ANDAMENTO"))</f>
        <v/>
      </c>
      <c r="Y147" s="2">
        <f>IF(R147="","",IF(COUNTIFS($C$5:$C$3004,R147,$O$5:$O$3004,"CONCLUÍDA",$N$5:$N$3004,"&gt;=-1")=0,"",_xlfn.MAXIFS($N$5:$N$3004,$C$5:$C$3004,R147,$O$5:$O$3004,"CONCLUÍDA")))</f>
        <v/>
      </c>
      <c r="Z147" s="2">
        <f>IF(R147="","",IF(COUNTIFS($C$5:$C$3004,R147,$O$5:$O$3004,"EM ANDAMENTO",$N$5:$N$3004,"&gt;=-1")=0,"",_xlfn.MAXIFS($N$5:$N$3004,$C$5:$C$3004,R147,$O$5:$O$3004,"EM ANDAMENTO")))</f>
        <v/>
      </c>
      <c r="AA147" s="2">
        <f>IF(OR(R147="",S147="",U147&lt;&gt;"SIM",V147=0),"",IF(W147+X147=0,"",T147&amp;": "&amp;IF(W147=V147,"concluído",IF(W147=0,"em execução"&amp;IF(Z147&lt;&gt;""," ("&amp;IF(Z147=-1,"subsolo",IF(Z147=0,"térreo",Z147&amp;"º pav."))&amp;")",""),IF(Y147&lt;&gt;"","até "&amp;IF(Y147=-1,"subsolo",IF(Y147=0,"térreo",Y147&amp;"º pav.")),W147&amp;" de "&amp;V147&amp;" concluídas")&amp;IF(Z147="","",IF(OR(Y147="",Z147&gt;Y147),", executando "&amp;IF(Z147=-1,"subsolo",IF(Z147=0,"térreo",Z147&amp;"º pav."))," (restam serviços no "&amp;IF(Z147=-1,"subsolo",IF(Z147=0,"térreo",Z147&amp;"º pav."))&amp;")"))))))</f>
        <v/>
      </c>
    </row>
    <row r="148">
      <c r="B148" s="4" t="n">
        <v>28389400</v>
      </c>
      <c r="C148" s="4" t="inlineStr">
        <is>
          <t>FUNDAÇÃO SUPERFICIAL - FASE 1</t>
        </is>
      </c>
      <c r="D148" s="4" t="inlineStr">
        <is>
          <t>Concreto - F3 - F4 / 101 -108 / 110 - 112 - 118 / 2</t>
        </is>
      </c>
      <c r="E148" s="4" t="inlineStr">
        <is>
          <t>SERVIÇOS INICIAIS</t>
        </is>
      </c>
      <c r="F148" s="118" t="n">
        <v>46136</v>
      </c>
      <c r="G148" s="118" t="n">
        <v>46139</v>
      </c>
      <c r="H148" s="118" t="n">
        <v>46289</v>
      </c>
      <c r="I148" s="4" t="n">
        <v>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IF(E148="","",IF(LEFT(E148,7)="SUBSOLO",-1,IF(LEFT(E148,6)="TÉRREO",0,IFERROR(VALUE(LEFT(E148,FIND("º",SUBSTITUTE(E148,"°","º"))-1)),""))))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FACHADA AERADA - F5 (2º ETAPA)</t>
        </is>
      </c>
      <c r="S148" s="4" t="inlineStr">
        <is>
          <t>32</t>
        </is>
      </c>
      <c r="T148" s="4" t="inlineStr">
        <is>
          <t>Fachada aerada - F5 (2º etapa)</t>
        </is>
      </c>
      <c r="U148" s="4" t="inlineStr">
        <is>
          <t>SIM</t>
        </is>
      </c>
      <c r="V148" s="2">
        <f>IF(R148="","",COUNTIF($C$5:$C$3004,R148))</f>
        <v/>
      </c>
      <c r="W148" s="2">
        <f>IF(R148="","",COUNTIFS($C$5:$C$3004,R148,$O$5:$O$3004,"CONCLUÍDA"))</f>
        <v/>
      </c>
      <c r="X148" s="2">
        <f>IF(R148="","",COUNTIFS($C$5:$C$3004,R148,$O$5:$O$3004,"EM ANDAMENTO"))</f>
        <v/>
      </c>
      <c r="Y148" s="2">
        <f>IF(R148="","",IF(COUNTIFS($C$5:$C$3004,R148,$O$5:$O$3004,"CONCLUÍDA",$N$5:$N$3004,"&gt;=-1")=0,"",_xlfn.MAXIFS($N$5:$N$3004,$C$5:$C$3004,R148,$O$5:$O$3004,"CONCLUÍDA")))</f>
        <v/>
      </c>
      <c r="Z148" s="2">
        <f>IF(R148="","",IF(COUNTIFS($C$5:$C$3004,R148,$O$5:$O$3004,"EM ANDAMENTO",$N$5:$N$3004,"&gt;=-1")=0,"",_xlfn.MAXIFS($N$5:$N$3004,$C$5:$C$3004,R148,$O$5:$O$3004,"EM ANDAMENTO")))</f>
        <v/>
      </c>
      <c r="AA148" s="2">
        <f>IF(OR(R148="",S148="",U148&lt;&gt;"SIM",V148=0),"",IF(W148+X148=0,"",T148&amp;": "&amp;IF(W148=V148,"concluído",IF(W148=0,"em execução"&amp;IF(Z148&lt;&gt;""," ("&amp;IF(Z148=-1,"subsolo",IF(Z148=0,"térreo",Z148&amp;"º pav."))&amp;")",""),IF(Y148&lt;&gt;"","até "&amp;IF(Y148=-1,"subsolo",IF(Y148=0,"térreo",Y148&amp;"º pav.")),W148&amp;" de "&amp;V148&amp;" concluídas")&amp;IF(Z148="","",IF(OR(Y148="",Z148&gt;Y148),", executando "&amp;IF(Z148=-1,"subsolo",IF(Z148=0,"térreo",Z148&amp;"º pav."))," (restam serviços no "&amp;IF(Z148=-1,"subsolo",IF(Z148=0,"térreo",Z148&amp;"º pav."))&amp;")"))))))</f>
        <v/>
      </c>
    </row>
    <row r="149">
      <c r="B149" s="4" t="n">
        <v>44503801</v>
      </c>
      <c r="C149" s="4" t="inlineStr">
        <is>
          <t>FUNDAÇÃO SUPERFICIAL - FASE 2</t>
        </is>
      </c>
      <c r="D149" s="4" t="inlineStr">
        <is>
          <t>-</t>
        </is>
      </c>
      <c r="E149" s="4" t="inlineStr">
        <is>
          <t>SERVIÇOS INICIAIS</t>
        </is>
      </c>
      <c r="F149" s="118" t="n">
        <v>46134</v>
      </c>
      <c r="G149" s="118" t="n">
        <v>46157</v>
      </c>
      <c r="H149" s="118" t="n">
        <v>46289</v>
      </c>
      <c r="I149" s="4" t="n">
        <v>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IF(E149="","",IF(LEFT(E149,7)="SUBSOLO",-1,IF(LEFT(E149,6)="TÉRREO",0,IFERROR(VALUE(LEFT(E149,FIND("º",SUBSTITUTE(E149,"°","º"))-1)),""))))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TEXTURA - 2º E 3º DEMÃO</t>
        </is>
      </c>
      <c r="S149" s="4" t="inlineStr">
        <is>
          <t>35</t>
        </is>
      </c>
      <c r="T149" s="4" t="inlineStr">
        <is>
          <t>Textura - 2ª e 3ª demão</t>
        </is>
      </c>
      <c r="U149" s="4" t="inlineStr">
        <is>
          <t>NÃO</t>
        </is>
      </c>
      <c r="V149" s="2">
        <f>IF(R149="","",COUNTIF($C$5:$C$3004,R149))</f>
        <v/>
      </c>
      <c r="W149" s="2">
        <f>IF(R149="","",COUNTIFS($C$5:$C$3004,R149,$O$5:$O$3004,"CONCLUÍDA"))</f>
        <v/>
      </c>
      <c r="X149" s="2">
        <f>IF(R149="","",COUNTIFS($C$5:$C$3004,R149,$O$5:$O$3004,"EM ANDAMENTO"))</f>
        <v/>
      </c>
      <c r="Y149" s="2">
        <f>IF(R149="","",IF(COUNTIFS($C$5:$C$3004,R149,$O$5:$O$3004,"CONCLUÍDA",$N$5:$N$3004,"&gt;=-1")=0,"",_xlfn.MAXIFS($N$5:$N$3004,$C$5:$C$3004,R149,$O$5:$O$3004,"CONCLUÍDA")))</f>
        <v/>
      </c>
      <c r="Z149" s="2">
        <f>IF(R149="","",IF(COUNTIFS($C$5:$C$3004,R149,$O$5:$O$3004,"EM ANDAMENTO",$N$5:$N$3004,"&gt;=-1")=0,"",_xlfn.MAXIFS($N$5:$N$3004,$C$5:$C$3004,R149,$O$5:$O$3004,"EM ANDAMENTO")))</f>
        <v/>
      </c>
      <c r="AA149" s="2">
        <f>IF(OR(R149="",S149="",U149&lt;&gt;"SIM",V149=0),"",IF(W149+X149=0,"",T149&amp;": "&amp;IF(W149=V149,"concluído",IF(W149=0,"em execução"&amp;IF(Z149&lt;&gt;""," ("&amp;IF(Z149=-1,"subsolo",IF(Z149=0,"térreo",Z149&amp;"º pav."))&amp;")",""),IF(Y149&lt;&gt;"","até "&amp;IF(Y149=-1,"subsolo",IF(Y149=0,"térreo",Y149&amp;"º pav.")),W149&amp;" de "&amp;V149&amp;" concluídas")&amp;IF(Z149="","",IF(OR(Y149="",Z149&gt;Y149),", executando "&amp;IF(Z149=-1,"subsolo",IF(Z149=0,"térreo",Z149&amp;"º pav."))," (restam serviços no "&amp;IF(Z149=-1,"subsolo",IF(Z149=0,"térreo",Z149&amp;"º pav."))&amp;")"))))))</f>
        <v/>
      </c>
    </row>
    <row r="150">
      <c r="B150" s="4" t="n">
        <v>28389424</v>
      </c>
      <c r="C150" s="4" t="inlineStr">
        <is>
          <t>FUNDAÇÃO SUPERFICIAL - FASE 2</t>
        </is>
      </c>
      <c r="D150" s="4" t="inlineStr">
        <is>
          <t>Escavação - BL 1 / 3 / 5</t>
        </is>
      </c>
      <c r="E150" s="4" t="inlineStr">
        <is>
          <t>SERVIÇOS INICIAIS</t>
        </is>
      </c>
      <c r="F150" s="118" t="n">
        <v>46134</v>
      </c>
      <c r="G150" s="118" t="n">
        <v>46142</v>
      </c>
      <c r="H150" s="118" t="n">
        <v>46289</v>
      </c>
      <c r="I150" s="4" t="n">
        <v>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IF(E150="","",IF(LEFT(E150,7)="SUBSOLO",-1,IF(LEFT(E150,6)="TÉRREO",0,IFERROR(VALUE(LEFT(E150,FIND("º",SUBSTITUTE(E150,"°","º"))-1)),""))))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PAISAGISMO</t>
        </is>
      </c>
      <c r="S150" s="4" t="inlineStr">
        <is>
          <t>36</t>
        </is>
      </c>
      <c r="T150" s="4" t="inlineStr">
        <is>
          <t>Paisagismo</t>
        </is>
      </c>
      <c r="U150" s="4" t="inlineStr">
        <is>
          <t>SIM</t>
        </is>
      </c>
      <c r="V150" s="2">
        <f>IF(R150="","",COUNTIF($C$5:$C$3004,R150))</f>
        <v/>
      </c>
      <c r="W150" s="2">
        <f>IF(R150="","",COUNTIFS($C$5:$C$3004,R150,$O$5:$O$3004,"CONCLUÍDA"))</f>
        <v/>
      </c>
      <c r="X150" s="2">
        <f>IF(R150="","",COUNTIFS($C$5:$C$3004,R150,$O$5:$O$3004,"EM ANDAMENTO"))</f>
        <v/>
      </c>
      <c r="Y150" s="2">
        <f>IF(R150="","",IF(COUNTIFS($C$5:$C$3004,R150,$O$5:$O$3004,"CONCLUÍDA",$N$5:$N$3004,"&gt;=-1")=0,"",_xlfn.MAXIFS($N$5:$N$3004,$C$5:$C$3004,R150,$O$5:$O$3004,"CONCLUÍDA")))</f>
        <v/>
      </c>
      <c r="Z150" s="2">
        <f>IF(R150="","",IF(COUNTIFS($C$5:$C$3004,R150,$O$5:$O$3004,"EM ANDAMENTO",$N$5:$N$3004,"&gt;=-1")=0,"",_xlfn.MAXIFS($N$5:$N$3004,$C$5:$C$3004,R150,$O$5:$O$3004,"EM ANDAMENTO")))</f>
        <v/>
      </c>
      <c r="AA150" s="2">
        <f>IF(OR(R150="",S150="",U150&lt;&gt;"SIM",V150=0),"",IF(W150+X150=0,"",T150&amp;": "&amp;IF(W150=V150,"concluído",IF(W150=0,"em execução"&amp;IF(Z150&lt;&gt;""," ("&amp;IF(Z150=-1,"subsolo",IF(Z150=0,"térreo",Z150&amp;"º pav."))&amp;")",""),IF(Y150&lt;&gt;"","até "&amp;IF(Y150=-1,"subsolo",IF(Y150=0,"térreo",Y150&amp;"º pav.")),W150&amp;" de "&amp;V150&amp;" concluídas")&amp;IF(Z150="","",IF(OR(Y150="",Z150&gt;Y150),", executando "&amp;IF(Z150=-1,"subsolo",IF(Z150=0,"térreo",Z150&amp;"º pav."))," (restam serviços no "&amp;IF(Z150=-1,"subsolo",IF(Z150=0,"térreo",Z150&amp;"º pav."))&amp;")"))))))</f>
        <v/>
      </c>
    </row>
    <row r="151">
      <c r="B151" s="4" t="n">
        <v>28389425</v>
      </c>
      <c r="C151" s="4" t="inlineStr">
        <is>
          <t>FUNDAÇÃO SUPERFICIAL - FASE 2</t>
        </is>
      </c>
      <c r="D151" s="4" t="inlineStr">
        <is>
          <t>Arrasamento - BL 1 / 3 / 5</t>
        </is>
      </c>
      <c r="E151" s="4" t="inlineStr">
        <is>
          <t>SERVIÇOS INICIAIS</t>
        </is>
      </c>
      <c r="F151" s="118" t="n">
        <v>46134</v>
      </c>
      <c r="G151" s="118" t="n">
        <v>46142</v>
      </c>
      <c r="H151" s="118" t="n">
        <v>46289</v>
      </c>
      <c r="I151" s="4" t="n">
        <v>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IF(E151="","",IF(LEFT(E151,7)="SUBSOLO",-1,IF(LEFT(E151,6)="TÉRREO",0,IFERROR(VALUE(LEFT(E151,FIND("º",SUBSTITUTE(E151,"°","º"))-1)),""))))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FACHADA</t>
        </is>
      </c>
      <c r="S151" s="4" t="inlineStr">
        <is>
          <t>32</t>
        </is>
      </c>
      <c r="T151" s="4" t="inlineStr">
        <is>
          <t>Fachada</t>
        </is>
      </c>
      <c r="U151" s="4" t="inlineStr">
        <is>
          <t>SIM</t>
        </is>
      </c>
      <c r="V151" s="2">
        <f>IF(R151="","",COUNTIF($C$5:$C$3004,R151))</f>
        <v/>
      </c>
      <c r="W151" s="2">
        <f>IF(R151="","",COUNTIFS($C$5:$C$3004,R151,$O$5:$O$3004,"CONCLUÍDA"))</f>
        <v/>
      </c>
      <c r="X151" s="2">
        <f>IF(R151="","",COUNTIFS($C$5:$C$3004,R151,$O$5:$O$3004,"EM ANDAMENTO"))</f>
        <v/>
      </c>
      <c r="Y151" s="2">
        <f>IF(R151="","",IF(COUNTIFS($C$5:$C$3004,R151,$O$5:$O$3004,"CONCLUÍDA",$N$5:$N$3004,"&gt;=-1")=0,"",_xlfn.MAXIFS($N$5:$N$3004,$C$5:$C$3004,R151,$O$5:$O$3004,"CONCLUÍDA")))</f>
        <v/>
      </c>
      <c r="Z151" s="2">
        <f>IF(R151="","",IF(COUNTIFS($C$5:$C$3004,R151,$O$5:$O$3004,"EM ANDAMENTO",$N$5:$N$3004,"&gt;=-1")=0,"",_xlfn.MAXIFS($N$5:$N$3004,$C$5:$C$3004,R151,$O$5:$O$3004,"EM ANDAMENTO")))</f>
        <v/>
      </c>
      <c r="AA151" s="2">
        <f>IF(OR(R151="",S151="",U151&lt;&gt;"SIM",V151=0),"",IF(W151+X151=0,"",T151&amp;": "&amp;IF(W151=V151,"concluído",IF(W151=0,"em execução"&amp;IF(Z151&lt;&gt;""," ("&amp;IF(Z151=-1,"subsolo",IF(Z151=0,"térreo",Z151&amp;"º pav."))&amp;")",""),IF(Y151&lt;&gt;"","até "&amp;IF(Y151=-1,"subsolo",IF(Y151=0,"térreo",Y151&amp;"º pav.")),W151&amp;" de "&amp;V151&amp;" concluídas")&amp;IF(Z151="","",IF(OR(Y151="",Z151&gt;Y151),", executando "&amp;IF(Z151=-1,"subsolo",IF(Z151=0,"térreo",Z151&amp;"º pav."))," (restam serviços no "&amp;IF(Z151=-1,"subsolo",IF(Z151=0,"térreo",Z151&amp;"º pav."))&amp;")"))))))</f>
        <v/>
      </c>
    </row>
    <row r="152">
      <c r="B152" s="4" t="n">
        <v>28389426</v>
      </c>
      <c r="C152" s="4" t="inlineStr">
        <is>
          <t>FUNDAÇÃO SUPERFICIAL - FASE 2</t>
        </is>
      </c>
      <c r="D152" s="4" t="inlineStr">
        <is>
          <t>Armação - BL 1 / 3</t>
        </is>
      </c>
      <c r="E152" s="4" t="inlineStr">
        <is>
          <t>SERVIÇOS INICIAIS</t>
        </is>
      </c>
      <c r="F152" s="118" t="n">
        <v>46134</v>
      </c>
      <c r="G152" s="118" t="n">
        <v>46141</v>
      </c>
      <c r="H152" s="118" t="n">
        <v>46289</v>
      </c>
      <c r="I152" s="4" t="n">
        <v>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IF(E152="","",IF(LEFT(E152,7)="SUBSOLO",-1,IF(LEFT(E152,6)="TÉRREO",0,IFERROR(VALUE(LEFT(E152,FIND("º",SUBSTITUTE(E152,"°","º"))-1)),""))))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PRESSURIZAÇÃO (HIDRÁULICA)</t>
        </is>
      </c>
      <c r="S152" s="4" t="inlineStr">
        <is>
          <t>21</t>
        </is>
      </c>
      <c r="T152" s="4" t="inlineStr">
        <is>
          <t>Pressurização (hidráulica)</t>
        </is>
      </c>
      <c r="U152" s="4" t="inlineStr">
        <is>
          <t>NÃO</t>
        </is>
      </c>
      <c r="V152" s="2">
        <f>IF(R152="","",COUNTIF($C$5:$C$3004,R152))</f>
        <v/>
      </c>
      <c r="W152" s="2">
        <f>IF(R152="","",COUNTIFS($C$5:$C$3004,R152,$O$5:$O$3004,"CONCLUÍDA"))</f>
        <v/>
      </c>
      <c r="X152" s="2">
        <f>IF(R152="","",COUNTIFS($C$5:$C$3004,R152,$O$5:$O$3004,"EM ANDAMENTO"))</f>
        <v/>
      </c>
      <c r="Y152" s="2">
        <f>IF(R152="","",IF(COUNTIFS($C$5:$C$3004,R152,$O$5:$O$3004,"CONCLUÍDA",$N$5:$N$3004,"&gt;=-1")=0,"",_xlfn.MAXIFS($N$5:$N$3004,$C$5:$C$3004,R152,$O$5:$O$3004,"CONCLUÍDA")))</f>
        <v/>
      </c>
      <c r="Z152" s="2">
        <f>IF(R152="","",IF(COUNTIFS($C$5:$C$3004,R152,$O$5:$O$3004,"EM ANDAMENTO",$N$5:$N$3004,"&gt;=-1")=0,"",_xlfn.MAXIFS($N$5:$N$3004,$C$5:$C$3004,R152,$O$5:$O$3004,"EM ANDAMENTO")))</f>
        <v/>
      </c>
      <c r="AA152" s="2">
        <f>IF(OR(R152="",S152="",U152&lt;&gt;"SIM",V152=0),"",IF(W152+X152=0,"",T152&amp;": "&amp;IF(W152=V152,"concluído",IF(W152=0,"em execução"&amp;IF(Z152&lt;&gt;""," ("&amp;IF(Z152=-1,"subsolo",IF(Z152=0,"térreo",Z152&amp;"º pav."))&amp;")",""),IF(Y152&lt;&gt;"","até "&amp;IF(Y152=-1,"subsolo",IF(Y152=0,"térreo",Y152&amp;"º pav.")),W152&amp;" de "&amp;V152&amp;" concluídas")&amp;IF(Z152="","",IF(OR(Y152="",Z152&gt;Y152),", executando "&amp;IF(Z152=-1,"subsolo",IF(Z152=0,"térreo",Z152&amp;"º pav."))," (restam serviços no "&amp;IF(Z152=-1,"subsolo",IF(Z152=0,"térreo",Z152&amp;"º pav."))&amp;")"))))))</f>
        <v/>
      </c>
    </row>
    <row r="153">
      <c r="B153" s="4" t="n">
        <v>28389427</v>
      </c>
      <c r="C153" s="4" t="inlineStr">
        <is>
          <t>FUNDAÇÃO SUPERFICIAL - FASE 2</t>
        </is>
      </c>
      <c r="D153" s="4" t="inlineStr">
        <is>
          <t>Forma / Concreto - BL 1</t>
        </is>
      </c>
      <c r="E153" s="4" t="inlineStr">
        <is>
          <t>SERVIÇOS INICIAIS</t>
        </is>
      </c>
      <c r="F153" s="118" t="n">
        <v>46142</v>
      </c>
      <c r="G153" s="118" t="n">
        <v>46142</v>
      </c>
      <c r="H153" s="118" t="n">
        <v>46289</v>
      </c>
      <c r="I153" s="4" t="n">
        <v>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IF(E153="","",IF(LEFT(E153,7)="SUBSOLO",-1,IF(LEFT(E153,6)="TÉRREO",0,IFERROR(VALUE(LEFT(E153,FIND("º",SUBSTITUTE(E153,"°","º"))-1)),""))))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INSTALAÇÃO DE SHADOWBOX E BRISES - F3 + F4</t>
        </is>
      </c>
      <c r="S153" s="4" t="inlineStr">
        <is>
          <t>25</t>
        </is>
      </c>
      <c r="T153" s="4" t="inlineStr">
        <is>
          <t>Shadowbox e brises - F3 + F4</t>
        </is>
      </c>
      <c r="U153" s="4" t="inlineStr">
        <is>
          <t>NÃO</t>
        </is>
      </c>
      <c r="V153" s="2">
        <f>IF(R153="","",COUNTIF($C$5:$C$3004,R153))</f>
        <v/>
      </c>
      <c r="W153" s="2">
        <f>IF(R153="","",COUNTIFS($C$5:$C$3004,R153,$O$5:$O$3004,"CONCLUÍDA"))</f>
        <v/>
      </c>
      <c r="X153" s="2">
        <f>IF(R153="","",COUNTIFS($C$5:$C$3004,R153,$O$5:$O$3004,"EM ANDAMENTO"))</f>
        <v/>
      </c>
      <c r="Y153" s="2">
        <f>IF(R153="","",IF(COUNTIFS($C$5:$C$3004,R153,$O$5:$O$3004,"CONCLUÍDA",$N$5:$N$3004,"&gt;=-1")=0,"",_xlfn.MAXIFS($N$5:$N$3004,$C$5:$C$3004,R153,$O$5:$O$3004,"CONCLUÍDA")))</f>
        <v/>
      </c>
      <c r="Z153" s="2">
        <f>IF(R153="","",IF(COUNTIFS($C$5:$C$3004,R153,$O$5:$O$3004,"EM ANDAMENTO",$N$5:$N$3004,"&gt;=-1")=0,"",_xlfn.MAXIFS($N$5:$N$3004,$C$5:$C$3004,R153,$O$5:$O$3004,"EM ANDAMENTO")))</f>
        <v/>
      </c>
      <c r="AA153" s="2">
        <f>IF(OR(R153="",S153="",U153&lt;&gt;"SIM",V153=0),"",IF(W153+X153=0,"",T153&amp;": "&amp;IF(W153=V153,"concluído",IF(W153=0,"em execução"&amp;IF(Z153&lt;&gt;""," ("&amp;IF(Z153=-1,"subsolo",IF(Z153=0,"térreo",Z153&amp;"º pav."))&amp;")",""),IF(Y153&lt;&gt;"","até "&amp;IF(Y153=-1,"subsolo",IF(Y153=0,"térreo",Y153&amp;"º pav.")),W153&amp;" de "&amp;V153&amp;" concluídas")&amp;IF(Z153="","",IF(OR(Y153="",Z153&gt;Y153),", executando "&amp;IF(Z153=-1,"subsolo",IF(Z153=0,"térreo",Z153&amp;"º pav."))," (restam serviços no "&amp;IF(Z153=-1,"subsolo",IF(Z153=0,"térreo",Z153&amp;"º pav."))&amp;")"))))))</f>
        <v/>
      </c>
    </row>
    <row r="154">
      <c r="B154" s="4" t="n">
        <v>28389428</v>
      </c>
      <c r="C154" s="4" t="inlineStr">
        <is>
          <t>FUNDAÇÃO SUPERFICIAL - FASE 2</t>
        </is>
      </c>
      <c r="D154" s="4" t="inlineStr">
        <is>
          <t xml:space="preserve">Escavação/Arrasamento - BL 7 </t>
        </is>
      </c>
      <c r="E154" s="4" t="inlineStr">
        <is>
          <t>SERVIÇOS INICIAIS</t>
        </is>
      </c>
      <c r="F154" s="118" t="n">
        <v>46146</v>
      </c>
      <c r="G154" s="118" t="n">
        <v>46150</v>
      </c>
      <c r="H154" s="118" t="n">
        <v>46289</v>
      </c>
      <c r="I154" s="4" t="n">
        <v>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IF(E154="","",IF(LEFT(E154,7)="SUBSOLO",-1,IF(LEFT(E154,6)="TÉRREO",0,IFERROR(VALUE(LEFT(E154,FIND("º",SUBSTITUTE(E154,"°","º"))-1)),""))))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TRATAMENTO DE CONCRETO APARENTE - F1 + F2</t>
        </is>
      </c>
      <c r="S154" s="4" t="inlineStr">
        <is>
          <t>35</t>
        </is>
      </c>
      <c r="T154" s="4" t="inlineStr">
        <is>
          <t>Tratamento de concreto aparente - F1 + F2</t>
        </is>
      </c>
      <c r="U154" s="4" t="inlineStr">
        <is>
          <t>NÃO</t>
        </is>
      </c>
      <c r="V154" s="2">
        <f>IF(R154="","",COUNTIF($C$5:$C$3004,R154))</f>
        <v/>
      </c>
      <c r="W154" s="2">
        <f>IF(R154="","",COUNTIFS($C$5:$C$3004,R154,$O$5:$O$3004,"CONCLUÍDA"))</f>
        <v/>
      </c>
      <c r="X154" s="2">
        <f>IF(R154="","",COUNTIFS($C$5:$C$3004,R154,$O$5:$O$3004,"EM ANDAMENTO"))</f>
        <v/>
      </c>
      <c r="Y154" s="2">
        <f>IF(R154="","",IF(COUNTIFS($C$5:$C$3004,R154,$O$5:$O$3004,"CONCLUÍDA",$N$5:$N$3004,"&gt;=-1")=0,"",_xlfn.MAXIFS($N$5:$N$3004,$C$5:$C$3004,R154,$O$5:$O$3004,"CONCLUÍDA")))</f>
        <v/>
      </c>
      <c r="Z154" s="2">
        <f>IF(R154="","",IF(COUNTIFS($C$5:$C$3004,R154,$O$5:$O$3004,"EM ANDAMENTO",$N$5:$N$3004,"&gt;=-1")=0,"",_xlfn.MAXIFS($N$5:$N$3004,$C$5:$C$3004,R154,$O$5:$O$3004,"EM ANDAMENTO")))</f>
        <v/>
      </c>
      <c r="AA154" s="2">
        <f>IF(OR(R154="",S154="",U154&lt;&gt;"SIM",V154=0),"",IF(W154+X154=0,"",T154&amp;": "&amp;IF(W154=V154,"concluído",IF(W154=0,"em execução"&amp;IF(Z154&lt;&gt;""," ("&amp;IF(Z154=-1,"subsolo",IF(Z154=0,"térreo",Z154&amp;"º pav."))&amp;")",""),IF(Y154&lt;&gt;"","até "&amp;IF(Y154=-1,"subsolo",IF(Y154=0,"térreo",Y154&amp;"º pav.")),W154&amp;" de "&amp;V154&amp;" concluídas")&amp;IF(Z154="","",IF(OR(Y154="",Z154&gt;Y154),", executando "&amp;IF(Z154=-1,"subsolo",IF(Z154=0,"térreo",Z154&amp;"º pav."))," (restam serviços no "&amp;IF(Z154=-1,"subsolo",IF(Z154=0,"térreo",Z154&amp;"º pav."))&amp;")"))))))</f>
        <v/>
      </c>
    </row>
    <row r="155">
      <c r="B155" s="4" t="n">
        <v>28645952</v>
      </c>
      <c r="C155" s="4" t="inlineStr">
        <is>
          <t>FUNDAÇÃO SUPERFICIAL - FASE 2</t>
        </is>
      </c>
      <c r="D155" s="4" t="inlineStr">
        <is>
          <t>Armação - BL 5 / 7</t>
        </is>
      </c>
      <c r="E155" s="4" t="inlineStr">
        <is>
          <t>SERVIÇOS INICIAIS</t>
        </is>
      </c>
      <c r="F155" s="118" t="n">
        <v>46142</v>
      </c>
      <c r="G155" s="118" t="n">
        <v>46150</v>
      </c>
      <c r="H155" s="118" t="n">
        <v>46289</v>
      </c>
      <c r="I155" s="4" t="n">
        <v>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IF(E155="","",IF(LEFT(E155,7)="SUBSOLO",-1,IF(LEFT(E155,6)="TÉRREO",0,IFERROR(VALUE(LEFT(E155,FIND("º",SUBSTITUTE(E155,"°","º"))-1)),""))))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LIMPEZA</t>
        </is>
      </c>
      <c r="S155" s="4" t="inlineStr">
        <is>
          <t>37</t>
        </is>
      </c>
      <c r="T155" s="4" t="inlineStr">
        <is>
          <t>Limpeza</t>
        </is>
      </c>
      <c r="U155" s="4" t="inlineStr">
        <is>
          <t>SIM</t>
        </is>
      </c>
      <c r="V155" s="2">
        <f>IF(R155="","",COUNTIF($C$5:$C$3004,R155))</f>
        <v/>
      </c>
      <c r="W155" s="2">
        <f>IF(R155="","",COUNTIFS($C$5:$C$3004,R155,$O$5:$O$3004,"CONCLUÍDA"))</f>
        <v/>
      </c>
      <c r="X155" s="2">
        <f>IF(R155="","",COUNTIFS($C$5:$C$3004,R155,$O$5:$O$3004,"EM ANDAMENTO"))</f>
        <v/>
      </c>
      <c r="Y155" s="2">
        <f>IF(R155="","",IF(COUNTIFS($C$5:$C$3004,R155,$O$5:$O$3004,"CONCLUÍDA",$N$5:$N$3004,"&gt;=-1")=0,"",_xlfn.MAXIFS($N$5:$N$3004,$C$5:$C$3004,R155,$O$5:$O$3004,"CONCLUÍDA")))</f>
        <v/>
      </c>
      <c r="Z155" s="2">
        <f>IF(R155="","",IF(COUNTIFS($C$5:$C$3004,R155,$O$5:$O$3004,"EM ANDAMENTO",$N$5:$N$3004,"&gt;=-1")=0,"",_xlfn.MAXIFS($N$5:$N$3004,$C$5:$C$3004,R155,$O$5:$O$3004,"EM ANDAMENTO")))</f>
        <v/>
      </c>
      <c r="AA155" s="2">
        <f>IF(OR(R155="",S155="",U155&lt;&gt;"SIM",V155=0),"",IF(W155+X155=0,"",T155&amp;": "&amp;IF(W155=V155,"concluído",IF(W155=0,"em execução"&amp;IF(Z155&lt;&gt;""," ("&amp;IF(Z155=-1,"subsolo",IF(Z155=0,"térreo",Z155&amp;"º pav."))&amp;")",""),IF(Y155&lt;&gt;"","até "&amp;IF(Y155=-1,"subsolo",IF(Y155=0,"térreo",Y155&amp;"º pav.")),W155&amp;" de "&amp;V155&amp;" concluídas")&amp;IF(Z155="","",IF(OR(Y155="",Z155&gt;Y155),", executando "&amp;IF(Z155=-1,"subsolo",IF(Z155=0,"térreo",Z155&amp;"º pav."))," (restam serviços no "&amp;IF(Z155=-1,"subsolo",IF(Z155=0,"térreo",Z155&amp;"º pav."))&amp;")"))))))</f>
        <v/>
      </c>
    </row>
    <row r="156">
      <c r="B156" s="4" t="n">
        <v>28645953</v>
      </c>
      <c r="C156" s="4" t="inlineStr">
        <is>
          <t>FUNDAÇÃO SUPERFICIAL - FASE 2</t>
        </is>
      </c>
      <c r="D156" s="4" t="inlineStr">
        <is>
          <t>Forma - BL 5</t>
        </is>
      </c>
      <c r="E156" s="4" t="inlineStr">
        <is>
          <t>SERVIÇOS INICIAIS</t>
        </is>
      </c>
      <c r="F156" s="118" t="n">
        <v>46146</v>
      </c>
      <c r="G156" s="118" t="n">
        <v>46150</v>
      </c>
      <c r="H156" s="118" t="n">
        <v>46289</v>
      </c>
      <c r="I156" s="4" t="n">
        <v>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IF(E156="","",IF(LEFT(E156,7)="SUBSOLO",-1,IF(LEFT(E156,6)="TÉRREO",0,IFERROR(VALUE(LEFT(E156,FIND("º",SUBSTITUTE(E156,"°","º"))-1)),""))))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MONTAGEM - ELEVADOR 2</t>
        </is>
      </c>
      <c r="S156" s="4" t="inlineStr">
        <is>
          <t>24</t>
        </is>
      </c>
      <c r="T156" s="4" t="inlineStr">
        <is>
          <t>Montagem - elevador 2</t>
        </is>
      </c>
      <c r="U156" s="4" t="inlineStr">
        <is>
          <t>SIM</t>
        </is>
      </c>
      <c r="V156" s="2">
        <f>IF(R156="","",COUNTIF($C$5:$C$3004,R156))</f>
        <v/>
      </c>
      <c r="W156" s="2">
        <f>IF(R156="","",COUNTIFS($C$5:$C$3004,R156,$O$5:$O$3004,"CONCLUÍDA"))</f>
        <v/>
      </c>
      <c r="X156" s="2">
        <f>IF(R156="","",COUNTIFS($C$5:$C$3004,R156,$O$5:$O$3004,"EM ANDAMENTO"))</f>
        <v/>
      </c>
      <c r="Y156" s="2">
        <f>IF(R156="","",IF(COUNTIFS($C$5:$C$3004,R156,$O$5:$O$3004,"CONCLUÍDA",$N$5:$N$3004,"&gt;=-1")=0,"",_xlfn.MAXIFS($N$5:$N$3004,$C$5:$C$3004,R156,$O$5:$O$3004,"CONCLUÍDA")))</f>
        <v/>
      </c>
      <c r="Z156" s="2">
        <f>IF(R156="","",IF(COUNTIFS($C$5:$C$3004,R156,$O$5:$O$3004,"EM ANDAMENTO",$N$5:$N$3004,"&gt;=-1")=0,"",_xlfn.MAXIFS($N$5:$N$3004,$C$5:$C$3004,R156,$O$5:$O$3004,"EM ANDAMENTO")))</f>
        <v/>
      </c>
      <c r="AA156" s="2">
        <f>IF(OR(R156="",S156="",U156&lt;&gt;"SIM",V156=0),"",IF(W156+X156=0,"",T156&amp;": "&amp;IF(W156=V156,"concluído",IF(W156=0,"em execução"&amp;IF(Z156&lt;&gt;""," ("&amp;IF(Z156=-1,"subsolo",IF(Z156=0,"térreo",Z156&amp;"º pav."))&amp;")",""),IF(Y156&lt;&gt;"","até "&amp;IF(Y156=-1,"subsolo",IF(Y156=0,"térreo",Y156&amp;"º pav.")),W156&amp;" de "&amp;V156&amp;" concluídas")&amp;IF(Z156="","",IF(OR(Y156="",Z156&gt;Y156),", executando "&amp;IF(Z156=-1,"subsolo",IF(Z156=0,"térreo",Z156&amp;"º pav."))," (restam serviços no "&amp;IF(Z156=-1,"subsolo",IF(Z156=0,"térreo",Z156&amp;"º pav."))&amp;")"))))))</f>
        <v/>
      </c>
    </row>
    <row r="157">
      <c r="B157" s="4" t="n">
        <v>28645954</v>
      </c>
      <c r="C157" s="4" t="inlineStr">
        <is>
          <t>FUNDAÇÃO SUPERFICIAL - FASE 2</t>
        </is>
      </c>
      <c r="D157" s="4" t="inlineStr">
        <is>
          <t>Concreto - BL 3</t>
        </is>
      </c>
      <c r="E157" s="4" t="inlineStr">
        <is>
          <t>SERVIÇOS INICIAIS</t>
        </is>
      </c>
      <c r="F157" s="118" t="n">
        <v>46150</v>
      </c>
      <c r="G157" s="118" t="n">
        <v>46150</v>
      </c>
      <c r="H157" s="118" t="n">
        <v>46289</v>
      </c>
      <c r="I157" s="4" t="n">
        <v>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IF(E157="","",IF(LEFT(E157,7)="SUBSOLO",-1,IF(LEFT(E157,6)="TÉRREO",0,IFERROR(VALUE(LEFT(E157,FIND("º",SUBSTITUTE(E157,"°","º"))-1)),""))))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PEITORIS E REQUADROS DE FACHADA - F5 (2º ETAPA)</t>
        </is>
      </c>
      <c r="S157" s="4" t="inlineStr">
        <is>
          <t>32</t>
        </is>
      </c>
      <c r="T157" s="4" t="inlineStr">
        <is>
          <t>Peitoris e requadros de fachada - F5 (2º etapa)</t>
        </is>
      </c>
      <c r="U157" s="4" t="inlineStr">
        <is>
          <t>SIM</t>
        </is>
      </c>
      <c r="V157" s="2">
        <f>IF(R157="","",COUNTIF($C$5:$C$3004,R157))</f>
        <v/>
      </c>
      <c r="W157" s="2">
        <f>IF(R157="","",COUNTIFS($C$5:$C$3004,R157,$O$5:$O$3004,"CONCLUÍDA"))</f>
        <v/>
      </c>
      <c r="X157" s="2">
        <f>IF(R157="","",COUNTIFS($C$5:$C$3004,R157,$O$5:$O$3004,"EM ANDAMENTO"))</f>
        <v/>
      </c>
      <c r="Y157" s="2">
        <f>IF(R157="","",IF(COUNTIFS($C$5:$C$3004,R157,$O$5:$O$3004,"CONCLUÍDA",$N$5:$N$3004,"&gt;=-1")=0,"",_xlfn.MAXIFS($N$5:$N$3004,$C$5:$C$3004,R157,$O$5:$O$3004,"CONCLUÍDA")))</f>
        <v/>
      </c>
      <c r="Z157" s="2">
        <f>IF(R157="","",IF(COUNTIFS($C$5:$C$3004,R157,$O$5:$O$3004,"EM ANDAMENTO",$N$5:$N$3004,"&gt;=-1")=0,"",_xlfn.MAXIFS($N$5:$N$3004,$C$5:$C$3004,R157,$O$5:$O$3004,"EM ANDAMENTO")))</f>
        <v/>
      </c>
      <c r="AA157" s="2">
        <f>IF(OR(R157="",S157="",U157&lt;&gt;"SIM",V157=0),"",IF(W157+X157=0,"",T157&amp;": "&amp;IF(W157=V157,"concluído",IF(W157=0,"em execução"&amp;IF(Z157&lt;&gt;""," ("&amp;IF(Z157=-1,"subsolo",IF(Z157=0,"térreo",Z157&amp;"º pav."))&amp;")",""),IF(Y157&lt;&gt;"","até "&amp;IF(Y157=-1,"subsolo",IF(Y157=0,"térreo",Y157&amp;"º pav.")),W157&amp;" de "&amp;V157&amp;" concluídas")&amp;IF(Z157="","",IF(OR(Y157="",Z157&gt;Y157),", executando "&amp;IF(Z157=-1,"subsolo",IF(Z157=0,"térreo",Z157&amp;"º pav."))," (restam serviços no "&amp;IF(Z157=-1,"subsolo",IF(Z157=0,"térreo",Z157&amp;"º pav."))&amp;")"))))))</f>
        <v/>
      </c>
    </row>
    <row r="158">
      <c r="B158" s="4" t="n">
        <v>28645965</v>
      </c>
      <c r="C158" s="4" t="inlineStr">
        <is>
          <t>FUNDAÇÃO SUPERFICIAL - FASE 2</t>
        </is>
      </c>
      <c r="D158" s="4" t="inlineStr">
        <is>
          <t>Armação - BL 5</t>
        </is>
      </c>
      <c r="E158" s="4" t="inlineStr">
        <is>
          <t>SERVIÇOS INICIAIS</t>
        </is>
      </c>
      <c r="F158" s="118" t="n">
        <v>46153</v>
      </c>
      <c r="G158" s="118" t="n">
        <v>46157</v>
      </c>
      <c r="H158" s="118" t="n">
        <v>46289</v>
      </c>
      <c r="I158" s="4" t="n">
        <v>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IF(E158="","",IF(LEFT(E158,7)="SUBSOLO",-1,IF(LEFT(E158,6)="TÉRREO",0,IFERROR(VALUE(LEFT(E158,FIND("º",SUBSTITUTE(E158,"°","º"))-1)),""))))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MONTAGEM - BOILERS E AQUECEDORES</t>
        </is>
      </c>
      <c r="S158" s="4" t="inlineStr">
        <is>
          <t>21</t>
        </is>
      </c>
      <c r="T158" s="4" t="inlineStr">
        <is>
          <t>Montagem - boilers e aquecedores</t>
        </is>
      </c>
      <c r="U158" s="4" t="inlineStr">
        <is>
          <t>NÃO</t>
        </is>
      </c>
      <c r="V158" s="2">
        <f>IF(R158="","",COUNTIF($C$5:$C$3004,R158))</f>
        <v/>
      </c>
      <c r="W158" s="2">
        <f>IF(R158="","",COUNTIFS($C$5:$C$3004,R158,$O$5:$O$3004,"CONCLUÍDA"))</f>
        <v/>
      </c>
      <c r="X158" s="2">
        <f>IF(R158="","",COUNTIFS($C$5:$C$3004,R158,$O$5:$O$3004,"EM ANDAMENTO"))</f>
        <v/>
      </c>
      <c r="Y158" s="2">
        <f>IF(R158="","",IF(COUNTIFS($C$5:$C$3004,R158,$O$5:$O$3004,"CONCLUÍDA",$N$5:$N$3004,"&gt;=-1")=0,"",_xlfn.MAXIFS($N$5:$N$3004,$C$5:$C$3004,R158,$O$5:$O$3004,"CONCLUÍDA")))</f>
        <v/>
      </c>
      <c r="Z158" s="2">
        <f>IF(R158="","",IF(COUNTIFS($C$5:$C$3004,R158,$O$5:$O$3004,"EM ANDAMENTO",$N$5:$N$3004,"&gt;=-1")=0,"",_xlfn.MAXIFS($N$5:$N$3004,$C$5:$C$3004,R158,$O$5:$O$3004,"EM ANDAMENTO")))</f>
        <v/>
      </c>
      <c r="AA158" s="2">
        <f>IF(OR(R158="",S158="",U158&lt;&gt;"SIM",V158=0),"",IF(W158+X158=0,"",T158&amp;": "&amp;IF(W158=V158,"concluído",IF(W158=0,"em execução"&amp;IF(Z158&lt;&gt;""," ("&amp;IF(Z158=-1,"subsolo",IF(Z158=0,"térreo",Z158&amp;"º pav."))&amp;")",""),IF(Y158&lt;&gt;"","até "&amp;IF(Y158=-1,"subsolo",IF(Y158=0,"térreo",Y158&amp;"º pav.")),W158&amp;" de "&amp;V158&amp;" concluídas")&amp;IF(Z158="","",IF(OR(Y158="",Z158&gt;Y158),", executando "&amp;IF(Z158=-1,"subsolo",IF(Z158=0,"térreo",Z158&amp;"º pav."))," (restam serviços no "&amp;IF(Z158=-1,"subsolo",IF(Z158=0,"térreo",Z158&amp;"º pav."))&amp;")"))))))</f>
        <v/>
      </c>
    </row>
    <row r="159">
      <c r="B159" s="4" t="n">
        <v>28645966</v>
      </c>
      <c r="C159" s="4" t="inlineStr">
        <is>
          <t>FUNDAÇÃO SUPERFICIAL - FASE 2</t>
        </is>
      </c>
      <c r="D159" s="4" t="inlineStr">
        <is>
          <t xml:space="preserve">Forma - BL 7 / </t>
        </is>
      </c>
      <c r="E159" s="4" t="inlineStr">
        <is>
          <t>SERVIÇOS INICIAIS</t>
        </is>
      </c>
      <c r="F159" s="118" t="n">
        <v>46153</v>
      </c>
      <c r="G159" s="118" t="n">
        <v>46157</v>
      </c>
      <c r="H159" s="118" t="n">
        <v>46289</v>
      </c>
      <c r="I159" s="4" t="n">
        <v>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IF(E159="","",IF(LEFT(E159,7)="SUBSOLO",-1,IF(LEFT(E159,6)="TÉRREO",0,IFERROR(VALUE(LEFT(E159,FIND("º",SUBSTITUTE(E159,"°","º"))-1)),""))))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BRISE</t>
        </is>
      </c>
      <c r="S159" s="4" t="inlineStr">
        <is>
          <t>25</t>
        </is>
      </c>
      <c r="T159" s="4" t="inlineStr">
        <is>
          <t>Brise</t>
        </is>
      </c>
      <c r="U159" s="4" t="inlineStr">
        <is>
          <t>NÃO</t>
        </is>
      </c>
      <c r="V159" s="2">
        <f>IF(R159="","",COUNTIF($C$5:$C$3004,R159))</f>
        <v/>
      </c>
      <c r="W159" s="2">
        <f>IF(R159="","",COUNTIFS($C$5:$C$3004,R159,$O$5:$O$3004,"CONCLUÍDA"))</f>
        <v/>
      </c>
      <c r="X159" s="2">
        <f>IF(R159="","",COUNTIFS($C$5:$C$3004,R159,$O$5:$O$3004,"EM ANDAMENTO"))</f>
        <v/>
      </c>
      <c r="Y159" s="2">
        <f>IF(R159="","",IF(COUNTIFS($C$5:$C$3004,R159,$O$5:$O$3004,"CONCLUÍDA",$N$5:$N$3004,"&gt;=-1")=0,"",_xlfn.MAXIFS($N$5:$N$3004,$C$5:$C$3004,R159,$O$5:$O$3004,"CONCLUÍDA")))</f>
        <v/>
      </c>
      <c r="Z159" s="2">
        <f>IF(R159="","",IF(COUNTIFS($C$5:$C$3004,R159,$O$5:$O$3004,"EM ANDAMENTO",$N$5:$N$3004,"&gt;=-1")=0,"",_xlfn.MAXIFS($N$5:$N$3004,$C$5:$C$3004,R159,$O$5:$O$3004,"EM ANDAMENTO")))</f>
        <v/>
      </c>
      <c r="AA159" s="2">
        <f>IF(OR(R159="",S159="",U159&lt;&gt;"SIM",V159=0),"",IF(W159+X159=0,"",T159&amp;": "&amp;IF(W159=V159,"concluído",IF(W159=0,"em execução"&amp;IF(Z159&lt;&gt;""," ("&amp;IF(Z159=-1,"subsolo",IF(Z159=0,"térreo",Z159&amp;"º pav."))&amp;")",""),IF(Y159&lt;&gt;"","até "&amp;IF(Y159=-1,"subsolo",IF(Y159=0,"térreo",Y159&amp;"º pav.")),W159&amp;" de "&amp;V159&amp;" concluídas")&amp;IF(Z159="","",IF(OR(Y159="",Z159&gt;Y159),", executando "&amp;IF(Z159=-1,"subsolo",IF(Z159=0,"térreo",Z159&amp;"º pav."))," (restam serviços no "&amp;IF(Z159=-1,"subsolo",IF(Z159=0,"térreo",Z159&amp;"º pav."))&amp;")"))))))</f>
        <v/>
      </c>
    </row>
    <row r="160">
      <c r="B160" s="4" t="n">
        <v>28645967</v>
      </c>
      <c r="C160" s="4" t="inlineStr">
        <is>
          <t>FUNDAÇÃO SUPERFICIAL - FASE 2</t>
        </is>
      </c>
      <c r="D160" s="4" t="inlineStr">
        <is>
          <t xml:space="preserve">Concreto - BL 5 / 7 / </t>
        </is>
      </c>
      <c r="E160" s="4" t="inlineStr">
        <is>
          <t>SERVIÇOS INICIAIS</t>
        </is>
      </c>
      <c r="F160" s="118" t="n">
        <v>46157</v>
      </c>
      <c r="G160" s="118" t="n">
        <v>46157</v>
      </c>
      <c r="H160" s="118" t="n">
        <v>46289</v>
      </c>
      <c r="I160" s="4" t="n">
        <v>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IF(E160="","",IF(LEFT(E160,7)="SUBSOLO",-1,IF(LEFT(E160,6)="TÉRREO",0,IFERROR(VALUE(LEFT(E160,FIND("º",SUBSTITUTE(E160,"°","º"))-1)),""))))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EQUIPAMENTOS - PISCINA</t>
        </is>
      </c>
      <c r="S160" s="4" t="inlineStr">
        <is>
          <t>23</t>
        </is>
      </c>
      <c r="T160" s="4" t="inlineStr">
        <is>
          <t>Equipamentos - piscina</t>
        </is>
      </c>
      <c r="U160" s="4" t="inlineStr">
        <is>
          <t>NÃO</t>
        </is>
      </c>
      <c r="V160" s="2">
        <f>IF(R160="","",COUNTIF($C$5:$C$3004,R160))</f>
        <v/>
      </c>
      <c r="W160" s="2">
        <f>IF(R160="","",COUNTIFS($C$5:$C$3004,R160,$O$5:$O$3004,"CONCLUÍDA"))</f>
        <v/>
      </c>
      <c r="X160" s="2">
        <f>IF(R160="","",COUNTIFS($C$5:$C$3004,R160,$O$5:$O$3004,"EM ANDAMENTO"))</f>
        <v/>
      </c>
      <c r="Y160" s="2">
        <f>IF(R160="","",IF(COUNTIFS($C$5:$C$3004,R160,$O$5:$O$3004,"CONCLUÍDA",$N$5:$N$3004,"&gt;=-1")=0,"",_xlfn.MAXIFS($N$5:$N$3004,$C$5:$C$3004,R160,$O$5:$O$3004,"CONCLUÍDA")))</f>
        <v/>
      </c>
      <c r="Z160" s="2">
        <f>IF(R160="","",IF(COUNTIFS($C$5:$C$3004,R160,$O$5:$O$3004,"EM ANDAMENTO",$N$5:$N$3004,"&gt;=-1")=0,"",_xlfn.MAXIFS($N$5:$N$3004,$C$5:$C$3004,R160,$O$5:$O$3004,"EM ANDAMENTO")))</f>
        <v/>
      </c>
      <c r="AA160" s="2">
        <f>IF(OR(R160="",S160="",U160&lt;&gt;"SIM",V160=0),"",IF(W160+X160=0,"",T160&amp;": "&amp;IF(W160=V160,"concluído",IF(W160=0,"em execução"&amp;IF(Z160&lt;&gt;""," ("&amp;IF(Z160=-1,"subsolo",IF(Z160=0,"térreo",Z160&amp;"º pav."))&amp;")",""),IF(Y160&lt;&gt;"","até "&amp;IF(Y160=-1,"subsolo",IF(Y160=0,"térreo",Y160&amp;"º pav.")),W160&amp;" de "&amp;V160&amp;" concluídas")&amp;IF(Z160="","",IF(OR(Y160="",Z160&gt;Y160),", executando "&amp;IF(Z160=-1,"subsolo",IF(Z160=0,"térreo",Z160&amp;"º pav."))," (restam serviços no "&amp;IF(Z160=-1,"subsolo",IF(Z160=0,"térreo",Z160&amp;"º pav."))&amp;")"))))))</f>
        <v/>
      </c>
    </row>
    <row r="161">
      <c r="B161" s="4" t="n">
        <v>37080794</v>
      </c>
      <c r="C161" s="4" t="inlineStr">
        <is>
          <t>CONTENÇÃO - BLOCO DO ELEVADOR</t>
        </is>
      </c>
      <c r="D161" s="4" t="inlineStr">
        <is>
          <t>-</t>
        </is>
      </c>
      <c r="E161" s="4" t="inlineStr">
        <is>
          <t>SERVIÇOS INICIAIS</t>
        </is>
      </c>
      <c r="F161" s="118" t="n">
        <v>46139</v>
      </c>
      <c r="G161" s="118" t="n">
        <v>46199</v>
      </c>
      <c r="H161" s="118" t="n">
        <v>46289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IF(E161="","",IF(LEFT(E161,7)="SUBSOLO",-1,IF(LEFT(E161,6)="TÉRREO",0,IFERROR(VALUE(LEFT(E161,FIND("º",SUBSTITUTE(E161,"°","º"))-1)),""))))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SPDA</t>
        </is>
      </c>
      <c r="S161" s="4" t="inlineStr">
        <is>
          <t>20</t>
        </is>
      </c>
      <c r="T161" s="4" t="inlineStr">
        <is>
          <t>Spda</t>
        </is>
      </c>
      <c r="U161" s="4" t="inlineStr">
        <is>
          <t>NÃO</t>
        </is>
      </c>
      <c r="V161" s="2">
        <f>IF(R161="","",COUNTIF($C$5:$C$3004,R161))</f>
        <v/>
      </c>
      <c r="W161" s="2">
        <f>IF(R161="","",COUNTIFS($C$5:$C$3004,R161,$O$5:$O$3004,"CONCLUÍDA"))</f>
        <v/>
      </c>
      <c r="X161" s="2">
        <f>IF(R161="","",COUNTIFS($C$5:$C$3004,R161,$O$5:$O$3004,"EM ANDAMENTO"))</f>
        <v/>
      </c>
      <c r="Y161" s="2">
        <f>IF(R161="","",IF(COUNTIFS($C$5:$C$3004,R161,$O$5:$O$3004,"CONCLUÍDA",$N$5:$N$3004,"&gt;=-1")=0,"",_xlfn.MAXIFS($N$5:$N$3004,$C$5:$C$3004,R161,$O$5:$O$3004,"CONCLUÍDA")))</f>
        <v/>
      </c>
      <c r="Z161" s="2">
        <f>IF(R161="","",IF(COUNTIFS($C$5:$C$3004,R161,$O$5:$O$3004,"EM ANDAMENTO",$N$5:$N$3004,"&gt;=-1")=0,"",_xlfn.MAXIFS($N$5:$N$3004,$C$5:$C$3004,R161,$O$5:$O$3004,"EM ANDAMENTO")))</f>
        <v/>
      </c>
      <c r="AA161" s="2">
        <f>IF(OR(R161="",S161="",U161&lt;&gt;"SIM",V161=0),"",IF(W161+X161=0,"",T161&amp;": "&amp;IF(W161=V161,"concluído",IF(W161=0,"em execução"&amp;IF(Z161&lt;&gt;""," ("&amp;IF(Z161=-1,"subsolo",IF(Z161=0,"térreo",Z161&amp;"º pav."))&amp;")",""),IF(Y161&lt;&gt;"","até "&amp;IF(Y161=-1,"subsolo",IF(Y161=0,"térreo",Y161&amp;"º pav.")),W161&amp;" de "&amp;V161&amp;" concluídas")&amp;IF(Z161="","",IF(OR(Y161="",Z161&gt;Y161),", executando "&amp;IF(Z161=-1,"subsolo",IF(Z161=0,"térreo",Z161&amp;"º pav."))," (restam serviços no "&amp;IF(Z161=-1,"subsolo",IF(Z161=0,"térreo",Z161&amp;"º pav."))&amp;")"))))))</f>
        <v/>
      </c>
    </row>
    <row r="162">
      <c r="B162" s="4" t="n">
        <v>44503962</v>
      </c>
      <c r="C162" s="4" t="inlineStr">
        <is>
          <t>FUNDAÇÃO SUPERFICIAL - FASE 3</t>
        </is>
      </c>
      <c r="D162" s="4" t="inlineStr">
        <is>
          <t>-</t>
        </is>
      </c>
      <c r="E162" s="4" t="inlineStr">
        <is>
          <t>SERVIÇOS INICIAIS</t>
        </is>
      </c>
      <c r="F162" s="118" t="n">
        <v>46150</v>
      </c>
      <c r="G162" s="118" t="n">
        <v>46213</v>
      </c>
      <c r="H162" s="118" t="n">
        <v>46289</v>
      </c>
      <c r="I162" s="4" t="n">
        <v>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IF(E162="","",IF(LEFT(E162,7)="SUBSOLO",-1,IF(LEFT(E162,6)="TÉRREO",0,IFERROR(VALUE(LEFT(E162,FIND("º",SUBSTITUTE(E162,"°","º"))-1)),""))))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TRATAMENTO DE CONCRETO APARENTE - F3 + F4</t>
        </is>
      </c>
      <c r="S162" s="4" t="inlineStr">
        <is>
          <t>35</t>
        </is>
      </c>
      <c r="T162" s="4" t="inlineStr">
        <is>
          <t>Tratamento de concreto aparente - F3 + F4</t>
        </is>
      </c>
      <c r="U162" s="4" t="inlineStr">
        <is>
          <t>NÃO</t>
        </is>
      </c>
      <c r="V162" s="2">
        <f>IF(R162="","",COUNTIF($C$5:$C$3004,R162))</f>
        <v/>
      </c>
      <c r="W162" s="2">
        <f>IF(R162="","",COUNTIFS($C$5:$C$3004,R162,$O$5:$O$3004,"CONCLUÍDA"))</f>
        <v/>
      </c>
      <c r="X162" s="2">
        <f>IF(R162="","",COUNTIFS($C$5:$C$3004,R162,$O$5:$O$3004,"EM ANDAMENTO"))</f>
        <v/>
      </c>
      <c r="Y162" s="2">
        <f>IF(R162="","",IF(COUNTIFS($C$5:$C$3004,R162,$O$5:$O$3004,"CONCLUÍDA",$N$5:$N$3004,"&gt;=-1")=0,"",_xlfn.MAXIFS($N$5:$N$3004,$C$5:$C$3004,R162,$O$5:$O$3004,"CONCLUÍDA")))</f>
        <v/>
      </c>
      <c r="Z162" s="2">
        <f>IF(R162="","",IF(COUNTIFS($C$5:$C$3004,R162,$O$5:$O$3004,"EM ANDAMENTO",$N$5:$N$3004,"&gt;=-1")=0,"",_xlfn.MAXIFS($N$5:$N$3004,$C$5:$C$3004,R162,$O$5:$O$3004,"EM ANDAMENTO")))</f>
        <v/>
      </c>
      <c r="AA162" s="2">
        <f>IF(OR(R162="",S162="",U162&lt;&gt;"SIM",V162=0),"",IF(W162+X162=0,"",T162&amp;": "&amp;IF(W162=V162,"concluído",IF(W162=0,"em execução"&amp;IF(Z162&lt;&gt;""," ("&amp;IF(Z162=-1,"subsolo",IF(Z162=0,"térreo",Z162&amp;"º pav."))&amp;")",""),IF(Y162&lt;&gt;"","até "&amp;IF(Y162=-1,"subsolo",IF(Y162=0,"térreo",Y162&amp;"º pav.")),W162&amp;" de "&amp;V162&amp;" concluídas")&amp;IF(Z162="","",IF(OR(Y162="",Z162&gt;Y162),", executando "&amp;IF(Z162=-1,"subsolo",IF(Z162=0,"térreo",Z162&amp;"º pav."))," (restam serviços no "&amp;IF(Z162=-1,"subsolo",IF(Z162=0,"térreo",Z162&amp;"º pav."))&amp;")"))))))</f>
        <v/>
      </c>
    </row>
    <row r="163">
      <c r="B163" s="4" t="n">
        <v>28389429</v>
      </c>
      <c r="C163" s="4" t="inlineStr">
        <is>
          <t>FUNDAÇÃO SUPERFICIAL - FASE 3</t>
        </is>
      </c>
      <c r="D163" s="4" t="inlineStr">
        <is>
          <t xml:space="preserve">Escavação / Arrasamento - BL 4 / 6 </t>
        </is>
      </c>
      <c r="E163" s="4" t="inlineStr">
        <is>
          <t>SERVIÇOS INICIAIS</t>
        </is>
      </c>
      <c r="F163" s="118" t="n">
        <v>46150</v>
      </c>
      <c r="G163" s="118" t="n">
        <v>46157</v>
      </c>
      <c r="H163" s="118" t="n">
        <v>46289</v>
      </c>
      <c r="I163" s="4" t="n">
        <v>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IF(E163="","",IF(LEFT(E163,7)="SUBSOLO",-1,IF(LEFT(E163,6)="TÉRREO",0,IFERROR(VALUE(LEFT(E163,FIND("º",SUBSTITUTE(E163,"°","º"))-1)),""))))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QUADRA DE RECREAÇÃO</t>
        </is>
      </c>
      <c r="S163" s="4" t="inlineStr">
        <is>
          <t>31</t>
        </is>
      </c>
      <c r="T163" s="4" t="inlineStr">
        <is>
          <t>Quadra de recreação</t>
        </is>
      </c>
      <c r="U163" s="4" t="inlineStr">
        <is>
          <t>SIM</t>
        </is>
      </c>
      <c r="V163" s="2">
        <f>IF(R163="","",COUNTIF($C$5:$C$3004,R163))</f>
        <v/>
      </c>
      <c r="W163" s="2">
        <f>IF(R163="","",COUNTIFS($C$5:$C$3004,R163,$O$5:$O$3004,"CONCLUÍDA"))</f>
        <v/>
      </c>
      <c r="X163" s="2">
        <f>IF(R163="","",COUNTIFS($C$5:$C$3004,R163,$O$5:$O$3004,"EM ANDAMENTO"))</f>
        <v/>
      </c>
      <c r="Y163" s="2">
        <f>IF(R163="","",IF(COUNTIFS($C$5:$C$3004,R163,$O$5:$O$3004,"CONCLUÍDA",$N$5:$N$3004,"&gt;=-1")=0,"",_xlfn.MAXIFS($N$5:$N$3004,$C$5:$C$3004,R163,$O$5:$O$3004,"CONCLUÍDA")))</f>
        <v/>
      </c>
      <c r="Z163" s="2">
        <f>IF(R163="","",IF(COUNTIFS($C$5:$C$3004,R163,$O$5:$O$3004,"EM ANDAMENTO",$N$5:$N$3004,"&gt;=-1")=0,"",_xlfn.MAXIFS($N$5:$N$3004,$C$5:$C$3004,R163,$O$5:$O$3004,"EM ANDAMENTO")))</f>
        <v/>
      </c>
      <c r="AA163" s="2">
        <f>IF(OR(R163="",S163="",U163&lt;&gt;"SIM",V163=0),"",IF(W163+X163=0,"",T163&amp;": "&amp;IF(W163=V163,"concluído",IF(W163=0,"em execução"&amp;IF(Z163&lt;&gt;""," ("&amp;IF(Z163=-1,"subsolo",IF(Z163=0,"térreo",Z163&amp;"º pav."))&amp;")",""),IF(Y163&lt;&gt;"","até "&amp;IF(Y163=-1,"subsolo",IF(Y163=0,"térreo",Y163&amp;"º pav.")),W163&amp;" de "&amp;V163&amp;" concluídas")&amp;IF(Z163="","",IF(OR(Y163="",Z163&gt;Y163),", executando "&amp;IF(Z163=-1,"subsolo",IF(Z163=0,"térreo",Z163&amp;"º pav."))," (restam serviços no "&amp;IF(Z163=-1,"subsolo",IF(Z163=0,"térreo",Z163&amp;"º pav."))&amp;")"))))))</f>
        <v/>
      </c>
    </row>
    <row r="164">
      <c r="B164" s="4" t="n">
        <v>28389430</v>
      </c>
      <c r="C164" s="4" t="inlineStr">
        <is>
          <t>FUNDAÇÃO SUPERFICIAL - FASE 3</t>
        </is>
      </c>
      <c r="D164" s="4" t="inlineStr">
        <is>
          <t>Armação - BL 4 / 6</t>
        </is>
      </c>
      <c r="E164" s="4" t="inlineStr">
        <is>
          <t>SERVIÇOS INICIAIS</t>
        </is>
      </c>
      <c r="F164" s="118" t="n">
        <v>46150</v>
      </c>
      <c r="G164" s="118" t="n">
        <v>46157</v>
      </c>
      <c r="H164" s="118" t="n">
        <v>46289</v>
      </c>
      <c r="I164" s="4" t="n">
        <v>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IF(E164="","",IF(LEFT(E164,7)="SUBSOLO",-1,IF(LEFT(E164,6)="TÉRREO",0,IFERROR(VALUE(LEFT(E164,FIND("º",SUBSTITUTE(E164,"°","º"))-1)),""))))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INSTALAÇÃO DE SHADOWBOX E BRISES - F5</t>
        </is>
      </c>
      <c r="S164" s="4" t="inlineStr">
        <is>
          <t>25</t>
        </is>
      </c>
      <c r="T164" s="4" t="inlineStr">
        <is>
          <t>Shadowbox e brises - F5</t>
        </is>
      </c>
      <c r="U164" s="4" t="inlineStr">
        <is>
          <t>NÃO</t>
        </is>
      </c>
      <c r="V164" s="2">
        <f>IF(R164="","",COUNTIF($C$5:$C$3004,R164))</f>
        <v/>
      </c>
      <c r="W164" s="2">
        <f>IF(R164="","",COUNTIFS($C$5:$C$3004,R164,$O$5:$O$3004,"CONCLUÍDA"))</f>
        <v/>
      </c>
      <c r="X164" s="2">
        <f>IF(R164="","",COUNTIFS($C$5:$C$3004,R164,$O$5:$O$3004,"EM ANDAMENTO"))</f>
        <v/>
      </c>
      <c r="Y164" s="2">
        <f>IF(R164="","",IF(COUNTIFS($C$5:$C$3004,R164,$O$5:$O$3004,"CONCLUÍDA",$N$5:$N$3004,"&gt;=-1")=0,"",_xlfn.MAXIFS($N$5:$N$3004,$C$5:$C$3004,R164,$O$5:$O$3004,"CONCLUÍDA")))</f>
        <v/>
      </c>
      <c r="Z164" s="2">
        <f>IF(R164="","",IF(COUNTIFS($C$5:$C$3004,R164,$O$5:$O$3004,"EM ANDAMENTO",$N$5:$N$3004,"&gt;=-1")=0,"",_xlfn.MAXIFS($N$5:$N$3004,$C$5:$C$3004,R164,$O$5:$O$3004,"EM ANDAMENTO")))</f>
        <v/>
      </c>
      <c r="AA164" s="2">
        <f>IF(OR(R164="",S164="",U164&lt;&gt;"SIM",V164=0),"",IF(W164+X164=0,"",T164&amp;": "&amp;IF(W164=V164,"concluído",IF(W164=0,"em execução"&amp;IF(Z164&lt;&gt;""," ("&amp;IF(Z164=-1,"subsolo",IF(Z164=0,"térreo",Z164&amp;"º pav."))&amp;")",""),IF(Y164&lt;&gt;"","até "&amp;IF(Y164=-1,"subsolo",IF(Y164=0,"térreo",Y164&amp;"º pav.")),W164&amp;" de "&amp;V164&amp;" concluídas")&amp;IF(Z164="","",IF(OR(Y164="",Z164&gt;Y164),", executando "&amp;IF(Z164=-1,"subsolo",IF(Z164=0,"térreo",Z164&amp;"º pav."))," (restam serviços no "&amp;IF(Z164=-1,"subsolo",IF(Z164=0,"térreo",Z164&amp;"º pav."))&amp;")"))))))</f>
        <v/>
      </c>
    </row>
    <row r="165">
      <c r="B165" s="4" t="n">
        <v>28389431</v>
      </c>
      <c r="C165" s="4" t="inlineStr">
        <is>
          <t>FUNDAÇÃO SUPERFICIAL - FASE 3</t>
        </is>
      </c>
      <c r="D165" s="4" t="inlineStr">
        <is>
          <t>Escavação / Arrasamento - BL  134</t>
        </is>
      </c>
      <c r="E165" s="4" t="inlineStr">
        <is>
          <t>SERVIÇOS INICIAIS</t>
        </is>
      </c>
      <c r="F165" s="118" t="n">
        <v>46160</v>
      </c>
      <c r="G165" s="118" t="n">
        <v>46164</v>
      </c>
      <c r="H165" s="118" t="n">
        <v>46289</v>
      </c>
      <c r="I165" s="4" t="n">
        <v>0</v>
      </c>
      <c r="J165" s="4" t="n">
        <v>100</v>
      </c>
      <c r="K165" s="4" t="n">
        <v>100</v>
      </c>
      <c r="M165" s="2">
        <f>IF(C165="","",IFERROR(INDEX($S$5:$S$304,MATCH(C165,$R$5:$R$304,0))&amp;"","?"))</f>
        <v/>
      </c>
      <c r="N165" s="2">
        <f>IF(E165="","",IF(LEFT(E165,7)="SUBSOLO",-1,IF(LEFT(E165,6)="TÉRREO",0,IFERROR(VALUE(LEFT(E165,FIND("º",SUBSTITUTE(E165,"°","º"))-1)),""))))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FACHADA EMBASAMENTO</t>
        </is>
      </c>
      <c r="S165" s="4" t="inlineStr">
        <is>
          <t>32</t>
        </is>
      </c>
      <c r="T165" s="4" t="inlineStr">
        <is>
          <t>Fachada embasamento</t>
        </is>
      </c>
      <c r="U165" s="4" t="inlineStr">
        <is>
          <t>SIM</t>
        </is>
      </c>
      <c r="V165" s="2">
        <f>IF(R165="","",COUNTIF($C$5:$C$3004,R165))</f>
        <v/>
      </c>
      <c r="W165" s="2">
        <f>IF(R165="","",COUNTIFS($C$5:$C$3004,R165,$O$5:$O$3004,"CONCLUÍDA"))</f>
        <v/>
      </c>
      <c r="X165" s="2">
        <f>IF(R165="","",COUNTIFS($C$5:$C$3004,R165,$O$5:$O$3004,"EM ANDAMENTO"))</f>
        <v/>
      </c>
      <c r="Y165" s="2">
        <f>IF(R165="","",IF(COUNTIFS($C$5:$C$3004,R165,$O$5:$O$3004,"CONCLUÍDA",$N$5:$N$3004,"&gt;=-1")=0,"",_xlfn.MAXIFS($N$5:$N$3004,$C$5:$C$3004,R165,$O$5:$O$3004,"CONCLUÍDA")))</f>
        <v/>
      </c>
      <c r="Z165" s="2">
        <f>IF(R165="","",IF(COUNTIFS($C$5:$C$3004,R165,$O$5:$O$3004,"EM ANDAMENTO",$N$5:$N$3004,"&gt;=-1")=0,"",_xlfn.MAXIFS($N$5:$N$3004,$C$5:$C$3004,R165,$O$5:$O$3004,"EM ANDAMENTO")))</f>
        <v/>
      </c>
      <c r="AA165" s="2">
        <f>IF(OR(R165="",S165="",U165&lt;&gt;"SIM",V165=0),"",IF(W165+X165=0,"",T165&amp;": "&amp;IF(W165=V165,"concluído",IF(W165=0,"em execução"&amp;IF(Z165&lt;&gt;""," ("&amp;IF(Z165=-1,"subsolo",IF(Z165=0,"térreo",Z165&amp;"º pav."))&amp;")",""),IF(Y165&lt;&gt;"","até "&amp;IF(Y165=-1,"subsolo",IF(Y165=0,"térreo",Y165&amp;"º pav.")),W165&amp;" de "&amp;V165&amp;" concluídas")&amp;IF(Z165="","",IF(OR(Y165="",Z165&gt;Y165),", executando "&amp;IF(Z165=-1,"subsolo",IF(Z165=0,"térreo",Z165&amp;"º pav."))," (restam serviços no "&amp;IF(Z165=-1,"subsolo",IF(Z165=0,"térreo",Z165&amp;"º pav."))&amp;")"))))))</f>
        <v/>
      </c>
    </row>
    <row r="166">
      <c r="B166" s="4" t="n">
        <v>28389432</v>
      </c>
      <c r="C166" s="4" t="inlineStr">
        <is>
          <t>FUNDAÇÃO SUPERFICIAL - FASE 3</t>
        </is>
      </c>
      <c r="D166" s="4" t="inlineStr">
        <is>
          <t>Armação - BL 4</t>
        </is>
      </c>
      <c r="E166" s="4" t="inlineStr">
        <is>
          <t>SERVIÇOS INICIAIS</t>
        </is>
      </c>
      <c r="F166" s="118" t="n">
        <v>46160</v>
      </c>
      <c r="G166" s="118" t="n">
        <v>46164</v>
      </c>
      <c r="H166" s="118" t="n">
        <v>46289</v>
      </c>
      <c r="I166" s="4" t="n">
        <v>0</v>
      </c>
      <c r="J166" s="4" t="n">
        <v>100</v>
      </c>
      <c r="K166" s="4" t="n">
        <v>100</v>
      </c>
      <c r="M166" s="2">
        <f>IF(C166="","",IFERROR(INDEX($S$5:$S$304,MATCH(C166,$R$5:$R$304,0))&amp;"","?"))</f>
        <v/>
      </c>
      <c r="N166" s="2">
        <f>IF(E166="","",IF(LEFT(E166,7)="SUBSOLO",-1,IF(LEFT(E166,6)="TÉRREO",0,IFERROR(VALUE(LEFT(E166,FIND("º",SUBSTITUTE(E166,"°","º"))-1)),""))))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MONTAGEM - ELEVADOR 3</t>
        </is>
      </c>
      <c r="S166" s="4" t="inlineStr">
        <is>
          <t>24</t>
        </is>
      </c>
      <c r="T166" s="4" t="inlineStr">
        <is>
          <t>Montagem - elevador 3</t>
        </is>
      </c>
      <c r="U166" s="4" t="inlineStr">
        <is>
          <t>SIM</t>
        </is>
      </c>
      <c r="V166" s="2">
        <f>IF(R166="","",COUNTIF($C$5:$C$3004,R166))</f>
        <v/>
      </c>
      <c r="W166" s="2">
        <f>IF(R166="","",COUNTIFS($C$5:$C$3004,R166,$O$5:$O$3004,"CONCLUÍDA"))</f>
        <v/>
      </c>
      <c r="X166" s="2">
        <f>IF(R166="","",COUNTIFS($C$5:$C$3004,R166,$O$5:$O$3004,"EM ANDAMENTO"))</f>
        <v/>
      </c>
      <c r="Y166" s="2">
        <f>IF(R166="","",IF(COUNTIFS($C$5:$C$3004,R166,$O$5:$O$3004,"CONCLUÍDA",$N$5:$N$3004,"&gt;=-1")=0,"",_xlfn.MAXIFS($N$5:$N$3004,$C$5:$C$3004,R166,$O$5:$O$3004,"CONCLUÍDA")))</f>
        <v/>
      </c>
      <c r="Z166" s="2">
        <f>IF(R166="","",IF(COUNTIFS($C$5:$C$3004,R166,$O$5:$O$3004,"EM ANDAMENTO",$N$5:$N$3004,"&gt;=-1")=0,"",_xlfn.MAXIFS($N$5:$N$3004,$C$5:$C$3004,R166,$O$5:$O$3004,"EM ANDAMENTO")))</f>
        <v/>
      </c>
      <c r="AA166" s="2">
        <f>IF(OR(R166="",S166="",U166&lt;&gt;"SIM",V166=0),"",IF(W166+X166=0,"",T166&amp;": "&amp;IF(W166=V166,"concluído",IF(W166=0,"em execução"&amp;IF(Z166&lt;&gt;""," ("&amp;IF(Z166=-1,"subsolo",IF(Z166=0,"térreo",Z166&amp;"º pav."))&amp;")",""),IF(Y166&lt;&gt;"","até "&amp;IF(Y166=-1,"subsolo",IF(Y166=0,"térreo",Y166&amp;"º pav.")),W166&amp;" de "&amp;V166&amp;" concluídas")&amp;IF(Z166="","",IF(OR(Y166="",Z166&gt;Y166),", executando "&amp;IF(Z166=-1,"subsolo",IF(Z166=0,"térreo",Z166&amp;"º pav."))," (restam serviços no "&amp;IF(Z166=-1,"subsolo",IF(Z166=0,"térreo",Z166&amp;"º pav."))&amp;")"))))))</f>
        <v/>
      </c>
    </row>
    <row r="167">
      <c r="B167" s="4" t="n">
        <v>28389433</v>
      </c>
      <c r="C167" s="4" t="inlineStr">
        <is>
          <t>FUNDAÇÃO SUPERFICIAL - FASE 3</t>
        </is>
      </c>
      <c r="D167" s="4" t="inlineStr">
        <is>
          <t xml:space="preserve">Forma - BL 4 / 6 </t>
        </is>
      </c>
      <c r="E167" s="4" t="inlineStr">
        <is>
          <t>SERVIÇOS INICIAIS</t>
        </is>
      </c>
      <c r="F167" s="118" t="n">
        <v>46160</v>
      </c>
      <c r="G167" s="118" t="n">
        <v>46164</v>
      </c>
      <c r="H167" s="118" t="n">
        <v>46289</v>
      </c>
      <c r="I167" s="4" t="n">
        <v>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IF(E167="","",IF(LEFT(E167,7)="SUBSOLO",-1,IF(LEFT(E167,6)="TÉRREO",0,IFERROR(VALUE(LEFT(E167,FIND("º",SUBSTITUTE(E167,"°","º"))-1)),""))))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PRESSURIZAÇÃO (INCÊNDIO)</t>
        </is>
      </c>
      <c r="S167" s="4" t="inlineStr">
        <is>
          <t>22</t>
        </is>
      </c>
      <c r="T167" s="4" t="inlineStr">
        <is>
          <t>Pressurização (incêndio)</t>
        </is>
      </c>
      <c r="U167" s="4" t="inlineStr">
        <is>
          <t>NÃO</t>
        </is>
      </c>
      <c r="V167" s="2">
        <f>IF(R167="","",COUNTIF($C$5:$C$3004,R167))</f>
        <v/>
      </c>
      <c r="W167" s="2">
        <f>IF(R167="","",COUNTIFS($C$5:$C$3004,R167,$O$5:$O$3004,"CONCLUÍDA"))</f>
        <v/>
      </c>
      <c r="X167" s="2">
        <f>IF(R167="","",COUNTIFS($C$5:$C$3004,R167,$O$5:$O$3004,"EM ANDAMENTO"))</f>
        <v/>
      </c>
      <c r="Y167" s="2">
        <f>IF(R167="","",IF(COUNTIFS($C$5:$C$3004,R167,$O$5:$O$3004,"CONCLUÍDA",$N$5:$N$3004,"&gt;=-1")=0,"",_xlfn.MAXIFS($N$5:$N$3004,$C$5:$C$3004,R167,$O$5:$O$3004,"CONCLUÍDA")))</f>
        <v/>
      </c>
      <c r="Z167" s="2">
        <f>IF(R167="","",IF(COUNTIFS($C$5:$C$3004,R167,$O$5:$O$3004,"EM ANDAMENTO",$N$5:$N$3004,"&gt;=-1")=0,"",_xlfn.MAXIFS($N$5:$N$3004,$C$5:$C$3004,R167,$O$5:$O$3004,"EM ANDAMENTO")))</f>
        <v/>
      </c>
      <c r="AA167" s="2">
        <f>IF(OR(R167="",S167="",U167&lt;&gt;"SIM",V167=0),"",IF(W167+X167=0,"",T167&amp;": "&amp;IF(W167=V167,"concluído",IF(W167=0,"em execução"&amp;IF(Z167&lt;&gt;""," ("&amp;IF(Z167=-1,"subsolo",IF(Z167=0,"térreo",Z167&amp;"º pav."))&amp;")",""),IF(Y167&lt;&gt;"","até "&amp;IF(Y167=-1,"subsolo",IF(Y167=0,"térreo",Y167&amp;"º pav.")),W167&amp;" de "&amp;V167&amp;" concluídas")&amp;IF(Z167="","",IF(OR(Y167="",Z167&gt;Y167),", executando "&amp;IF(Z167=-1,"subsolo",IF(Z167=0,"térreo",Z167&amp;"º pav."))," (restam serviços no "&amp;IF(Z167=-1,"subsolo",IF(Z167=0,"térreo",Z167&amp;"º pav."))&amp;")"))))))</f>
        <v/>
      </c>
    </row>
    <row r="168">
      <c r="B168" s="4" t="n">
        <v>28645974</v>
      </c>
      <c r="C168" s="4" t="inlineStr">
        <is>
          <t>FUNDAÇÃO SUPERFICIAL - FASE 3</t>
        </is>
      </c>
      <c r="D168" s="4" t="inlineStr">
        <is>
          <t>Concreto - BL 4 / 6</t>
        </is>
      </c>
      <c r="E168" s="4" t="inlineStr">
        <is>
          <t>SERVIÇOS INICIAIS</t>
        </is>
      </c>
      <c r="F168" s="118" t="n">
        <v>46164</v>
      </c>
      <c r="G168" s="118" t="n">
        <v>46164</v>
      </c>
      <c r="H168" s="118" t="n">
        <v>46289</v>
      </c>
      <c r="I168" s="4" t="n">
        <v>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IF(E168="","",IF(LEFT(E168,7)="SUBSOLO",-1,IF(LEFT(E168,6)="TÉRREO",0,IFERROR(VALUE(LEFT(E168,FIND("º",SUBSTITUTE(E168,"°","º"))-1)),""))))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PISO ELEVADO</t>
        </is>
      </c>
      <c r="S168" s="4" t="inlineStr">
        <is>
          <t>30</t>
        </is>
      </c>
      <c r="T168" s="4" t="inlineStr">
        <is>
          <t>Piso elevado</t>
        </is>
      </c>
      <c r="U168" s="4" t="inlineStr">
        <is>
          <t>NÃO</t>
        </is>
      </c>
      <c r="V168" s="2">
        <f>IF(R168="","",COUNTIF($C$5:$C$3004,R168))</f>
        <v/>
      </c>
      <c r="W168" s="2">
        <f>IF(R168="","",COUNTIFS($C$5:$C$3004,R168,$O$5:$O$3004,"CONCLUÍDA"))</f>
        <v/>
      </c>
      <c r="X168" s="2">
        <f>IF(R168="","",COUNTIFS($C$5:$C$3004,R168,$O$5:$O$3004,"EM ANDAMENTO"))</f>
        <v/>
      </c>
      <c r="Y168" s="2">
        <f>IF(R168="","",IF(COUNTIFS($C$5:$C$3004,R168,$O$5:$O$3004,"CONCLUÍDA",$N$5:$N$3004,"&gt;=-1")=0,"",_xlfn.MAXIFS($N$5:$N$3004,$C$5:$C$3004,R168,$O$5:$O$3004,"CONCLUÍDA")))</f>
        <v/>
      </c>
      <c r="Z168" s="2">
        <f>IF(R168="","",IF(COUNTIFS($C$5:$C$3004,R168,$O$5:$O$3004,"EM ANDAMENTO",$N$5:$N$3004,"&gt;=-1")=0,"",_xlfn.MAXIFS($N$5:$N$3004,$C$5:$C$3004,R168,$O$5:$O$3004,"EM ANDAMENTO")))</f>
        <v/>
      </c>
      <c r="AA168" s="2">
        <f>IF(OR(R168="",S168="",U168&lt;&gt;"SIM",V168=0),"",IF(W168+X168=0,"",T168&amp;": "&amp;IF(W168=V168,"concluído",IF(W168=0,"em execução"&amp;IF(Z168&lt;&gt;""," ("&amp;IF(Z168=-1,"subsolo",IF(Z168=0,"térreo",Z168&amp;"º pav."))&amp;")",""),IF(Y168&lt;&gt;"","até "&amp;IF(Y168=-1,"subsolo",IF(Y168=0,"térreo",Y168&amp;"º pav.")),W168&amp;" de "&amp;V168&amp;" concluídas")&amp;IF(Z168="","",IF(OR(Y168="",Z168&gt;Y168),", executando "&amp;IF(Z168=-1,"subsolo",IF(Z168=0,"térreo",Z168&amp;"º pav."))," (restam serviços no "&amp;IF(Z168=-1,"subsolo",IF(Z168=0,"térreo",Z168&amp;"º pav."))&amp;")"))))))</f>
        <v/>
      </c>
    </row>
    <row r="169">
      <c r="B169" s="4" t="n">
        <v>28645975</v>
      </c>
      <c r="C169" s="4" t="inlineStr">
        <is>
          <t>FUNDAÇÃO SUPERFICIAL - FASE 3</t>
        </is>
      </c>
      <c r="D169" s="4" t="inlineStr">
        <is>
          <t xml:space="preserve">Escavação / Arrasamento </t>
        </is>
      </c>
      <c r="E169" s="4" t="inlineStr">
        <is>
          <t>SERVIÇOS INICIAIS</t>
        </is>
      </c>
      <c r="F169" s="118" t="n">
        <v>46167</v>
      </c>
      <c r="G169" s="118" t="n">
        <v>46171</v>
      </c>
      <c r="H169" s="118" t="n">
        <v>46289</v>
      </c>
      <c r="I169" s="4" t="n">
        <v>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IF(E169="","",IF(LEFT(E169,7)="SUBSOLO",-1,IF(LEFT(E169,6)="TÉRREO",0,IFERROR(VALUE(LEFT(E169,FIND("º",SUBSTITUTE(E169,"°","º"))-1)),""))))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TRATAMENTO DE CONCRETO APARENTE - F5</t>
        </is>
      </c>
      <c r="S169" s="4" t="inlineStr">
        <is>
          <t>35</t>
        </is>
      </c>
      <c r="T169" s="4" t="inlineStr">
        <is>
          <t>Tratamento de concreto aparente - F5</t>
        </is>
      </c>
      <c r="U169" s="4" t="inlineStr">
        <is>
          <t>NÃO</t>
        </is>
      </c>
      <c r="V169" s="2">
        <f>IF(R169="","",COUNTIF($C$5:$C$3004,R169))</f>
        <v/>
      </c>
      <c r="W169" s="2">
        <f>IF(R169="","",COUNTIFS($C$5:$C$3004,R169,$O$5:$O$3004,"CONCLUÍDA"))</f>
        <v/>
      </c>
      <c r="X169" s="2">
        <f>IF(R169="","",COUNTIFS($C$5:$C$3004,R169,$O$5:$O$3004,"EM ANDAMENTO"))</f>
        <v/>
      </c>
      <c r="Y169" s="2">
        <f>IF(R169="","",IF(COUNTIFS($C$5:$C$3004,R169,$O$5:$O$3004,"CONCLUÍDA",$N$5:$N$3004,"&gt;=-1")=0,"",_xlfn.MAXIFS($N$5:$N$3004,$C$5:$C$3004,R169,$O$5:$O$3004,"CONCLUÍDA")))</f>
        <v/>
      </c>
      <c r="Z169" s="2">
        <f>IF(R169="","",IF(COUNTIFS($C$5:$C$3004,R169,$O$5:$O$3004,"EM ANDAMENTO",$N$5:$N$3004,"&gt;=-1")=0,"",_xlfn.MAXIFS($N$5:$N$3004,$C$5:$C$3004,R169,$O$5:$O$3004,"EM ANDAMENTO")))</f>
        <v/>
      </c>
      <c r="AA169" s="2">
        <f>IF(OR(R169="",S169="",U169&lt;&gt;"SIM",V169=0),"",IF(W169+X169=0,"",T169&amp;": "&amp;IF(W169=V169,"concluído",IF(W169=0,"em execução"&amp;IF(Z169&lt;&gt;""," ("&amp;IF(Z169=-1,"subsolo",IF(Z169=0,"térreo",Z169&amp;"º pav."))&amp;")",""),IF(Y169&lt;&gt;"","até "&amp;IF(Y169=-1,"subsolo",IF(Y169=0,"térreo",Y169&amp;"º pav.")),W169&amp;" de "&amp;V169&amp;" concluídas")&amp;IF(Z169="","",IF(OR(Y169="",Z169&gt;Y169),", executando "&amp;IF(Z169=-1,"subsolo",IF(Z169=0,"térreo",Z169&amp;"º pav."))," (restam serviços no "&amp;IF(Z169=-1,"subsolo",IF(Z169=0,"térreo",Z169&amp;"º pav."))&amp;")"))))))</f>
        <v/>
      </c>
    </row>
    <row r="170">
      <c r="B170" s="4" t="n">
        <v>28645976</v>
      </c>
      <c r="C170" s="4" t="inlineStr">
        <is>
          <t>FUNDAÇÃO SUPERFICIAL - FASE 3</t>
        </is>
      </c>
      <c r="D170" s="4" t="inlineStr">
        <is>
          <t>Escavação / Armação - BL 135</t>
        </is>
      </c>
      <c r="E170" s="4" t="inlineStr">
        <is>
          <t>SERVIÇOS INICIAIS</t>
        </is>
      </c>
      <c r="F170" s="118" t="n">
        <v>46167</v>
      </c>
      <c r="G170" s="118" t="n">
        <v>46188</v>
      </c>
      <c r="H170" s="118" t="n">
        <v>46289</v>
      </c>
      <c r="I170" s="4" t="n">
        <v>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IF(E170="","",IF(LEFT(E170,7)="SUBSOLO",-1,IF(LEFT(E170,6)="TÉRREO",0,IFERROR(VALUE(LEFT(E170,FIND("º",SUBSTITUTE(E170,"°","º"))-1)),""))))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CHECKLIST FINAL</t>
        </is>
      </c>
      <c r="S170" s="4" t="n"/>
      <c r="T170" s="4" t="inlineStr">
        <is>
          <t>Checklist final</t>
        </is>
      </c>
      <c r="U170" s="4" t="inlineStr">
        <is>
          <t>SIM</t>
        </is>
      </c>
      <c r="V170" s="2">
        <f>IF(R170="","",COUNTIF($C$5:$C$3004,R170))</f>
        <v/>
      </c>
      <c r="W170" s="2">
        <f>IF(R170="","",COUNTIFS($C$5:$C$3004,R170,$O$5:$O$3004,"CONCLUÍDA"))</f>
        <v/>
      </c>
      <c r="X170" s="2">
        <f>IF(R170="","",COUNTIFS($C$5:$C$3004,R170,$O$5:$O$3004,"EM ANDAMENTO"))</f>
        <v/>
      </c>
      <c r="Y170" s="2">
        <f>IF(R170="","",IF(COUNTIFS($C$5:$C$3004,R170,$O$5:$O$3004,"CONCLUÍDA",$N$5:$N$3004,"&gt;=-1")=0,"",_xlfn.MAXIFS($N$5:$N$3004,$C$5:$C$3004,R170,$O$5:$O$3004,"CONCLUÍDA")))</f>
        <v/>
      </c>
      <c r="Z170" s="2">
        <f>IF(R170="","",IF(COUNTIFS($C$5:$C$3004,R170,$O$5:$O$3004,"EM ANDAMENTO",$N$5:$N$3004,"&gt;=-1")=0,"",_xlfn.MAXIFS($N$5:$N$3004,$C$5:$C$3004,R170,$O$5:$O$3004,"EM ANDAMENTO")))</f>
        <v/>
      </c>
      <c r="AA170" s="2">
        <f>IF(OR(R170="",S170="",U170&lt;&gt;"SIM",V170=0),"",IF(W170+X170=0,"",T170&amp;": "&amp;IF(W170=V170,"concluído",IF(W170=0,"em execução"&amp;IF(Z170&lt;&gt;""," ("&amp;IF(Z170=-1,"subsolo",IF(Z170=0,"térreo",Z170&amp;"º pav."))&amp;")",""),IF(Y170&lt;&gt;"","até "&amp;IF(Y170=-1,"subsolo",IF(Y170=0,"térreo",Y170&amp;"º pav.")),W170&amp;" de "&amp;V170&amp;" concluídas")&amp;IF(Z170="","",IF(OR(Y170="",Z170&gt;Y170),", executando "&amp;IF(Z170=-1,"subsolo",IF(Z170=0,"térreo",Z170&amp;"º pav."))," (restam serviços no "&amp;IF(Z170=-1,"subsolo",IF(Z170=0,"térreo",Z170&amp;"º pav."))&amp;")"))))))</f>
        <v/>
      </c>
    </row>
    <row r="171">
      <c r="B171" s="4" t="n">
        <v>28645977</v>
      </c>
      <c r="C171" s="4" t="inlineStr">
        <is>
          <t>FUNDAÇÃO SUPERFICIAL - FASE 3</t>
        </is>
      </c>
      <c r="D171" s="4" t="inlineStr">
        <is>
          <t>Forma - BL  134 / 135</t>
        </is>
      </c>
      <c r="E171" s="4" t="inlineStr">
        <is>
          <t>SERVIÇOS INICIAIS</t>
        </is>
      </c>
      <c r="F171" s="118" t="n">
        <v>46167</v>
      </c>
      <c r="G171" s="118" t="n">
        <v>46213</v>
      </c>
      <c r="H171" s="118" t="n">
        <v>46289</v>
      </c>
      <c r="I171" s="4" t="n">
        <v>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IF(E171="","",IF(LEFT(E171,7)="SUBSOLO",-1,IF(LEFT(E171,6)="TÉRREO",0,IFERROR(VALUE(LEFT(E171,FIND("º",SUBSTITUTE(E171,"°","º"))-1)),""))))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ENXOVAL</t>
        </is>
      </c>
      <c r="S171" s="4" t="n"/>
      <c r="T171" s="4" t="inlineStr">
        <is>
          <t>Enxoval</t>
        </is>
      </c>
      <c r="U171" s="4" t="inlineStr">
        <is>
          <t>NÃO</t>
        </is>
      </c>
      <c r="V171" s="2">
        <f>IF(R171="","",COUNTIF($C$5:$C$3004,R171))</f>
        <v/>
      </c>
      <c r="W171" s="2">
        <f>IF(R171="","",COUNTIFS($C$5:$C$3004,R171,$O$5:$O$3004,"CONCLUÍDA"))</f>
        <v/>
      </c>
      <c r="X171" s="2">
        <f>IF(R171="","",COUNTIFS($C$5:$C$3004,R171,$O$5:$O$3004,"EM ANDAMENTO"))</f>
        <v/>
      </c>
      <c r="Y171" s="2">
        <f>IF(R171="","",IF(COUNTIFS($C$5:$C$3004,R171,$O$5:$O$3004,"CONCLUÍDA",$N$5:$N$3004,"&gt;=-1")=0,"",_xlfn.MAXIFS($N$5:$N$3004,$C$5:$C$3004,R171,$O$5:$O$3004,"CONCLUÍDA")))</f>
        <v/>
      </c>
      <c r="Z171" s="2">
        <f>IF(R171="","",IF(COUNTIFS($C$5:$C$3004,R171,$O$5:$O$3004,"EM ANDAMENTO",$N$5:$N$3004,"&gt;=-1")=0,"",_xlfn.MAXIFS($N$5:$N$3004,$C$5:$C$3004,R171,$O$5:$O$3004,"EM ANDAMENTO")))</f>
        <v/>
      </c>
      <c r="AA171" s="2">
        <f>IF(OR(R171="",S171="",U171&lt;&gt;"SIM",V171=0),"",IF(W171+X171=0,"",T171&amp;": "&amp;IF(W171=V171,"concluído",IF(W171=0,"em execução"&amp;IF(Z171&lt;&gt;""," ("&amp;IF(Z171=-1,"subsolo",IF(Z171=0,"térreo",Z171&amp;"º pav."))&amp;")",""),IF(Y171&lt;&gt;"","até "&amp;IF(Y171=-1,"subsolo",IF(Y171=0,"térreo",Y171&amp;"º pav.")),W171&amp;" de "&amp;V171&amp;" concluídas")&amp;IF(Z171="","",IF(OR(Y171="",Z171&gt;Y171),", executando "&amp;IF(Z171=-1,"subsolo",IF(Z171=0,"térreo",Z171&amp;"º pav."))," (restam serviços no "&amp;IF(Z171=-1,"subsolo",IF(Z171=0,"térreo",Z171&amp;"º pav."))&amp;")"))))))</f>
        <v/>
      </c>
    </row>
    <row r="172">
      <c r="B172" s="4" t="n">
        <v>28645978</v>
      </c>
      <c r="C172" s="4" t="inlineStr">
        <is>
          <t>FUNDAÇÃO SUPERFICIAL - FASE 3</t>
        </is>
      </c>
      <c r="D172" s="4" t="inlineStr">
        <is>
          <t>Concreto - BL 134 / 135</t>
        </is>
      </c>
      <c r="E172" s="4" t="inlineStr">
        <is>
          <t>SERVIÇOS INICIAIS</t>
        </is>
      </c>
      <c r="F172" s="118" t="n">
        <v>46213</v>
      </c>
      <c r="G172" s="118" t="n">
        <v>46213</v>
      </c>
      <c r="H172" s="118" t="n">
        <v>46289</v>
      </c>
      <c r="I172" s="4" t="n">
        <v>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IF(E172="","",IF(LEFT(E172,7)="SUBSOLO",-1,IF(LEFT(E172,6)="TÉRREO",0,IFERROR(VALUE(LEFT(E172,FIND("º",SUBSTITUTE(E172,"°","º"))-1)),""))))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VISTORIA APTOS</t>
        </is>
      </c>
      <c r="S172" s="4" t="n"/>
      <c r="T172" s="4" t="inlineStr">
        <is>
          <t>Vistoria aptos</t>
        </is>
      </c>
      <c r="U172" s="4" t="inlineStr">
        <is>
          <t>SIM</t>
        </is>
      </c>
      <c r="V172" s="2">
        <f>IF(R172="","",COUNTIF($C$5:$C$3004,R172))</f>
        <v/>
      </c>
      <c r="W172" s="2">
        <f>IF(R172="","",COUNTIFS($C$5:$C$3004,R172,$O$5:$O$3004,"CONCLUÍDA"))</f>
        <v/>
      </c>
      <c r="X172" s="2">
        <f>IF(R172="","",COUNTIFS($C$5:$C$3004,R172,$O$5:$O$3004,"EM ANDAMENTO"))</f>
        <v/>
      </c>
      <c r="Y172" s="2">
        <f>IF(R172="","",IF(COUNTIFS($C$5:$C$3004,R172,$O$5:$O$3004,"CONCLUÍDA",$N$5:$N$3004,"&gt;=-1")=0,"",_xlfn.MAXIFS($N$5:$N$3004,$C$5:$C$3004,R172,$O$5:$O$3004,"CONCLUÍDA")))</f>
        <v/>
      </c>
      <c r="Z172" s="2">
        <f>IF(R172="","",IF(COUNTIFS($C$5:$C$3004,R172,$O$5:$O$3004,"EM ANDAMENTO",$N$5:$N$3004,"&gt;=-1")=0,"",_xlfn.MAXIFS($N$5:$N$3004,$C$5:$C$3004,R172,$O$5:$O$3004,"EM ANDAMENTO")))</f>
        <v/>
      </c>
      <c r="AA172" s="2">
        <f>IF(OR(R172="",S172="",U172&lt;&gt;"SIM",V172=0),"",IF(W172+X172=0,"",T172&amp;": "&amp;IF(W172=V172,"concluído",IF(W172=0,"em execução"&amp;IF(Z172&lt;&gt;""," ("&amp;IF(Z172=-1,"subsolo",IF(Z172=0,"térreo",Z172&amp;"º pav."))&amp;")",""),IF(Y172&lt;&gt;"","até "&amp;IF(Y172=-1,"subsolo",IF(Y172=0,"térreo",Y172&amp;"º pav.")),W172&amp;" de "&amp;V172&amp;" concluídas")&amp;IF(Z172="","",IF(OR(Y172="",Z172&gt;Y172),", executando "&amp;IF(Z172=-1,"subsolo",IF(Z172=0,"térreo",Z172&amp;"º pav."))," (restam serviços no "&amp;IF(Z172=-1,"subsolo",IF(Z172=0,"térreo",Z172&amp;"º pav."))&amp;")"))))))</f>
        <v/>
      </c>
    </row>
    <row r="173">
      <c r="B173" s="4" t="n">
        <v>45337789</v>
      </c>
      <c r="C173" s="4" t="inlineStr">
        <is>
          <t>FUNDAÇÃO SUPERFICIAL - NUCLEO</t>
        </is>
      </c>
      <c r="D173" s="4" t="inlineStr">
        <is>
          <t>-</t>
        </is>
      </c>
      <c r="E173" s="4" t="inlineStr">
        <is>
          <t>SUBSOLO</t>
        </is>
      </c>
      <c r="F173" s="118" t="n">
        <v>46167</v>
      </c>
      <c r="G173" s="118" t="n">
        <v>46206</v>
      </c>
      <c r="H173" s="118" t="n">
        <v>46289</v>
      </c>
      <c r="I173" s="4" t="n">
        <v>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IF(E173="","",IF(LEFT(E173,7)="SUBSOLO",-1,IF(LEFT(E173,6)="TÉRREO",0,IFERROR(VALUE(LEFT(E173,FIND("º",SUBSTITUTE(E173,"°","º"))-1)),""))))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HABITE-SE</t>
        </is>
      </c>
      <c r="S173" s="4" t="n"/>
      <c r="T173" s="4" t="inlineStr">
        <is>
          <t>Habite-se</t>
        </is>
      </c>
      <c r="U173" s="4" t="inlineStr">
        <is>
          <t>NÃO</t>
        </is>
      </c>
      <c r="V173" s="2">
        <f>IF(R173="","",COUNTIF($C$5:$C$3004,R173))</f>
        <v/>
      </c>
      <c r="W173" s="2">
        <f>IF(R173="","",COUNTIFS($C$5:$C$3004,R173,$O$5:$O$3004,"CONCLUÍDA"))</f>
        <v/>
      </c>
      <c r="X173" s="2">
        <f>IF(R173="","",COUNTIFS($C$5:$C$3004,R173,$O$5:$O$3004,"EM ANDAMENTO"))</f>
        <v/>
      </c>
      <c r="Y173" s="2">
        <f>IF(R173="","",IF(COUNTIFS($C$5:$C$3004,R173,$O$5:$O$3004,"CONCLUÍDA",$N$5:$N$3004,"&gt;=-1")=0,"",_xlfn.MAXIFS($N$5:$N$3004,$C$5:$C$3004,R173,$O$5:$O$3004,"CONCLUÍDA")))</f>
        <v/>
      </c>
      <c r="Z173" s="2">
        <f>IF(R173="","",IF(COUNTIFS($C$5:$C$3004,R173,$O$5:$O$3004,"EM ANDAMENTO",$N$5:$N$3004,"&gt;=-1")=0,"",_xlfn.MAXIFS($N$5:$N$3004,$C$5:$C$3004,R173,$O$5:$O$3004,"EM ANDAMENTO")))</f>
        <v/>
      </c>
      <c r="AA173" s="2">
        <f>IF(OR(R173="",S173="",U173&lt;&gt;"SIM",V173=0),"",IF(W173+X173=0,"",T173&amp;": "&amp;IF(W173=V173,"concluído",IF(W173=0,"em execução"&amp;IF(Z173&lt;&gt;""," ("&amp;IF(Z173=-1,"subsolo",IF(Z173=0,"térreo",Z173&amp;"º pav."))&amp;")",""),IF(Y173&lt;&gt;"","até "&amp;IF(Y173=-1,"subsolo",IF(Y173=0,"térreo",Y173&amp;"º pav.")),W173&amp;" de "&amp;V173&amp;" concluídas")&amp;IF(Z173="","",IF(OR(Y173="",Z173&gt;Y173),", executando "&amp;IF(Z173=-1,"subsolo",IF(Z173=0,"térreo",Z173&amp;"º pav."))," (restam serviços no "&amp;IF(Z173=-1,"subsolo",IF(Z173=0,"térreo",Z173&amp;"º pav."))&amp;")"))))))</f>
        <v/>
      </c>
    </row>
    <row r="174">
      <c r="B174" s="4" t="n">
        <v>30973779</v>
      </c>
      <c r="C174" s="4" t="inlineStr">
        <is>
          <t>FUNDAÇÃO SUPERFICIAL - NUCLEO</t>
        </is>
      </c>
      <c r="D174" s="4" t="inlineStr">
        <is>
          <t>Escavação</t>
        </is>
      </c>
      <c r="E174" s="4" t="inlineStr">
        <is>
          <t>SUBSOLO</t>
        </is>
      </c>
      <c r="F174" s="118" t="n">
        <v>46167</v>
      </c>
      <c r="G174" s="118" t="n">
        <v>46171</v>
      </c>
      <c r="H174" s="118" t="n">
        <v>46289</v>
      </c>
      <c r="I174" s="4" t="n">
        <v>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IF(E174="","",IF(LEFT(E174,7)="SUBSOLO",-1,IF(LEFT(E174,6)="TÉRREO",0,IFERROR(VALUE(LEFT(E174,FIND("º",SUBSTITUTE(E174,"°","º"))-1)),""))))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ENTREGA SÍNDICO</t>
        </is>
      </c>
      <c r="S174" s="4" t="n"/>
      <c r="T174" s="4" t="inlineStr">
        <is>
          <t>Entrega síndico</t>
        </is>
      </c>
      <c r="U174" s="4" t="inlineStr">
        <is>
          <t>NÃO</t>
        </is>
      </c>
      <c r="V174" s="2">
        <f>IF(R174="","",COUNTIF($C$5:$C$3004,R174))</f>
        <v/>
      </c>
      <c r="W174" s="2">
        <f>IF(R174="","",COUNTIFS($C$5:$C$3004,R174,$O$5:$O$3004,"CONCLUÍDA"))</f>
        <v/>
      </c>
      <c r="X174" s="2">
        <f>IF(R174="","",COUNTIFS($C$5:$C$3004,R174,$O$5:$O$3004,"EM ANDAMENTO"))</f>
        <v/>
      </c>
      <c r="Y174" s="2">
        <f>IF(R174="","",IF(COUNTIFS($C$5:$C$3004,R174,$O$5:$O$3004,"CONCLUÍDA",$N$5:$N$3004,"&gt;=-1")=0,"",_xlfn.MAXIFS($N$5:$N$3004,$C$5:$C$3004,R174,$O$5:$O$3004,"CONCLUÍDA")))</f>
        <v/>
      </c>
      <c r="Z174" s="2">
        <f>IF(R174="","",IF(COUNTIFS($C$5:$C$3004,R174,$O$5:$O$3004,"EM ANDAMENTO",$N$5:$N$3004,"&gt;=-1")=0,"",_xlfn.MAXIFS($N$5:$N$3004,$C$5:$C$3004,R174,$O$5:$O$3004,"EM ANDAMENTO")))</f>
        <v/>
      </c>
      <c r="AA174" s="2">
        <f>IF(OR(R174="",S174="",U174&lt;&gt;"SIM",V174=0),"",IF(W174+X174=0,"",T174&amp;": "&amp;IF(W174=V174,"concluído",IF(W174=0,"em execução"&amp;IF(Z174&lt;&gt;""," ("&amp;IF(Z174=-1,"subsolo",IF(Z174=0,"térreo",Z174&amp;"º pav."))&amp;")",""),IF(Y174&lt;&gt;"","até "&amp;IF(Y174=-1,"subsolo",IF(Y174=0,"térreo",Y174&amp;"º pav.")),W174&amp;" de "&amp;V174&amp;" concluídas")&amp;IF(Z174="","",IF(OR(Y174="",Z174&gt;Y174),", executando "&amp;IF(Z174=-1,"subsolo",IF(Z174=0,"térreo",Z174&amp;"º pav."))," (restam serviços no "&amp;IF(Z174=-1,"subsolo",IF(Z174=0,"térreo",Z174&amp;"º pav."))&amp;")"))))))</f>
        <v/>
      </c>
    </row>
    <row r="175">
      <c r="B175" s="4" t="n">
        <v>30973780</v>
      </c>
      <c r="C175" s="4" t="inlineStr">
        <is>
          <t>FUNDAÇÃO SUPERFICIAL - NUCLEO</t>
        </is>
      </c>
      <c r="D175" s="4" t="inlineStr">
        <is>
          <t>Arrasamento</t>
        </is>
      </c>
      <c r="E175" s="4" t="inlineStr">
        <is>
          <t>SUBSOLO</t>
        </is>
      </c>
      <c r="F175" s="118" t="n">
        <v>46174</v>
      </c>
      <c r="G175" s="118" t="n">
        <v>46181</v>
      </c>
      <c r="H175" s="118" t="n">
        <v>46289</v>
      </c>
      <c r="I175" s="4" t="n">
        <v>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IF(E175="","",IF(LEFT(E175,7)="SUBSOLO",-1,IF(LEFT(E175,6)="TÉRREO",0,IFERROR(VALUE(LEFT(E175,FIND("º",SUBSTITUTE(E175,"°","º"))-1)),""))))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IF(R175="","",COUNTIF($C$5:$C$3004,R175))</f>
        <v/>
      </c>
      <c r="W175" s="2">
        <f>IF(R175="","",COUNTIFS($C$5:$C$3004,R175,$O$5:$O$3004,"CONCLUÍDA"))</f>
        <v/>
      </c>
      <c r="X175" s="2">
        <f>IF(R175="","",COUNTIFS($C$5:$C$3004,R175,$O$5:$O$3004,"EM ANDAMENTO"))</f>
        <v/>
      </c>
      <c r="Y175" s="2">
        <f>IF(R175="","",IF(COUNTIFS($C$5:$C$3004,R175,$O$5:$O$3004,"CONCLUÍDA",$N$5:$N$3004,"&gt;=-1")=0,"",_xlfn.MAXIFS($N$5:$N$3004,$C$5:$C$3004,R175,$O$5:$O$3004,"CONCLUÍDA")))</f>
        <v/>
      </c>
      <c r="Z175" s="2">
        <f>IF(R175="","",IF(COUNTIFS($C$5:$C$3004,R175,$O$5:$O$3004,"EM ANDAMENTO",$N$5:$N$3004,"&gt;=-1")=0,"",_xlfn.MAXIFS($N$5:$N$3004,$C$5:$C$3004,R175,$O$5:$O$3004,"EM ANDAMENTO")))</f>
        <v/>
      </c>
      <c r="AA175" s="2">
        <f>IF(OR(R175="",S175="",U175&lt;&gt;"SIM",V175=0),"",IF(W175+X175=0,"",T175&amp;": "&amp;IF(W175=V175,"concluído",IF(W175=0,"em execução"&amp;IF(Z175&lt;&gt;""," ("&amp;IF(Z175=-1,"subsolo",IF(Z175=0,"térreo",Z175&amp;"º pav."))&amp;")",""),IF(Y175&lt;&gt;"","até "&amp;IF(Y175=-1,"subsolo",IF(Y175=0,"térreo",Y175&amp;"º pav.")),W175&amp;" de "&amp;V175&amp;" concluídas")&amp;IF(Z175="","",IF(OR(Y175="",Z175&gt;Y175),", executando "&amp;IF(Z175=-1,"subsolo",IF(Z175=0,"térreo",Z175&amp;"º pav."))," (restam serviços no "&amp;IF(Z175=-1,"subsolo",IF(Z175=0,"térreo",Z175&amp;"º pav."))&amp;")"))))))</f>
        <v/>
      </c>
    </row>
    <row r="176">
      <c r="B176" s="4" t="n">
        <v>30973781</v>
      </c>
      <c r="C176" s="4" t="inlineStr">
        <is>
          <t>FUNDAÇÃO SUPERFICIAL - NUCLEO</t>
        </is>
      </c>
      <c r="D176" s="4" t="inlineStr">
        <is>
          <t>Forma e Armação</t>
        </is>
      </c>
      <c r="E176" s="4" t="inlineStr">
        <is>
          <t>SUBSOLO</t>
        </is>
      </c>
      <c r="F176" s="118" t="n">
        <v>46182</v>
      </c>
      <c r="G176" s="118" t="n">
        <v>46195</v>
      </c>
      <c r="H176" s="118" t="n">
        <v>46289</v>
      </c>
      <c r="I176" s="4" t="n">
        <v>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IF(E176="","",IF(LEFT(E176,7)="SUBSOLO",-1,IF(LEFT(E176,6)="TÉRREO",0,IFERROR(VALUE(LEFT(E176,FIND("º",SUBSTITUTE(E176,"°","º"))-1)),""))))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IF(R176="","",COUNTIF($C$5:$C$3004,R176))</f>
        <v/>
      </c>
      <c r="W176" s="2">
        <f>IF(R176="","",COUNTIFS($C$5:$C$3004,R176,$O$5:$O$3004,"CONCLUÍDA"))</f>
        <v/>
      </c>
      <c r="X176" s="2">
        <f>IF(R176="","",COUNTIFS($C$5:$C$3004,R176,$O$5:$O$3004,"EM ANDAMENTO"))</f>
        <v/>
      </c>
      <c r="Y176" s="2">
        <f>IF(R176="","",IF(COUNTIFS($C$5:$C$3004,R176,$O$5:$O$3004,"CONCLUÍDA",$N$5:$N$3004,"&gt;=-1")=0,"",_xlfn.MAXIFS($N$5:$N$3004,$C$5:$C$3004,R176,$O$5:$O$3004,"CONCLUÍDA")))</f>
        <v/>
      </c>
      <c r="Z176" s="2">
        <f>IF(R176="","",IF(COUNTIFS($C$5:$C$3004,R176,$O$5:$O$3004,"EM ANDAMENTO",$N$5:$N$3004,"&gt;=-1")=0,"",_xlfn.MAXIFS($N$5:$N$3004,$C$5:$C$3004,R176,$O$5:$O$3004,"EM ANDAMENTO")))</f>
        <v/>
      </c>
      <c r="AA176" s="2">
        <f>IF(OR(R176="",S176="",U176&lt;&gt;"SIM",V176=0),"",IF(W176+X176=0,"",T176&amp;": "&amp;IF(W176=V176,"concluído",IF(W176=0,"em execução"&amp;IF(Z176&lt;&gt;""," ("&amp;IF(Z176=-1,"subsolo",IF(Z176=0,"térreo",Z176&amp;"º pav."))&amp;")",""),IF(Y176&lt;&gt;"","até "&amp;IF(Y176=-1,"subsolo",IF(Y176=0,"térreo",Y176&amp;"º pav.")),W176&amp;" de "&amp;V176&amp;" concluídas")&amp;IF(Z176="","",IF(OR(Y176="",Z176&gt;Y176),", executando "&amp;IF(Z176=-1,"subsolo",IF(Z176=0,"térreo",Z176&amp;"º pav."))," (restam serviços no "&amp;IF(Z176=-1,"subsolo",IF(Z176=0,"térreo",Z176&amp;"º pav."))&amp;")"))))))</f>
        <v/>
      </c>
    </row>
    <row r="177">
      <c r="B177" s="4" t="n">
        <v>30973782</v>
      </c>
      <c r="C177" s="4" t="inlineStr">
        <is>
          <t>FUNDAÇÃO SUPERFICIAL - NUCLEO</t>
        </is>
      </c>
      <c r="D177" s="4" t="inlineStr">
        <is>
          <t>Concreto</t>
        </is>
      </c>
      <c r="E177" s="4" t="inlineStr">
        <is>
          <t>SUBSOLO</t>
        </is>
      </c>
      <c r="F177" s="118" t="n">
        <v>46196</v>
      </c>
      <c r="G177" s="118" t="n">
        <v>46199</v>
      </c>
      <c r="H177" s="118" t="n">
        <v>46289</v>
      </c>
      <c r="I177" s="4" t="n">
        <v>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IF(E177="","",IF(LEFT(E177,7)="SUBSOLO",-1,IF(LEFT(E177,6)="TÉRREO",0,IFERROR(VALUE(LEFT(E177,FIND("º",SUBSTITUTE(E177,"°","º"))-1)),""))))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IF(R177="","",COUNTIF($C$5:$C$3004,R177))</f>
        <v/>
      </c>
      <c r="W177" s="2">
        <f>IF(R177="","",COUNTIFS($C$5:$C$3004,R177,$O$5:$O$3004,"CONCLUÍDA"))</f>
        <v/>
      </c>
      <c r="X177" s="2">
        <f>IF(R177="","",COUNTIFS($C$5:$C$3004,R177,$O$5:$O$3004,"EM ANDAMENTO"))</f>
        <v/>
      </c>
      <c r="Y177" s="2">
        <f>IF(R177="","",IF(COUNTIFS($C$5:$C$3004,R177,$O$5:$O$3004,"CONCLUÍDA",$N$5:$N$3004,"&gt;=-1")=0,"",_xlfn.MAXIFS($N$5:$N$3004,$C$5:$C$3004,R177,$O$5:$O$3004,"CONCLUÍDA")))</f>
        <v/>
      </c>
      <c r="Z177" s="2">
        <f>IF(R177="","",IF(COUNTIFS($C$5:$C$3004,R177,$O$5:$O$3004,"EM ANDAMENTO",$N$5:$N$3004,"&gt;=-1")=0,"",_xlfn.MAXIFS($N$5:$N$3004,$C$5:$C$3004,R177,$O$5:$O$3004,"EM ANDAMENTO")))</f>
        <v/>
      </c>
      <c r="AA177" s="2">
        <f>IF(OR(R177="",S177="",U177&lt;&gt;"SIM",V177=0),"",IF(W177+X177=0,"",T177&amp;": "&amp;IF(W177=V177,"concluído",IF(W177=0,"em execução"&amp;IF(Z177&lt;&gt;""," ("&amp;IF(Z177=-1,"subsolo",IF(Z177=0,"térreo",Z177&amp;"º pav."))&amp;")",""),IF(Y177&lt;&gt;"","até "&amp;IF(Y177=-1,"subsolo",IF(Y177=0,"térreo",Y177&amp;"º pav.")),W177&amp;" de "&amp;V177&amp;" concluídas")&amp;IF(Z177="","",IF(OR(Y177="",Z177&gt;Y177),", executando "&amp;IF(Z177=-1,"subsolo",IF(Z177=0,"térreo",Z177&amp;"º pav."))," (restam serviços no "&amp;IF(Z177=-1,"subsolo",IF(Z177=0,"térreo",Z177&amp;"º pav."))&amp;")"))))))</f>
        <v/>
      </c>
    </row>
    <row r="178">
      <c r="B178" s="4" t="n">
        <v>30973791</v>
      </c>
      <c r="C178" s="4" t="inlineStr">
        <is>
          <t>FUNDAÇÃO SUPERFICIAL - NUCLEO</t>
        </is>
      </c>
      <c r="D178" s="4" t="inlineStr">
        <is>
          <t>Desforma e Aterramento</t>
        </is>
      </c>
      <c r="E178" s="4" t="inlineStr">
        <is>
          <t>SUBSOLO</t>
        </is>
      </c>
      <c r="F178" s="118" t="n">
        <v>46202</v>
      </c>
      <c r="G178" s="118" t="n">
        <v>46206</v>
      </c>
      <c r="H178" s="118" t="n">
        <v>46289</v>
      </c>
      <c r="I178" s="4" t="n">
        <v>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IF(E178="","",IF(LEFT(E178,7)="SUBSOLO",-1,IF(LEFT(E178,6)="TÉRREO",0,IFERROR(VALUE(LEFT(E178,FIND("º",SUBSTITUTE(E178,"°","º"))-1)),""))))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IF(R178="","",COUNTIF($C$5:$C$3004,R178))</f>
        <v/>
      </c>
      <c r="W178" s="2">
        <f>IF(R178="","",COUNTIFS($C$5:$C$3004,R178,$O$5:$O$3004,"CONCLUÍDA"))</f>
        <v/>
      </c>
      <c r="X178" s="2">
        <f>IF(R178="","",COUNTIFS($C$5:$C$3004,R178,$O$5:$O$3004,"EM ANDAMENTO"))</f>
        <v/>
      </c>
      <c r="Y178" s="2">
        <f>IF(R178="","",IF(COUNTIFS($C$5:$C$3004,R178,$O$5:$O$3004,"CONCLUÍDA",$N$5:$N$3004,"&gt;=-1")=0,"",_xlfn.MAXIFS($N$5:$N$3004,$C$5:$C$3004,R178,$O$5:$O$3004,"CONCLUÍDA")))</f>
        <v/>
      </c>
      <c r="Z178" s="2">
        <f>IF(R178="","",IF(COUNTIFS($C$5:$C$3004,R178,$O$5:$O$3004,"EM ANDAMENTO",$N$5:$N$3004,"&gt;=-1")=0,"",_xlfn.MAXIFS($N$5:$N$3004,$C$5:$C$3004,R178,$O$5:$O$3004,"EM ANDAMENTO")))</f>
        <v/>
      </c>
      <c r="AA178" s="2">
        <f>IF(OR(R178="",S178="",U178&lt;&gt;"SIM",V178=0),"",IF(W178+X178=0,"",T178&amp;": "&amp;IF(W178=V178,"concluído",IF(W178=0,"em execução"&amp;IF(Z178&lt;&gt;""," ("&amp;IF(Z178=-1,"subsolo",IF(Z178=0,"térreo",Z178&amp;"º pav."))&amp;")",""),IF(Y178&lt;&gt;"","até "&amp;IF(Y178=-1,"subsolo",IF(Y178=0,"térreo",Y178&amp;"º pav.")),W178&amp;" de "&amp;V178&amp;" concluídas")&amp;IF(Z178="","",IF(OR(Y178="",Z178&gt;Y178),", executando "&amp;IF(Z178=-1,"subsolo",IF(Z178=0,"térreo",Z178&amp;"º pav."))," (restam serviços no "&amp;IF(Z178=-1,"subsolo",IF(Z178=0,"térreo",Z178&amp;"º pav."))&amp;")"))))))</f>
        <v/>
      </c>
    </row>
    <row r="179">
      <c r="B179" s="4" t="n">
        <v>44503963</v>
      </c>
      <c r="C179" s="4" t="inlineStr">
        <is>
          <t>FUNDAÇÃO SUPERFICIAL - FASE 4</t>
        </is>
      </c>
      <c r="D179" s="4" t="inlineStr">
        <is>
          <t>-</t>
        </is>
      </c>
      <c r="E179" s="4" t="inlineStr">
        <is>
          <t>SERVIÇOS INICIAIS</t>
        </is>
      </c>
      <c r="F179" s="118" t="n">
        <v>46174</v>
      </c>
      <c r="G179" s="118" t="n">
        <v>46213</v>
      </c>
      <c r="H179" s="118" t="n">
        <v>46289</v>
      </c>
      <c r="I179" s="4" t="n">
        <v>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IF(E179="","",IF(LEFT(E179,7)="SUBSOLO",-1,IF(LEFT(E179,6)="TÉRREO",0,IFERROR(VALUE(LEFT(E179,FIND("º",SUBSTITUTE(E179,"°","º"))-1)),""))))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IF(R179="","",COUNTIF($C$5:$C$3004,R179))</f>
        <v/>
      </c>
      <c r="W179" s="2">
        <f>IF(R179="","",COUNTIFS($C$5:$C$3004,R179,$O$5:$O$3004,"CONCLUÍDA"))</f>
        <v/>
      </c>
      <c r="X179" s="2">
        <f>IF(R179="","",COUNTIFS($C$5:$C$3004,R179,$O$5:$O$3004,"EM ANDAMENTO"))</f>
        <v/>
      </c>
      <c r="Y179" s="2">
        <f>IF(R179="","",IF(COUNTIFS($C$5:$C$3004,R179,$O$5:$O$3004,"CONCLUÍDA",$N$5:$N$3004,"&gt;=-1")=0,"",_xlfn.MAXIFS($N$5:$N$3004,$C$5:$C$3004,R179,$O$5:$O$3004,"CONCLUÍDA")))</f>
        <v/>
      </c>
      <c r="Z179" s="2">
        <f>IF(R179="","",IF(COUNTIFS($C$5:$C$3004,R179,$O$5:$O$3004,"EM ANDAMENTO",$N$5:$N$3004,"&gt;=-1")=0,"",_xlfn.MAXIFS($N$5:$N$3004,$C$5:$C$3004,R179,$O$5:$O$3004,"EM ANDAMENTO")))</f>
        <v/>
      </c>
      <c r="AA179" s="2">
        <f>IF(OR(R179="",S179="",U179&lt;&gt;"SIM",V179=0),"",IF(W179+X179=0,"",T179&amp;": "&amp;IF(W179=V179,"concluído",IF(W179=0,"em execução"&amp;IF(Z179&lt;&gt;""," ("&amp;IF(Z179=-1,"subsolo",IF(Z179=0,"térreo",Z179&amp;"º pav."))&amp;")",""),IF(Y179&lt;&gt;"","até "&amp;IF(Y179=-1,"subsolo",IF(Y179=0,"térreo",Y179&amp;"º pav.")),W179&amp;" de "&amp;V179&amp;" concluídas")&amp;IF(Z179="","",IF(OR(Y179="",Z179&gt;Y179),", executando "&amp;IF(Z179=-1,"subsolo",IF(Z179=0,"térreo",Z179&amp;"º pav."))," (restam serviços no "&amp;IF(Z179=-1,"subsolo",IF(Z179=0,"térreo",Z179&amp;"º pav."))&amp;")"))))))</f>
        <v/>
      </c>
    </row>
    <row r="180">
      <c r="B180" s="4" t="n">
        <v>28389436</v>
      </c>
      <c r="C180" s="4" t="inlineStr">
        <is>
          <t>FUNDAÇÃO SUPERFICIAL - FASE 4</t>
        </is>
      </c>
      <c r="D180" s="4" t="inlineStr">
        <is>
          <t>Escavação / Arrasamento - BL 14 / 122</t>
        </is>
      </c>
      <c r="E180" s="4" t="inlineStr">
        <is>
          <t>SERVIÇOS INICIAIS</t>
        </is>
      </c>
      <c r="F180" s="118" t="n">
        <v>46174</v>
      </c>
      <c r="G180" s="118" t="n">
        <v>46184</v>
      </c>
      <c r="H180" s="118" t="n">
        <v>46289</v>
      </c>
      <c r="I180" s="4" t="n">
        <v>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IF(E180="","",IF(LEFT(E180,7)="SUBSOLO",-1,IF(LEFT(E180,6)="TÉRREO",0,IFERROR(VALUE(LEFT(E180,FIND("º",SUBSTITUTE(E180,"°","º"))-1)),""))))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IF(R180="","",COUNTIF($C$5:$C$3004,R180))</f>
        <v/>
      </c>
      <c r="W180" s="2">
        <f>IF(R180="","",COUNTIFS($C$5:$C$3004,R180,$O$5:$O$3004,"CONCLUÍDA"))</f>
        <v/>
      </c>
      <c r="X180" s="2">
        <f>IF(R180="","",COUNTIFS($C$5:$C$3004,R180,$O$5:$O$3004,"EM ANDAMENTO"))</f>
        <v/>
      </c>
      <c r="Y180" s="2">
        <f>IF(R180="","",IF(COUNTIFS($C$5:$C$3004,R180,$O$5:$O$3004,"CONCLUÍDA",$N$5:$N$3004,"&gt;=-1")=0,"",_xlfn.MAXIFS($N$5:$N$3004,$C$5:$C$3004,R180,$O$5:$O$3004,"CONCLUÍDA")))</f>
        <v/>
      </c>
      <c r="Z180" s="2">
        <f>IF(R180="","",IF(COUNTIFS($C$5:$C$3004,R180,$O$5:$O$3004,"EM ANDAMENTO",$N$5:$N$3004,"&gt;=-1")=0,"",_xlfn.MAXIFS($N$5:$N$3004,$C$5:$C$3004,R180,$O$5:$O$3004,"EM ANDAMENTO")))</f>
        <v/>
      </c>
      <c r="AA180" s="2">
        <f>IF(OR(R180="",S180="",U180&lt;&gt;"SIM",V180=0),"",IF(W180+X180=0,"",T180&amp;": "&amp;IF(W180=V180,"concluído",IF(W180=0,"em execução"&amp;IF(Z180&lt;&gt;""," ("&amp;IF(Z180=-1,"subsolo",IF(Z180=0,"térreo",Z180&amp;"º pav."))&amp;")",""),IF(Y180&lt;&gt;"","até "&amp;IF(Y180=-1,"subsolo",IF(Y180=0,"térreo",Y180&amp;"º pav.")),W180&amp;" de "&amp;V180&amp;" concluídas")&amp;IF(Z180="","",IF(OR(Y180="",Z180&gt;Y180),", executando "&amp;IF(Z180=-1,"subsolo",IF(Z180=0,"térreo",Z180&amp;"º pav."))," (restam serviços no "&amp;IF(Z180=-1,"subsolo",IF(Z180=0,"térreo",Z180&amp;"º pav."))&amp;")"))))))</f>
        <v/>
      </c>
    </row>
    <row r="181">
      <c r="B181" s="4" t="n">
        <v>28389437</v>
      </c>
      <c r="C181" s="4" t="inlineStr">
        <is>
          <t>FUNDAÇÃO SUPERFICIAL - FASE 4</t>
        </is>
      </c>
      <c r="D181" s="4" t="inlineStr">
        <is>
          <t>Escavação / Arrasamento - BL 10 / 19 / 124 / 127</t>
        </is>
      </c>
      <c r="E181" s="4" t="inlineStr">
        <is>
          <t>SERVIÇOS INICIAIS</t>
        </is>
      </c>
      <c r="F181" s="118" t="n">
        <v>46185</v>
      </c>
      <c r="G181" s="118" t="n">
        <v>46192</v>
      </c>
      <c r="H181" s="118" t="n">
        <v>46289</v>
      </c>
      <c r="I181" s="4" t="n">
        <v>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IF(E181="","",IF(LEFT(E181,7)="SUBSOLO",-1,IF(LEFT(E181,6)="TÉRREO",0,IFERROR(VALUE(LEFT(E181,FIND("º",SUBSTITUTE(E181,"°","º"))-1)),""))))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IF(R181="","",COUNTIF($C$5:$C$3004,R181))</f>
        <v/>
      </c>
      <c r="W181" s="2">
        <f>IF(R181="","",COUNTIFS($C$5:$C$3004,R181,$O$5:$O$3004,"CONCLUÍDA"))</f>
        <v/>
      </c>
      <c r="X181" s="2">
        <f>IF(R181="","",COUNTIFS($C$5:$C$3004,R181,$O$5:$O$3004,"EM ANDAMENTO"))</f>
        <v/>
      </c>
      <c r="Y181" s="2">
        <f>IF(R181="","",IF(COUNTIFS($C$5:$C$3004,R181,$O$5:$O$3004,"CONCLUÍDA",$N$5:$N$3004,"&gt;=-1")=0,"",_xlfn.MAXIFS($N$5:$N$3004,$C$5:$C$3004,R181,$O$5:$O$3004,"CONCLUÍDA")))</f>
        <v/>
      </c>
      <c r="Z181" s="2">
        <f>IF(R181="","",IF(COUNTIFS($C$5:$C$3004,R181,$O$5:$O$3004,"EM ANDAMENTO",$N$5:$N$3004,"&gt;=-1")=0,"",_xlfn.MAXIFS($N$5:$N$3004,$C$5:$C$3004,R181,$O$5:$O$3004,"EM ANDAMENTO")))</f>
        <v/>
      </c>
      <c r="AA181" s="2">
        <f>IF(OR(R181="",S181="",U181&lt;&gt;"SIM",V181=0),"",IF(W181+X181=0,"",T181&amp;": "&amp;IF(W181=V181,"concluído",IF(W181=0,"em execução"&amp;IF(Z181&lt;&gt;""," ("&amp;IF(Z181=-1,"subsolo",IF(Z181=0,"térreo",Z181&amp;"º pav."))&amp;")",""),IF(Y181&lt;&gt;"","até "&amp;IF(Y181=-1,"subsolo",IF(Y181=0,"térreo",Y181&amp;"º pav.")),W181&amp;" de "&amp;V181&amp;" concluídas")&amp;IF(Z181="","",IF(OR(Y181="",Z181&gt;Y181),", executando "&amp;IF(Z181=-1,"subsolo",IF(Z181=0,"térreo",Z181&amp;"º pav."))," (restam serviços no "&amp;IF(Z181=-1,"subsolo",IF(Z181=0,"térreo",Z181&amp;"º pav."))&amp;")"))))))</f>
        <v/>
      </c>
    </row>
    <row r="182">
      <c r="B182" s="4" t="n">
        <v>28389438</v>
      </c>
      <c r="C182" s="4" t="inlineStr">
        <is>
          <t>FUNDAÇÃO SUPERFICIAL - FASE 4</t>
        </is>
      </c>
      <c r="D182" s="4" t="inlineStr">
        <is>
          <t xml:space="preserve">Armação - BL 14 / 122 </t>
        </is>
      </c>
      <c r="E182" s="4" t="inlineStr">
        <is>
          <t>SERVIÇOS INICIAIS</t>
        </is>
      </c>
      <c r="F182" s="118" t="n">
        <v>46185</v>
      </c>
      <c r="G182" s="118" t="n">
        <v>46188</v>
      </c>
      <c r="H182" s="118" t="n">
        <v>46289</v>
      </c>
      <c r="I182" s="4" t="n">
        <v>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IF(E182="","",IF(LEFT(E182,7)="SUBSOLO",-1,IF(LEFT(E182,6)="TÉRREO",0,IFERROR(VALUE(LEFT(E182,FIND("º",SUBSTITUTE(E182,"°","º"))-1)),""))))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IF(R182="","",COUNTIF($C$5:$C$3004,R182))</f>
        <v/>
      </c>
      <c r="W182" s="2">
        <f>IF(R182="","",COUNTIFS($C$5:$C$3004,R182,$O$5:$O$3004,"CONCLUÍDA"))</f>
        <v/>
      </c>
      <c r="X182" s="2">
        <f>IF(R182="","",COUNTIFS($C$5:$C$3004,R182,$O$5:$O$3004,"EM ANDAMENTO"))</f>
        <v/>
      </c>
      <c r="Y182" s="2">
        <f>IF(R182="","",IF(COUNTIFS($C$5:$C$3004,R182,$O$5:$O$3004,"CONCLUÍDA",$N$5:$N$3004,"&gt;=-1")=0,"",_xlfn.MAXIFS($N$5:$N$3004,$C$5:$C$3004,R182,$O$5:$O$3004,"CONCLUÍDA")))</f>
        <v/>
      </c>
      <c r="Z182" s="2">
        <f>IF(R182="","",IF(COUNTIFS($C$5:$C$3004,R182,$O$5:$O$3004,"EM ANDAMENTO",$N$5:$N$3004,"&gt;=-1")=0,"",_xlfn.MAXIFS($N$5:$N$3004,$C$5:$C$3004,R182,$O$5:$O$3004,"EM ANDAMENTO")))</f>
        <v/>
      </c>
      <c r="AA182" s="2">
        <f>IF(OR(R182="",S182="",U182&lt;&gt;"SIM",V182=0),"",IF(W182+X182=0,"",T182&amp;": "&amp;IF(W182=V182,"concluído",IF(W182=0,"em execução"&amp;IF(Z182&lt;&gt;""," ("&amp;IF(Z182=-1,"subsolo",IF(Z182=0,"térreo",Z182&amp;"º pav."))&amp;")",""),IF(Y182&lt;&gt;"","até "&amp;IF(Y182=-1,"subsolo",IF(Y182=0,"térreo",Y182&amp;"º pav.")),W182&amp;" de "&amp;V182&amp;" concluídas")&amp;IF(Z182="","",IF(OR(Y182="",Z182&gt;Y182),", executando "&amp;IF(Z182=-1,"subsolo",IF(Z182=0,"térreo",Z182&amp;"º pav."))," (restam serviços no "&amp;IF(Z182=-1,"subsolo",IF(Z182=0,"térreo",Z182&amp;"º pav."))&amp;")"))))))</f>
        <v/>
      </c>
    </row>
    <row r="183">
      <c r="B183" s="4" t="n">
        <v>28389439</v>
      </c>
      <c r="C183" s="4" t="inlineStr">
        <is>
          <t>FUNDAÇÃO SUPERFICIAL - FASE 4</t>
        </is>
      </c>
      <c r="D183" s="4" t="inlineStr">
        <is>
          <t xml:space="preserve">Forma - BL 14 / 122 </t>
        </is>
      </c>
      <c r="E183" s="4" t="inlineStr">
        <is>
          <t>SERVIÇOS INICIAIS</t>
        </is>
      </c>
      <c r="F183" s="118" t="n">
        <v>46189</v>
      </c>
      <c r="G183" s="118" t="n">
        <v>46192</v>
      </c>
      <c r="H183" s="118" t="n">
        <v>46289</v>
      </c>
      <c r="I183" s="4" t="n">
        <v>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IF(E183="","",IF(LEFT(E183,7)="SUBSOLO",-1,IF(LEFT(E183,6)="TÉRREO",0,IFERROR(VALUE(LEFT(E183,FIND("º",SUBSTITUTE(E183,"°","º"))-1)),""))))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IF(R183="","",COUNTIF($C$5:$C$3004,R183))</f>
        <v/>
      </c>
      <c r="W183" s="2">
        <f>IF(R183="","",COUNTIFS($C$5:$C$3004,R183,$O$5:$O$3004,"CONCLUÍDA"))</f>
        <v/>
      </c>
      <c r="X183" s="2">
        <f>IF(R183="","",COUNTIFS($C$5:$C$3004,R183,$O$5:$O$3004,"EM ANDAMENTO"))</f>
        <v/>
      </c>
      <c r="Y183" s="2">
        <f>IF(R183="","",IF(COUNTIFS($C$5:$C$3004,R183,$O$5:$O$3004,"CONCLUÍDA",$N$5:$N$3004,"&gt;=-1")=0,"",_xlfn.MAXIFS($N$5:$N$3004,$C$5:$C$3004,R183,$O$5:$O$3004,"CONCLUÍDA")))</f>
        <v/>
      </c>
      <c r="Z183" s="2">
        <f>IF(R183="","",IF(COUNTIFS($C$5:$C$3004,R183,$O$5:$O$3004,"EM ANDAMENTO",$N$5:$N$3004,"&gt;=-1")=0,"",_xlfn.MAXIFS($N$5:$N$3004,$C$5:$C$3004,R183,$O$5:$O$3004,"EM ANDAMENTO")))</f>
        <v/>
      </c>
      <c r="AA183" s="2">
        <f>IF(OR(R183="",S183="",U183&lt;&gt;"SIM",V183=0),"",IF(W183+X183=0,"",T183&amp;": "&amp;IF(W183=V183,"concluído",IF(W183=0,"em execução"&amp;IF(Z183&lt;&gt;""," ("&amp;IF(Z183=-1,"subsolo",IF(Z183=0,"térreo",Z183&amp;"º pav."))&amp;")",""),IF(Y183&lt;&gt;"","até "&amp;IF(Y183=-1,"subsolo",IF(Y183=0,"térreo",Y183&amp;"º pav.")),W183&amp;" de "&amp;V183&amp;" concluídas")&amp;IF(Z183="","",IF(OR(Y183="",Z183&gt;Y183),", executando "&amp;IF(Z183=-1,"subsolo",IF(Z183=0,"térreo",Z183&amp;"º pav."))," (restam serviços no "&amp;IF(Z183=-1,"subsolo",IF(Z183=0,"térreo",Z183&amp;"º pav."))&amp;")"))))))</f>
        <v/>
      </c>
    </row>
    <row r="184">
      <c r="B184" s="4" t="n">
        <v>28389440</v>
      </c>
      <c r="C184" s="4" t="inlineStr">
        <is>
          <t>FUNDAÇÃO SUPERFICIAL - FASE 4</t>
        </is>
      </c>
      <c r="D184" s="4" t="inlineStr">
        <is>
          <t>Concreto - BL 14 / 122</t>
        </is>
      </c>
      <c r="E184" s="4" t="inlineStr">
        <is>
          <t>SERVIÇOS INICIAIS</t>
        </is>
      </c>
      <c r="F184" s="118" t="n">
        <v>46192</v>
      </c>
      <c r="G184" s="118" t="n">
        <v>46192</v>
      </c>
      <c r="H184" s="118" t="n">
        <v>46289</v>
      </c>
      <c r="I184" s="4" t="n">
        <v>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IF(E184="","",IF(LEFT(E184,7)="SUBSOLO",-1,IF(LEFT(E184,6)="TÉRREO",0,IFERROR(VALUE(LEFT(E184,FIND("º",SUBSTITUTE(E184,"°","º"))-1)),""))))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IF(R184="","",COUNTIF($C$5:$C$3004,R184))</f>
        <v/>
      </c>
      <c r="W184" s="2">
        <f>IF(R184="","",COUNTIFS($C$5:$C$3004,R184,$O$5:$O$3004,"CONCLUÍDA"))</f>
        <v/>
      </c>
      <c r="X184" s="2">
        <f>IF(R184="","",COUNTIFS($C$5:$C$3004,R184,$O$5:$O$3004,"EM ANDAMENTO"))</f>
        <v/>
      </c>
      <c r="Y184" s="2">
        <f>IF(R184="","",IF(COUNTIFS($C$5:$C$3004,R184,$O$5:$O$3004,"CONCLUÍDA",$N$5:$N$3004,"&gt;=-1")=0,"",_xlfn.MAXIFS($N$5:$N$3004,$C$5:$C$3004,R184,$O$5:$O$3004,"CONCLUÍDA")))</f>
        <v/>
      </c>
      <c r="Z184" s="2">
        <f>IF(R184="","",IF(COUNTIFS($C$5:$C$3004,R184,$O$5:$O$3004,"EM ANDAMENTO",$N$5:$N$3004,"&gt;=-1")=0,"",_xlfn.MAXIFS($N$5:$N$3004,$C$5:$C$3004,R184,$O$5:$O$3004,"EM ANDAMENTO")))</f>
        <v/>
      </c>
      <c r="AA184" s="2">
        <f>IF(OR(R184="",S184="",U184&lt;&gt;"SIM",V184=0),"",IF(W184+X184=0,"",T184&amp;": "&amp;IF(W184=V184,"concluído",IF(W184=0,"em execução"&amp;IF(Z184&lt;&gt;""," ("&amp;IF(Z184=-1,"subsolo",IF(Z184=0,"térreo",Z184&amp;"º pav."))&amp;")",""),IF(Y184&lt;&gt;"","até "&amp;IF(Y184=-1,"subsolo",IF(Y184=0,"térreo",Y184&amp;"º pav.")),W184&amp;" de "&amp;V184&amp;" concluídas")&amp;IF(Z184="","",IF(OR(Y184="",Z184&gt;Y184),", executando "&amp;IF(Z184=-1,"subsolo",IF(Z184=0,"térreo",Z184&amp;"º pav."))," (restam serviços no "&amp;IF(Z184=-1,"subsolo",IF(Z184=0,"térreo",Z184&amp;"º pav."))&amp;")"))))))</f>
        <v/>
      </c>
    </row>
    <row r="185">
      <c r="B185" s="4" t="n">
        <v>28645979</v>
      </c>
      <c r="C185" s="4" t="inlineStr">
        <is>
          <t>FUNDAÇÃO SUPERFICIAL - FASE 4</t>
        </is>
      </c>
      <c r="D185" s="4" t="inlineStr">
        <is>
          <t>Armação - BL 10 / 19 / 124 / 127</t>
        </is>
      </c>
      <c r="E185" s="4" t="inlineStr">
        <is>
          <t>SERVIÇOS INICIAIS</t>
        </is>
      </c>
      <c r="F185" s="118" t="n">
        <v>46195</v>
      </c>
      <c r="G185" s="118" t="n">
        <v>46206</v>
      </c>
      <c r="H185" s="118" t="n">
        <v>46289</v>
      </c>
      <c r="I185" s="4" t="n">
        <v>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IF(E185="","",IF(LEFT(E185,7)="SUBSOLO",-1,IF(LEFT(E185,6)="TÉRREO",0,IFERROR(VALUE(LEFT(E185,FIND("º",SUBSTITUTE(E185,"°","º"))-1)),""))))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IF(R185="","",COUNTIF($C$5:$C$3004,R185))</f>
        <v/>
      </c>
      <c r="W185" s="2">
        <f>IF(R185="","",COUNTIFS($C$5:$C$3004,R185,$O$5:$O$3004,"CONCLUÍDA"))</f>
        <v/>
      </c>
      <c r="X185" s="2">
        <f>IF(R185="","",COUNTIFS($C$5:$C$3004,R185,$O$5:$O$3004,"EM ANDAMENTO"))</f>
        <v/>
      </c>
      <c r="Y185" s="2">
        <f>IF(R185="","",IF(COUNTIFS($C$5:$C$3004,R185,$O$5:$O$3004,"CONCLUÍDA",$N$5:$N$3004,"&gt;=-1")=0,"",_xlfn.MAXIFS($N$5:$N$3004,$C$5:$C$3004,R185,$O$5:$O$3004,"CONCLUÍDA")))</f>
        <v/>
      </c>
      <c r="Z185" s="2">
        <f>IF(R185="","",IF(COUNTIFS($C$5:$C$3004,R185,$O$5:$O$3004,"EM ANDAMENTO",$N$5:$N$3004,"&gt;=-1")=0,"",_xlfn.MAXIFS($N$5:$N$3004,$C$5:$C$3004,R185,$O$5:$O$3004,"EM ANDAMENTO")))</f>
        <v/>
      </c>
      <c r="AA185" s="2">
        <f>IF(OR(R185="",S185="",U185&lt;&gt;"SIM",V185=0),"",IF(W185+X185=0,"",T185&amp;": "&amp;IF(W185=V185,"concluído",IF(W185=0,"em execução"&amp;IF(Z185&lt;&gt;""," ("&amp;IF(Z185=-1,"subsolo",IF(Z185=0,"térreo",Z185&amp;"º pav."))&amp;")",""),IF(Y185&lt;&gt;"","até "&amp;IF(Y185=-1,"subsolo",IF(Y185=0,"térreo",Y185&amp;"º pav.")),W185&amp;" de "&amp;V185&amp;" concluídas")&amp;IF(Z185="","",IF(OR(Y185="",Z185&gt;Y185),", executando "&amp;IF(Z185=-1,"subsolo",IF(Z185=0,"térreo",Z185&amp;"º pav."))," (restam serviços no "&amp;IF(Z185=-1,"subsolo",IF(Z185=0,"térreo",Z185&amp;"º pav."))&amp;")"))))))</f>
        <v/>
      </c>
    </row>
    <row r="186">
      <c r="B186" s="4" t="n">
        <v>28645980</v>
      </c>
      <c r="C186" s="4" t="inlineStr">
        <is>
          <t>FUNDAÇÃO SUPERFICIAL - FASE 4</t>
        </is>
      </c>
      <c r="D186" s="4" t="inlineStr">
        <is>
          <t>Forma - BL 10 / 19 / 124 / 127</t>
        </is>
      </c>
      <c r="E186" s="4" t="inlineStr">
        <is>
          <t>SERVIÇOS INICIAIS</t>
        </is>
      </c>
      <c r="F186" s="118" t="n">
        <v>46209</v>
      </c>
      <c r="G186" s="118" t="n">
        <v>46213</v>
      </c>
      <c r="H186" s="118" t="n">
        <v>46289</v>
      </c>
      <c r="I186" s="4" t="n">
        <v>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IF(E186="","",IF(LEFT(E186,7)="SUBSOLO",-1,IF(LEFT(E186,6)="TÉRREO",0,IFERROR(VALUE(LEFT(E186,FIND("º",SUBSTITUTE(E186,"°","º"))-1)),""))))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IF(R186="","",COUNTIF($C$5:$C$3004,R186))</f>
        <v/>
      </c>
      <c r="W186" s="2">
        <f>IF(R186="","",COUNTIFS($C$5:$C$3004,R186,$O$5:$O$3004,"CONCLUÍDA"))</f>
        <v/>
      </c>
      <c r="X186" s="2">
        <f>IF(R186="","",COUNTIFS($C$5:$C$3004,R186,$O$5:$O$3004,"EM ANDAMENTO"))</f>
        <v/>
      </c>
      <c r="Y186" s="2">
        <f>IF(R186="","",IF(COUNTIFS($C$5:$C$3004,R186,$O$5:$O$3004,"CONCLUÍDA",$N$5:$N$3004,"&gt;=-1")=0,"",_xlfn.MAXIFS($N$5:$N$3004,$C$5:$C$3004,R186,$O$5:$O$3004,"CONCLUÍDA")))</f>
        <v/>
      </c>
      <c r="Z186" s="2">
        <f>IF(R186="","",IF(COUNTIFS($C$5:$C$3004,R186,$O$5:$O$3004,"EM ANDAMENTO",$N$5:$N$3004,"&gt;=-1")=0,"",_xlfn.MAXIFS($N$5:$N$3004,$C$5:$C$3004,R186,$O$5:$O$3004,"EM ANDAMENTO")))</f>
        <v/>
      </c>
      <c r="AA186" s="2">
        <f>IF(OR(R186="",S186="",U186&lt;&gt;"SIM",V186=0),"",IF(W186+X186=0,"",T186&amp;": "&amp;IF(W186=V186,"concluído",IF(W186=0,"em execução"&amp;IF(Z186&lt;&gt;""," ("&amp;IF(Z186=-1,"subsolo",IF(Z186=0,"térreo",Z186&amp;"º pav."))&amp;")",""),IF(Y186&lt;&gt;"","até "&amp;IF(Y186=-1,"subsolo",IF(Y186=0,"térreo",Y186&amp;"º pav.")),W186&amp;" de "&amp;V186&amp;" concluídas")&amp;IF(Z186="","",IF(OR(Y186="",Z186&gt;Y186),", executando "&amp;IF(Z186=-1,"subsolo",IF(Z186=0,"térreo",Z186&amp;"º pav."))," (restam serviços no "&amp;IF(Z186=-1,"subsolo",IF(Z186=0,"térreo",Z186&amp;"º pav."))&amp;")"))))))</f>
        <v/>
      </c>
    </row>
    <row r="187">
      <c r="B187" s="4" t="n">
        <v>29933276</v>
      </c>
      <c r="C187" s="4" t="inlineStr">
        <is>
          <t>ESTRUTURA</t>
        </is>
      </c>
      <c r="D187" s="4" t="inlineStr">
        <is>
          <t>-</t>
        </is>
      </c>
      <c r="E187" s="4" t="inlineStr">
        <is>
          <t>TÉRREO - GERAL</t>
        </is>
      </c>
      <c r="F187" s="118" t="n">
        <v>46188</v>
      </c>
      <c r="G187" s="118" t="n">
        <v>46260</v>
      </c>
      <c r="H187" s="118" t="n">
        <v>46289</v>
      </c>
      <c r="I187" s="4" t="n">
        <v>100</v>
      </c>
      <c r="J187" s="4" t="n">
        <v>100</v>
      </c>
      <c r="K187" s="4" t="n">
        <v>82.73</v>
      </c>
      <c r="M187" s="2">
        <f>IF(C187="","",IFERROR(INDEX($S$5:$S$304,MATCH(C187,$R$5:$R$304,0))&amp;"","?"))</f>
        <v/>
      </c>
      <c r="N187" s="2">
        <f>IF(E187="","",IF(LEFT(E187,7)="SUBSOLO",-1,IF(LEFT(E187,6)="TÉRREO",0,IFERROR(VALUE(LEFT(E187,FIND("º",SUBSTITUTE(E187,"°","º"))-1)),""))))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IF(R187="","",COUNTIF($C$5:$C$3004,R187))</f>
        <v/>
      </c>
      <c r="W187" s="2">
        <f>IF(R187="","",COUNTIFS($C$5:$C$3004,R187,$O$5:$O$3004,"CONCLUÍDA"))</f>
        <v/>
      </c>
      <c r="X187" s="2">
        <f>IF(R187="","",COUNTIFS($C$5:$C$3004,R187,$O$5:$O$3004,"EM ANDAMENTO"))</f>
        <v/>
      </c>
      <c r="Y187" s="2">
        <f>IF(R187="","",IF(COUNTIFS($C$5:$C$3004,R187,$O$5:$O$3004,"CONCLUÍDA",$N$5:$N$3004,"&gt;=-1")=0,"",_xlfn.MAXIFS($N$5:$N$3004,$C$5:$C$3004,R187,$O$5:$O$3004,"CONCLUÍDA")))</f>
        <v/>
      </c>
      <c r="Z187" s="2">
        <f>IF(R187="","",IF(COUNTIFS($C$5:$C$3004,R187,$O$5:$O$3004,"EM ANDAMENTO",$N$5:$N$3004,"&gt;=-1")=0,"",_xlfn.MAXIFS($N$5:$N$3004,$C$5:$C$3004,R187,$O$5:$O$3004,"EM ANDAMENTO")))</f>
        <v/>
      </c>
      <c r="AA187" s="2">
        <f>IF(OR(R187="",S187="",U187&lt;&gt;"SIM",V187=0),"",IF(W187+X187=0,"",T187&amp;": "&amp;IF(W187=V187,"concluído",IF(W187=0,"em execução"&amp;IF(Z187&lt;&gt;""," ("&amp;IF(Z187=-1,"subsolo",IF(Z187=0,"térreo",Z187&amp;"º pav."))&amp;")",""),IF(Y187&lt;&gt;"","até "&amp;IF(Y187=-1,"subsolo",IF(Y187=0,"térreo",Y187&amp;"º pav.")),W187&amp;" de "&amp;V187&amp;" concluídas")&amp;IF(Z187="","",IF(OR(Y187="",Z187&gt;Y187),", executando "&amp;IF(Z187=-1,"subsolo",IF(Z187=0,"térreo",Z187&amp;"º pav."))," (restam serviços no "&amp;IF(Z187=-1,"subsolo",IF(Z187=0,"térreo",Z187&amp;"º pav."))&amp;")"))))))</f>
        <v/>
      </c>
    </row>
    <row r="188">
      <c r="B188" s="4" t="n">
        <v>31529120</v>
      </c>
      <c r="C188" s="4" t="inlineStr">
        <is>
          <t>ESTRUTURA</t>
        </is>
      </c>
      <c r="D188" s="4" t="inlineStr">
        <is>
          <t>Forma</t>
        </is>
      </c>
      <c r="E188" s="4" t="inlineStr">
        <is>
          <t>TÉRREO - GERAL</t>
        </is>
      </c>
      <c r="F188" s="118" t="n">
        <v>46188</v>
      </c>
      <c r="G188" s="118" t="n">
        <v>46234</v>
      </c>
      <c r="H188" s="118" t="n">
        <v>46289</v>
      </c>
      <c r="I188" s="4" t="n">
        <v>0</v>
      </c>
      <c r="J188" s="4" t="n">
        <v>100</v>
      </c>
      <c r="K188" s="4" t="n">
        <v>82.73</v>
      </c>
      <c r="M188" s="2">
        <f>IF(C188="","",IFERROR(INDEX($S$5:$S$304,MATCH(C188,$R$5:$R$304,0))&amp;"","?"))</f>
        <v/>
      </c>
      <c r="N188" s="2">
        <f>IF(E188="","",IF(LEFT(E188,7)="SUBSOLO",-1,IF(LEFT(E188,6)="TÉRREO",0,IFERROR(VALUE(LEFT(E188,FIND("º",SUBSTITUTE(E188,"°","º"))-1)),""))))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IF(R188="","",COUNTIF($C$5:$C$3004,R188))</f>
        <v/>
      </c>
      <c r="W188" s="2">
        <f>IF(R188="","",COUNTIFS($C$5:$C$3004,R188,$O$5:$O$3004,"CONCLUÍDA"))</f>
        <v/>
      </c>
      <c r="X188" s="2">
        <f>IF(R188="","",COUNTIFS($C$5:$C$3004,R188,$O$5:$O$3004,"EM ANDAMENTO"))</f>
        <v/>
      </c>
      <c r="Y188" s="2">
        <f>IF(R188="","",IF(COUNTIFS($C$5:$C$3004,R188,$O$5:$O$3004,"CONCLUÍDA",$N$5:$N$3004,"&gt;=-1")=0,"",_xlfn.MAXIFS($N$5:$N$3004,$C$5:$C$3004,R188,$O$5:$O$3004,"CONCLUÍDA")))</f>
        <v/>
      </c>
      <c r="Z188" s="2">
        <f>IF(R188="","",IF(COUNTIFS($C$5:$C$3004,R188,$O$5:$O$3004,"EM ANDAMENTO",$N$5:$N$3004,"&gt;=-1")=0,"",_xlfn.MAXIFS($N$5:$N$3004,$C$5:$C$3004,R188,$O$5:$O$3004,"EM ANDAMENTO")))</f>
        <v/>
      </c>
      <c r="AA188" s="2">
        <f>IF(OR(R188="",S188="",U188&lt;&gt;"SIM",V188=0),"",IF(W188+X188=0,"",T188&amp;": "&amp;IF(W188=V188,"concluído",IF(W188=0,"em execução"&amp;IF(Z188&lt;&gt;""," ("&amp;IF(Z188=-1,"subsolo",IF(Z188=0,"térreo",Z188&amp;"º pav."))&amp;")",""),IF(Y188&lt;&gt;"","até "&amp;IF(Y188=-1,"subsolo",IF(Y188=0,"térreo",Y188&amp;"º pav.")),W188&amp;" de "&amp;V188&amp;" concluídas")&amp;IF(Z188="","",IF(OR(Y188="",Z188&gt;Y188),", executando "&amp;IF(Z188=-1,"subsolo",IF(Z188=0,"térreo",Z188&amp;"º pav."))," (restam serviços no "&amp;IF(Z188=-1,"subsolo",IF(Z188=0,"térreo",Z188&amp;"º pav."))&amp;")"))))))</f>
        <v/>
      </c>
    </row>
    <row r="189">
      <c r="B189" s="4" t="n">
        <v>31529121</v>
      </c>
      <c r="C189" s="4" t="inlineStr">
        <is>
          <t>ESTRUTURA</t>
        </is>
      </c>
      <c r="D189" s="4" t="inlineStr">
        <is>
          <t>Armação</t>
        </is>
      </c>
      <c r="E189" s="4" t="inlineStr">
        <is>
          <t>TÉRREO - GERAL</t>
        </is>
      </c>
      <c r="F189" s="118" t="n">
        <v>46237</v>
      </c>
      <c r="G189" s="118" t="n">
        <v>46255</v>
      </c>
      <c r="H189" s="118" t="n">
        <v>46289</v>
      </c>
      <c r="I189" s="4" t="n">
        <v>0</v>
      </c>
      <c r="J189" s="4" t="n">
        <v>100</v>
      </c>
      <c r="K189" s="4" t="n">
        <v>82.73</v>
      </c>
      <c r="M189" s="2">
        <f>IF(C189="","",IFERROR(INDEX($S$5:$S$304,MATCH(C189,$R$5:$R$304,0))&amp;"","?"))</f>
        <v/>
      </c>
      <c r="N189" s="2">
        <f>IF(E189="","",IF(LEFT(E189,7)="SUBSOLO",-1,IF(LEFT(E189,6)="TÉRREO",0,IFERROR(VALUE(LEFT(E189,FIND("º",SUBSTITUTE(E189,"°","º"))-1)),""))))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IF(R189="","",COUNTIF($C$5:$C$3004,R189))</f>
        <v/>
      </c>
      <c r="W189" s="2">
        <f>IF(R189="","",COUNTIFS($C$5:$C$3004,R189,$O$5:$O$3004,"CONCLUÍDA"))</f>
        <v/>
      </c>
      <c r="X189" s="2">
        <f>IF(R189="","",COUNTIFS($C$5:$C$3004,R189,$O$5:$O$3004,"EM ANDAMENTO"))</f>
        <v/>
      </c>
      <c r="Y189" s="2">
        <f>IF(R189="","",IF(COUNTIFS($C$5:$C$3004,R189,$O$5:$O$3004,"CONCLUÍDA",$N$5:$N$3004,"&gt;=-1")=0,"",_xlfn.MAXIFS($N$5:$N$3004,$C$5:$C$3004,R189,$O$5:$O$3004,"CONCLUÍDA")))</f>
        <v/>
      </c>
      <c r="Z189" s="2">
        <f>IF(R189="","",IF(COUNTIFS($C$5:$C$3004,R189,$O$5:$O$3004,"EM ANDAMENTO",$N$5:$N$3004,"&gt;=-1")=0,"",_xlfn.MAXIFS($N$5:$N$3004,$C$5:$C$3004,R189,$O$5:$O$3004,"EM ANDAMENTO")))</f>
        <v/>
      </c>
      <c r="AA189" s="2">
        <f>IF(OR(R189="",S189="",U189&lt;&gt;"SIM",V189=0),"",IF(W189+X189=0,"",T189&amp;": "&amp;IF(W189=V189,"concluído",IF(W189=0,"em execução"&amp;IF(Z189&lt;&gt;""," ("&amp;IF(Z189=-1,"subsolo",IF(Z189=0,"térreo",Z189&amp;"º pav."))&amp;")",""),IF(Y189&lt;&gt;"","até "&amp;IF(Y189=-1,"subsolo",IF(Y189=0,"térreo",Y189&amp;"º pav.")),W189&amp;" de "&amp;V189&amp;" concluídas")&amp;IF(Z189="","",IF(OR(Y189="",Z189&gt;Y189),", executando "&amp;IF(Z189=-1,"subsolo",IF(Z189=0,"térreo",Z189&amp;"º pav."))," (restam serviços no "&amp;IF(Z189=-1,"subsolo",IF(Z189=0,"térreo",Z189&amp;"º pav."))&amp;")"))))))</f>
        <v/>
      </c>
    </row>
    <row r="190">
      <c r="B190" s="4" t="n">
        <v>31529122</v>
      </c>
      <c r="C190" s="4" t="inlineStr">
        <is>
          <t>ESTRUTURA</t>
        </is>
      </c>
      <c r="D190" s="4" t="inlineStr">
        <is>
          <t>Concretagem</t>
        </is>
      </c>
      <c r="E190" s="4" t="inlineStr">
        <is>
          <t>TÉRREO - GERAL</t>
        </is>
      </c>
      <c r="F190" s="118" t="n">
        <v>46258</v>
      </c>
      <c r="G190" s="118" t="n">
        <v>46260</v>
      </c>
      <c r="H190" s="118" t="n">
        <v>46289</v>
      </c>
      <c r="I190" s="4" t="n">
        <v>0</v>
      </c>
      <c r="J190" s="4" t="n">
        <v>100</v>
      </c>
      <c r="K190" s="4" t="n">
        <v>82.73</v>
      </c>
      <c r="M190" s="2">
        <f>IF(C190="","",IFERROR(INDEX($S$5:$S$304,MATCH(C190,$R$5:$R$304,0))&amp;"","?"))</f>
        <v/>
      </c>
      <c r="N190" s="2">
        <f>IF(E190="","",IF(LEFT(E190,7)="SUBSOLO",-1,IF(LEFT(E190,6)="TÉRREO",0,IFERROR(VALUE(LEFT(E190,FIND("º",SUBSTITUTE(E190,"°","º"))-1)),""))))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IF(R190="","",COUNTIF($C$5:$C$3004,R190))</f>
        <v/>
      </c>
      <c r="W190" s="2">
        <f>IF(R190="","",COUNTIFS($C$5:$C$3004,R190,$O$5:$O$3004,"CONCLUÍDA"))</f>
        <v/>
      </c>
      <c r="X190" s="2">
        <f>IF(R190="","",COUNTIFS($C$5:$C$3004,R190,$O$5:$O$3004,"EM ANDAMENTO"))</f>
        <v/>
      </c>
      <c r="Y190" s="2">
        <f>IF(R190="","",IF(COUNTIFS($C$5:$C$3004,R190,$O$5:$O$3004,"CONCLUÍDA",$N$5:$N$3004,"&gt;=-1")=0,"",_xlfn.MAXIFS($N$5:$N$3004,$C$5:$C$3004,R190,$O$5:$O$3004,"CONCLUÍDA")))</f>
        <v/>
      </c>
      <c r="Z190" s="2">
        <f>IF(R190="","",IF(COUNTIFS($C$5:$C$3004,R190,$O$5:$O$3004,"EM ANDAMENTO",$N$5:$N$3004,"&gt;=-1")=0,"",_xlfn.MAXIFS($N$5:$N$3004,$C$5:$C$3004,R190,$O$5:$O$3004,"EM ANDAMENTO")))</f>
        <v/>
      </c>
      <c r="AA190" s="2">
        <f>IF(OR(R190="",S190="",U190&lt;&gt;"SIM",V190=0),"",IF(W190+X190=0,"",T190&amp;": "&amp;IF(W190=V190,"concluído",IF(W190=0,"em execução"&amp;IF(Z190&lt;&gt;""," ("&amp;IF(Z190=-1,"subsolo",IF(Z190=0,"térreo",Z190&amp;"º pav."))&amp;")",""),IF(Y190&lt;&gt;"","até "&amp;IF(Y190=-1,"subsolo",IF(Y190=0,"térreo",Y190&amp;"º pav.")),W190&amp;" de "&amp;V190&amp;" concluídas")&amp;IF(Z190="","",IF(OR(Y190="",Z190&gt;Y190),", executando "&amp;IF(Z190=-1,"subsolo",IF(Z190=0,"térreo",Z190&amp;"º pav."))," (restam serviços no "&amp;IF(Z190=-1,"subsolo",IF(Z190=0,"térreo",Z190&amp;"º pav."))&amp;")"))))))</f>
        <v/>
      </c>
    </row>
    <row r="191">
      <c r="B191" s="4" t="n">
        <v>31529123</v>
      </c>
      <c r="C191" s="4" t="inlineStr">
        <is>
          <t>ESTRUTURA</t>
        </is>
      </c>
      <c r="D191" s="4" t="inlineStr">
        <is>
          <t>Polimento</t>
        </is>
      </c>
      <c r="E191" s="4" t="inlineStr">
        <is>
          <t>TÉRREO - GERAL</t>
        </is>
      </c>
      <c r="F191" s="118" t="n">
        <v>46258</v>
      </c>
      <c r="G191" s="118" t="n">
        <v>46260</v>
      </c>
      <c r="H191" s="118" t="n">
        <v>46289</v>
      </c>
      <c r="I191" s="4" t="n">
        <v>0</v>
      </c>
      <c r="J191" s="4" t="n">
        <v>100</v>
      </c>
      <c r="K191" s="4" t="n">
        <v>82.73</v>
      </c>
      <c r="M191" s="2">
        <f>IF(C191="","",IFERROR(INDEX($S$5:$S$304,MATCH(C191,$R$5:$R$304,0))&amp;"","?"))</f>
        <v/>
      </c>
      <c r="N191" s="2">
        <f>IF(E191="","",IF(LEFT(E191,7)="SUBSOLO",-1,IF(LEFT(E191,6)="TÉRREO",0,IFERROR(VALUE(LEFT(E191,FIND("º",SUBSTITUTE(E191,"°","º"))-1)),""))))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IF(R191="","",COUNTIF($C$5:$C$3004,R191))</f>
        <v/>
      </c>
      <c r="W191" s="2">
        <f>IF(R191="","",COUNTIFS($C$5:$C$3004,R191,$O$5:$O$3004,"CONCLUÍDA"))</f>
        <v/>
      </c>
      <c r="X191" s="2">
        <f>IF(R191="","",COUNTIFS($C$5:$C$3004,R191,$O$5:$O$3004,"EM ANDAMENTO"))</f>
        <v/>
      </c>
      <c r="Y191" s="2">
        <f>IF(R191="","",IF(COUNTIFS($C$5:$C$3004,R191,$O$5:$O$3004,"CONCLUÍDA",$N$5:$N$3004,"&gt;=-1")=0,"",_xlfn.MAXIFS($N$5:$N$3004,$C$5:$C$3004,R191,$O$5:$O$3004,"CONCLUÍDA")))</f>
        <v/>
      </c>
      <c r="Z191" s="2">
        <f>IF(R191="","",IF(COUNTIFS($C$5:$C$3004,R191,$O$5:$O$3004,"EM ANDAMENTO",$N$5:$N$3004,"&gt;=-1")=0,"",_xlfn.MAXIFS($N$5:$N$3004,$C$5:$C$3004,R191,$O$5:$O$3004,"EM ANDAMENTO")))</f>
        <v/>
      </c>
      <c r="AA191" s="2">
        <f>IF(OR(R191="",S191="",U191&lt;&gt;"SIM",V191=0),"",IF(W191+X191=0,"",T191&amp;": "&amp;IF(W191=V191,"concluído",IF(W191=0,"em execução"&amp;IF(Z191&lt;&gt;""," ("&amp;IF(Z191=-1,"subsolo",IF(Z191=0,"térreo",Z191&amp;"º pav."))&amp;")",""),IF(Y191&lt;&gt;"","até "&amp;IF(Y191=-1,"subsolo",IF(Y191=0,"térreo",Y191&amp;"º pav.")),W191&amp;" de "&amp;V191&amp;" concluídas")&amp;IF(Z191="","",IF(OR(Y191="",Z191&gt;Y191),", executando "&amp;IF(Z191=-1,"subsolo",IF(Z191=0,"térreo",Z191&amp;"º pav."))," (restam serviços no "&amp;IF(Z191=-1,"subsolo",IF(Z191=0,"térreo",Z191&amp;"º pav."))&amp;")"))))))</f>
        <v/>
      </c>
    </row>
    <row r="192">
      <c r="B192" s="4" t="n">
        <v>44503964</v>
      </c>
      <c r="C192" s="4" t="inlineStr">
        <is>
          <t>FUNDAÇÃO SUPERFICIAL - FASE 5</t>
        </is>
      </c>
      <c r="D192" s="4" t="inlineStr">
        <is>
          <t>-</t>
        </is>
      </c>
      <c r="E192" s="4" t="inlineStr">
        <is>
          <t>SERVIÇOS INICIAIS</t>
        </is>
      </c>
      <c r="F192" s="118" t="n">
        <v>46189</v>
      </c>
      <c r="G192" s="118" t="n">
        <v>46220</v>
      </c>
      <c r="H192" s="118" t="n">
        <v>46289</v>
      </c>
      <c r="I192" s="4" t="n">
        <v>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IF(E192="","",IF(LEFT(E192,7)="SUBSOLO",-1,IF(LEFT(E192,6)="TÉRREO",0,IFERROR(VALUE(LEFT(E192,FIND("º",SUBSTITUTE(E192,"°","º"))-1)),""))))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IF(R192="","",COUNTIF($C$5:$C$3004,R192))</f>
        <v/>
      </c>
      <c r="W192" s="2">
        <f>IF(R192="","",COUNTIFS($C$5:$C$3004,R192,$O$5:$O$3004,"CONCLUÍDA"))</f>
        <v/>
      </c>
      <c r="X192" s="2">
        <f>IF(R192="","",COUNTIFS($C$5:$C$3004,R192,$O$5:$O$3004,"EM ANDAMENTO"))</f>
        <v/>
      </c>
      <c r="Y192" s="2">
        <f>IF(R192="","",IF(COUNTIFS($C$5:$C$3004,R192,$O$5:$O$3004,"CONCLUÍDA",$N$5:$N$3004,"&gt;=-1")=0,"",_xlfn.MAXIFS($N$5:$N$3004,$C$5:$C$3004,R192,$O$5:$O$3004,"CONCLUÍDA")))</f>
        <v/>
      </c>
      <c r="Z192" s="2">
        <f>IF(R192="","",IF(COUNTIFS($C$5:$C$3004,R192,$O$5:$O$3004,"EM ANDAMENTO",$N$5:$N$3004,"&gt;=-1")=0,"",_xlfn.MAXIFS($N$5:$N$3004,$C$5:$C$3004,R192,$O$5:$O$3004,"EM ANDAMENTO")))</f>
        <v/>
      </c>
      <c r="AA192" s="2">
        <f>IF(OR(R192="",S192="",U192&lt;&gt;"SIM",V192=0),"",IF(W192+X192=0,"",T192&amp;": "&amp;IF(W192=V192,"concluído",IF(W192=0,"em execução"&amp;IF(Z192&lt;&gt;""," ("&amp;IF(Z192=-1,"subsolo",IF(Z192=0,"térreo",Z192&amp;"º pav."))&amp;")",""),IF(Y192&lt;&gt;"","até "&amp;IF(Y192=-1,"subsolo",IF(Y192=0,"térreo",Y192&amp;"º pav.")),W192&amp;" de "&amp;V192&amp;" concluídas")&amp;IF(Z192="","",IF(OR(Y192="",Z192&gt;Y192),", executando "&amp;IF(Z192=-1,"subsolo",IF(Z192=0,"térreo",Z192&amp;"º pav."))," (restam serviços no "&amp;IF(Z192=-1,"subsolo",IF(Z192=0,"térreo",Z192&amp;"º pav."))&amp;")"))))))</f>
        <v/>
      </c>
    </row>
    <row r="193">
      <c r="B193" s="4" t="n">
        <v>28389441</v>
      </c>
      <c r="C193" s="4" t="inlineStr">
        <is>
          <t>FUNDAÇÃO SUPERFICIAL - FASE 5</t>
        </is>
      </c>
      <c r="D193" s="4" t="inlineStr">
        <is>
          <t>Escavação / Arrasamento - BL 11 / F1 / F2</t>
        </is>
      </c>
      <c r="E193" s="4" t="inlineStr">
        <is>
          <t>SERVIÇOS INICIAIS</t>
        </is>
      </c>
      <c r="F193" s="118" t="n">
        <v>46189</v>
      </c>
      <c r="G193" s="118" t="n">
        <v>46195</v>
      </c>
      <c r="H193" s="118" t="n">
        <v>46289</v>
      </c>
      <c r="I193" s="4" t="n">
        <v>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IF(E193="","",IF(LEFT(E193,7)="SUBSOLO",-1,IF(LEFT(E193,6)="TÉRREO",0,IFERROR(VALUE(LEFT(E193,FIND("º",SUBSTITUTE(E193,"°","º"))-1)),""))))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IF(R193="","",COUNTIF($C$5:$C$3004,R193))</f>
        <v/>
      </c>
      <c r="W193" s="2">
        <f>IF(R193="","",COUNTIFS($C$5:$C$3004,R193,$O$5:$O$3004,"CONCLUÍDA"))</f>
        <v/>
      </c>
      <c r="X193" s="2">
        <f>IF(R193="","",COUNTIFS($C$5:$C$3004,R193,$O$5:$O$3004,"EM ANDAMENTO"))</f>
        <v/>
      </c>
      <c r="Y193" s="2">
        <f>IF(R193="","",IF(COUNTIFS($C$5:$C$3004,R193,$O$5:$O$3004,"CONCLUÍDA",$N$5:$N$3004,"&gt;=-1")=0,"",_xlfn.MAXIFS($N$5:$N$3004,$C$5:$C$3004,R193,$O$5:$O$3004,"CONCLUÍDA")))</f>
        <v/>
      </c>
      <c r="Z193" s="2">
        <f>IF(R193="","",IF(COUNTIFS($C$5:$C$3004,R193,$O$5:$O$3004,"EM ANDAMENTO",$N$5:$N$3004,"&gt;=-1")=0,"",_xlfn.MAXIFS($N$5:$N$3004,$C$5:$C$3004,R193,$O$5:$O$3004,"EM ANDAMENTO")))</f>
        <v/>
      </c>
      <c r="AA193" s="2">
        <f>IF(OR(R193="",S193="",U193&lt;&gt;"SIM",V193=0),"",IF(W193+X193=0,"",T193&amp;": "&amp;IF(W193=V193,"concluído",IF(W193=0,"em execução"&amp;IF(Z193&lt;&gt;""," ("&amp;IF(Z193=-1,"subsolo",IF(Z193=0,"térreo",Z193&amp;"º pav."))&amp;")",""),IF(Y193&lt;&gt;"","até "&amp;IF(Y193=-1,"subsolo",IF(Y193=0,"térreo",Y193&amp;"º pav.")),W193&amp;" de "&amp;V193&amp;" concluídas")&amp;IF(Z193="","",IF(OR(Y193="",Z193&gt;Y193),", executando "&amp;IF(Z193=-1,"subsolo",IF(Z193=0,"térreo",Z193&amp;"º pav."))," (restam serviços no "&amp;IF(Z193=-1,"subsolo",IF(Z193=0,"térreo",Z193&amp;"º pav."))&amp;")"))))))</f>
        <v/>
      </c>
    </row>
    <row r="194">
      <c r="B194" s="4" t="n">
        <v>28389442</v>
      </c>
      <c r="C194" s="4" t="inlineStr">
        <is>
          <t>FUNDAÇÃO SUPERFICIAL - FASE 5</t>
        </is>
      </c>
      <c r="D194" s="4" t="inlineStr">
        <is>
          <t xml:space="preserve">Escavação / Arrasamento - BL 20 </t>
        </is>
      </c>
      <c r="E194" s="4" t="inlineStr">
        <is>
          <t>SERVIÇOS INICIAIS</t>
        </is>
      </c>
      <c r="F194" s="118" t="n">
        <v>46196</v>
      </c>
      <c r="G194" s="118" t="n">
        <v>46202</v>
      </c>
      <c r="H194" s="118" t="n">
        <v>46289</v>
      </c>
      <c r="I194" s="4" t="n">
        <v>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IF(E194="","",IF(LEFT(E194,7)="SUBSOLO",-1,IF(LEFT(E194,6)="TÉRREO",0,IFERROR(VALUE(LEFT(E194,FIND("º",SUBSTITUTE(E194,"°","º"))-1)),""))))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IF(R194="","",COUNTIF($C$5:$C$3004,R194))</f>
        <v/>
      </c>
      <c r="W194" s="2">
        <f>IF(R194="","",COUNTIFS($C$5:$C$3004,R194,$O$5:$O$3004,"CONCLUÍDA"))</f>
        <v/>
      </c>
      <c r="X194" s="2">
        <f>IF(R194="","",COUNTIFS($C$5:$C$3004,R194,$O$5:$O$3004,"EM ANDAMENTO"))</f>
        <v/>
      </c>
      <c r="Y194" s="2">
        <f>IF(R194="","",IF(COUNTIFS($C$5:$C$3004,R194,$O$5:$O$3004,"CONCLUÍDA",$N$5:$N$3004,"&gt;=-1")=0,"",_xlfn.MAXIFS($N$5:$N$3004,$C$5:$C$3004,R194,$O$5:$O$3004,"CONCLUÍDA")))</f>
        <v/>
      </c>
      <c r="Z194" s="2">
        <f>IF(R194="","",IF(COUNTIFS($C$5:$C$3004,R194,$O$5:$O$3004,"EM ANDAMENTO",$N$5:$N$3004,"&gt;=-1")=0,"",_xlfn.MAXIFS($N$5:$N$3004,$C$5:$C$3004,R194,$O$5:$O$3004,"EM ANDAMENTO")))</f>
        <v/>
      </c>
      <c r="AA194" s="2">
        <f>IF(OR(R194="",S194="",U194&lt;&gt;"SIM",V194=0),"",IF(W194+X194=0,"",T194&amp;": "&amp;IF(W194=V194,"concluído",IF(W194=0,"em execução"&amp;IF(Z194&lt;&gt;""," ("&amp;IF(Z194=-1,"subsolo",IF(Z194=0,"térreo",Z194&amp;"º pav."))&amp;")",""),IF(Y194&lt;&gt;"","até "&amp;IF(Y194=-1,"subsolo",IF(Y194=0,"térreo",Y194&amp;"º pav.")),W194&amp;" de "&amp;V194&amp;" concluídas")&amp;IF(Z194="","",IF(OR(Y194="",Z194&gt;Y194),", executando "&amp;IF(Z194=-1,"subsolo",IF(Z194=0,"térreo",Z194&amp;"º pav."))," (restam serviços no "&amp;IF(Z194=-1,"subsolo",IF(Z194=0,"térreo",Z194&amp;"º pav."))&amp;")"))))))</f>
        <v/>
      </c>
    </row>
    <row r="195">
      <c r="B195" s="4" t="n">
        <v>28389443</v>
      </c>
      <c r="C195" s="4" t="inlineStr">
        <is>
          <t>FUNDAÇÃO SUPERFICIAL - FASE 5</t>
        </is>
      </c>
      <c r="D195" s="4" t="inlineStr">
        <is>
          <t>Armação - BL 11 / F1 / F2</t>
        </is>
      </c>
      <c r="E195" s="4" t="inlineStr">
        <is>
          <t>SERVIÇOS INICIAIS</t>
        </is>
      </c>
      <c r="F195" s="118" t="n">
        <v>46196</v>
      </c>
      <c r="G195" s="118" t="n">
        <v>46202</v>
      </c>
      <c r="H195" s="118" t="n">
        <v>46289</v>
      </c>
      <c r="I195" s="4" t="n">
        <v>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IF(E195="","",IF(LEFT(E195,7)="SUBSOLO",-1,IF(LEFT(E195,6)="TÉRREO",0,IFERROR(VALUE(LEFT(E195,FIND("º",SUBSTITUTE(E195,"°","º"))-1)),""))))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IF(R195="","",COUNTIF($C$5:$C$3004,R195))</f>
        <v/>
      </c>
      <c r="W195" s="2">
        <f>IF(R195="","",COUNTIFS($C$5:$C$3004,R195,$O$5:$O$3004,"CONCLUÍDA"))</f>
        <v/>
      </c>
      <c r="X195" s="2">
        <f>IF(R195="","",COUNTIFS($C$5:$C$3004,R195,$O$5:$O$3004,"EM ANDAMENTO"))</f>
        <v/>
      </c>
      <c r="Y195" s="2">
        <f>IF(R195="","",IF(COUNTIFS($C$5:$C$3004,R195,$O$5:$O$3004,"CONCLUÍDA",$N$5:$N$3004,"&gt;=-1")=0,"",_xlfn.MAXIFS($N$5:$N$3004,$C$5:$C$3004,R195,$O$5:$O$3004,"CONCLUÍDA")))</f>
        <v/>
      </c>
      <c r="Z195" s="2">
        <f>IF(R195="","",IF(COUNTIFS($C$5:$C$3004,R195,$O$5:$O$3004,"EM ANDAMENTO",$N$5:$N$3004,"&gt;=-1")=0,"",_xlfn.MAXIFS($N$5:$N$3004,$C$5:$C$3004,R195,$O$5:$O$3004,"EM ANDAMENTO")))</f>
        <v/>
      </c>
      <c r="AA195" s="2">
        <f>IF(OR(R195="",S195="",U195&lt;&gt;"SIM",V195=0),"",IF(W195+X195=0,"",T195&amp;": "&amp;IF(W195=V195,"concluído",IF(W195=0,"em execução"&amp;IF(Z195&lt;&gt;""," ("&amp;IF(Z195=-1,"subsolo",IF(Z195=0,"térreo",Z195&amp;"º pav."))&amp;")",""),IF(Y195&lt;&gt;"","até "&amp;IF(Y195=-1,"subsolo",IF(Y195=0,"térreo",Y195&amp;"º pav.")),W195&amp;" de "&amp;V195&amp;" concluídas")&amp;IF(Z195="","",IF(OR(Y195="",Z195&gt;Y195),", executando "&amp;IF(Z195=-1,"subsolo",IF(Z195=0,"térreo",Z195&amp;"º pav."))," (restam serviços no "&amp;IF(Z195=-1,"subsolo",IF(Z195=0,"térreo",Z195&amp;"º pav."))&amp;")"))))))</f>
        <v/>
      </c>
    </row>
    <row r="196">
      <c r="B196" s="4" t="n">
        <v>28389444</v>
      </c>
      <c r="C196" s="4" t="inlineStr">
        <is>
          <t>FUNDAÇÃO SUPERFICIAL - FASE 5</t>
        </is>
      </c>
      <c r="D196" s="4" t="inlineStr">
        <is>
          <t xml:space="preserve">Escavação / Arrasamento - BL  142 - 144 / 151 - 153 / 137 </t>
        </is>
      </c>
      <c r="E196" s="4" t="inlineStr">
        <is>
          <t>SERVIÇOS INICIAIS</t>
        </is>
      </c>
      <c r="F196" s="118" t="n">
        <v>46203</v>
      </c>
      <c r="G196" s="118" t="n">
        <v>46209</v>
      </c>
      <c r="H196" s="118" t="n">
        <v>46289</v>
      </c>
      <c r="I196" s="4" t="n">
        <v>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IF(E196="","",IF(LEFT(E196,7)="SUBSOLO",-1,IF(LEFT(E196,6)="TÉRREO",0,IFERROR(VALUE(LEFT(E196,FIND("º",SUBSTITUTE(E196,"°","º"))-1)),""))))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IF(R196="","",COUNTIF($C$5:$C$3004,R196))</f>
        <v/>
      </c>
      <c r="W196" s="2">
        <f>IF(R196="","",COUNTIFS($C$5:$C$3004,R196,$O$5:$O$3004,"CONCLUÍDA"))</f>
        <v/>
      </c>
      <c r="X196" s="2">
        <f>IF(R196="","",COUNTIFS($C$5:$C$3004,R196,$O$5:$O$3004,"EM ANDAMENTO"))</f>
        <v/>
      </c>
      <c r="Y196" s="2">
        <f>IF(R196="","",IF(COUNTIFS($C$5:$C$3004,R196,$O$5:$O$3004,"CONCLUÍDA",$N$5:$N$3004,"&gt;=-1")=0,"",_xlfn.MAXIFS($N$5:$N$3004,$C$5:$C$3004,R196,$O$5:$O$3004,"CONCLUÍDA")))</f>
        <v/>
      </c>
      <c r="Z196" s="2">
        <f>IF(R196="","",IF(COUNTIFS($C$5:$C$3004,R196,$O$5:$O$3004,"EM ANDAMENTO",$N$5:$N$3004,"&gt;=-1")=0,"",_xlfn.MAXIFS($N$5:$N$3004,$C$5:$C$3004,R196,$O$5:$O$3004,"EM ANDAMENTO")))</f>
        <v/>
      </c>
      <c r="AA196" s="2">
        <f>IF(OR(R196="",S196="",U196&lt;&gt;"SIM",V196=0),"",IF(W196+X196=0,"",T196&amp;": "&amp;IF(W196=V196,"concluído",IF(W196=0,"em execução"&amp;IF(Z196&lt;&gt;""," ("&amp;IF(Z196=-1,"subsolo",IF(Z196=0,"térreo",Z196&amp;"º pav."))&amp;")",""),IF(Y196&lt;&gt;"","até "&amp;IF(Y196=-1,"subsolo",IF(Y196=0,"térreo",Y196&amp;"º pav.")),W196&amp;" de "&amp;V196&amp;" concluídas")&amp;IF(Z196="","",IF(OR(Y196="",Z196&gt;Y196),", executando "&amp;IF(Z196=-1,"subsolo",IF(Z196=0,"térreo",Z196&amp;"º pav."))," (restam serviços no "&amp;IF(Z196=-1,"subsolo",IF(Z196=0,"térreo",Z196&amp;"º pav."))&amp;")"))))))</f>
        <v/>
      </c>
    </row>
    <row r="197">
      <c r="B197" s="4" t="n">
        <v>28389445</v>
      </c>
      <c r="C197" s="4" t="inlineStr">
        <is>
          <t>FUNDAÇÃO SUPERFICIAL - FASE 5</t>
        </is>
      </c>
      <c r="D197" s="4" t="inlineStr">
        <is>
          <t>Armação - BL 20</t>
        </is>
      </c>
      <c r="E197" s="4" t="inlineStr">
        <is>
          <t>SERVIÇOS INICIAIS</t>
        </is>
      </c>
      <c r="F197" s="118" t="n">
        <v>46203</v>
      </c>
      <c r="G197" s="118" t="n">
        <v>46209</v>
      </c>
      <c r="H197" s="118" t="n">
        <v>46289</v>
      </c>
      <c r="I197" s="4" t="n">
        <v>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IF(E197="","",IF(LEFT(E197,7)="SUBSOLO",-1,IF(LEFT(E197,6)="TÉRREO",0,IFERROR(VALUE(LEFT(E197,FIND("º",SUBSTITUTE(E197,"°","º"))-1)),""))))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IF(R197="","",COUNTIF($C$5:$C$3004,R197))</f>
        <v/>
      </c>
      <c r="W197" s="2">
        <f>IF(R197="","",COUNTIFS($C$5:$C$3004,R197,$O$5:$O$3004,"CONCLUÍDA"))</f>
        <v/>
      </c>
      <c r="X197" s="2">
        <f>IF(R197="","",COUNTIFS($C$5:$C$3004,R197,$O$5:$O$3004,"EM ANDAMENTO"))</f>
        <v/>
      </c>
      <c r="Y197" s="2">
        <f>IF(R197="","",IF(COUNTIFS($C$5:$C$3004,R197,$O$5:$O$3004,"CONCLUÍDA",$N$5:$N$3004,"&gt;=-1")=0,"",_xlfn.MAXIFS($N$5:$N$3004,$C$5:$C$3004,R197,$O$5:$O$3004,"CONCLUÍDA")))</f>
        <v/>
      </c>
      <c r="Z197" s="2">
        <f>IF(R197="","",IF(COUNTIFS($C$5:$C$3004,R197,$O$5:$O$3004,"EM ANDAMENTO",$N$5:$N$3004,"&gt;=-1")=0,"",_xlfn.MAXIFS($N$5:$N$3004,$C$5:$C$3004,R197,$O$5:$O$3004,"EM ANDAMENTO")))</f>
        <v/>
      </c>
      <c r="AA197" s="2">
        <f>IF(OR(R197="",S197="",U197&lt;&gt;"SIM",V197=0),"",IF(W197+X197=0,"",T197&amp;": "&amp;IF(W197=V197,"concluído",IF(W197=0,"em execução"&amp;IF(Z197&lt;&gt;""," ("&amp;IF(Z197=-1,"subsolo",IF(Z197=0,"térreo",Z197&amp;"º pav."))&amp;")",""),IF(Y197&lt;&gt;"","até "&amp;IF(Y197=-1,"subsolo",IF(Y197=0,"térreo",Y197&amp;"º pav.")),W197&amp;" de "&amp;V197&amp;" concluídas")&amp;IF(Z197="","",IF(OR(Y197="",Z197&gt;Y197),", executando "&amp;IF(Z197=-1,"subsolo",IF(Z197=0,"térreo",Z197&amp;"º pav."))," (restam serviços no "&amp;IF(Z197=-1,"subsolo",IF(Z197=0,"térreo",Z197&amp;"º pav."))&amp;")"))))))</f>
        <v/>
      </c>
    </row>
    <row r="198">
      <c r="B198" s="4" t="n">
        <v>28645982</v>
      </c>
      <c r="C198" s="4" t="inlineStr">
        <is>
          <t>FUNDAÇÃO SUPERFICIAL - FASE 5</t>
        </is>
      </c>
      <c r="D198" s="4" t="inlineStr">
        <is>
          <t>Forma - BL 11 / F1 / F2</t>
        </is>
      </c>
      <c r="E198" s="4" t="inlineStr">
        <is>
          <t>SERVIÇOS INICIAIS</t>
        </is>
      </c>
      <c r="F198" s="118" t="n">
        <v>46203</v>
      </c>
      <c r="G198" s="118" t="n">
        <v>46209</v>
      </c>
      <c r="H198" s="118" t="n">
        <v>46289</v>
      </c>
      <c r="I198" s="4" t="n">
        <v>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IF(E198="","",IF(LEFT(E198,7)="SUBSOLO",-1,IF(LEFT(E198,6)="TÉRREO",0,IFERROR(VALUE(LEFT(E198,FIND("º",SUBSTITUTE(E198,"°","º"))-1)),""))))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IF(R198="","",COUNTIF($C$5:$C$3004,R198))</f>
        <v/>
      </c>
      <c r="W198" s="2">
        <f>IF(R198="","",COUNTIFS($C$5:$C$3004,R198,$O$5:$O$3004,"CONCLUÍDA"))</f>
        <v/>
      </c>
      <c r="X198" s="2">
        <f>IF(R198="","",COUNTIFS($C$5:$C$3004,R198,$O$5:$O$3004,"EM ANDAMENTO"))</f>
        <v/>
      </c>
      <c r="Y198" s="2">
        <f>IF(R198="","",IF(COUNTIFS($C$5:$C$3004,R198,$O$5:$O$3004,"CONCLUÍDA",$N$5:$N$3004,"&gt;=-1")=0,"",_xlfn.MAXIFS($N$5:$N$3004,$C$5:$C$3004,R198,$O$5:$O$3004,"CONCLUÍDA")))</f>
        <v/>
      </c>
      <c r="Z198" s="2">
        <f>IF(R198="","",IF(COUNTIFS($C$5:$C$3004,R198,$O$5:$O$3004,"EM ANDAMENTO",$N$5:$N$3004,"&gt;=-1")=0,"",_xlfn.MAXIFS($N$5:$N$3004,$C$5:$C$3004,R198,$O$5:$O$3004,"EM ANDAMENTO")))</f>
        <v/>
      </c>
      <c r="AA198" s="2">
        <f>IF(OR(R198="",S198="",U198&lt;&gt;"SIM",V198=0),"",IF(W198+X198=0,"",T198&amp;": "&amp;IF(W198=V198,"concluído",IF(W198=0,"em execução"&amp;IF(Z198&lt;&gt;""," ("&amp;IF(Z198=-1,"subsolo",IF(Z198=0,"térreo",Z198&amp;"º pav."))&amp;")",""),IF(Y198&lt;&gt;"","até "&amp;IF(Y198=-1,"subsolo",IF(Y198=0,"térreo",Y198&amp;"º pav.")),W198&amp;" de "&amp;V198&amp;" concluídas")&amp;IF(Z198="","",IF(OR(Y198="",Z198&gt;Y198),", executando "&amp;IF(Z198=-1,"subsolo",IF(Z198=0,"térreo",Z198&amp;"º pav."))," (restam serviços no "&amp;IF(Z198=-1,"subsolo",IF(Z198=0,"térreo",Z198&amp;"º pav."))&amp;")"))))))</f>
        <v/>
      </c>
    </row>
    <row r="199">
      <c r="B199" s="4" t="n">
        <v>28645983</v>
      </c>
      <c r="C199" s="4" t="inlineStr">
        <is>
          <t>FUNDAÇÃO SUPERFICIAL - FASE 5</t>
        </is>
      </c>
      <c r="D199" s="4" t="inlineStr">
        <is>
          <t>Concreto - BL 11 / F1 / F2</t>
        </is>
      </c>
      <c r="E199" s="4" t="inlineStr">
        <is>
          <t>SERVIÇOS INICIAIS</t>
        </is>
      </c>
      <c r="F199" s="118" t="n">
        <v>46209</v>
      </c>
      <c r="G199" s="118" t="n">
        <v>46209</v>
      </c>
      <c r="H199" s="118" t="n">
        <v>46289</v>
      </c>
      <c r="I199" s="4" t="n">
        <v>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IF(E199="","",IF(LEFT(E199,7)="SUBSOLO",-1,IF(LEFT(E199,6)="TÉRREO",0,IFERROR(VALUE(LEFT(E199,FIND("º",SUBSTITUTE(E199,"°","º"))-1)),""))))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IF(R199="","",COUNTIF($C$5:$C$3004,R199))</f>
        <v/>
      </c>
      <c r="W199" s="2">
        <f>IF(R199="","",COUNTIFS($C$5:$C$3004,R199,$O$5:$O$3004,"CONCLUÍDA"))</f>
        <v/>
      </c>
      <c r="X199" s="2">
        <f>IF(R199="","",COUNTIFS($C$5:$C$3004,R199,$O$5:$O$3004,"EM ANDAMENTO"))</f>
        <v/>
      </c>
      <c r="Y199" s="2">
        <f>IF(R199="","",IF(COUNTIFS($C$5:$C$3004,R199,$O$5:$O$3004,"CONCLUÍDA",$N$5:$N$3004,"&gt;=-1")=0,"",_xlfn.MAXIFS($N$5:$N$3004,$C$5:$C$3004,R199,$O$5:$O$3004,"CONCLUÍDA")))</f>
        <v/>
      </c>
      <c r="Z199" s="2">
        <f>IF(R199="","",IF(COUNTIFS($C$5:$C$3004,R199,$O$5:$O$3004,"EM ANDAMENTO",$N$5:$N$3004,"&gt;=-1")=0,"",_xlfn.MAXIFS($N$5:$N$3004,$C$5:$C$3004,R199,$O$5:$O$3004,"EM ANDAMENTO")))</f>
        <v/>
      </c>
      <c r="AA199" s="2">
        <f>IF(OR(R199="",S199="",U199&lt;&gt;"SIM",V199=0),"",IF(W199+X199=0,"",T199&amp;": "&amp;IF(W199=V199,"concluído",IF(W199=0,"em execução"&amp;IF(Z199&lt;&gt;""," ("&amp;IF(Z199=-1,"subsolo",IF(Z199=0,"térreo",Z199&amp;"º pav."))&amp;")",""),IF(Y199&lt;&gt;"","até "&amp;IF(Y199=-1,"subsolo",IF(Y199=0,"térreo",Y199&amp;"º pav.")),W199&amp;" de "&amp;V199&amp;" concluídas")&amp;IF(Z199="","",IF(OR(Y199="",Z199&gt;Y199),", executando "&amp;IF(Z199=-1,"subsolo",IF(Z199=0,"térreo",Z199&amp;"º pav."))," (restam serviços no "&amp;IF(Z199=-1,"subsolo",IF(Z199=0,"térreo",Z199&amp;"º pav."))&amp;")"))))))</f>
        <v/>
      </c>
    </row>
    <row r="200">
      <c r="B200" s="4" t="n">
        <v>28645984</v>
      </c>
      <c r="C200" s="4" t="inlineStr">
        <is>
          <t>FUNDAÇÃO SUPERFICIAL - FASE 5</t>
        </is>
      </c>
      <c r="D200" s="4" t="inlineStr">
        <is>
          <t xml:space="preserve">Armação - BL 142 - 144 / 151 - 153 / 137 </t>
        </is>
      </c>
      <c r="E200" s="4" t="inlineStr">
        <is>
          <t>SERVIÇOS INICIAIS</t>
        </is>
      </c>
      <c r="F200" s="118" t="n">
        <v>46210</v>
      </c>
      <c r="G200" s="118" t="n">
        <v>46216</v>
      </c>
      <c r="H200" s="118" t="n">
        <v>46289</v>
      </c>
      <c r="I200" s="4" t="n">
        <v>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IF(E200="","",IF(LEFT(E200,7)="SUBSOLO",-1,IF(LEFT(E200,6)="TÉRREO",0,IFERROR(VALUE(LEFT(E200,FIND("º",SUBSTITUTE(E200,"°","º"))-1)),""))))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IF(R200="","",COUNTIF($C$5:$C$3004,R200))</f>
        <v/>
      </c>
      <c r="W200" s="2">
        <f>IF(R200="","",COUNTIFS($C$5:$C$3004,R200,$O$5:$O$3004,"CONCLUÍDA"))</f>
        <v/>
      </c>
      <c r="X200" s="2">
        <f>IF(R200="","",COUNTIFS($C$5:$C$3004,R200,$O$5:$O$3004,"EM ANDAMENTO"))</f>
        <v/>
      </c>
      <c r="Y200" s="2">
        <f>IF(R200="","",IF(COUNTIFS($C$5:$C$3004,R200,$O$5:$O$3004,"CONCLUÍDA",$N$5:$N$3004,"&gt;=-1")=0,"",_xlfn.MAXIFS($N$5:$N$3004,$C$5:$C$3004,R200,$O$5:$O$3004,"CONCLUÍDA")))</f>
        <v/>
      </c>
      <c r="Z200" s="2">
        <f>IF(R200="","",IF(COUNTIFS($C$5:$C$3004,R200,$O$5:$O$3004,"EM ANDAMENTO",$N$5:$N$3004,"&gt;=-1")=0,"",_xlfn.MAXIFS($N$5:$N$3004,$C$5:$C$3004,R200,$O$5:$O$3004,"EM ANDAMENTO")))</f>
        <v/>
      </c>
      <c r="AA200" s="2">
        <f>IF(OR(R200="",S200="",U200&lt;&gt;"SIM",V200=0),"",IF(W200+X200=0,"",T200&amp;": "&amp;IF(W200=V200,"concluído",IF(W200=0,"em execução"&amp;IF(Z200&lt;&gt;""," ("&amp;IF(Z200=-1,"subsolo",IF(Z200=0,"térreo",Z200&amp;"º pav."))&amp;")",""),IF(Y200&lt;&gt;"","até "&amp;IF(Y200=-1,"subsolo",IF(Y200=0,"térreo",Y200&amp;"º pav.")),W200&amp;" de "&amp;V200&amp;" concluídas")&amp;IF(Z200="","",IF(OR(Y200="",Z200&gt;Y200),", executando "&amp;IF(Z200=-1,"subsolo",IF(Z200=0,"térreo",Z200&amp;"º pav."))," (restam serviços no "&amp;IF(Z200=-1,"subsolo",IF(Z200=0,"térreo",Z200&amp;"º pav."))&amp;")"))))))</f>
        <v/>
      </c>
    </row>
    <row r="201">
      <c r="B201" s="4" t="n">
        <v>28645985</v>
      </c>
      <c r="C201" s="4" t="inlineStr">
        <is>
          <t>FUNDAÇÃO SUPERFICIAL - FASE 5</t>
        </is>
      </c>
      <c r="D201" s="4" t="inlineStr">
        <is>
          <t>Forma - BL 20 / 142 - 144 / 151 - 153 / 137</t>
        </is>
      </c>
      <c r="E201" s="4" t="inlineStr">
        <is>
          <t>SERVIÇOS INICIAIS</t>
        </is>
      </c>
      <c r="F201" s="118" t="n">
        <v>46210</v>
      </c>
      <c r="G201" s="118" t="n">
        <v>46220</v>
      </c>
      <c r="H201" s="118" t="n">
        <v>46289</v>
      </c>
      <c r="I201" s="4" t="n">
        <v>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IF(E201="","",IF(LEFT(E201,7)="SUBSOLO",-1,IF(LEFT(E201,6)="TÉRREO",0,IFERROR(VALUE(LEFT(E201,FIND("º",SUBSTITUTE(E201,"°","º"))-1)),""))))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IF(R201="","",COUNTIF($C$5:$C$3004,R201))</f>
        <v/>
      </c>
      <c r="W201" s="2">
        <f>IF(R201="","",COUNTIFS($C$5:$C$3004,R201,$O$5:$O$3004,"CONCLUÍDA"))</f>
        <v/>
      </c>
      <c r="X201" s="2">
        <f>IF(R201="","",COUNTIFS($C$5:$C$3004,R201,$O$5:$O$3004,"EM ANDAMENTO"))</f>
        <v/>
      </c>
      <c r="Y201" s="2">
        <f>IF(R201="","",IF(COUNTIFS($C$5:$C$3004,R201,$O$5:$O$3004,"CONCLUÍDA",$N$5:$N$3004,"&gt;=-1")=0,"",_xlfn.MAXIFS($N$5:$N$3004,$C$5:$C$3004,R201,$O$5:$O$3004,"CONCLUÍDA")))</f>
        <v/>
      </c>
      <c r="Z201" s="2">
        <f>IF(R201="","",IF(COUNTIFS($C$5:$C$3004,R201,$O$5:$O$3004,"EM ANDAMENTO",$N$5:$N$3004,"&gt;=-1")=0,"",_xlfn.MAXIFS($N$5:$N$3004,$C$5:$C$3004,R201,$O$5:$O$3004,"EM ANDAMENTO")))</f>
        <v/>
      </c>
      <c r="AA201" s="2">
        <f>IF(OR(R201="",S201="",U201&lt;&gt;"SIM",V201=0),"",IF(W201+X201=0,"",T201&amp;": "&amp;IF(W201=V201,"concluído",IF(W201=0,"em execução"&amp;IF(Z201&lt;&gt;""," ("&amp;IF(Z201=-1,"subsolo",IF(Z201=0,"térreo",Z201&amp;"º pav."))&amp;")",""),IF(Y201&lt;&gt;"","até "&amp;IF(Y201=-1,"subsolo",IF(Y201=0,"térreo",Y201&amp;"º pav.")),W201&amp;" de "&amp;V201&amp;" concluídas")&amp;IF(Z201="","",IF(OR(Y201="",Z201&gt;Y201),", executando "&amp;IF(Z201=-1,"subsolo",IF(Z201=0,"térreo",Z201&amp;"º pav."))," (restam serviços no "&amp;IF(Z201=-1,"subsolo",IF(Z201=0,"térreo",Z201&amp;"º pav."))&amp;")"))))))</f>
        <v/>
      </c>
    </row>
    <row r="202">
      <c r="B202" s="4" t="n">
        <v>28645986</v>
      </c>
      <c r="C202" s="4" t="inlineStr">
        <is>
          <t>FUNDAÇÃO SUPERFICIAL - FASE 5</t>
        </is>
      </c>
      <c r="D202" s="4" t="inlineStr">
        <is>
          <t>Concreto - BL 20 / 142 - 144 / 151 - 153 / 137</t>
        </is>
      </c>
      <c r="E202" s="4" t="inlineStr">
        <is>
          <t>SERVIÇOS INICIAIS</t>
        </is>
      </c>
      <c r="F202" s="118" t="n">
        <v>46220</v>
      </c>
      <c r="G202" s="118" t="n">
        <v>46220</v>
      </c>
      <c r="H202" s="118" t="n">
        <v>46289</v>
      </c>
      <c r="I202" s="4" t="n">
        <v>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IF(E202="","",IF(LEFT(E202,7)="SUBSOLO",-1,IF(LEFT(E202,6)="TÉRREO",0,IFERROR(VALUE(LEFT(E202,FIND("º",SUBSTITUTE(E202,"°","º"))-1)),""))))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IF(R202="","",COUNTIF($C$5:$C$3004,R202))</f>
        <v/>
      </c>
      <c r="W202" s="2">
        <f>IF(R202="","",COUNTIFS($C$5:$C$3004,R202,$O$5:$O$3004,"CONCLUÍDA"))</f>
        <v/>
      </c>
      <c r="X202" s="2">
        <f>IF(R202="","",COUNTIFS($C$5:$C$3004,R202,$O$5:$O$3004,"EM ANDAMENTO"))</f>
        <v/>
      </c>
      <c r="Y202" s="2">
        <f>IF(R202="","",IF(COUNTIFS($C$5:$C$3004,R202,$O$5:$O$3004,"CONCLUÍDA",$N$5:$N$3004,"&gt;=-1")=0,"",_xlfn.MAXIFS($N$5:$N$3004,$C$5:$C$3004,R202,$O$5:$O$3004,"CONCLUÍDA")))</f>
        <v/>
      </c>
      <c r="Z202" s="2">
        <f>IF(R202="","",IF(COUNTIFS($C$5:$C$3004,R202,$O$5:$O$3004,"EM ANDAMENTO",$N$5:$N$3004,"&gt;=-1")=0,"",_xlfn.MAXIFS($N$5:$N$3004,$C$5:$C$3004,R202,$O$5:$O$3004,"EM ANDAMENTO")))</f>
        <v/>
      </c>
      <c r="AA202" s="2">
        <f>IF(OR(R202="",S202="",U202&lt;&gt;"SIM",V202=0),"",IF(W202+X202=0,"",T202&amp;": "&amp;IF(W202=V202,"concluído",IF(W202=0,"em execução"&amp;IF(Z202&lt;&gt;""," ("&amp;IF(Z202=-1,"subsolo",IF(Z202=0,"térreo",Z202&amp;"º pav."))&amp;")",""),IF(Y202&lt;&gt;"","até "&amp;IF(Y202=-1,"subsolo",IF(Y202=0,"térreo",Y202&amp;"º pav.")),W202&amp;" de "&amp;V202&amp;" concluídas")&amp;IF(Z202="","",IF(OR(Y202="",Z202&gt;Y202),", executando "&amp;IF(Z202=-1,"subsolo",IF(Z202=0,"térreo",Z202&amp;"º pav."))," (restam serviços no "&amp;IF(Z202=-1,"subsolo",IF(Z202=0,"térreo",Z202&amp;"º pav."))&amp;")"))))))</f>
        <v/>
      </c>
    </row>
    <row r="203">
      <c r="B203" s="4" t="n">
        <v>44503965</v>
      </c>
      <c r="C203" s="4" t="inlineStr">
        <is>
          <t>FUNDAÇÃO SUPERFICIAL - FASE 6</t>
        </is>
      </c>
      <c r="D203" s="4" t="inlineStr">
        <is>
          <t>-</t>
        </is>
      </c>
      <c r="E203" s="4" t="inlineStr">
        <is>
          <t>SERVIÇOS INICIAIS</t>
        </is>
      </c>
      <c r="F203" s="118" t="n">
        <v>46206</v>
      </c>
      <c r="G203" s="118" t="n">
        <v>46220</v>
      </c>
      <c r="H203" s="118" t="n">
        <v>46289</v>
      </c>
      <c r="I203" s="4" t="n">
        <v>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IF(E203="","",IF(LEFT(E203,7)="SUBSOLO",-1,IF(LEFT(E203,6)="TÉRREO",0,IFERROR(VALUE(LEFT(E203,FIND("º",SUBSTITUTE(E203,"°","º"))-1)),""))))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IF(R203="","",COUNTIF($C$5:$C$3004,R203))</f>
        <v/>
      </c>
      <c r="W203" s="2">
        <f>IF(R203="","",COUNTIFS($C$5:$C$3004,R203,$O$5:$O$3004,"CONCLUÍDA"))</f>
        <v/>
      </c>
      <c r="X203" s="2">
        <f>IF(R203="","",COUNTIFS($C$5:$C$3004,R203,$O$5:$O$3004,"EM ANDAMENTO"))</f>
        <v/>
      </c>
      <c r="Y203" s="2">
        <f>IF(R203="","",IF(COUNTIFS($C$5:$C$3004,R203,$O$5:$O$3004,"CONCLUÍDA",$N$5:$N$3004,"&gt;=-1")=0,"",_xlfn.MAXIFS($N$5:$N$3004,$C$5:$C$3004,R203,$O$5:$O$3004,"CONCLUÍDA")))</f>
        <v/>
      </c>
      <c r="Z203" s="2">
        <f>IF(R203="","",IF(COUNTIFS($C$5:$C$3004,R203,$O$5:$O$3004,"EM ANDAMENTO",$N$5:$N$3004,"&gt;=-1")=0,"",_xlfn.MAXIFS($N$5:$N$3004,$C$5:$C$3004,R203,$O$5:$O$3004,"EM ANDAMENTO")))</f>
        <v/>
      </c>
      <c r="AA203" s="2">
        <f>IF(OR(R203="",S203="",U203&lt;&gt;"SIM",V203=0),"",IF(W203+X203=0,"",T203&amp;": "&amp;IF(W203=V203,"concluído",IF(W203=0,"em execução"&amp;IF(Z203&lt;&gt;""," ("&amp;IF(Z203=-1,"subsolo",IF(Z203=0,"térreo",Z203&amp;"º pav."))&amp;")",""),IF(Y203&lt;&gt;"","até "&amp;IF(Y203=-1,"subsolo",IF(Y203=0,"térreo",Y203&amp;"º pav.")),W203&amp;" de "&amp;V203&amp;" concluídas")&amp;IF(Z203="","",IF(OR(Y203="",Z203&gt;Y203),", executando "&amp;IF(Z203=-1,"subsolo",IF(Z203=0,"térreo",Z203&amp;"º pav."))," (restam serviços no "&amp;IF(Z203=-1,"subsolo",IF(Z203=0,"térreo",Z203&amp;"º pav."))&amp;")"))))))</f>
        <v/>
      </c>
    </row>
    <row r="204">
      <c r="B204" s="4" t="n">
        <v>28389446</v>
      </c>
      <c r="C204" s="4" t="inlineStr">
        <is>
          <t>FUNDAÇÃO SUPERFICIAL - FASE 6</t>
        </is>
      </c>
      <c r="D204" s="4" t="inlineStr">
        <is>
          <t>Escavação / Arrasamento - BL 136 - 145 - 154 / 24 - 25</t>
        </is>
      </c>
      <c r="E204" s="4" t="inlineStr">
        <is>
          <t>SERVIÇOS INICIAIS</t>
        </is>
      </c>
      <c r="F204" s="118" t="n">
        <v>46206</v>
      </c>
      <c r="G204" s="118" t="n">
        <v>46212</v>
      </c>
      <c r="H204" s="118" t="n">
        <v>46289</v>
      </c>
      <c r="I204" s="4" t="n">
        <v>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IF(E204="","",IF(LEFT(E204,7)="SUBSOLO",-1,IF(LEFT(E204,6)="TÉRREO",0,IFERROR(VALUE(LEFT(E204,FIND("º",SUBSTITUTE(E204,"°","º"))-1)),""))))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IF(R204="","",COUNTIF($C$5:$C$3004,R204))</f>
        <v/>
      </c>
      <c r="W204" s="2">
        <f>IF(R204="","",COUNTIFS($C$5:$C$3004,R204,$O$5:$O$3004,"CONCLUÍDA"))</f>
        <v/>
      </c>
      <c r="X204" s="2">
        <f>IF(R204="","",COUNTIFS($C$5:$C$3004,R204,$O$5:$O$3004,"EM ANDAMENTO"))</f>
        <v/>
      </c>
      <c r="Y204" s="2">
        <f>IF(R204="","",IF(COUNTIFS($C$5:$C$3004,R204,$O$5:$O$3004,"CONCLUÍDA",$N$5:$N$3004,"&gt;=-1")=0,"",_xlfn.MAXIFS($N$5:$N$3004,$C$5:$C$3004,R204,$O$5:$O$3004,"CONCLUÍDA")))</f>
        <v/>
      </c>
      <c r="Z204" s="2">
        <f>IF(R204="","",IF(COUNTIFS($C$5:$C$3004,R204,$O$5:$O$3004,"EM ANDAMENTO",$N$5:$N$3004,"&gt;=-1")=0,"",_xlfn.MAXIFS($N$5:$N$3004,$C$5:$C$3004,R204,$O$5:$O$3004,"EM ANDAMENTO")))</f>
        <v/>
      </c>
      <c r="AA204" s="2">
        <f>IF(OR(R204="",S204="",U204&lt;&gt;"SIM",V204=0),"",IF(W204+X204=0,"",T204&amp;": "&amp;IF(W204=V204,"concluído",IF(W204=0,"em execução"&amp;IF(Z204&lt;&gt;""," ("&amp;IF(Z204=-1,"subsolo",IF(Z204=0,"térreo",Z204&amp;"º pav."))&amp;")",""),IF(Y204&lt;&gt;"","até "&amp;IF(Y204=-1,"subsolo",IF(Y204=0,"térreo",Y204&amp;"º pav.")),W204&amp;" de "&amp;V204&amp;" concluídas")&amp;IF(Z204="","",IF(OR(Y204="",Z204&gt;Y204),", executando "&amp;IF(Z204=-1,"subsolo",IF(Z204=0,"térreo",Z204&amp;"º pav."))," (restam serviços no "&amp;IF(Z204=-1,"subsolo",IF(Z204=0,"térreo",Z204&amp;"º pav."))&amp;")"))))))</f>
        <v/>
      </c>
    </row>
    <row r="205">
      <c r="B205" s="4" t="n">
        <v>28389447</v>
      </c>
      <c r="C205" s="4" t="inlineStr">
        <is>
          <t>FUNDAÇÃO SUPERFICIAL - FASE 6</t>
        </is>
      </c>
      <c r="D205" s="4" t="inlineStr">
        <is>
          <t>Escavação / Arrasamento - BL 138 - 140 / 146 - 149 / 155 - 156</t>
        </is>
      </c>
      <c r="E205" s="4" t="inlineStr">
        <is>
          <t>SERVIÇOS INICIAIS</t>
        </is>
      </c>
      <c r="F205" s="118" t="n">
        <v>46213</v>
      </c>
      <c r="G205" s="118" t="n">
        <v>46219</v>
      </c>
      <c r="H205" s="118" t="n">
        <v>46289</v>
      </c>
      <c r="I205" s="4" t="n">
        <v>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IF(E205="","",IF(LEFT(E205,7)="SUBSOLO",-1,IF(LEFT(E205,6)="TÉRREO",0,IFERROR(VALUE(LEFT(E205,FIND("º",SUBSTITUTE(E205,"°","º"))-1)),""))))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IF(R205="","",COUNTIF($C$5:$C$3004,R205))</f>
        <v/>
      </c>
      <c r="W205" s="2">
        <f>IF(R205="","",COUNTIFS($C$5:$C$3004,R205,$O$5:$O$3004,"CONCLUÍDA"))</f>
        <v/>
      </c>
      <c r="X205" s="2">
        <f>IF(R205="","",COUNTIFS($C$5:$C$3004,R205,$O$5:$O$3004,"EM ANDAMENTO"))</f>
        <v/>
      </c>
      <c r="Y205" s="2">
        <f>IF(R205="","",IF(COUNTIFS($C$5:$C$3004,R205,$O$5:$O$3004,"CONCLUÍDA",$N$5:$N$3004,"&gt;=-1")=0,"",_xlfn.MAXIFS($N$5:$N$3004,$C$5:$C$3004,R205,$O$5:$O$3004,"CONCLUÍDA")))</f>
        <v/>
      </c>
      <c r="Z205" s="2">
        <f>IF(R205="","",IF(COUNTIFS($C$5:$C$3004,R205,$O$5:$O$3004,"EM ANDAMENTO",$N$5:$N$3004,"&gt;=-1")=0,"",_xlfn.MAXIFS($N$5:$N$3004,$C$5:$C$3004,R205,$O$5:$O$3004,"EM ANDAMENTO")))</f>
        <v/>
      </c>
      <c r="AA205" s="2">
        <f>IF(OR(R205="",S205="",U205&lt;&gt;"SIM",V205=0),"",IF(W205+X205=0,"",T205&amp;": "&amp;IF(W205=V205,"concluído",IF(W205=0,"em execução"&amp;IF(Z205&lt;&gt;""," ("&amp;IF(Z205=-1,"subsolo",IF(Z205=0,"térreo",Z205&amp;"º pav."))&amp;")",""),IF(Y205&lt;&gt;"","até "&amp;IF(Y205=-1,"subsolo",IF(Y205=0,"térreo",Y205&amp;"º pav.")),W205&amp;" de "&amp;V205&amp;" concluídas")&amp;IF(Z205="","",IF(OR(Y205="",Z205&gt;Y205),", executando "&amp;IF(Z205=-1,"subsolo",IF(Z205=0,"térreo",Z205&amp;"º pav."))," (restam serviços no "&amp;IF(Z205=-1,"subsolo",IF(Z205=0,"térreo",Z205&amp;"º pav."))&amp;")"))))))</f>
        <v/>
      </c>
    </row>
    <row r="206">
      <c r="B206" s="4" t="n">
        <v>28389448</v>
      </c>
      <c r="C206" s="4" t="inlineStr">
        <is>
          <t>FUNDAÇÃO SUPERFICIAL - FASE 6</t>
        </is>
      </c>
      <c r="D206" s="4" t="inlineStr">
        <is>
          <t>Armação - BL 136 - 138 - 140 / 145 - 149 / 154 - 156 / 24 - 25</t>
        </is>
      </c>
      <c r="E206" s="4" t="inlineStr">
        <is>
          <t>SERVIÇOS INICIAIS</t>
        </is>
      </c>
      <c r="F206" s="118" t="n">
        <v>46213</v>
      </c>
      <c r="G206" s="118" t="n">
        <v>46219</v>
      </c>
      <c r="H206" s="118" t="n">
        <v>46289</v>
      </c>
      <c r="I206" s="4" t="n">
        <v>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IF(E206="","",IF(LEFT(E206,7)="SUBSOLO",-1,IF(LEFT(E206,6)="TÉRREO",0,IFERROR(VALUE(LEFT(E206,FIND("º",SUBSTITUTE(E206,"°","º"))-1)),""))))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IF(R206="","",COUNTIF($C$5:$C$3004,R206))</f>
        <v/>
      </c>
      <c r="W206" s="2">
        <f>IF(R206="","",COUNTIFS($C$5:$C$3004,R206,$O$5:$O$3004,"CONCLUÍDA"))</f>
        <v/>
      </c>
      <c r="X206" s="2">
        <f>IF(R206="","",COUNTIFS($C$5:$C$3004,R206,$O$5:$O$3004,"EM ANDAMENTO"))</f>
        <v/>
      </c>
      <c r="Y206" s="2">
        <f>IF(R206="","",IF(COUNTIFS($C$5:$C$3004,R206,$O$5:$O$3004,"CONCLUÍDA",$N$5:$N$3004,"&gt;=-1")=0,"",_xlfn.MAXIFS($N$5:$N$3004,$C$5:$C$3004,R206,$O$5:$O$3004,"CONCLUÍDA")))</f>
        <v/>
      </c>
      <c r="Z206" s="2">
        <f>IF(R206="","",IF(COUNTIFS($C$5:$C$3004,R206,$O$5:$O$3004,"EM ANDAMENTO",$N$5:$N$3004,"&gt;=-1")=0,"",_xlfn.MAXIFS($N$5:$N$3004,$C$5:$C$3004,R206,$O$5:$O$3004,"EM ANDAMENTO")))</f>
        <v/>
      </c>
      <c r="AA206" s="2">
        <f>IF(OR(R206="",S206="",U206&lt;&gt;"SIM",V206=0),"",IF(W206+X206=0,"",T206&amp;": "&amp;IF(W206=V206,"concluído",IF(W206=0,"em execução"&amp;IF(Z206&lt;&gt;""," ("&amp;IF(Z206=-1,"subsolo",IF(Z206=0,"térreo",Z206&amp;"º pav."))&amp;")",""),IF(Y206&lt;&gt;"","até "&amp;IF(Y206=-1,"subsolo",IF(Y206=0,"térreo",Y206&amp;"º pav.")),W206&amp;" de "&amp;V206&amp;" concluídas")&amp;IF(Z206="","",IF(OR(Y206="",Z206&gt;Y206),", executando "&amp;IF(Z206=-1,"subsolo",IF(Z206=0,"térreo",Z206&amp;"º pav."))," (restam serviços no "&amp;IF(Z206=-1,"subsolo",IF(Z206=0,"térreo",Z206&amp;"º pav."))&amp;")"))))))</f>
        <v/>
      </c>
    </row>
    <row r="207">
      <c r="B207" s="4" t="n">
        <v>28389449</v>
      </c>
      <c r="C207" s="4" t="inlineStr">
        <is>
          <t>FUNDAÇÃO SUPERFICIAL - FASE 6</t>
        </is>
      </c>
      <c r="D207" s="4" t="inlineStr">
        <is>
          <t>Forma - BL 136 - 138 - 140 / 145 - 149 / 154 - 156 / 24 - 25</t>
        </is>
      </c>
      <c r="E207" s="4" t="inlineStr">
        <is>
          <t>SERVIÇOS INICIAIS</t>
        </is>
      </c>
      <c r="F207" s="118" t="n">
        <v>46213</v>
      </c>
      <c r="G207" s="118" t="n">
        <v>46219</v>
      </c>
      <c r="H207" s="118" t="n">
        <v>46289</v>
      </c>
      <c r="I207" s="4" t="n">
        <v>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IF(E207="","",IF(LEFT(E207,7)="SUBSOLO",-1,IF(LEFT(E207,6)="TÉRREO",0,IFERROR(VALUE(LEFT(E207,FIND("º",SUBSTITUTE(E207,"°","º"))-1)),""))))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IF(R207="","",COUNTIF($C$5:$C$3004,R207))</f>
        <v/>
      </c>
      <c r="W207" s="2">
        <f>IF(R207="","",COUNTIFS($C$5:$C$3004,R207,$O$5:$O$3004,"CONCLUÍDA"))</f>
        <v/>
      </c>
      <c r="X207" s="2">
        <f>IF(R207="","",COUNTIFS($C$5:$C$3004,R207,$O$5:$O$3004,"EM ANDAMENTO"))</f>
        <v/>
      </c>
      <c r="Y207" s="2">
        <f>IF(R207="","",IF(COUNTIFS($C$5:$C$3004,R207,$O$5:$O$3004,"CONCLUÍDA",$N$5:$N$3004,"&gt;=-1")=0,"",_xlfn.MAXIFS($N$5:$N$3004,$C$5:$C$3004,R207,$O$5:$O$3004,"CONCLUÍDA")))</f>
        <v/>
      </c>
      <c r="Z207" s="2">
        <f>IF(R207="","",IF(COUNTIFS($C$5:$C$3004,R207,$O$5:$O$3004,"EM ANDAMENTO",$N$5:$N$3004,"&gt;=-1")=0,"",_xlfn.MAXIFS($N$5:$N$3004,$C$5:$C$3004,R207,$O$5:$O$3004,"EM ANDAMENTO")))</f>
        <v/>
      </c>
      <c r="AA207" s="2">
        <f>IF(OR(R207="",S207="",U207&lt;&gt;"SIM",V207=0),"",IF(W207+X207=0,"",T207&amp;": "&amp;IF(W207=V207,"concluído",IF(W207=0,"em execução"&amp;IF(Z207&lt;&gt;""," ("&amp;IF(Z207=-1,"subsolo",IF(Z207=0,"térreo",Z207&amp;"º pav."))&amp;")",""),IF(Y207&lt;&gt;"","até "&amp;IF(Y207=-1,"subsolo",IF(Y207=0,"térreo",Y207&amp;"º pav.")),W207&amp;" de "&amp;V207&amp;" concluídas")&amp;IF(Z207="","",IF(OR(Y207="",Z207&gt;Y207),", executando "&amp;IF(Z207=-1,"subsolo",IF(Z207=0,"térreo",Z207&amp;"º pav."))," (restam serviços no "&amp;IF(Z207=-1,"subsolo",IF(Z207=0,"térreo",Z207&amp;"º pav."))&amp;")"))))))</f>
        <v/>
      </c>
    </row>
    <row r="208">
      <c r="B208" s="4" t="n">
        <v>28389450</v>
      </c>
      <c r="C208" s="4" t="inlineStr">
        <is>
          <t>FUNDAÇÃO SUPERFICIAL - FASE 6</t>
        </is>
      </c>
      <c r="D208" s="4" t="inlineStr">
        <is>
          <t>Concreto - BL 136 - 138 - 140 / 145 - 149 / 154 - 156 / 24 - 25</t>
        </is>
      </c>
      <c r="E208" s="4" t="inlineStr">
        <is>
          <t>SERVIÇOS INICIAIS</t>
        </is>
      </c>
      <c r="F208" s="118" t="n">
        <v>46220</v>
      </c>
      <c r="G208" s="118" t="n">
        <v>46220</v>
      </c>
      <c r="H208" s="118" t="n">
        <v>46289</v>
      </c>
      <c r="I208" s="4" t="n">
        <v>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IF(E208="","",IF(LEFT(E208,7)="SUBSOLO",-1,IF(LEFT(E208,6)="TÉRREO",0,IFERROR(VALUE(LEFT(E208,FIND("º",SUBSTITUTE(E208,"°","º"))-1)),""))))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IF(R208="","",COUNTIF($C$5:$C$3004,R208))</f>
        <v/>
      </c>
      <c r="W208" s="2">
        <f>IF(R208="","",COUNTIFS($C$5:$C$3004,R208,$O$5:$O$3004,"CONCLUÍDA"))</f>
        <v/>
      </c>
      <c r="X208" s="2">
        <f>IF(R208="","",COUNTIFS($C$5:$C$3004,R208,$O$5:$O$3004,"EM ANDAMENTO"))</f>
        <v/>
      </c>
      <c r="Y208" s="2">
        <f>IF(R208="","",IF(COUNTIFS($C$5:$C$3004,R208,$O$5:$O$3004,"CONCLUÍDA",$N$5:$N$3004,"&gt;=-1")=0,"",_xlfn.MAXIFS($N$5:$N$3004,$C$5:$C$3004,R208,$O$5:$O$3004,"CONCLUÍDA")))</f>
        <v/>
      </c>
      <c r="Z208" s="2">
        <f>IF(R208="","",IF(COUNTIFS($C$5:$C$3004,R208,$O$5:$O$3004,"EM ANDAMENTO",$N$5:$N$3004,"&gt;=-1")=0,"",_xlfn.MAXIFS($N$5:$N$3004,$C$5:$C$3004,R208,$O$5:$O$3004,"EM ANDAMENTO")))</f>
        <v/>
      </c>
      <c r="AA208" s="2">
        <f>IF(OR(R208="",S208="",U208&lt;&gt;"SIM",V208=0),"",IF(W208+X208=0,"",T208&amp;": "&amp;IF(W208=V208,"concluído",IF(W208=0,"em execução"&amp;IF(Z208&lt;&gt;""," ("&amp;IF(Z208=-1,"subsolo",IF(Z208=0,"térreo",Z208&amp;"º pav."))&amp;")",""),IF(Y208&lt;&gt;"","até "&amp;IF(Y208=-1,"subsolo",IF(Y208=0,"térreo",Y208&amp;"º pav.")),W208&amp;" de "&amp;V208&amp;" concluídas")&amp;IF(Z208="","",IF(OR(Y208="",Z208&gt;Y208),", executando "&amp;IF(Z208=-1,"subsolo",IF(Z208=0,"térreo",Z208&amp;"º pav."))," (restam serviços no "&amp;IF(Z208=-1,"subsolo",IF(Z208=0,"térreo",Z208&amp;"º pav."))&amp;")"))))))</f>
        <v/>
      </c>
    </row>
    <row r="209">
      <c r="B209" s="4" t="n">
        <v>48913812</v>
      </c>
      <c r="C209" s="4" t="inlineStr">
        <is>
          <t>Estrutura Térreo - Fase 2</t>
        </is>
      </c>
      <c r="D209" s="4" t="inlineStr">
        <is>
          <t>-</t>
        </is>
      </c>
      <c r="E209" s="4" t="inlineStr">
        <is>
          <t>TÉRREO - GERAL</t>
        </is>
      </c>
      <c r="F209" s="118" t="n">
        <v>46216</v>
      </c>
      <c r="G209" s="118" t="n">
        <v>46251</v>
      </c>
      <c r="H209" s="118" t="n">
        <v>46289</v>
      </c>
      <c r="I209" s="4" t="n">
        <v>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IF(E209="","",IF(LEFT(E209,7)="SUBSOLO",-1,IF(LEFT(E209,6)="TÉRREO",0,IFERROR(VALUE(LEFT(E209,FIND("º",SUBSTITUTE(E209,"°","º"))-1)),""))))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IF(R209="","",COUNTIF($C$5:$C$3004,R209))</f>
        <v/>
      </c>
      <c r="W209" s="2">
        <f>IF(R209="","",COUNTIFS($C$5:$C$3004,R209,$O$5:$O$3004,"CONCLUÍDA"))</f>
        <v/>
      </c>
      <c r="X209" s="2">
        <f>IF(R209="","",COUNTIFS($C$5:$C$3004,R209,$O$5:$O$3004,"EM ANDAMENTO"))</f>
        <v/>
      </c>
      <c r="Y209" s="2">
        <f>IF(R209="","",IF(COUNTIFS($C$5:$C$3004,R209,$O$5:$O$3004,"CONCLUÍDA",$N$5:$N$3004,"&gt;=-1")=0,"",_xlfn.MAXIFS($N$5:$N$3004,$C$5:$C$3004,R209,$O$5:$O$3004,"CONCLUÍDA")))</f>
        <v/>
      </c>
      <c r="Z209" s="2">
        <f>IF(R209="","",IF(COUNTIFS($C$5:$C$3004,R209,$O$5:$O$3004,"EM ANDAMENTO",$N$5:$N$3004,"&gt;=-1")=0,"",_xlfn.MAXIFS($N$5:$N$3004,$C$5:$C$3004,R209,$O$5:$O$3004,"EM ANDAMENTO")))</f>
        <v/>
      </c>
      <c r="AA209" s="2">
        <f>IF(OR(R209="",S209="",U209&lt;&gt;"SIM",V209=0),"",IF(W209+X209=0,"",T209&amp;": "&amp;IF(W209=V209,"concluído",IF(W209=0,"em execução"&amp;IF(Z209&lt;&gt;""," ("&amp;IF(Z209=-1,"subsolo",IF(Z209=0,"térreo",Z209&amp;"º pav."))&amp;")",""),IF(Y209&lt;&gt;"","até "&amp;IF(Y209=-1,"subsolo",IF(Y209=0,"térreo",Y209&amp;"º pav.")),W209&amp;" de "&amp;V209&amp;" concluídas")&amp;IF(Z209="","",IF(OR(Y209="",Z209&gt;Y209),", executando "&amp;IF(Z209=-1,"subsolo",IF(Z209=0,"térreo",Z209&amp;"º pav."))," (restam serviços no "&amp;IF(Z209=-1,"subsolo",IF(Z209=0,"térreo",Z209&amp;"º pav."))&amp;")"))))))</f>
        <v/>
      </c>
    </row>
    <row r="210">
      <c r="B210" s="4" t="n">
        <v>31924965</v>
      </c>
      <c r="C210" s="4" t="inlineStr">
        <is>
          <t>Estrutura Térreo - Fase 2</t>
        </is>
      </c>
      <c r="D210" s="4" t="inlineStr">
        <is>
          <t>Escoramento Laje/ Vigas</t>
        </is>
      </c>
      <c r="E210" s="4" t="inlineStr">
        <is>
          <t>TÉRREO - GERAL</t>
        </is>
      </c>
      <c r="F210" s="118" t="n">
        <v>46216</v>
      </c>
      <c r="G210" s="118" t="n">
        <v>46219</v>
      </c>
      <c r="H210" s="118" t="n">
        <v>46289</v>
      </c>
      <c r="I210" s="4" t="n">
        <v>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IF(E210="","",IF(LEFT(E210,7)="SUBSOLO",-1,IF(LEFT(E210,6)="TÉRREO",0,IFERROR(VALUE(LEFT(E210,FIND("º",SUBSTITUTE(E210,"°","º"))-1)),""))))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IF(R210="","",COUNTIF($C$5:$C$3004,R210))</f>
        <v/>
      </c>
      <c r="W210" s="2">
        <f>IF(R210="","",COUNTIFS($C$5:$C$3004,R210,$O$5:$O$3004,"CONCLUÍDA"))</f>
        <v/>
      </c>
      <c r="X210" s="2">
        <f>IF(R210="","",COUNTIFS($C$5:$C$3004,R210,$O$5:$O$3004,"EM ANDAMENTO"))</f>
        <v/>
      </c>
      <c r="Y210" s="2">
        <f>IF(R210="","",IF(COUNTIFS($C$5:$C$3004,R210,$O$5:$O$3004,"CONCLUÍDA",$N$5:$N$3004,"&gt;=-1")=0,"",_xlfn.MAXIFS($N$5:$N$3004,$C$5:$C$3004,R210,$O$5:$O$3004,"CONCLUÍDA")))</f>
        <v/>
      </c>
      <c r="Z210" s="2">
        <f>IF(R210="","",IF(COUNTIFS($C$5:$C$3004,R210,$O$5:$O$3004,"EM ANDAMENTO",$N$5:$N$3004,"&gt;=-1")=0,"",_xlfn.MAXIFS($N$5:$N$3004,$C$5:$C$3004,R210,$O$5:$O$3004,"EM ANDAMENTO")))</f>
        <v/>
      </c>
      <c r="AA210" s="2">
        <f>IF(OR(R210="",S210="",U210&lt;&gt;"SIM",V210=0),"",IF(W210+X210=0,"",T210&amp;": "&amp;IF(W210=V210,"concluído",IF(W210=0,"em execução"&amp;IF(Z210&lt;&gt;""," ("&amp;IF(Z210=-1,"subsolo",IF(Z210=0,"térreo",Z210&amp;"º pav."))&amp;")",""),IF(Y210&lt;&gt;"","até "&amp;IF(Y210=-1,"subsolo",IF(Y210=0,"térreo",Y210&amp;"º pav.")),W210&amp;" de "&amp;V210&amp;" concluídas")&amp;IF(Z210="","",IF(OR(Y210="",Z210&gt;Y210),", executando "&amp;IF(Z210=-1,"subsolo",IF(Z210=0,"térreo",Z210&amp;"º pav."))," (restam serviços no "&amp;IF(Z210=-1,"subsolo",IF(Z210=0,"térreo",Z210&amp;"º pav."))&amp;")"))))))</f>
        <v/>
      </c>
    </row>
    <row r="211">
      <c r="B211" s="4" t="n">
        <v>31924966</v>
      </c>
      <c r="C211" s="4" t="inlineStr">
        <is>
          <t>Estrutura Térreo - Fase 2</t>
        </is>
      </c>
      <c r="D211" s="4" t="inlineStr">
        <is>
          <t>Forro Laje</t>
        </is>
      </c>
      <c r="E211" s="4" t="inlineStr">
        <is>
          <t>TÉRREO - GERAL</t>
        </is>
      </c>
      <c r="F211" s="118" t="n">
        <v>46220</v>
      </c>
      <c r="G211" s="118" t="n">
        <v>46245</v>
      </c>
      <c r="H211" s="118" t="n">
        <v>46289</v>
      </c>
      <c r="I211" s="4" t="n">
        <v>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IF(E211="","",IF(LEFT(E211,7)="SUBSOLO",-1,IF(LEFT(E211,6)="TÉRREO",0,IFERROR(VALUE(LEFT(E211,FIND("º",SUBSTITUTE(E211,"°","º"))-1)),""))))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IF(R211="","",COUNTIF($C$5:$C$3004,R211))</f>
        <v/>
      </c>
      <c r="W211" s="2">
        <f>IF(R211="","",COUNTIFS($C$5:$C$3004,R211,$O$5:$O$3004,"CONCLUÍDA"))</f>
        <v/>
      </c>
      <c r="X211" s="2">
        <f>IF(R211="","",COUNTIFS($C$5:$C$3004,R211,$O$5:$O$3004,"EM ANDAMENTO"))</f>
        <v/>
      </c>
      <c r="Y211" s="2">
        <f>IF(R211="","",IF(COUNTIFS($C$5:$C$3004,R211,$O$5:$O$3004,"CONCLUÍDA",$N$5:$N$3004,"&gt;=-1")=0,"",_xlfn.MAXIFS($N$5:$N$3004,$C$5:$C$3004,R211,$O$5:$O$3004,"CONCLUÍDA")))</f>
        <v/>
      </c>
      <c r="Z211" s="2">
        <f>IF(R211="","",IF(COUNTIFS($C$5:$C$3004,R211,$O$5:$O$3004,"EM ANDAMENTO",$N$5:$N$3004,"&gt;=-1")=0,"",_xlfn.MAXIFS($N$5:$N$3004,$C$5:$C$3004,R211,$O$5:$O$3004,"EM ANDAMENTO")))</f>
        <v/>
      </c>
      <c r="AA211" s="2">
        <f>IF(OR(R211="",S211="",U211&lt;&gt;"SIM",V211=0),"",IF(W211+X211=0,"",T211&amp;": "&amp;IF(W211=V211,"concluído",IF(W211=0,"em execução"&amp;IF(Z211&lt;&gt;""," ("&amp;IF(Z211=-1,"subsolo",IF(Z211=0,"térreo",Z211&amp;"º pav."))&amp;")",""),IF(Y211&lt;&gt;"","até "&amp;IF(Y211=-1,"subsolo",IF(Y211=0,"térreo",Y211&amp;"º pav.")),W211&amp;" de "&amp;V211&amp;" concluídas")&amp;IF(Z211="","",IF(OR(Y211="",Z211&gt;Y211),", executando "&amp;IF(Z211=-1,"subsolo",IF(Z211=0,"térreo",Z211&amp;"º pav."))," (restam serviços no "&amp;IF(Z211=-1,"subsolo",IF(Z211=0,"térreo",Z211&amp;"º pav."))&amp;")"))))))</f>
        <v/>
      </c>
    </row>
    <row r="212">
      <c r="B212" s="4" t="n">
        <v>31924967</v>
      </c>
      <c r="C212" s="4" t="inlineStr">
        <is>
          <t>Estrutura Térreo - Fase 2</t>
        </is>
      </c>
      <c r="D212" s="4" t="inlineStr">
        <is>
          <t>Montagem Vigas - Armação</t>
        </is>
      </c>
      <c r="E212" s="4" t="inlineStr">
        <is>
          <t>TÉRREO - GERAL</t>
        </is>
      </c>
      <c r="F212" s="118" t="n">
        <v>46225</v>
      </c>
      <c r="G212" s="118" t="n">
        <v>46231</v>
      </c>
      <c r="H212" s="118" t="n">
        <v>46289</v>
      </c>
      <c r="I212" s="4" t="n">
        <v>0</v>
      </c>
      <c r="J212" s="4" t="n">
        <v>100</v>
      </c>
      <c r="K212" s="4" t="n">
        <v>100</v>
      </c>
      <c r="M212" s="2">
        <f>IF(C212="","",IFERROR(INDEX($S$5:$S$304,MATCH(C212,$R$5:$R$304,0))&amp;"","?"))</f>
        <v/>
      </c>
      <c r="N212" s="2">
        <f>IF(E212="","",IF(LEFT(E212,7)="SUBSOLO",-1,IF(LEFT(E212,6)="TÉRREO",0,IFERROR(VALUE(LEFT(E212,FIND("º",SUBSTITUTE(E212,"°","º"))-1)),""))))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IF(R212="","",COUNTIF($C$5:$C$3004,R212))</f>
        <v/>
      </c>
      <c r="W212" s="2">
        <f>IF(R212="","",COUNTIFS($C$5:$C$3004,R212,$O$5:$O$3004,"CONCLUÍDA"))</f>
        <v/>
      </c>
      <c r="X212" s="2">
        <f>IF(R212="","",COUNTIFS($C$5:$C$3004,R212,$O$5:$O$3004,"EM ANDAMENTO"))</f>
        <v/>
      </c>
      <c r="Y212" s="2">
        <f>IF(R212="","",IF(COUNTIFS($C$5:$C$3004,R212,$O$5:$O$3004,"CONCLUÍDA",$N$5:$N$3004,"&gt;=-1")=0,"",_xlfn.MAXIFS($N$5:$N$3004,$C$5:$C$3004,R212,$O$5:$O$3004,"CONCLUÍDA")))</f>
        <v/>
      </c>
      <c r="Z212" s="2">
        <f>IF(R212="","",IF(COUNTIFS($C$5:$C$3004,R212,$O$5:$O$3004,"EM ANDAMENTO",$N$5:$N$3004,"&gt;=-1")=0,"",_xlfn.MAXIFS($N$5:$N$3004,$C$5:$C$3004,R212,$O$5:$O$3004,"EM ANDAMENTO")))</f>
        <v/>
      </c>
      <c r="AA212" s="2">
        <f>IF(OR(R212="",S212="",U212&lt;&gt;"SIM",V212=0),"",IF(W212+X212=0,"",T212&amp;": "&amp;IF(W212=V212,"concluído",IF(W212=0,"em execução"&amp;IF(Z212&lt;&gt;""," ("&amp;IF(Z212=-1,"subsolo",IF(Z212=0,"térreo",Z212&amp;"º pav."))&amp;")",""),IF(Y212&lt;&gt;"","até "&amp;IF(Y212=-1,"subsolo",IF(Y212=0,"térreo",Y212&amp;"º pav.")),W212&amp;" de "&amp;V212&amp;" concluídas")&amp;IF(Z212="","",IF(OR(Y212="",Z212&gt;Y212),", executando "&amp;IF(Z212=-1,"subsolo",IF(Z212=0,"térreo",Z212&amp;"º pav."))," (restam serviços no "&amp;IF(Z212=-1,"subsolo",IF(Z212=0,"térreo",Z212&amp;"º pav."))&amp;")"))))))</f>
        <v/>
      </c>
    </row>
    <row r="213">
      <c r="B213" s="4" t="n">
        <v>31924968</v>
      </c>
      <c r="C213" s="4" t="inlineStr">
        <is>
          <t>Estrutura Térreo - Fase 2</t>
        </is>
      </c>
      <c r="D213" s="4" t="inlineStr">
        <is>
          <t>Armação Laje</t>
        </is>
      </c>
      <c r="E213" s="4" t="inlineStr">
        <is>
          <t>TÉRREO - GERAL</t>
        </is>
      </c>
      <c r="F213" s="118" t="n">
        <v>46240</v>
      </c>
      <c r="G213" s="118" t="n">
        <v>46248</v>
      </c>
      <c r="H213" s="118" t="n">
        <v>46289</v>
      </c>
      <c r="I213" s="4" t="n">
        <v>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IF(E213="","",IF(LEFT(E213,7)="SUBSOLO",-1,IF(LEFT(E213,6)="TÉRREO",0,IFERROR(VALUE(LEFT(E213,FIND("º",SUBSTITUTE(E213,"°","º"))-1)),""))))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IF(R213="","",COUNTIF($C$5:$C$3004,R213))</f>
        <v/>
      </c>
      <c r="W213" s="2">
        <f>IF(R213="","",COUNTIFS($C$5:$C$3004,R213,$O$5:$O$3004,"CONCLUÍDA"))</f>
        <v/>
      </c>
      <c r="X213" s="2">
        <f>IF(R213="","",COUNTIFS($C$5:$C$3004,R213,$O$5:$O$3004,"EM ANDAMENTO"))</f>
        <v/>
      </c>
      <c r="Y213" s="2">
        <f>IF(R213="","",IF(COUNTIFS($C$5:$C$3004,R213,$O$5:$O$3004,"CONCLUÍDA",$N$5:$N$3004,"&gt;=-1")=0,"",_xlfn.MAXIFS($N$5:$N$3004,$C$5:$C$3004,R213,$O$5:$O$3004,"CONCLUÍDA")))</f>
        <v/>
      </c>
      <c r="Z213" s="2">
        <f>IF(R213="","",IF(COUNTIFS($C$5:$C$3004,R213,$O$5:$O$3004,"EM ANDAMENTO",$N$5:$N$3004,"&gt;=-1")=0,"",_xlfn.MAXIFS($N$5:$N$3004,$C$5:$C$3004,R213,$O$5:$O$3004,"EM ANDAMENTO")))</f>
        <v/>
      </c>
      <c r="AA213" s="2">
        <f>IF(OR(R213="",S213="",U213&lt;&gt;"SIM",V213=0),"",IF(W213+X213=0,"",T213&amp;": "&amp;IF(W213=V213,"concluído",IF(W213=0,"em execução"&amp;IF(Z213&lt;&gt;""," ("&amp;IF(Z213=-1,"subsolo",IF(Z213=0,"térreo",Z213&amp;"º pav."))&amp;")",""),IF(Y213&lt;&gt;"","até "&amp;IF(Y213=-1,"subsolo",IF(Y213=0,"térreo",Y213&amp;"º pav.")),W213&amp;" de "&amp;V213&amp;" concluídas")&amp;IF(Z213="","",IF(OR(Y213="",Z213&gt;Y213),", executando "&amp;IF(Z213=-1,"subsolo",IF(Z213=0,"térreo",Z213&amp;"º pav."))," (restam serviços no "&amp;IF(Z213=-1,"subsolo",IF(Z213=0,"térreo",Z213&amp;"º pav."))&amp;")"))))))</f>
        <v/>
      </c>
    </row>
    <row r="214">
      <c r="B214" s="4" t="n">
        <v>31924976</v>
      </c>
      <c r="C214" s="4" t="inlineStr">
        <is>
          <t>Estrutura Térreo - Fase 2</t>
        </is>
      </c>
      <c r="D214" s="4" t="inlineStr">
        <is>
          <t>Concretagem Laje</t>
        </is>
      </c>
      <c r="E214" s="4" t="inlineStr">
        <is>
          <t>TÉRREO - GERAL</t>
        </is>
      </c>
      <c r="F214" s="118" t="n">
        <v>46251</v>
      </c>
      <c r="G214" s="118" t="n">
        <v>46251</v>
      </c>
      <c r="H214" s="118" t="n">
        <v>46289</v>
      </c>
      <c r="I214" s="4" t="n">
        <v>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IF(E214="","",IF(LEFT(E214,7)="SUBSOLO",-1,IF(LEFT(E214,6)="TÉRREO",0,IFERROR(VALUE(LEFT(E214,FIND("º",SUBSTITUTE(E214,"°","º"))-1)),""))))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IF(R214="","",COUNTIF($C$5:$C$3004,R214))</f>
        <v/>
      </c>
      <c r="W214" s="2">
        <f>IF(R214="","",COUNTIFS($C$5:$C$3004,R214,$O$5:$O$3004,"CONCLUÍDA"))</f>
        <v/>
      </c>
      <c r="X214" s="2">
        <f>IF(R214="","",COUNTIFS($C$5:$C$3004,R214,$O$5:$O$3004,"EM ANDAMENTO"))</f>
        <v/>
      </c>
      <c r="Y214" s="2">
        <f>IF(R214="","",IF(COUNTIFS($C$5:$C$3004,R214,$O$5:$O$3004,"CONCLUÍDA",$N$5:$N$3004,"&gt;=-1")=0,"",_xlfn.MAXIFS($N$5:$N$3004,$C$5:$C$3004,R214,$O$5:$O$3004,"CONCLUÍDA")))</f>
        <v/>
      </c>
      <c r="Z214" s="2">
        <f>IF(R214="","",IF(COUNTIFS($C$5:$C$3004,R214,$O$5:$O$3004,"EM ANDAMENTO",$N$5:$N$3004,"&gt;=-1")=0,"",_xlfn.MAXIFS($N$5:$N$3004,$C$5:$C$3004,R214,$O$5:$O$3004,"EM ANDAMENTO")))</f>
        <v/>
      </c>
      <c r="AA214" s="2">
        <f>IF(OR(R214="",S214="",U214&lt;&gt;"SIM",V214=0),"",IF(W214+X214=0,"",T214&amp;": "&amp;IF(W214=V214,"concluído",IF(W214=0,"em execução"&amp;IF(Z214&lt;&gt;""," ("&amp;IF(Z214=-1,"subsolo",IF(Z214=0,"térreo",Z214&amp;"º pav."))&amp;")",""),IF(Y214&lt;&gt;"","até "&amp;IF(Y214=-1,"subsolo",IF(Y214=0,"térreo",Y214&amp;"º pav.")),W214&amp;" de "&amp;V214&amp;" concluídas")&amp;IF(Z214="","",IF(OR(Y214="",Z214&gt;Y214),", executando "&amp;IF(Z214=-1,"subsolo",IF(Z214=0,"térreo",Z214&amp;"º pav."))," (restam serviços no "&amp;IF(Z214=-1,"subsolo",IF(Z214=0,"térreo",Z214&amp;"º pav."))&amp;")"))))))</f>
        <v/>
      </c>
    </row>
    <row r="215">
      <c r="B215" s="4" t="n">
        <v>48913806</v>
      </c>
      <c r="C215" s="4" t="inlineStr">
        <is>
          <t>Estrutura Térreo - Fase 3</t>
        </is>
      </c>
      <c r="D215" s="4" t="inlineStr">
        <is>
          <t>-</t>
        </is>
      </c>
      <c r="E215" s="4" t="inlineStr">
        <is>
          <t>TÉRREO - GERAL</t>
        </is>
      </c>
      <c r="F215" s="118" t="n">
        <v>46224</v>
      </c>
      <c r="G215" s="118" t="n">
        <v>46241</v>
      </c>
      <c r="H215" s="118" t="n">
        <v>46289</v>
      </c>
      <c r="I215" s="4" t="n">
        <v>0</v>
      </c>
      <c r="J215" s="4" t="n">
        <v>100</v>
      </c>
      <c r="K215" s="4" t="n">
        <v>100</v>
      </c>
      <c r="M215" s="2">
        <f>IF(C215="","",IFERROR(INDEX($S$5:$S$304,MATCH(C215,$R$5:$R$304,0))&amp;"","?"))</f>
        <v/>
      </c>
      <c r="N215" s="2">
        <f>IF(E215="","",IF(LEFT(E215,7)="SUBSOLO",-1,IF(LEFT(E215,6)="TÉRREO",0,IFERROR(VALUE(LEFT(E215,FIND("º",SUBSTITUTE(E215,"°","º"))-1)),""))))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IF(R215="","",COUNTIF($C$5:$C$3004,R215))</f>
        <v/>
      </c>
      <c r="W215" s="2">
        <f>IF(R215="","",COUNTIFS($C$5:$C$3004,R215,$O$5:$O$3004,"CONCLUÍDA"))</f>
        <v/>
      </c>
      <c r="X215" s="2">
        <f>IF(R215="","",COUNTIFS($C$5:$C$3004,R215,$O$5:$O$3004,"EM ANDAMENTO"))</f>
        <v/>
      </c>
      <c r="Y215" s="2">
        <f>IF(R215="","",IF(COUNTIFS($C$5:$C$3004,R215,$O$5:$O$3004,"CONCLUÍDA",$N$5:$N$3004,"&gt;=-1")=0,"",_xlfn.MAXIFS($N$5:$N$3004,$C$5:$C$3004,R215,$O$5:$O$3004,"CONCLUÍDA")))</f>
        <v/>
      </c>
      <c r="Z215" s="2">
        <f>IF(R215="","",IF(COUNTIFS($C$5:$C$3004,R215,$O$5:$O$3004,"EM ANDAMENTO",$N$5:$N$3004,"&gt;=-1")=0,"",_xlfn.MAXIFS($N$5:$N$3004,$C$5:$C$3004,R215,$O$5:$O$3004,"EM ANDAMENTO")))</f>
        <v/>
      </c>
      <c r="AA215" s="2">
        <f>IF(OR(R215="",S215="",U215&lt;&gt;"SIM",V215=0),"",IF(W215+X215=0,"",T215&amp;": "&amp;IF(W215=V215,"concluído",IF(W215=0,"em execução"&amp;IF(Z215&lt;&gt;""," ("&amp;IF(Z215=-1,"subsolo",IF(Z215=0,"térreo",Z215&amp;"º pav."))&amp;")",""),IF(Y215&lt;&gt;"","até "&amp;IF(Y215=-1,"subsolo",IF(Y215=0,"térreo",Y215&amp;"º pav.")),W215&amp;" de "&amp;V215&amp;" concluídas")&amp;IF(Z215="","",IF(OR(Y215="",Z215&gt;Y215),", executando "&amp;IF(Z215=-1,"subsolo",IF(Z215=0,"térreo",Z215&amp;"º pav."))," (restam serviços no "&amp;IF(Z215=-1,"subsolo",IF(Z215=0,"térreo",Z215&amp;"º pav."))&amp;")"))))))</f>
        <v/>
      </c>
    </row>
    <row r="216">
      <c r="B216" s="4" t="n">
        <v>31924960</v>
      </c>
      <c r="C216" s="4" t="inlineStr">
        <is>
          <t>Estrutura Térreo - Fase 3</t>
        </is>
      </c>
      <c r="D216" s="4" t="inlineStr">
        <is>
          <t>Escoramento Lajes/ Vigas</t>
        </is>
      </c>
      <c r="E216" s="4" t="inlineStr">
        <is>
          <t>TÉRREO - GERAL</t>
        </is>
      </c>
      <c r="F216" s="118" t="n">
        <v>46224</v>
      </c>
      <c r="G216" s="118" t="n">
        <v>46230</v>
      </c>
      <c r="H216" s="118" t="n">
        <v>46289</v>
      </c>
      <c r="I216" s="4" t="n">
        <v>0</v>
      </c>
      <c r="J216" s="4" t="n">
        <v>100</v>
      </c>
      <c r="K216" s="4" t="n">
        <v>100</v>
      </c>
      <c r="M216" s="2">
        <f>IF(C216="","",IFERROR(INDEX($S$5:$S$304,MATCH(C216,$R$5:$R$304,0))&amp;"","?"))</f>
        <v/>
      </c>
      <c r="N216" s="2">
        <f>IF(E216="","",IF(LEFT(E216,7)="SUBSOLO",-1,IF(LEFT(E216,6)="TÉRREO",0,IFERROR(VALUE(LEFT(E216,FIND("º",SUBSTITUTE(E216,"°","º"))-1)),""))))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IF(R216="","",COUNTIF($C$5:$C$3004,R216))</f>
        <v/>
      </c>
      <c r="W216" s="2">
        <f>IF(R216="","",COUNTIFS($C$5:$C$3004,R216,$O$5:$O$3004,"CONCLUÍDA"))</f>
        <v/>
      </c>
      <c r="X216" s="2">
        <f>IF(R216="","",COUNTIFS($C$5:$C$3004,R216,$O$5:$O$3004,"EM ANDAMENTO"))</f>
        <v/>
      </c>
      <c r="Y216" s="2">
        <f>IF(R216="","",IF(COUNTIFS($C$5:$C$3004,R216,$O$5:$O$3004,"CONCLUÍDA",$N$5:$N$3004,"&gt;=-1")=0,"",_xlfn.MAXIFS($N$5:$N$3004,$C$5:$C$3004,R216,$O$5:$O$3004,"CONCLUÍDA")))</f>
        <v/>
      </c>
      <c r="Z216" s="2">
        <f>IF(R216="","",IF(COUNTIFS($C$5:$C$3004,R216,$O$5:$O$3004,"EM ANDAMENTO",$N$5:$N$3004,"&gt;=-1")=0,"",_xlfn.MAXIFS($N$5:$N$3004,$C$5:$C$3004,R216,$O$5:$O$3004,"EM ANDAMENTO")))</f>
        <v/>
      </c>
      <c r="AA216" s="2">
        <f>IF(OR(R216="",S216="",U216&lt;&gt;"SIM",V216=0),"",IF(W216+X216=0,"",T216&amp;": "&amp;IF(W216=V216,"concluído",IF(W216=0,"em execução"&amp;IF(Z216&lt;&gt;""," ("&amp;IF(Z216=-1,"subsolo",IF(Z216=0,"térreo",Z216&amp;"º pav."))&amp;")",""),IF(Y216&lt;&gt;"","até "&amp;IF(Y216=-1,"subsolo",IF(Y216=0,"térreo",Y216&amp;"º pav.")),W216&amp;" de "&amp;V216&amp;" concluídas")&amp;IF(Z216="","",IF(OR(Y216="",Z216&gt;Y216),", executando "&amp;IF(Z216=-1,"subsolo",IF(Z216=0,"térreo",Z216&amp;"º pav."))," (restam serviços no "&amp;IF(Z216=-1,"subsolo",IF(Z216=0,"térreo",Z216&amp;"º pav."))&amp;")"))))))</f>
        <v/>
      </c>
    </row>
    <row r="217">
      <c r="B217" s="4" t="n">
        <v>31924961</v>
      </c>
      <c r="C217" s="4" t="inlineStr">
        <is>
          <t>Estrutura Térreo - Fase 3</t>
        </is>
      </c>
      <c r="D217" s="4" t="inlineStr">
        <is>
          <t>Forro Laje</t>
        </is>
      </c>
      <c r="E217" s="4" t="inlineStr">
        <is>
          <t>TÉRREO - GERAL</t>
        </is>
      </c>
      <c r="F217" s="118" t="n">
        <v>46231</v>
      </c>
      <c r="G217" s="118" t="n">
        <v>46237</v>
      </c>
      <c r="H217" s="118" t="n">
        <v>46289</v>
      </c>
      <c r="I217" s="4" t="n">
        <v>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IF(E217="","",IF(LEFT(E217,7)="SUBSOLO",-1,IF(LEFT(E217,6)="TÉRREO",0,IFERROR(VALUE(LEFT(E217,FIND("º",SUBSTITUTE(E217,"°","º"))-1)),""))))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IF(R217="","",COUNTIF($C$5:$C$3004,R217))</f>
        <v/>
      </c>
      <c r="W217" s="2">
        <f>IF(R217="","",COUNTIFS($C$5:$C$3004,R217,$O$5:$O$3004,"CONCLUÍDA"))</f>
        <v/>
      </c>
      <c r="X217" s="2">
        <f>IF(R217="","",COUNTIFS($C$5:$C$3004,R217,$O$5:$O$3004,"EM ANDAMENTO"))</f>
        <v/>
      </c>
      <c r="Y217" s="2">
        <f>IF(R217="","",IF(COUNTIFS($C$5:$C$3004,R217,$O$5:$O$3004,"CONCLUÍDA",$N$5:$N$3004,"&gt;=-1")=0,"",_xlfn.MAXIFS($N$5:$N$3004,$C$5:$C$3004,R217,$O$5:$O$3004,"CONCLUÍDA")))</f>
        <v/>
      </c>
      <c r="Z217" s="2">
        <f>IF(R217="","",IF(COUNTIFS($C$5:$C$3004,R217,$O$5:$O$3004,"EM ANDAMENTO",$N$5:$N$3004,"&gt;=-1")=0,"",_xlfn.MAXIFS($N$5:$N$3004,$C$5:$C$3004,R217,$O$5:$O$3004,"EM ANDAMENTO")))</f>
        <v/>
      </c>
      <c r="AA217" s="2">
        <f>IF(OR(R217="",S217="",U217&lt;&gt;"SIM",V217=0),"",IF(W217+X217=0,"",T217&amp;": "&amp;IF(W217=V217,"concluído",IF(W217=0,"em execução"&amp;IF(Z217&lt;&gt;""," ("&amp;IF(Z217=-1,"subsolo",IF(Z217=0,"térreo",Z217&amp;"º pav."))&amp;")",""),IF(Y217&lt;&gt;"","até "&amp;IF(Y217=-1,"subsolo",IF(Y217=0,"térreo",Y217&amp;"º pav.")),W217&amp;" de "&amp;V217&amp;" concluídas")&amp;IF(Z217="","",IF(OR(Y217="",Z217&gt;Y217),", executando "&amp;IF(Z217=-1,"subsolo",IF(Z217=0,"térreo",Z217&amp;"º pav."))," (restam serviços no "&amp;IF(Z217=-1,"subsolo",IF(Z217=0,"térreo",Z217&amp;"º pav."))&amp;")"))))))</f>
        <v/>
      </c>
    </row>
    <row r="218">
      <c r="B218" s="4" t="n">
        <v>31924962</v>
      </c>
      <c r="C218" s="4" t="inlineStr">
        <is>
          <t>Estrutura Térreo - Fase 3</t>
        </is>
      </c>
      <c r="D218" s="4" t="inlineStr">
        <is>
          <t>Montagem Vigas - Armação</t>
        </is>
      </c>
      <c r="E218" s="4" t="inlineStr">
        <is>
          <t>TÉRREO - GERAL</t>
        </is>
      </c>
      <c r="F218" s="118" t="n">
        <v>46231</v>
      </c>
      <c r="G218" s="118" t="n">
        <v>46233</v>
      </c>
      <c r="H218" s="118" t="n">
        <v>46289</v>
      </c>
      <c r="I218" s="4" t="n">
        <v>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IF(E218="","",IF(LEFT(E218,7)="SUBSOLO",-1,IF(LEFT(E218,6)="TÉRREO",0,IFERROR(VALUE(LEFT(E218,FIND("º",SUBSTITUTE(E218,"°","º"))-1)),""))))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IF(R218="","",COUNTIF($C$5:$C$3004,R218))</f>
        <v/>
      </c>
      <c r="W218" s="2">
        <f>IF(R218="","",COUNTIFS($C$5:$C$3004,R218,$O$5:$O$3004,"CONCLUÍDA"))</f>
        <v/>
      </c>
      <c r="X218" s="2">
        <f>IF(R218="","",COUNTIFS($C$5:$C$3004,R218,$O$5:$O$3004,"EM ANDAMENTO"))</f>
        <v/>
      </c>
      <c r="Y218" s="2">
        <f>IF(R218="","",IF(COUNTIFS($C$5:$C$3004,R218,$O$5:$O$3004,"CONCLUÍDA",$N$5:$N$3004,"&gt;=-1")=0,"",_xlfn.MAXIFS($N$5:$N$3004,$C$5:$C$3004,R218,$O$5:$O$3004,"CONCLUÍDA")))</f>
        <v/>
      </c>
      <c r="Z218" s="2">
        <f>IF(R218="","",IF(COUNTIFS($C$5:$C$3004,R218,$O$5:$O$3004,"EM ANDAMENTO",$N$5:$N$3004,"&gt;=-1")=0,"",_xlfn.MAXIFS($N$5:$N$3004,$C$5:$C$3004,R218,$O$5:$O$3004,"EM ANDAMENTO")))</f>
        <v/>
      </c>
      <c r="AA218" s="2">
        <f>IF(OR(R218="",S218="",U218&lt;&gt;"SIM",V218=0),"",IF(W218+X218=0,"",T218&amp;": "&amp;IF(W218=V218,"concluído",IF(W218=0,"em execução"&amp;IF(Z218&lt;&gt;""," ("&amp;IF(Z218=-1,"subsolo",IF(Z218=0,"térreo",Z218&amp;"º pav."))&amp;")",""),IF(Y218&lt;&gt;"","até "&amp;IF(Y218=-1,"subsolo",IF(Y218=0,"térreo",Y218&amp;"º pav.")),W218&amp;" de "&amp;V218&amp;" concluídas")&amp;IF(Z218="","",IF(OR(Y218="",Z218&gt;Y218),", executando "&amp;IF(Z218=-1,"subsolo",IF(Z218=0,"térreo",Z218&amp;"º pav."))," (restam serviços no "&amp;IF(Z218=-1,"subsolo",IF(Z218=0,"térreo",Z218&amp;"º pav."))&amp;")"))))))</f>
        <v/>
      </c>
    </row>
    <row r="219">
      <c r="B219" s="4" t="n">
        <v>31924963</v>
      </c>
      <c r="C219" s="4" t="inlineStr">
        <is>
          <t>Estrutura Térreo - Fase 3</t>
        </is>
      </c>
      <c r="D219" s="4" t="inlineStr">
        <is>
          <t>Armação Laje</t>
        </is>
      </c>
      <c r="E219" s="4" t="inlineStr">
        <is>
          <t>TÉRREO - GERAL</t>
        </is>
      </c>
      <c r="F219" s="118" t="n">
        <v>46234</v>
      </c>
      <c r="G219" s="118" t="n">
        <v>46240</v>
      </c>
      <c r="H219" s="118" t="n">
        <v>46289</v>
      </c>
      <c r="I219" s="4" t="n">
        <v>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IF(E219="","",IF(LEFT(E219,7)="SUBSOLO",-1,IF(LEFT(E219,6)="TÉRREO",0,IFERROR(VALUE(LEFT(E219,FIND("º",SUBSTITUTE(E219,"°","º"))-1)),""))))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IF(R219="","",COUNTIF($C$5:$C$3004,R219))</f>
        <v/>
      </c>
      <c r="W219" s="2">
        <f>IF(R219="","",COUNTIFS($C$5:$C$3004,R219,$O$5:$O$3004,"CONCLUÍDA"))</f>
        <v/>
      </c>
      <c r="X219" s="2">
        <f>IF(R219="","",COUNTIFS($C$5:$C$3004,R219,$O$5:$O$3004,"EM ANDAMENTO"))</f>
        <v/>
      </c>
      <c r="Y219" s="2">
        <f>IF(R219="","",IF(COUNTIFS($C$5:$C$3004,R219,$O$5:$O$3004,"CONCLUÍDA",$N$5:$N$3004,"&gt;=-1")=0,"",_xlfn.MAXIFS($N$5:$N$3004,$C$5:$C$3004,R219,$O$5:$O$3004,"CONCLUÍDA")))</f>
        <v/>
      </c>
      <c r="Z219" s="2">
        <f>IF(R219="","",IF(COUNTIFS($C$5:$C$3004,R219,$O$5:$O$3004,"EM ANDAMENTO",$N$5:$N$3004,"&gt;=-1")=0,"",_xlfn.MAXIFS($N$5:$N$3004,$C$5:$C$3004,R219,$O$5:$O$3004,"EM ANDAMENTO")))</f>
        <v/>
      </c>
      <c r="AA219" s="2">
        <f>IF(OR(R219="",S219="",U219&lt;&gt;"SIM",V219=0),"",IF(W219+X219=0,"",T219&amp;": "&amp;IF(W219=V219,"concluído",IF(W219=0,"em execução"&amp;IF(Z219&lt;&gt;""," ("&amp;IF(Z219=-1,"subsolo",IF(Z219=0,"térreo",Z219&amp;"º pav."))&amp;")",""),IF(Y219&lt;&gt;"","até "&amp;IF(Y219=-1,"subsolo",IF(Y219=0,"térreo",Y219&amp;"º pav.")),W219&amp;" de "&amp;V219&amp;" concluídas")&amp;IF(Z219="","",IF(OR(Y219="",Z219&gt;Y219),", executando "&amp;IF(Z219=-1,"subsolo",IF(Z219=0,"térreo",Z219&amp;"º pav."))," (restam serviços no "&amp;IF(Z219=-1,"subsolo",IF(Z219=0,"térreo",Z219&amp;"º pav."))&amp;")"))))))</f>
        <v/>
      </c>
    </row>
    <row r="220">
      <c r="B220" s="4" t="n">
        <v>31924964</v>
      </c>
      <c r="C220" s="4" t="inlineStr">
        <is>
          <t>Estrutura Térreo - Fase 3</t>
        </is>
      </c>
      <c r="D220" s="4" t="inlineStr">
        <is>
          <t>Concretagem Laje</t>
        </is>
      </c>
      <c r="E220" s="4" t="inlineStr">
        <is>
          <t>TÉRREO - GERAL</t>
        </is>
      </c>
      <c r="F220" s="118" t="n">
        <v>46241</v>
      </c>
      <c r="G220" s="118" t="n">
        <v>46241</v>
      </c>
      <c r="H220" s="118" t="n">
        <v>46289</v>
      </c>
      <c r="I220" s="4" t="n">
        <v>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IF(E220="","",IF(LEFT(E220,7)="SUBSOLO",-1,IF(LEFT(E220,6)="TÉRREO",0,IFERROR(VALUE(LEFT(E220,FIND("º",SUBSTITUTE(E220,"°","º"))-1)),""))))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IF(R220="","",COUNTIF($C$5:$C$3004,R220))</f>
        <v/>
      </c>
      <c r="W220" s="2">
        <f>IF(R220="","",COUNTIFS($C$5:$C$3004,R220,$O$5:$O$3004,"CONCLUÍDA"))</f>
        <v/>
      </c>
      <c r="X220" s="2">
        <f>IF(R220="","",COUNTIFS($C$5:$C$3004,R220,$O$5:$O$3004,"EM ANDAMENTO"))</f>
        <v/>
      </c>
      <c r="Y220" s="2">
        <f>IF(R220="","",IF(COUNTIFS($C$5:$C$3004,R220,$O$5:$O$3004,"CONCLUÍDA",$N$5:$N$3004,"&gt;=-1")=0,"",_xlfn.MAXIFS($N$5:$N$3004,$C$5:$C$3004,R220,$O$5:$O$3004,"CONCLUÍDA")))</f>
        <v/>
      </c>
      <c r="Z220" s="2">
        <f>IF(R220="","",IF(COUNTIFS($C$5:$C$3004,R220,$O$5:$O$3004,"EM ANDAMENTO",$N$5:$N$3004,"&gt;=-1")=0,"",_xlfn.MAXIFS($N$5:$N$3004,$C$5:$C$3004,R220,$O$5:$O$3004,"EM ANDAMENTO")))</f>
        <v/>
      </c>
      <c r="AA220" s="2">
        <f>IF(OR(R220="",S220="",U220&lt;&gt;"SIM",V220=0),"",IF(W220+X220=0,"",T220&amp;": "&amp;IF(W220=V220,"concluído",IF(W220=0,"em execução"&amp;IF(Z220&lt;&gt;""," ("&amp;IF(Z220=-1,"subsolo",IF(Z220=0,"térreo",Z220&amp;"º pav."))&amp;")",""),IF(Y220&lt;&gt;"","até "&amp;IF(Y220=-1,"subsolo",IF(Y220=0,"térreo",Y220&amp;"º pav.")),W220&amp;" de "&amp;V220&amp;" concluídas")&amp;IF(Z220="","",IF(OR(Y220="",Z220&gt;Y220),", executando "&amp;IF(Z220=-1,"subsolo",IF(Z220=0,"térreo",Z220&amp;"º pav."))," (restam serviços no "&amp;IF(Z220=-1,"subsolo",IF(Z220=0,"térreo",Z220&amp;"º pav."))&amp;")"))))))</f>
        <v/>
      </c>
    </row>
    <row r="221">
      <c r="B221" s="4" t="n">
        <v>48916741</v>
      </c>
      <c r="C221" s="4" t="inlineStr">
        <is>
          <t>Estrutura Térreo - Fase 4</t>
        </is>
      </c>
      <c r="D221" s="4" t="inlineStr">
        <is>
          <t>-</t>
        </is>
      </c>
      <c r="E221" s="4" t="inlineStr">
        <is>
          <t>TÉRREO - GERAL</t>
        </is>
      </c>
      <c r="F221" s="118" t="n">
        <v>46238</v>
      </c>
      <c r="G221" s="118" t="n">
        <v>46260</v>
      </c>
      <c r="H221" s="118" t="n">
        <v>46289</v>
      </c>
      <c r="I221" s="4" t="n">
        <v>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IF(E221="","",IF(LEFT(E221,7)="SUBSOLO",-1,IF(LEFT(E221,6)="TÉRREO",0,IFERROR(VALUE(LEFT(E221,FIND("º",SUBSTITUTE(E221,"°","º"))-1)),""))))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IF(R221="","",COUNTIF($C$5:$C$3004,R221))</f>
        <v/>
      </c>
      <c r="W221" s="2">
        <f>IF(R221="","",COUNTIFS($C$5:$C$3004,R221,$O$5:$O$3004,"CONCLUÍDA"))</f>
        <v/>
      </c>
      <c r="X221" s="2">
        <f>IF(R221="","",COUNTIFS($C$5:$C$3004,R221,$O$5:$O$3004,"EM ANDAMENTO"))</f>
        <v/>
      </c>
      <c r="Y221" s="2">
        <f>IF(R221="","",IF(COUNTIFS($C$5:$C$3004,R221,$O$5:$O$3004,"CONCLUÍDA",$N$5:$N$3004,"&gt;=-1")=0,"",_xlfn.MAXIFS($N$5:$N$3004,$C$5:$C$3004,R221,$O$5:$O$3004,"CONCLUÍDA")))</f>
        <v/>
      </c>
      <c r="Z221" s="2">
        <f>IF(R221="","",IF(COUNTIFS($C$5:$C$3004,R221,$O$5:$O$3004,"EM ANDAMENTO",$N$5:$N$3004,"&gt;=-1")=0,"",_xlfn.MAXIFS($N$5:$N$3004,$C$5:$C$3004,R221,$O$5:$O$3004,"EM ANDAMENTO")))</f>
        <v/>
      </c>
      <c r="AA221" s="2">
        <f>IF(OR(R221="",S221="",U221&lt;&gt;"SIM",V221=0),"",IF(W221+X221=0,"",T221&amp;": "&amp;IF(W221=V221,"concluído",IF(W221=0,"em execução"&amp;IF(Z221&lt;&gt;""," ("&amp;IF(Z221=-1,"subsolo",IF(Z221=0,"térreo",Z221&amp;"º pav."))&amp;")",""),IF(Y221&lt;&gt;"","até "&amp;IF(Y221=-1,"subsolo",IF(Y221=0,"térreo",Y221&amp;"º pav.")),W221&amp;" de "&amp;V221&amp;" concluídas")&amp;IF(Z221="","",IF(OR(Y221="",Z221&gt;Y221),", executando "&amp;IF(Z221=-1,"subsolo",IF(Z221=0,"térreo",Z221&amp;"º pav."))," (restam serviços no "&amp;IF(Z221=-1,"subsolo",IF(Z221=0,"térreo",Z221&amp;"º pav."))&amp;")"))))))</f>
        <v/>
      </c>
    </row>
    <row r="222">
      <c r="B222" s="4" t="n">
        <v>31924969</v>
      </c>
      <c r="C222" s="4" t="inlineStr">
        <is>
          <t>Estrutura Térreo - Fase 4</t>
        </is>
      </c>
      <c r="D222" s="4" t="inlineStr">
        <is>
          <t>Montagem de Pilares</t>
        </is>
      </c>
      <c r="E222" s="4" t="inlineStr">
        <is>
          <t>TÉRREO - GERAL</t>
        </is>
      </c>
      <c r="F222" s="118" t="n">
        <v>46238</v>
      </c>
      <c r="G222" s="118" t="n">
        <v>46241</v>
      </c>
      <c r="H222" s="118" t="n">
        <v>46289</v>
      </c>
      <c r="I222" s="4" t="n">
        <v>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IF(E222="","",IF(LEFT(E222,7)="SUBSOLO",-1,IF(LEFT(E222,6)="TÉRREO",0,IFERROR(VALUE(LEFT(E222,FIND("º",SUBSTITUTE(E222,"°","º"))-1)),""))))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IF(R222="","",COUNTIF($C$5:$C$3004,R222))</f>
        <v/>
      </c>
      <c r="W222" s="2">
        <f>IF(R222="","",COUNTIFS($C$5:$C$3004,R222,$O$5:$O$3004,"CONCLUÍDA"))</f>
        <v/>
      </c>
      <c r="X222" s="2">
        <f>IF(R222="","",COUNTIFS($C$5:$C$3004,R222,$O$5:$O$3004,"EM ANDAMENTO"))</f>
        <v/>
      </c>
      <c r="Y222" s="2">
        <f>IF(R222="","",IF(COUNTIFS($C$5:$C$3004,R222,$O$5:$O$3004,"CONCLUÍDA",$N$5:$N$3004,"&gt;=-1")=0,"",_xlfn.MAXIFS($N$5:$N$3004,$C$5:$C$3004,R222,$O$5:$O$3004,"CONCLUÍDA")))</f>
        <v/>
      </c>
      <c r="Z222" s="2">
        <f>IF(R222="","",IF(COUNTIFS($C$5:$C$3004,R222,$O$5:$O$3004,"EM ANDAMENTO",$N$5:$N$3004,"&gt;=-1")=0,"",_xlfn.MAXIFS($N$5:$N$3004,$C$5:$C$3004,R222,$O$5:$O$3004,"EM ANDAMENTO")))</f>
        <v/>
      </c>
      <c r="AA222" s="2">
        <f>IF(OR(R222="",S222="",U222&lt;&gt;"SIM",V222=0),"",IF(W222+X222=0,"",T222&amp;": "&amp;IF(W222=V222,"concluído",IF(W222=0,"em execução"&amp;IF(Z222&lt;&gt;""," ("&amp;IF(Z222=-1,"subsolo",IF(Z222=0,"térreo",Z222&amp;"º pav."))&amp;")",""),IF(Y222&lt;&gt;"","até "&amp;IF(Y222=-1,"subsolo",IF(Y222=0,"térreo",Y222&amp;"º pav.")),W222&amp;" de "&amp;V222&amp;" concluídas")&amp;IF(Z222="","",IF(OR(Y222="",Z222&gt;Y222),", executando "&amp;IF(Z222=-1,"subsolo",IF(Z222=0,"térreo",Z222&amp;"º pav."))," (restam serviços no "&amp;IF(Z222=-1,"subsolo",IF(Z222=0,"térreo",Z222&amp;"º pav."))&amp;")"))))))</f>
        <v/>
      </c>
    </row>
    <row r="223">
      <c r="B223" s="4" t="n">
        <v>31924970</v>
      </c>
      <c r="C223" s="4" t="inlineStr">
        <is>
          <t>Estrutura Térreo - Fase 4</t>
        </is>
      </c>
      <c r="D223" s="4" t="inlineStr">
        <is>
          <t>Forma Pilares</t>
        </is>
      </c>
      <c r="E223" s="4" t="inlineStr">
        <is>
          <t>TÉRREO - GERAL</t>
        </is>
      </c>
      <c r="F223" s="118" t="n">
        <v>46244</v>
      </c>
      <c r="G223" s="118" t="n">
        <v>46246</v>
      </c>
      <c r="H223" s="118" t="n">
        <v>46289</v>
      </c>
      <c r="I223" s="4" t="n">
        <v>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IF(E223="","",IF(LEFT(E223,7)="SUBSOLO",-1,IF(LEFT(E223,6)="TÉRREO",0,IFERROR(VALUE(LEFT(E223,FIND("º",SUBSTITUTE(E223,"°","º"))-1)),""))))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IF(R223="","",COUNTIF($C$5:$C$3004,R223))</f>
        <v/>
      </c>
      <c r="W223" s="2">
        <f>IF(R223="","",COUNTIFS($C$5:$C$3004,R223,$O$5:$O$3004,"CONCLUÍDA"))</f>
        <v/>
      </c>
      <c r="X223" s="2">
        <f>IF(R223="","",COUNTIFS($C$5:$C$3004,R223,$O$5:$O$3004,"EM ANDAMENTO"))</f>
        <v/>
      </c>
      <c r="Y223" s="2">
        <f>IF(R223="","",IF(COUNTIFS($C$5:$C$3004,R223,$O$5:$O$3004,"CONCLUÍDA",$N$5:$N$3004,"&gt;=-1")=0,"",_xlfn.MAXIFS($N$5:$N$3004,$C$5:$C$3004,R223,$O$5:$O$3004,"CONCLUÍDA")))</f>
        <v/>
      </c>
      <c r="Z223" s="2">
        <f>IF(R223="","",IF(COUNTIFS($C$5:$C$3004,R223,$O$5:$O$3004,"EM ANDAMENTO",$N$5:$N$3004,"&gt;=-1")=0,"",_xlfn.MAXIFS($N$5:$N$3004,$C$5:$C$3004,R223,$O$5:$O$3004,"EM ANDAMENTO")))</f>
        <v/>
      </c>
      <c r="AA223" s="2">
        <f>IF(OR(R223="",S223="",U223&lt;&gt;"SIM",V223=0),"",IF(W223+X223=0,"",T223&amp;": "&amp;IF(W223=V223,"concluído",IF(W223=0,"em execução"&amp;IF(Z223&lt;&gt;""," ("&amp;IF(Z223=-1,"subsolo",IF(Z223=0,"térreo",Z223&amp;"º pav."))&amp;")",""),IF(Y223&lt;&gt;"","até "&amp;IF(Y223=-1,"subsolo",IF(Y223=0,"térreo",Y223&amp;"º pav.")),W223&amp;" de "&amp;V223&amp;" concluídas")&amp;IF(Z223="","",IF(OR(Y223="",Z223&gt;Y223),", executando "&amp;IF(Z223=-1,"subsolo",IF(Z223=0,"térreo",Z223&amp;"º pav."))," (restam serviços no "&amp;IF(Z223=-1,"subsolo",IF(Z223=0,"térreo",Z223&amp;"º pav."))&amp;")"))))))</f>
        <v/>
      </c>
    </row>
    <row r="224">
      <c r="B224" s="4" t="n">
        <v>31924971</v>
      </c>
      <c r="C224" s="4" t="inlineStr">
        <is>
          <t>Estrutura Térreo - Fase 4</t>
        </is>
      </c>
      <c r="D224" s="4" t="inlineStr">
        <is>
          <t>Escoramento Laje/ Vigas</t>
        </is>
      </c>
      <c r="E224" s="4" t="inlineStr">
        <is>
          <t>TÉRREO - GERAL</t>
        </is>
      </c>
      <c r="F224" s="118" t="n">
        <v>46247</v>
      </c>
      <c r="G224" s="118" t="n">
        <v>46251</v>
      </c>
      <c r="H224" s="118" t="n">
        <v>46289</v>
      </c>
      <c r="I224" s="4" t="n">
        <v>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IF(E224="","",IF(LEFT(E224,7)="SUBSOLO",-1,IF(LEFT(E224,6)="TÉRREO",0,IFERROR(VALUE(LEFT(E224,FIND("º",SUBSTITUTE(E224,"°","º"))-1)),""))))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IF(R224="","",COUNTIF($C$5:$C$3004,R224))</f>
        <v/>
      </c>
      <c r="W224" s="2">
        <f>IF(R224="","",COUNTIFS($C$5:$C$3004,R224,$O$5:$O$3004,"CONCLUÍDA"))</f>
        <v/>
      </c>
      <c r="X224" s="2">
        <f>IF(R224="","",COUNTIFS($C$5:$C$3004,R224,$O$5:$O$3004,"EM ANDAMENTO"))</f>
        <v/>
      </c>
      <c r="Y224" s="2">
        <f>IF(R224="","",IF(COUNTIFS($C$5:$C$3004,R224,$O$5:$O$3004,"CONCLUÍDA",$N$5:$N$3004,"&gt;=-1")=0,"",_xlfn.MAXIFS($N$5:$N$3004,$C$5:$C$3004,R224,$O$5:$O$3004,"CONCLUÍDA")))</f>
        <v/>
      </c>
      <c r="Z224" s="2">
        <f>IF(R224="","",IF(COUNTIFS($C$5:$C$3004,R224,$O$5:$O$3004,"EM ANDAMENTO",$N$5:$N$3004,"&gt;=-1")=0,"",_xlfn.MAXIFS($N$5:$N$3004,$C$5:$C$3004,R224,$O$5:$O$3004,"EM ANDAMENTO")))</f>
        <v/>
      </c>
      <c r="AA224" s="2">
        <f>IF(OR(R224="",S224="",U224&lt;&gt;"SIM",V224=0),"",IF(W224+X224=0,"",T224&amp;": "&amp;IF(W224=V224,"concluído",IF(W224=0,"em execução"&amp;IF(Z224&lt;&gt;""," ("&amp;IF(Z224=-1,"subsolo",IF(Z224=0,"térreo",Z224&amp;"º pav."))&amp;")",""),IF(Y224&lt;&gt;"","até "&amp;IF(Y224=-1,"subsolo",IF(Y224=0,"térreo",Y224&amp;"º pav.")),W224&amp;" de "&amp;V224&amp;" concluídas")&amp;IF(Z224="","",IF(OR(Y224="",Z224&gt;Y224),", executando "&amp;IF(Z224=-1,"subsolo",IF(Z224=0,"térreo",Z224&amp;"º pav."))," (restam serviços no "&amp;IF(Z224=-1,"subsolo",IF(Z224=0,"térreo",Z224&amp;"º pav."))&amp;")"))))))</f>
        <v/>
      </c>
    </row>
    <row r="225">
      <c r="B225" s="4" t="n">
        <v>31924972</v>
      </c>
      <c r="C225" s="4" t="inlineStr">
        <is>
          <t>Estrutura Térreo - Fase 4</t>
        </is>
      </c>
      <c r="D225" s="4" t="inlineStr">
        <is>
          <t>Montagem Vigas - Armação</t>
        </is>
      </c>
      <c r="E225" s="4" t="inlineStr">
        <is>
          <t>TÉRREO - GERAL</t>
        </is>
      </c>
      <c r="F225" s="118" t="n">
        <v>46247</v>
      </c>
      <c r="G225" s="118" t="n">
        <v>46252</v>
      </c>
      <c r="H225" s="118" t="n">
        <v>46289</v>
      </c>
      <c r="I225" s="4" t="n">
        <v>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IF(E225="","",IF(LEFT(E225,7)="SUBSOLO",-1,IF(LEFT(E225,6)="TÉRREO",0,IFERROR(VALUE(LEFT(E225,FIND("º",SUBSTITUTE(E225,"°","º"))-1)),""))))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IF(R225="","",COUNTIF($C$5:$C$3004,R225))</f>
        <v/>
      </c>
      <c r="W225" s="2">
        <f>IF(R225="","",COUNTIFS($C$5:$C$3004,R225,$O$5:$O$3004,"CONCLUÍDA"))</f>
        <v/>
      </c>
      <c r="X225" s="2">
        <f>IF(R225="","",COUNTIFS($C$5:$C$3004,R225,$O$5:$O$3004,"EM ANDAMENTO"))</f>
        <v/>
      </c>
      <c r="Y225" s="2">
        <f>IF(R225="","",IF(COUNTIFS($C$5:$C$3004,R225,$O$5:$O$3004,"CONCLUÍDA",$N$5:$N$3004,"&gt;=-1")=0,"",_xlfn.MAXIFS($N$5:$N$3004,$C$5:$C$3004,R225,$O$5:$O$3004,"CONCLUÍDA")))</f>
        <v/>
      </c>
      <c r="Z225" s="2">
        <f>IF(R225="","",IF(COUNTIFS($C$5:$C$3004,R225,$O$5:$O$3004,"EM ANDAMENTO",$N$5:$N$3004,"&gt;=-1")=0,"",_xlfn.MAXIFS($N$5:$N$3004,$C$5:$C$3004,R225,$O$5:$O$3004,"EM ANDAMENTO")))</f>
        <v/>
      </c>
      <c r="AA225" s="2">
        <f>IF(OR(R225="",S225="",U225&lt;&gt;"SIM",V225=0),"",IF(W225+X225=0,"",T225&amp;": "&amp;IF(W225=V225,"concluído",IF(W225=0,"em execução"&amp;IF(Z225&lt;&gt;""," ("&amp;IF(Z225=-1,"subsolo",IF(Z225=0,"térreo",Z225&amp;"º pav."))&amp;")",""),IF(Y225&lt;&gt;"","até "&amp;IF(Y225=-1,"subsolo",IF(Y225=0,"térreo",Y225&amp;"º pav.")),W225&amp;" de "&amp;V225&amp;" concluídas")&amp;IF(Z225="","",IF(OR(Y225="",Z225&gt;Y225),", executando "&amp;IF(Z225=-1,"subsolo",IF(Z225=0,"térreo",Z225&amp;"º pav."))," (restam serviços no "&amp;IF(Z225=-1,"subsolo",IF(Z225=0,"térreo",Z225&amp;"º pav."))&amp;")"))))))</f>
        <v/>
      </c>
    </row>
    <row r="226">
      <c r="B226" s="4" t="n">
        <v>31924973</v>
      </c>
      <c r="C226" s="4" t="inlineStr">
        <is>
          <t>Estrutura Térreo - Fase 4</t>
        </is>
      </c>
      <c r="D226" s="4" t="inlineStr">
        <is>
          <t>Forro Laje</t>
        </is>
      </c>
      <c r="E226" s="4" t="inlineStr">
        <is>
          <t>TÉRREO - GERAL</t>
        </is>
      </c>
      <c r="F226" s="118" t="n">
        <v>46252</v>
      </c>
      <c r="G226" s="118" t="n">
        <v>46259</v>
      </c>
      <c r="H226" s="118" t="n">
        <v>46289</v>
      </c>
      <c r="I226" s="4" t="n">
        <v>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IF(E226="","",IF(LEFT(E226,7)="SUBSOLO",-1,IF(LEFT(E226,6)="TÉRREO",0,IFERROR(VALUE(LEFT(E226,FIND("º",SUBSTITUTE(E226,"°","º"))-1)),""))))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IF(R226="","",COUNTIF($C$5:$C$3004,R226))</f>
        <v/>
      </c>
      <c r="W226" s="2">
        <f>IF(R226="","",COUNTIFS($C$5:$C$3004,R226,$O$5:$O$3004,"CONCLUÍDA"))</f>
        <v/>
      </c>
      <c r="X226" s="2">
        <f>IF(R226="","",COUNTIFS($C$5:$C$3004,R226,$O$5:$O$3004,"EM ANDAMENTO"))</f>
        <v/>
      </c>
      <c r="Y226" s="2">
        <f>IF(R226="","",IF(COUNTIFS($C$5:$C$3004,R226,$O$5:$O$3004,"CONCLUÍDA",$N$5:$N$3004,"&gt;=-1")=0,"",_xlfn.MAXIFS($N$5:$N$3004,$C$5:$C$3004,R226,$O$5:$O$3004,"CONCLUÍDA")))</f>
        <v/>
      </c>
      <c r="Z226" s="2">
        <f>IF(R226="","",IF(COUNTIFS($C$5:$C$3004,R226,$O$5:$O$3004,"EM ANDAMENTO",$N$5:$N$3004,"&gt;=-1")=0,"",_xlfn.MAXIFS($N$5:$N$3004,$C$5:$C$3004,R226,$O$5:$O$3004,"EM ANDAMENTO")))</f>
        <v/>
      </c>
      <c r="AA226" s="2">
        <f>IF(OR(R226="",S226="",U226&lt;&gt;"SIM",V226=0),"",IF(W226+X226=0,"",T226&amp;": "&amp;IF(W226=V226,"concluído",IF(W226=0,"em execução"&amp;IF(Z226&lt;&gt;""," ("&amp;IF(Z226=-1,"subsolo",IF(Z226=0,"térreo",Z226&amp;"º pav."))&amp;")",""),IF(Y226&lt;&gt;"","até "&amp;IF(Y226=-1,"subsolo",IF(Y226=0,"térreo",Y226&amp;"º pav.")),W226&amp;" de "&amp;V226&amp;" concluídas")&amp;IF(Z226="","",IF(OR(Y226="",Z226&gt;Y226),", executando "&amp;IF(Z226=-1,"subsolo",IF(Z226=0,"térreo",Z226&amp;"º pav."))," (restam serviços no "&amp;IF(Z226=-1,"subsolo",IF(Z226=0,"térreo",Z226&amp;"º pav."))&amp;")"))))))</f>
        <v/>
      </c>
    </row>
    <row r="227">
      <c r="B227" s="4" t="n">
        <v>31924974</v>
      </c>
      <c r="C227" s="4" t="inlineStr">
        <is>
          <t>Estrutura Térreo - Fase 4</t>
        </is>
      </c>
      <c r="D227" s="4" t="inlineStr">
        <is>
          <t>Armação Laje</t>
        </is>
      </c>
      <c r="E227" s="4" t="inlineStr">
        <is>
          <t>TÉRREO - GERAL</t>
        </is>
      </c>
      <c r="F227" s="118" t="n">
        <v>46253</v>
      </c>
      <c r="G227" s="118" t="n">
        <v>46259</v>
      </c>
      <c r="H227" s="118" t="n">
        <v>46289</v>
      </c>
      <c r="I227" s="4" t="n">
        <v>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IF(E227="","",IF(LEFT(E227,7)="SUBSOLO",-1,IF(LEFT(E227,6)="TÉRREO",0,IFERROR(VALUE(LEFT(E227,FIND("º",SUBSTITUTE(E227,"°","º"))-1)),""))))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IF(R227="","",COUNTIF($C$5:$C$3004,R227))</f>
        <v/>
      </c>
      <c r="W227" s="2">
        <f>IF(R227="","",COUNTIFS($C$5:$C$3004,R227,$O$5:$O$3004,"CONCLUÍDA"))</f>
        <v/>
      </c>
      <c r="X227" s="2">
        <f>IF(R227="","",COUNTIFS($C$5:$C$3004,R227,$O$5:$O$3004,"EM ANDAMENTO"))</f>
        <v/>
      </c>
      <c r="Y227" s="2">
        <f>IF(R227="","",IF(COUNTIFS($C$5:$C$3004,R227,$O$5:$O$3004,"CONCLUÍDA",$N$5:$N$3004,"&gt;=-1")=0,"",_xlfn.MAXIFS($N$5:$N$3004,$C$5:$C$3004,R227,$O$5:$O$3004,"CONCLUÍDA")))</f>
        <v/>
      </c>
      <c r="Z227" s="2">
        <f>IF(R227="","",IF(COUNTIFS($C$5:$C$3004,R227,$O$5:$O$3004,"EM ANDAMENTO",$N$5:$N$3004,"&gt;=-1")=0,"",_xlfn.MAXIFS($N$5:$N$3004,$C$5:$C$3004,R227,$O$5:$O$3004,"EM ANDAMENTO")))</f>
        <v/>
      </c>
      <c r="AA227" s="2">
        <f>IF(OR(R227="",S227="",U227&lt;&gt;"SIM",V227=0),"",IF(W227+X227=0,"",T227&amp;": "&amp;IF(W227=V227,"concluído",IF(W227=0,"em execução"&amp;IF(Z227&lt;&gt;""," ("&amp;IF(Z227=-1,"subsolo",IF(Z227=0,"térreo",Z227&amp;"º pav."))&amp;")",""),IF(Y227&lt;&gt;"","até "&amp;IF(Y227=-1,"subsolo",IF(Y227=0,"térreo",Y227&amp;"º pav.")),W227&amp;" de "&amp;V227&amp;" concluídas")&amp;IF(Z227="","",IF(OR(Y227="",Z227&gt;Y227),", executando "&amp;IF(Z227=-1,"subsolo",IF(Z227=0,"térreo",Z227&amp;"º pav."))," (restam serviços no "&amp;IF(Z227=-1,"subsolo",IF(Z227=0,"térreo",Z227&amp;"º pav."))&amp;")"))))))</f>
        <v/>
      </c>
    </row>
    <row r="228">
      <c r="B228" s="4" t="n">
        <v>31924975</v>
      </c>
      <c r="C228" s="4" t="inlineStr">
        <is>
          <t>Estrutura Térreo - Fase 4</t>
        </is>
      </c>
      <c r="D228" s="4" t="inlineStr">
        <is>
          <t>Concretagem Laje</t>
        </is>
      </c>
      <c r="E228" s="4" t="inlineStr">
        <is>
          <t>TÉRREO - GERAL</t>
        </is>
      </c>
      <c r="F228" s="118" t="n">
        <v>46260</v>
      </c>
      <c r="G228" s="118" t="n">
        <v>46260</v>
      </c>
      <c r="H228" s="118" t="n">
        <v>46289</v>
      </c>
      <c r="I228" s="4" t="n">
        <v>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IF(E228="","",IF(LEFT(E228,7)="SUBSOLO",-1,IF(LEFT(E228,6)="TÉRREO",0,IFERROR(VALUE(LEFT(E228,FIND("º",SUBSTITUTE(E228,"°","º"))-1)),""))))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IF(R228="","",COUNTIF($C$5:$C$3004,R228))</f>
        <v/>
      </c>
      <c r="W228" s="2">
        <f>IF(R228="","",COUNTIFS($C$5:$C$3004,R228,$O$5:$O$3004,"CONCLUÍDA"))</f>
        <v/>
      </c>
      <c r="X228" s="2">
        <f>IF(R228="","",COUNTIFS($C$5:$C$3004,R228,$O$5:$O$3004,"EM ANDAMENTO"))</f>
        <v/>
      </c>
      <c r="Y228" s="2">
        <f>IF(R228="","",IF(COUNTIFS($C$5:$C$3004,R228,$O$5:$O$3004,"CONCLUÍDA",$N$5:$N$3004,"&gt;=-1")=0,"",_xlfn.MAXIFS($N$5:$N$3004,$C$5:$C$3004,R228,$O$5:$O$3004,"CONCLUÍDA")))</f>
        <v/>
      </c>
      <c r="Z228" s="2">
        <f>IF(R228="","",IF(COUNTIFS($C$5:$C$3004,R228,$O$5:$O$3004,"EM ANDAMENTO",$N$5:$N$3004,"&gt;=-1")=0,"",_xlfn.MAXIFS($N$5:$N$3004,$C$5:$C$3004,R228,$O$5:$O$3004,"EM ANDAMENTO")))</f>
        <v/>
      </c>
      <c r="AA228" s="2">
        <f>IF(OR(R228="",S228="",U228&lt;&gt;"SIM",V228=0),"",IF(W228+X228=0,"",T228&amp;": "&amp;IF(W228=V228,"concluído",IF(W228=0,"em execução"&amp;IF(Z228&lt;&gt;""," ("&amp;IF(Z228=-1,"subsolo",IF(Z228=0,"térreo",Z228&amp;"º pav."))&amp;")",""),IF(Y228&lt;&gt;"","até "&amp;IF(Y228=-1,"subsolo",IF(Y228=0,"térreo",Y228&amp;"º pav.")),W228&amp;" de "&amp;V228&amp;" concluídas")&amp;IF(Z228="","",IF(OR(Y228="",Z228&gt;Y228),", executando "&amp;IF(Z228=-1,"subsolo",IF(Z228=0,"térreo",Z228&amp;"º pav."))," (restam serviços no "&amp;IF(Z228=-1,"subsolo",IF(Z228=0,"térreo",Z228&amp;"º pav."))&amp;")"))))))</f>
        <v/>
      </c>
    </row>
    <row r="229">
      <c r="B229" s="4" t="n">
        <v>48916745</v>
      </c>
      <c r="C229" s="4" t="inlineStr">
        <is>
          <t>Estrutura Mezanino</t>
        </is>
      </c>
      <c r="D229" s="4" t="inlineStr">
        <is>
          <t>-</t>
        </is>
      </c>
      <c r="E229" s="4" t="inlineStr">
        <is>
          <t>1º PAV. (INTERMEDIÁRIO)</t>
        </is>
      </c>
      <c r="F229" s="118" t="n">
        <v>46238</v>
      </c>
      <c r="G229" s="118" t="n">
        <v>46262</v>
      </c>
      <c r="H229" s="118" t="n">
        <v>46289</v>
      </c>
      <c r="I229" s="4" t="n">
        <v>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IF(E229="","",IF(LEFT(E229,7)="SUBSOLO",-1,IF(LEFT(E229,6)="TÉRREO",0,IFERROR(VALUE(LEFT(E229,FIND("º",SUBSTITUTE(E229,"°","º"))-1)),""))))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IF(R229="","",COUNTIF($C$5:$C$3004,R229))</f>
        <v/>
      </c>
      <c r="W229" s="2">
        <f>IF(R229="","",COUNTIFS($C$5:$C$3004,R229,$O$5:$O$3004,"CONCLUÍDA"))</f>
        <v/>
      </c>
      <c r="X229" s="2">
        <f>IF(R229="","",COUNTIFS($C$5:$C$3004,R229,$O$5:$O$3004,"EM ANDAMENTO"))</f>
        <v/>
      </c>
      <c r="Y229" s="2">
        <f>IF(R229="","",IF(COUNTIFS($C$5:$C$3004,R229,$O$5:$O$3004,"CONCLUÍDA",$N$5:$N$3004,"&gt;=-1")=0,"",_xlfn.MAXIFS($N$5:$N$3004,$C$5:$C$3004,R229,$O$5:$O$3004,"CONCLUÍDA")))</f>
        <v/>
      </c>
      <c r="Z229" s="2">
        <f>IF(R229="","",IF(COUNTIFS($C$5:$C$3004,R229,$O$5:$O$3004,"EM ANDAMENTO",$N$5:$N$3004,"&gt;=-1")=0,"",_xlfn.MAXIFS($N$5:$N$3004,$C$5:$C$3004,R229,$O$5:$O$3004,"EM ANDAMENTO")))</f>
        <v/>
      </c>
      <c r="AA229" s="2">
        <f>IF(OR(R229="",S229="",U229&lt;&gt;"SIM",V229=0),"",IF(W229+X229=0,"",T229&amp;": "&amp;IF(W229=V229,"concluído",IF(W229=0,"em execução"&amp;IF(Z229&lt;&gt;""," ("&amp;IF(Z229=-1,"subsolo",IF(Z229=0,"térreo",Z229&amp;"º pav."))&amp;")",""),IF(Y229&lt;&gt;"","até "&amp;IF(Y229=-1,"subsolo",IF(Y229=0,"térreo",Y229&amp;"º pav.")),W229&amp;" de "&amp;V229&amp;" concluídas")&amp;IF(Z229="","",IF(OR(Y229="",Z229&gt;Y229),", executando "&amp;IF(Z229=-1,"subsolo",IF(Z229=0,"térreo",Z229&amp;"º pav."))," (restam serviços no "&amp;IF(Z229=-1,"subsolo",IF(Z229=0,"térreo",Z229&amp;"º pav."))&amp;")"))))))</f>
        <v/>
      </c>
    </row>
    <row r="230">
      <c r="B230" s="4" t="n">
        <v>31924977</v>
      </c>
      <c r="C230" s="4" t="inlineStr">
        <is>
          <t>Estrutura Mezanino</t>
        </is>
      </c>
      <c r="D230" s="4" t="inlineStr">
        <is>
          <t>Montagem Pilares - Armação</t>
        </is>
      </c>
      <c r="E230" s="4" t="inlineStr">
        <is>
          <t>1º PAV. (INTERMEDIÁRIO)</t>
        </is>
      </c>
      <c r="F230" s="118" t="n">
        <v>46238</v>
      </c>
      <c r="G230" s="118" t="n">
        <v>46245</v>
      </c>
      <c r="H230" s="118" t="n">
        <v>46289</v>
      </c>
      <c r="I230" s="4" t="n">
        <v>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IF(E230="","",IF(LEFT(E230,7)="SUBSOLO",-1,IF(LEFT(E230,6)="TÉRREO",0,IFERROR(VALUE(LEFT(E230,FIND("º",SUBSTITUTE(E230,"°","º"))-1)),""))))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IF(R230="","",COUNTIF($C$5:$C$3004,R230))</f>
        <v/>
      </c>
      <c r="W230" s="2">
        <f>IF(R230="","",COUNTIFS($C$5:$C$3004,R230,$O$5:$O$3004,"CONCLUÍDA"))</f>
        <v/>
      </c>
      <c r="X230" s="2">
        <f>IF(R230="","",COUNTIFS($C$5:$C$3004,R230,$O$5:$O$3004,"EM ANDAMENTO"))</f>
        <v/>
      </c>
      <c r="Y230" s="2">
        <f>IF(R230="","",IF(COUNTIFS($C$5:$C$3004,R230,$O$5:$O$3004,"CONCLUÍDA",$N$5:$N$3004,"&gt;=-1")=0,"",_xlfn.MAXIFS($N$5:$N$3004,$C$5:$C$3004,R230,$O$5:$O$3004,"CONCLUÍDA")))</f>
        <v/>
      </c>
      <c r="Z230" s="2">
        <f>IF(R230="","",IF(COUNTIFS($C$5:$C$3004,R230,$O$5:$O$3004,"EM ANDAMENTO",$N$5:$N$3004,"&gt;=-1")=0,"",_xlfn.MAXIFS($N$5:$N$3004,$C$5:$C$3004,R230,$O$5:$O$3004,"EM ANDAMENTO")))</f>
        <v/>
      </c>
      <c r="AA230" s="2">
        <f>IF(OR(R230="",S230="",U230&lt;&gt;"SIM",V230=0),"",IF(W230+X230=0,"",T230&amp;": "&amp;IF(W230=V230,"concluído",IF(W230=0,"em execução"&amp;IF(Z230&lt;&gt;""," ("&amp;IF(Z230=-1,"subsolo",IF(Z230=0,"térreo",Z230&amp;"º pav."))&amp;")",""),IF(Y230&lt;&gt;"","até "&amp;IF(Y230=-1,"subsolo",IF(Y230=0,"térreo",Y230&amp;"º pav.")),W230&amp;" de "&amp;V230&amp;" concluídas")&amp;IF(Z230="","",IF(OR(Y230="",Z230&gt;Y230),", executando "&amp;IF(Z230=-1,"subsolo",IF(Z230=0,"térreo",Z230&amp;"º pav."))," (restam serviços no "&amp;IF(Z230=-1,"subsolo",IF(Z230=0,"térreo",Z230&amp;"º pav."))&amp;")"))))))</f>
        <v/>
      </c>
    </row>
    <row r="231">
      <c r="B231" s="4" t="n">
        <v>31924978</v>
      </c>
      <c r="C231" s="4" t="inlineStr">
        <is>
          <t>Estrutura Mezanino</t>
        </is>
      </c>
      <c r="D231" s="4" t="inlineStr">
        <is>
          <t>Forma Pilares</t>
        </is>
      </c>
      <c r="E231" s="4" t="inlineStr">
        <is>
          <t>1º PAV. (INTERMEDIÁRIO)</t>
        </is>
      </c>
      <c r="F231" s="118" t="n">
        <v>46246</v>
      </c>
      <c r="G231" s="118" t="n">
        <v>46248</v>
      </c>
      <c r="H231" s="118" t="n">
        <v>46289</v>
      </c>
      <c r="I231" s="4" t="n">
        <v>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IF(E231="","",IF(LEFT(E231,7)="SUBSOLO",-1,IF(LEFT(E231,6)="TÉRREO",0,IFERROR(VALUE(LEFT(E231,FIND("º",SUBSTITUTE(E231,"°","º"))-1)),""))))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IF(R231="","",COUNTIF($C$5:$C$3004,R231))</f>
        <v/>
      </c>
      <c r="W231" s="2">
        <f>IF(R231="","",COUNTIFS($C$5:$C$3004,R231,$O$5:$O$3004,"CONCLUÍDA"))</f>
        <v/>
      </c>
      <c r="X231" s="2">
        <f>IF(R231="","",COUNTIFS($C$5:$C$3004,R231,$O$5:$O$3004,"EM ANDAMENTO"))</f>
        <v/>
      </c>
      <c r="Y231" s="2">
        <f>IF(R231="","",IF(COUNTIFS($C$5:$C$3004,R231,$O$5:$O$3004,"CONCLUÍDA",$N$5:$N$3004,"&gt;=-1")=0,"",_xlfn.MAXIFS($N$5:$N$3004,$C$5:$C$3004,R231,$O$5:$O$3004,"CONCLUÍDA")))</f>
        <v/>
      </c>
      <c r="Z231" s="2">
        <f>IF(R231="","",IF(COUNTIFS($C$5:$C$3004,R231,$O$5:$O$3004,"EM ANDAMENTO",$N$5:$N$3004,"&gt;=-1")=0,"",_xlfn.MAXIFS($N$5:$N$3004,$C$5:$C$3004,R231,$O$5:$O$3004,"EM ANDAMENTO")))</f>
        <v/>
      </c>
      <c r="AA231" s="2">
        <f>IF(OR(R231="",S231="",U231&lt;&gt;"SIM",V231=0),"",IF(W231+X231=0,"",T231&amp;": "&amp;IF(W231=V231,"concluído",IF(W231=0,"em execução"&amp;IF(Z231&lt;&gt;""," ("&amp;IF(Z231=-1,"subsolo",IF(Z231=0,"térreo",Z231&amp;"º pav."))&amp;")",""),IF(Y231&lt;&gt;"","até "&amp;IF(Y231=-1,"subsolo",IF(Y231=0,"térreo",Y231&amp;"º pav.")),W231&amp;" de "&amp;V231&amp;" concluídas")&amp;IF(Z231="","",IF(OR(Y231="",Z231&gt;Y231),", executando "&amp;IF(Z231=-1,"subsolo",IF(Z231=0,"térreo",Z231&amp;"º pav."))," (restam serviços no "&amp;IF(Z231=-1,"subsolo",IF(Z231=0,"térreo",Z231&amp;"º pav."))&amp;")"))))))</f>
        <v/>
      </c>
    </row>
    <row r="232">
      <c r="B232" s="4" t="n">
        <v>31924979</v>
      </c>
      <c r="C232" s="4" t="inlineStr">
        <is>
          <t>Estrutura Mezanino</t>
        </is>
      </c>
      <c r="D232" s="4" t="inlineStr">
        <is>
          <t>Escoramento Laje/ Vigas</t>
        </is>
      </c>
      <c r="E232" s="4" t="inlineStr">
        <is>
          <t>1º PAV. (INTERMEDIÁRIO)</t>
        </is>
      </c>
      <c r="F232" s="118" t="n">
        <v>46251</v>
      </c>
      <c r="G232" s="118" t="n">
        <v>46254</v>
      </c>
      <c r="H232" s="118" t="n">
        <v>46289</v>
      </c>
      <c r="I232" s="4" t="n">
        <v>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IF(E232="","",IF(LEFT(E232,7)="SUBSOLO",-1,IF(LEFT(E232,6)="TÉRREO",0,IFERROR(VALUE(LEFT(E232,FIND("º",SUBSTITUTE(E232,"°","º"))-1)),""))))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IF(R232="","",COUNTIF($C$5:$C$3004,R232))</f>
        <v/>
      </c>
      <c r="W232" s="2">
        <f>IF(R232="","",COUNTIFS($C$5:$C$3004,R232,$O$5:$O$3004,"CONCLUÍDA"))</f>
        <v/>
      </c>
      <c r="X232" s="2">
        <f>IF(R232="","",COUNTIFS($C$5:$C$3004,R232,$O$5:$O$3004,"EM ANDAMENTO"))</f>
        <v/>
      </c>
      <c r="Y232" s="2">
        <f>IF(R232="","",IF(COUNTIFS($C$5:$C$3004,R232,$O$5:$O$3004,"CONCLUÍDA",$N$5:$N$3004,"&gt;=-1")=0,"",_xlfn.MAXIFS($N$5:$N$3004,$C$5:$C$3004,R232,$O$5:$O$3004,"CONCLUÍDA")))</f>
        <v/>
      </c>
      <c r="Z232" s="2">
        <f>IF(R232="","",IF(COUNTIFS($C$5:$C$3004,R232,$O$5:$O$3004,"EM ANDAMENTO",$N$5:$N$3004,"&gt;=-1")=0,"",_xlfn.MAXIFS($N$5:$N$3004,$C$5:$C$3004,R232,$O$5:$O$3004,"EM ANDAMENTO")))</f>
        <v/>
      </c>
      <c r="AA232" s="2">
        <f>IF(OR(R232="",S232="",U232&lt;&gt;"SIM",V232=0),"",IF(W232+X232=0,"",T232&amp;": "&amp;IF(W232=V232,"concluído",IF(W232=0,"em execução"&amp;IF(Z232&lt;&gt;""," ("&amp;IF(Z232=-1,"subsolo",IF(Z232=0,"térreo",Z232&amp;"º pav."))&amp;")",""),IF(Y232&lt;&gt;"","até "&amp;IF(Y232=-1,"subsolo",IF(Y232=0,"térreo",Y232&amp;"º pav.")),W232&amp;" de "&amp;V232&amp;" concluídas")&amp;IF(Z232="","",IF(OR(Y232="",Z232&gt;Y232),", executando "&amp;IF(Z232=-1,"subsolo",IF(Z232=0,"térreo",Z232&amp;"º pav."))," (restam serviços no "&amp;IF(Z232=-1,"subsolo",IF(Z232=0,"térreo",Z232&amp;"º pav."))&amp;")"))))))</f>
        <v/>
      </c>
    </row>
    <row r="233">
      <c r="B233" s="4" t="n">
        <v>31924980</v>
      </c>
      <c r="C233" s="4" t="inlineStr">
        <is>
          <t>Estrutura Mezanino</t>
        </is>
      </c>
      <c r="D233" s="4" t="inlineStr">
        <is>
          <t>Forro Laje</t>
        </is>
      </c>
      <c r="E233" s="4" t="inlineStr">
        <is>
          <t>1º PAV. (INTERMEDIÁRIO)</t>
        </is>
      </c>
      <c r="F233" s="118" t="n">
        <v>46255</v>
      </c>
      <c r="G233" s="118" t="n">
        <v>46261</v>
      </c>
      <c r="H233" s="118" t="n">
        <v>46289</v>
      </c>
      <c r="I233" s="4" t="n">
        <v>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IF(E233="","",IF(LEFT(E233,7)="SUBSOLO",-1,IF(LEFT(E233,6)="TÉRREO",0,IFERROR(VALUE(LEFT(E233,FIND("º",SUBSTITUTE(E233,"°","º"))-1)),""))))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IF(R233="","",COUNTIF($C$5:$C$3004,R233))</f>
        <v/>
      </c>
      <c r="W233" s="2">
        <f>IF(R233="","",COUNTIFS($C$5:$C$3004,R233,$O$5:$O$3004,"CONCLUÍDA"))</f>
        <v/>
      </c>
      <c r="X233" s="2">
        <f>IF(R233="","",COUNTIFS($C$5:$C$3004,R233,$O$5:$O$3004,"EM ANDAMENTO"))</f>
        <v/>
      </c>
      <c r="Y233" s="2">
        <f>IF(R233="","",IF(COUNTIFS($C$5:$C$3004,R233,$O$5:$O$3004,"CONCLUÍDA",$N$5:$N$3004,"&gt;=-1")=0,"",_xlfn.MAXIFS($N$5:$N$3004,$C$5:$C$3004,R233,$O$5:$O$3004,"CONCLUÍDA")))</f>
        <v/>
      </c>
      <c r="Z233" s="2">
        <f>IF(R233="","",IF(COUNTIFS($C$5:$C$3004,R233,$O$5:$O$3004,"EM ANDAMENTO",$N$5:$N$3004,"&gt;=-1")=0,"",_xlfn.MAXIFS($N$5:$N$3004,$C$5:$C$3004,R233,$O$5:$O$3004,"EM ANDAMENTO")))</f>
        <v/>
      </c>
      <c r="AA233" s="2">
        <f>IF(OR(R233="",S233="",U233&lt;&gt;"SIM",V233=0),"",IF(W233+X233=0,"",T233&amp;": "&amp;IF(W233=V233,"concluído",IF(W233=0,"em execução"&amp;IF(Z233&lt;&gt;""," ("&amp;IF(Z233=-1,"subsolo",IF(Z233=0,"térreo",Z233&amp;"º pav."))&amp;")",""),IF(Y233&lt;&gt;"","até "&amp;IF(Y233=-1,"subsolo",IF(Y233=0,"térreo",Y233&amp;"º pav.")),W233&amp;" de "&amp;V233&amp;" concluídas")&amp;IF(Z233="","",IF(OR(Y233="",Z233&gt;Y233),", executando "&amp;IF(Z233=-1,"subsolo",IF(Z233=0,"térreo",Z233&amp;"º pav."))," (restam serviços no "&amp;IF(Z233=-1,"subsolo",IF(Z233=0,"térreo",Z233&amp;"º pav."))&amp;")"))))))</f>
        <v/>
      </c>
    </row>
    <row r="234">
      <c r="B234" s="4" t="n">
        <v>31924981</v>
      </c>
      <c r="C234" s="4" t="inlineStr">
        <is>
          <t>Estrutura Mezanino</t>
        </is>
      </c>
      <c r="D234" s="4" t="inlineStr">
        <is>
          <t>Montagem Vigas - Armação</t>
        </is>
      </c>
      <c r="E234" s="4" t="inlineStr">
        <is>
          <t>1º PAV. (INTERMEDIÁRIO)</t>
        </is>
      </c>
      <c r="F234" s="118" t="n">
        <v>46253</v>
      </c>
      <c r="G234" s="118" t="n">
        <v>46255</v>
      </c>
      <c r="H234" s="118" t="n">
        <v>46289</v>
      </c>
      <c r="I234" s="4" t="n">
        <v>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IF(E234="","",IF(LEFT(E234,7)="SUBSOLO",-1,IF(LEFT(E234,6)="TÉRREO",0,IFERROR(VALUE(LEFT(E234,FIND("º",SUBSTITUTE(E234,"°","º"))-1)),""))))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IF(R234="","",COUNTIF($C$5:$C$3004,R234))</f>
        <v/>
      </c>
      <c r="W234" s="2">
        <f>IF(R234="","",COUNTIFS($C$5:$C$3004,R234,$O$5:$O$3004,"CONCLUÍDA"))</f>
        <v/>
      </c>
      <c r="X234" s="2">
        <f>IF(R234="","",COUNTIFS($C$5:$C$3004,R234,$O$5:$O$3004,"EM ANDAMENTO"))</f>
        <v/>
      </c>
      <c r="Y234" s="2">
        <f>IF(R234="","",IF(COUNTIFS($C$5:$C$3004,R234,$O$5:$O$3004,"CONCLUÍDA",$N$5:$N$3004,"&gt;=-1")=0,"",_xlfn.MAXIFS($N$5:$N$3004,$C$5:$C$3004,R234,$O$5:$O$3004,"CONCLUÍDA")))</f>
        <v/>
      </c>
      <c r="Z234" s="2">
        <f>IF(R234="","",IF(COUNTIFS($C$5:$C$3004,R234,$O$5:$O$3004,"EM ANDAMENTO",$N$5:$N$3004,"&gt;=-1")=0,"",_xlfn.MAXIFS($N$5:$N$3004,$C$5:$C$3004,R234,$O$5:$O$3004,"EM ANDAMENTO")))</f>
        <v/>
      </c>
      <c r="AA234" s="2">
        <f>IF(OR(R234="",S234="",U234&lt;&gt;"SIM",V234=0),"",IF(W234+X234=0,"",T234&amp;": "&amp;IF(W234=V234,"concluído",IF(W234=0,"em execução"&amp;IF(Z234&lt;&gt;""," ("&amp;IF(Z234=-1,"subsolo",IF(Z234=0,"térreo",Z234&amp;"º pav."))&amp;")",""),IF(Y234&lt;&gt;"","até "&amp;IF(Y234=-1,"subsolo",IF(Y234=0,"térreo",Y234&amp;"º pav.")),W234&amp;" de "&amp;V234&amp;" concluídas")&amp;IF(Z234="","",IF(OR(Y234="",Z234&gt;Y234),", executando "&amp;IF(Z234=-1,"subsolo",IF(Z234=0,"térreo",Z234&amp;"º pav."))," (restam serviços no "&amp;IF(Z234=-1,"subsolo",IF(Z234=0,"térreo",Z234&amp;"º pav."))&amp;")"))))))</f>
        <v/>
      </c>
    </row>
    <row r="235">
      <c r="B235" s="4" t="n">
        <v>31924982</v>
      </c>
      <c r="C235" s="4" t="inlineStr">
        <is>
          <t>Estrutura Mezanino</t>
        </is>
      </c>
      <c r="D235" s="4" t="inlineStr">
        <is>
          <t>Armação Laje</t>
        </is>
      </c>
      <c r="E235" s="4" t="inlineStr">
        <is>
          <t>1º PAV. (INTERMEDIÁRIO)</t>
        </is>
      </c>
      <c r="F235" s="118" t="n">
        <v>46258</v>
      </c>
      <c r="G235" s="118" t="n">
        <v>46261</v>
      </c>
      <c r="H235" s="118" t="n">
        <v>46289</v>
      </c>
      <c r="I235" s="4" t="n">
        <v>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IF(E235="","",IF(LEFT(E235,7)="SUBSOLO",-1,IF(LEFT(E235,6)="TÉRREO",0,IFERROR(VALUE(LEFT(E235,FIND("º",SUBSTITUTE(E235,"°","º"))-1)),""))))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IF(R235="","",COUNTIF($C$5:$C$3004,R235))</f>
        <v/>
      </c>
      <c r="W235" s="2">
        <f>IF(R235="","",COUNTIFS($C$5:$C$3004,R235,$O$5:$O$3004,"CONCLUÍDA"))</f>
        <v/>
      </c>
      <c r="X235" s="2">
        <f>IF(R235="","",COUNTIFS($C$5:$C$3004,R235,$O$5:$O$3004,"EM ANDAMENTO"))</f>
        <v/>
      </c>
      <c r="Y235" s="2">
        <f>IF(R235="","",IF(COUNTIFS($C$5:$C$3004,R235,$O$5:$O$3004,"CONCLUÍDA",$N$5:$N$3004,"&gt;=-1")=0,"",_xlfn.MAXIFS($N$5:$N$3004,$C$5:$C$3004,R235,$O$5:$O$3004,"CONCLUÍDA")))</f>
        <v/>
      </c>
      <c r="Z235" s="2">
        <f>IF(R235="","",IF(COUNTIFS($C$5:$C$3004,R235,$O$5:$O$3004,"EM ANDAMENTO",$N$5:$N$3004,"&gt;=-1")=0,"",_xlfn.MAXIFS($N$5:$N$3004,$C$5:$C$3004,R235,$O$5:$O$3004,"EM ANDAMENTO")))</f>
        <v/>
      </c>
      <c r="AA235" s="2">
        <f>IF(OR(R235="",S235="",U235&lt;&gt;"SIM",V235=0),"",IF(W235+X235=0,"",T235&amp;": "&amp;IF(W235=V235,"concluído",IF(W235=0,"em execução"&amp;IF(Z235&lt;&gt;""," ("&amp;IF(Z235=-1,"subsolo",IF(Z235=0,"térreo",Z235&amp;"º pav."))&amp;")",""),IF(Y235&lt;&gt;"","até "&amp;IF(Y235=-1,"subsolo",IF(Y235=0,"térreo",Y235&amp;"º pav.")),W235&amp;" de "&amp;V235&amp;" concluídas")&amp;IF(Z235="","",IF(OR(Y235="",Z235&gt;Y235),", executando "&amp;IF(Z235=-1,"subsolo",IF(Z235=0,"térreo",Z235&amp;"º pav."))," (restam serviços no "&amp;IF(Z235=-1,"subsolo",IF(Z235=0,"térreo",Z235&amp;"º pav."))&amp;")"))))))</f>
        <v/>
      </c>
    </row>
    <row r="236">
      <c r="B236" s="4" t="n">
        <v>31924983</v>
      </c>
      <c r="C236" s="4" t="inlineStr">
        <is>
          <t>Estrutura Mezanino</t>
        </is>
      </c>
      <c r="D236" s="4" t="inlineStr">
        <is>
          <t>Concretagem Laje</t>
        </is>
      </c>
      <c r="E236" s="4" t="inlineStr">
        <is>
          <t>1º PAV. (INTERMEDIÁRIO)</t>
        </is>
      </c>
      <c r="F236" s="118" t="n">
        <v>46262</v>
      </c>
      <c r="G236" s="118" t="n">
        <v>46262</v>
      </c>
      <c r="H236" s="118" t="n">
        <v>46289</v>
      </c>
      <c r="I236" s="4" t="n">
        <v>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IF(E236="","",IF(LEFT(E236,7)="SUBSOLO",-1,IF(LEFT(E236,6)="TÉRREO",0,IFERROR(VALUE(LEFT(E236,FIND("º",SUBSTITUTE(E236,"°","º"))-1)),""))))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IF(R236="","",COUNTIF($C$5:$C$3004,R236))</f>
        <v/>
      </c>
      <c r="W236" s="2">
        <f>IF(R236="","",COUNTIFS($C$5:$C$3004,R236,$O$5:$O$3004,"CONCLUÍDA"))</f>
        <v/>
      </c>
      <c r="X236" s="2">
        <f>IF(R236="","",COUNTIFS($C$5:$C$3004,R236,$O$5:$O$3004,"EM ANDAMENTO"))</f>
        <v/>
      </c>
      <c r="Y236" s="2">
        <f>IF(R236="","",IF(COUNTIFS($C$5:$C$3004,R236,$O$5:$O$3004,"CONCLUÍDA",$N$5:$N$3004,"&gt;=-1")=0,"",_xlfn.MAXIFS($N$5:$N$3004,$C$5:$C$3004,R236,$O$5:$O$3004,"CONCLUÍDA")))</f>
        <v/>
      </c>
      <c r="Z236" s="2">
        <f>IF(R236="","",IF(COUNTIFS($C$5:$C$3004,R236,$O$5:$O$3004,"EM ANDAMENTO",$N$5:$N$3004,"&gt;=-1")=0,"",_xlfn.MAXIFS($N$5:$N$3004,$C$5:$C$3004,R236,$O$5:$O$3004,"EM ANDAMENTO")))</f>
        <v/>
      </c>
      <c r="AA236" s="2">
        <f>IF(OR(R236="",S236="",U236&lt;&gt;"SIM",V236=0),"",IF(W236+X236=0,"",T236&amp;": "&amp;IF(W236=V236,"concluído",IF(W236=0,"em execução"&amp;IF(Z236&lt;&gt;""," ("&amp;IF(Z236=-1,"subsolo",IF(Z236=0,"térreo",Z236&amp;"º pav."))&amp;")",""),IF(Y236&lt;&gt;"","até "&amp;IF(Y236=-1,"subsolo",IF(Y236=0,"térreo",Y236&amp;"º pav.")),W236&amp;" de "&amp;V236&amp;" concluídas")&amp;IF(Z236="","",IF(OR(Y236="",Z236&gt;Y236),", executando "&amp;IF(Z236=-1,"subsolo",IF(Z236=0,"térreo",Z236&amp;"º pav."))," (restam serviços no "&amp;IF(Z236=-1,"subsolo",IF(Z236=0,"térreo",Z236&amp;"º pav."))&amp;")"))))))</f>
        <v/>
      </c>
    </row>
    <row r="237">
      <c r="B237" s="4" t="n">
        <v>29940596</v>
      </c>
      <c r="C237" s="4" t="inlineStr">
        <is>
          <t>ESTRUTURA</t>
        </is>
      </c>
      <c r="D237" s="4" t="inlineStr">
        <is>
          <t>-</t>
        </is>
      </c>
      <c r="E237" s="4" t="inlineStr">
        <is>
          <t>1º PAV. (INTERMEDIÁRIO)</t>
        </is>
      </c>
      <c r="F237" s="118" t="n">
        <v>46246</v>
      </c>
      <c r="G237" s="118" t="n">
        <v>46262</v>
      </c>
      <c r="H237" s="118" t="n">
        <v>46289</v>
      </c>
      <c r="I237" s="4" t="n">
        <v>100</v>
      </c>
      <c r="J237" s="4" t="n">
        <v>100</v>
      </c>
      <c r="K237" s="4" t="n">
        <v>90</v>
      </c>
      <c r="M237" s="2">
        <f>IF(C237="","",IFERROR(INDEX($S$5:$S$304,MATCH(C237,$R$5:$R$304,0))&amp;"","?"))</f>
        <v/>
      </c>
      <c r="N237" s="2">
        <f>IF(E237="","",IF(LEFT(E237,7)="SUBSOLO",-1,IF(LEFT(E237,6)="TÉRREO",0,IFERROR(VALUE(LEFT(E237,FIND("º",SUBSTITUTE(E237,"°","º"))-1)),""))))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IF(R237="","",COUNTIF($C$5:$C$3004,R237))</f>
        <v/>
      </c>
      <c r="W237" s="2">
        <f>IF(R237="","",COUNTIFS($C$5:$C$3004,R237,$O$5:$O$3004,"CONCLUÍDA"))</f>
        <v/>
      </c>
      <c r="X237" s="2">
        <f>IF(R237="","",COUNTIFS($C$5:$C$3004,R237,$O$5:$O$3004,"EM ANDAMENTO"))</f>
        <v/>
      </c>
      <c r="Y237" s="2">
        <f>IF(R237="","",IF(COUNTIFS($C$5:$C$3004,R237,$O$5:$O$3004,"CONCLUÍDA",$N$5:$N$3004,"&gt;=-1")=0,"",_xlfn.MAXIFS($N$5:$N$3004,$C$5:$C$3004,R237,$O$5:$O$3004,"CONCLUÍDA")))</f>
        <v/>
      </c>
      <c r="Z237" s="2">
        <f>IF(R237="","",IF(COUNTIFS($C$5:$C$3004,R237,$O$5:$O$3004,"EM ANDAMENTO",$N$5:$N$3004,"&gt;=-1")=0,"",_xlfn.MAXIFS($N$5:$N$3004,$C$5:$C$3004,R237,$O$5:$O$3004,"EM ANDAMENTO")))</f>
        <v/>
      </c>
      <c r="AA237" s="2">
        <f>IF(OR(R237="",S237="",U237&lt;&gt;"SIM",V237=0),"",IF(W237+X237=0,"",T237&amp;": "&amp;IF(W237=V237,"concluído",IF(W237=0,"em execução"&amp;IF(Z237&lt;&gt;""," ("&amp;IF(Z237=-1,"subsolo",IF(Z237=0,"térreo",Z237&amp;"º pav."))&amp;")",""),IF(Y237&lt;&gt;"","até "&amp;IF(Y237=-1,"subsolo",IF(Y237=0,"térreo",Y237&amp;"º pav.")),W237&amp;" de "&amp;V237&amp;" concluídas")&amp;IF(Z237="","",IF(OR(Y237="",Z237&gt;Y237),", executando "&amp;IF(Z237=-1,"subsolo",IF(Z237=0,"térreo",Z237&amp;"º pav."))," (restam serviços no "&amp;IF(Z237=-1,"subsolo",IF(Z237=0,"térreo",Z237&amp;"º pav."))&amp;")"))))))</f>
        <v/>
      </c>
    </row>
    <row r="238">
      <c r="B238" s="4" t="n">
        <v>31529154</v>
      </c>
      <c r="C238" s="4" t="inlineStr">
        <is>
          <t>ESTRUTURA</t>
        </is>
      </c>
      <c r="D238" s="4" t="inlineStr">
        <is>
          <t>Forma</t>
        </is>
      </c>
      <c r="E238" s="4" t="inlineStr">
        <is>
          <t>1º PAV. (INTERMEDIÁRIO)</t>
        </is>
      </c>
      <c r="F238" s="118" t="n">
        <v>46246</v>
      </c>
      <c r="G238" s="118" t="n">
        <v>46254</v>
      </c>
      <c r="H238" s="118" t="n">
        <v>46289</v>
      </c>
      <c r="I238" s="4" t="n">
        <v>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IF(E238="","",IF(LEFT(E238,7)="SUBSOLO",-1,IF(LEFT(E238,6)="TÉRREO",0,IFERROR(VALUE(LEFT(E238,FIND("º",SUBSTITUTE(E238,"°","º"))-1)),""))))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IF(R238="","",COUNTIF($C$5:$C$3004,R238))</f>
        <v/>
      </c>
      <c r="W238" s="2">
        <f>IF(R238="","",COUNTIFS($C$5:$C$3004,R238,$O$5:$O$3004,"CONCLUÍDA"))</f>
        <v/>
      </c>
      <c r="X238" s="2">
        <f>IF(R238="","",COUNTIFS($C$5:$C$3004,R238,$O$5:$O$3004,"EM ANDAMENTO"))</f>
        <v/>
      </c>
      <c r="Y238" s="2">
        <f>IF(R238="","",IF(COUNTIFS($C$5:$C$3004,R238,$O$5:$O$3004,"CONCLUÍDA",$N$5:$N$3004,"&gt;=-1")=0,"",_xlfn.MAXIFS($N$5:$N$3004,$C$5:$C$3004,R238,$O$5:$O$3004,"CONCLUÍDA")))</f>
        <v/>
      </c>
      <c r="Z238" s="2">
        <f>IF(R238="","",IF(COUNTIFS($C$5:$C$3004,R238,$O$5:$O$3004,"EM ANDAMENTO",$N$5:$N$3004,"&gt;=-1")=0,"",_xlfn.MAXIFS($N$5:$N$3004,$C$5:$C$3004,R238,$O$5:$O$3004,"EM ANDAMENTO")))</f>
        <v/>
      </c>
      <c r="AA238" s="2">
        <f>IF(OR(R238="",S238="",U238&lt;&gt;"SIM",V238=0),"",IF(W238+X238=0,"",T238&amp;": "&amp;IF(W238=V238,"concluído",IF(W238=0,"em execução"&amp;IF(Z238&lt;&gt;""," ("&amp;IF(Z238=-1,"subsolo",IF(Z238=0,"térreo",Z238&amp;"º pav."))&amp;")",""),IF(Y238&lt;&gt;"","até "&amp;IF(Y238=-1,"subsolo",IF(Y238=0,"térreo",Y238&amp;"º pav.")),W238&amp;" de "&amp;V238&amp;" concluídas")&amp;IF(Z238="","",IF(OR(Y238="",Z238&gt;Y238),", executando "&amp;IF(Z238=-1,"subsolo",IF(Z238=0,"térreo",Z238&amp;"º pav."))," (restam serviços no "&amp;IF(Z238=-1,"subsolo",IF(Z238=0,"térreo",Z238&amp;"º pav."))&amp;")"))))))</f>
        <v/>
      </c>
    </row>
    <row r="239">
      <c r="B239" s="4" t="n">
        <v>31529155</v>
      </c>
      <c r="C239" s="4" t="inlineStr">
        <is>
          <t>ESTRUTURA</t>
        </is>
      </c>
      <c r="D239" s="4" t="inlineStr">
        <is>
          <t>Armação</t>
        </is>
      </c>
      <c r="E239" s="4" t="inlineStr">
        <is>
          <t>1º PAV. (INTERMEDIÁRIO)</t>
        </is>
      </c>
      <c r="F239" s="118" t="n">
        <v>46255</v>
      </c>
      <c r="G239" s="118" t="n">
        <v>46261</v>
      </c>
      <c r="H239" s="118" t="n">
        <v>46289</v>
      </c>
      <c r="I239" s="4" t="n">
        <v>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IF(E239="","",IF(LEFT(E239,7)="SUBSOLO",-1,IF(LEFT(E239,6)="TÉRREO",0,IFERROR(VALUE(LEFT(E239,FIND("º",SUBSTITUTE(E239,"°","º"))-1)),""))))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IF(R239="","",COUNTIF($C$5:$C$3004,R239))</f>
        <v/>
      </c>
      <c r="W239" s="2">
        <f>IF(R239="","",COUNTIFS($C$5:$C$3004,R239,$O$5:$O$3004,"CONCLUÍDA"))</f>
        <v/>
      </c>
      <c r="X239" s="2">
        <f>IF(R239="","",COUNTIFS($C$5:$C$3004,R239,$O$5:$O$3004,"EM ANDAMENTO"))</f>
        <v/>
      </c>
      <c r="Y239" s="2">
        <f>IF(R239="","",IF(COUNTIFS($C$5:$C$3004,R239,$O$5:$O$3004,"CONCLUÍDA",$N$5:$N$3004,"&gt;=-1")=0,"",_xlfn.MAXIFS($N$5:$N$3004,$C$5:$C$3004,R239,$O$5:$O$3004,"CONCLUÍDA")))</f>
        <v/>
      </c>
      <c r="Z239" s="2">
        <f>IF(R239="","",IF(COUNTIFS($C$5:$C$3004,R239,$O$5:$O$3004,"EM ANDAMENTO",$N$5:$N$3004,"&gt;=-1")=0,"",_xlfn.MAXIFS($N$5:$N$3004,$C$5:$C$3004,R239,$O$5:$O$3004,"EM ANDAMENTO")))</f>
        <v/>
      </c>
      <c r="AA239" s="2">
        <f>IF(OR(R239="",S239="",U239&lt;&gt;"SIM",V239=0),"",IF(W239+X239=0,"",T239&amp;": "&amp;IF(W239=V239,"concluído",IF(W239=0,"em execução"&amp;IF(Z239&lt;&gt;""," ("&amp;IF(Z239=-1,"subsolo",IF(Z239=0,"térreo",Z239&amp;"º pav."))&amp;")",""),IF(Y239&lt;&gt;"","até "&amp;IF(Y239=-1,"subsolo",IF(Y239=0,"térreo",Y239&amp;"º pav.")),W239&amp;" de "&amp;V239&amp;" concluídas")&amp;IF(Z239="","",IF(OR(Y239="",Z239&gt;Y239),", executando "&amp;IF(Z239=-1,"subsolo",IF(Z239=0,"térreo",Z239&amp;"º pav."))," (restam serviços no "&amp;IF(Z239=-1,"subsolo",IF(Z239=0,"térreo",Z239&amp;"º pav."))&amp;")"))))))</f>
        <v/>
      </c>
    </row>
    <row r="240">
      <c r="B240" s="4" t="n">
        <v>31529156</v>
      </c>
      <c r="C240" s="4" t="inlineStr">
        <is>
          <t>ESTRUTURA</t>
        </is>
      </c>
      <c r="D240" s="4" t="inlineStr">
        <is>
          <t>Concretagem</t>
        </is>
      </c>
      <c r="E240" s="4" t="inlineStr">
        <is>
          <t>1º PAV. (INTERMEDIÁRIO)</t>
        </is>
      </c>
      <c r="F240" s="118" t="n">
        <v>46262</v>
      </c>
      <c r="G240" s="118" t="n">
        <v>46262</v>
      </c>
      <c r="H240" s="118" t="n">
        <v>46289</v>
      </c>
      <c r="I240" s="4" t="n">
        <v>0</v>
      </c>
      <c r="J240" s="4" t="n">
        <v>100</v>
      </c>
      <c r="K240" s="4" t="n">
        <v>30</v>
      </c>
      <c r="M240" s="2">
        <f>IF(C240="","",IFERROR(INDEX($S$5:$S$304,MATCH(C240,$R$5:$R$304,0))&amp;"","?"))</f>
        <v/>
      </c>
      <c r="N240" s="2">
        <f>IF(E240="","",IF(LEFT(E240,7)="SUBSOLO",-1,IF(LEFT(E240,6)="TÉRREO",0,IFERROR(VALUE(LEFT(E240,FIND("º",SUBSTITUTE(E240,"°","º"))-1)),""))))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IF(R240="","",COUNTIF($C$5:$C$3004,R240))</f>
        <v/>
      </c>
      <c r="W240" s="2">
        <f>IF(R240="","",COUNTIFS($C$5:$C$3004,R240,$O$5:$O$3004,"CONCLUÍDA"))</f>
        <v/>
      </c>
      <c r="X240" s="2">
        <f>IF(R240="","",COUNTIFS($C$5:$C$3004,R240,$O$5:$O$3004,"EM ANDAMENTO"))</f>
        <v/>
      </c>
      <c r="Y240" s="2">
        <f>IF(R240="","",IF(COUNTIFS($C$5:$C$3004,R240,$O$5:$O$3004,"CONCLUÍDA",$N$5:$N$3004,"&gt;=-1")=0,"",_xlfn.MAXIFS($N$5:$N$3004,$C$5:$C$3004,R240,$O$5:$O$3004,"CONCLUÍDA")))</f>
        <v/>
      </c>
      <c r="Z240" s="2">
        <f>IF(R240="","",IF(COUNTIFS($C$5:$C$3004,R240,$O$5:$O$3004,"EM ANDAMENTO",$N$5:$N$3004,"&gt;=-1")=0,"",_xlfn.MAXIFS($N$5:$N$3004,$C$5:$C$3004,R240,$O$5:$O$3004,"EM ANDAMENTO")))</f>
        <v/>
      </c>
      <c r="AA240" s="2">
        <f>IF(OR(R240="",S240="",U240&lt;&gt;"SIM",V240=0),"",IF(W240+X240=0,"",T240&amp;": "&amp;IF(W240=V240,"concluído",IF(W240=0,"em execução"&amp;IF(Z240&lt;&gt;""," ("&amp;IF(Z240=-1,"subsolo",IF(Z240=0,"térreo",Z240&amp;"º pav."))&amp;")",""),IF(Y240&lt;&gt;"","até "&amp;IF(Y240=-1,"subsolo",IF(Y240=0,"térreo",Y240&amp;"º pav.")),W240&amp;" de "&amp;V240&amp;" concluídas")&amp;IF(Z240="","",IF(OR(Y240="",Z240&gt;Y240),", executando "&amp;IF(Z240=-1,"subsolo",IF(Z240=0,"térreo",Z240&amp;"º pav."))," (restam serviços no "&amp;IF(Z240=-1,"subsolo",IF(Z240=0,"térreo",Z240&amp;"º pav."))&amp;")"))))))</f>
        <v/>
      </c>
    </row>
    <row r="241">
      <c r="B241" s="4" t="n">
        <v>31529157</v>
      </c>
      <c r="C241" s="4" t="inlineStr">
        <is>
          <t>ESTRUTURA</t>
        </is>
      </c>
      <c r="D241" s="4" t="inlineStr">
        <is>
          <t>Polimento</t>
        </is>
      </c>
      <c r="E241" s="4" t="inlineStr">
        <is>
          <t>1º PAV. (INTERMEDIÁRIO)</t>
        </is>
      </c>
      <c r="F241" s="118" t="n">
        <v>46262</v>
      </c>
      <c r="G241" s="118" t="n">
        <v>46262</v>
      </c>
      <c r="H241" s="118" t="n">
        <v>46289</v>
      </c>
      <c r="I241" s="4" t="n">
        <v>0</v>
      </c>
      <c r="J241" s="4" t="n">
        <v>100</v>
      </c>
      <c r="K241" s="4" t="n">
        <v>30</v>
      </c>
      <c r="M241" s="2">
        <f>IF(C241="","",IFERROR(INDEX($S$5:$S$304,MATCH(C241,$R$5:$R$304,0))&amp;"","?"))</f>
        <v/>
      </c>
      <c r="N241" s="2">
        <f>IF(E241="","",IF(LEFT(E241,7)="SUBSOLO",-1,IF(LEFT(E241,6)="TÉRREO",0,IFERROR(VALUE(LEFT(E241,FIND("º",SUBSTITUTE(E241,"°","º"))-1)),""))))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IF(R241="","",COUNTIF($C$5:$C$3004,R241))</f>
        <v/>
      </c>
      <c r="W241" s="2">
        <f>IF(R241="","",COUNTIFS($C$5:$C$3004,R241,$O$5:$O$3004,"CONCLUÍDA"))</f>
        <v/>
      </c>
      <c r="X241" s="2">
        <f>IF(R241="","",COUNTIFS($C$5:$C$3004,R241,$O$5:$O$3004,"EM ANDAMENTO"))</f>
        <v/>
      </c>
      <c r="Y241" s="2">
        <f>IF(R241="","",IF(COUNTIFS($C$5:$C$3004,R241,$O$5:$O$3004,"CONCLUÍDA",$N$5:$N$3004,"&gt;=-1")=0,"",_xlfn.MAXIFS($N$5:$N$3004,$C$5:$C$3004,R241,$O$5:$O$3004,"CONCLUÍDA")))</f>
        <v/>
      </c>
      <c r="Z241" s="2">
        <f>IF(R241="","",IF(COUNTIFS($C$5:$C$3004,R241,$O$5:$O$3004,"EM ANDAMENTO",$N$5:$N$3004,"&gt;=-1")=0,"",_xlfn.MAXIFS($N$5:$N$3004,$C$5:$C$3004,R241,$O$5:$O$3004,"EM ANDAMENTO")))</f>
        <v/>
      </c>
      <c r="AA241" s="2">
        <f>IF(OR(R241="",S241="",U241&lt;&gt;"SIM",V241=0),"",IF(W241+X241=0,"",T241&amp;": "&amp;IF(W241=V241,"concluído",IF(W241=0,"em execução"&amp;IF(Z241&lt;&gt;""," ("&amp;IF(Z241=-1,"subsolo",IF(Z241=0,"térreo",Z241&amp;"º pav."))&amp;")",""),IF(Y241&lt;&gt;"","até "&amp;IF(Y241=-1,"subsolo",IF(Y241=0,"térreo",Y241&amp;"º pav.")),W241&amp;" de "&amp;V241&amp;" concluídas")&amp;IF(Z241="","",IF(OR(Y241="",Z241&gt;Y241),", executando "&amp;IF(Z241=-1,"subsolo",IF(Z241=0,"térreo",Z241&amp;"º pav."))," (restam serviços no "&amp;IF(Z241=-1,"subsolo",IF(Z241=0,"térreo",Z241&amp;"º pav."))&amp;")"))))))</f>
        <v/>
      </c>
    </row>
    <row r="242">
      <c r="B242" s="4" t="n">
        <v>48917125</v>
      </c>
      <c r="C242" s="4" t="inlineStr">
        <is>
          <t>Estrutura 2º Pav - Fase 1</t>
        </is>
      </c>
      <c r="D242" s="4" t="inlineStr">
        <is>
          <t>-</t>
        </is>
      </c>
      <c r="E242" s="4" t="inlineStr">
        <is>
          <t>2º PAV - GARAGEM</t>
        </is>
      </c>
      <c r="F242" s="118" t="n">
        <v>46251</v>
      </c>
      <c r="G242" s="118" t="n">
        <v>46293</v>
      </c>
      <c r="H242" s="118" t="n">
        <v>46289</v>
      </c>
      <c r="I242" s="4" t="n">
        <v>0</v>
      </c>
      <c r="J242" s="4" t="n">
        <v>89.99997500000001</v>
      </c>
      <c r="K242" s="4" t="n">
        <v>59.625</v>
      </c>
      <c r="M242" s="2">
        <f>IF(C242="","",IFERROR(INDEX($S$5:$S$304,MATCH(C242,$R$5:$R$304,0))&amp;"","?"))</f>
        <v/>
      </c>
      <c r="N242" s="2">
        <f>IF(E242="","",IF(LEFT(E242,7)="SUBSOLO",-1,IF(LEFT(E242,6)="TÉRREO",0,IFERROR(VALUE(LEFT(E242,FIND("º",SUBSTITUTE(E242,"°","º"))-1)),""))))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IF(R242="","",COUNTIF($C$5:$C$3004,R242))</f>
        <v/>
      </c>
      <c r="W242" s="2">
        <f>IF(R242="","",COUNTIFS($C$5:$C$3004,R242,$O$5:$O$3004,"CONCLUÍDA"))</f>
        <v/>
      </c>
      <c r="X242" s="2">
        <f>IF(R242="","",COUNTIFS($C$5:$C$3004,R242,$O$5:$O$3004,"EM ANDAMENTO"))</f>
        <v/>
      </c>
      <c r="Y242" s="2">
        <f>IF(R242="","",IF(COUNTIFS($C$5:$C$3004,R242,$O$5:$O$3004,"CONCLUÍDA",$N$5:$N$3004,"&gt;=-1")=0,"",_xlfn.MAXIFS($N$5:$N$3004,$C$5:$C$3004,R242,$O$5:$O$3004,"CONCLUÍDA")))</f>
        <v/>
      </c>
      <c r="Z242" s="2">
        <f>IF(R242="","",IF(COUNTIFS($C$5:$C$3004,R242,$O$5:$O$3004,"EM ANDAMENTO",$N$5:$N$3004,"&gt;=-1")=0,"",_xlfn.MAXIFS($N$5:$N$3004,$C$5:$C$3004,R242,$O$5:$O$3004,"EM ANDAMENTO")))</f>
        <v/>
      </c>
      <c r="AA242" s="2">
        <f>IF(OR(R242="",S242="",U242&lt;&gt;"SIM",V242=0),"",IF(W242+X242=0,"",T242&amp;": "&amp;IF(W242=V242,"concluído",IF(W242=0,"em execução"&amp;IF(Z242&lt;&gt;""," ("&amp;IF(Z242=-1,"subsolo",IF(Z242=0,"térreo",Z242&amp;"º pav."))&amp;")",""),IF(Y242&lt;&gt;"","até "&amp;IF(Y242=-1,"subsolo",IF(Y242=0,"térreo",Y242&amp;"º pav.")),W242&amp;" de "&amp;V242&amp;" concluídas")&amp;IF(Z242="","",IF(OR(Y242="",Z242&gt;Y242),", executando "&amp;IF(Z242=-1,"subsolo",IF(Z242=0,"térreo",Z242&amp;"º pav."))," (restam serviços no "&amp;IF(Z242=-1,"subsolo",IF(Z242=0,"térreo",Z242&amp;"º pav."))&amp;")"))))))</f>
        <v/>
      </c>
    </row>
    <row r="243">
      <c r="B243" s="4" t="n">
        <v>31924984</v>
      </c>
      <c r="C243" s="4" t="inlineStr">
        <is>
          <t>Estrutura 2º Pav - Fase 1</t>
        </is>
      </c>
      <c r="D243" s="4" t="inlineStr">
        <is>
          <t>Montagem de Pilares</t>
        </is>
      </c>
      <c r="E243" s="4" t="inlineStr">
        <is>
          <t>2º PAV - GARAGEM</t>
        </is>
      </c>
      <c r="F243" s="118" t="n">
        <v>46251</v>
      </c>
      <c r="G243" s="118" t="n">
        <v>46259</v>
      </c>
      <c r="H243" s="118" t="n">
        <v>46289</v>
      </c>
      <c r="I243" s="4" t="n">
        <v>0</v>
      </c>
      <c r="J243" s="4" t="n">
        <v>100</v>
      </c>
      <c r="K243" s="4" t="n">
        <v>90</v>
      </c>
      <c r="M243" s="2">
        <f>IF(C243="","",IFERROR(INDEX($S$5:$S$304,MATCH(C243,$R$5:$R$304,0))&amp;"","?"))</f>
        <v/>
      </c>
      <c r="N243" s="2">
        <f>IF(E243="","",IF(LEFT(E243,7)="SUBSOLO",-1,IF(LEFT(E243,6)="TÉRREO",0,IFERROR(VALUE(LEFT(E243,FIND("º",SUBSTITUTE(E243,"°","º"))-1)),""))))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IF(R243="","",COUNTIF($C$5:$C$3004,R243))</f>
        <v/>
      </c>
      <c r="W243" s="2">
        <f>IF(R243="","",COUNTIFS($C$5:$C$3004,R243,$O$5:$O$3004,"CONCLUÍDA"))</f>
        <v/>
      </c>
      <c r="X243" s="2">
        <f>IF(R243="","",COUNTIFS($C$5:$C$3004,R243,$O$5:$O$3004,"EM ANDAMENTO"))</f>
        <v/>
      </c>
      <c r="Y243" s="2">
        <f>IF(R243="","",IF(COUNTIFS($C$5:$C$3004,R243,$O$5:$O$3004,"CONCLUÍDA",$N$5:$N$3004,"&gt;=-1")=0,"",_xlfn.MAXIFS($N$5:$N$3004,$C$5:$C$3004,R243,$O$5:$O$3004,"CONCLUÍDA")))</f>
        <v/>
      </c>
      <c r="Z243" s="2">
        <f>IF(R243="","",IF(COUNTIFS($C$5:$C$3004,R243,$O$5:$O$3004,"EM ANDAMENTO",$N$5:$N$3004,"&gt;=-1")=0,"",_xlfn.MAXIFS($N$5:$N$3004,$C$5:$C$3004,R243,$O$5:$O$3004,"EM ANDAMENTO")))</f>
        <v/>
      </c>
      <c r="AA243" s="2">
        <f>IF(OR(R243="",S243="",U243&lt;&gt;"SIM",V243=0),"",IF(W243+X243=0,"",T243&amp;": "&amp;IF(W243=V243,"concluído",IF(W243=0,"em execução"&amp;IF(Z243&lt;&gt;""," ("&amp;IF(Z243=-1,"subsolo",IF(Z243=0,"térreo",Z243&amp;"º pav."))&amp;")",""),IF(Y243&lt;&gt;"","até "&amp;IF(Y243=-1,"subsolo",IF(Y243=0,"térreo",Y243&amp;"º pav.")),W243&amp;" de "&amp;V243&amp;" concluídas")&amp;IF(Z243="","",IF(OR(Y243="",Z243&gt;Y243),", executando "&amp;IF(Z243=-1,"subsolo",IF(Z243=0,"térreo",Z243&amp;"º pav."))," (restam serviços no "&amp;IF(Z243=-1,"subsolo",IF(Z243=0,"térreo",Z243&amp;"º pav."))&amp;")"))))))</f>
        <v/>
      </c>
    </row>
    <row r="244">
      <c r="B244" s="4" t="n">
        <v>31924985</v>
      </c>
      <c r="C244" s="4" t="inlineStr">
        <is>
          <t>Estrutura 2º Pav - Fase 1</t>
        </is>
      </c>
      <c r="D244" s="4" t="inlineStr">
        <is>
          <t>Forma Pilares</t>
        </is>
      </c>
      <c r="E244" s="4" t="inlineStr">
        <is>
          <t>2º PAV - GARAGEM</t>
        </is>
      </c>
      <c r="F244" s="118" t="n">
        <v>46260</v>
      </c>
      <c r="G244" s="118" t="n">
        <v>46265</v>
      </c>
      <c r="H244" s="118" t="n">
        <v>46289</v>
      </c>
      <c r="I244" s="4" t="n">
        <v>0</v>
      </c>
      <c r="J244" s="4" t="n">
        <v>100</v>
      </c>
      <c r="K244" s="4" t="n">
        <v>90</v>
      </c>
      <c r="M244" s="2">
        <f>IF(C244="","",IFERROR(INDEX($S$5:$S$304,MATCH(C244,$R$5:$R$304,0))&amp;"","?"))</f>
        <v/>
      </c>
      <c r="N244" s="2">
        <f>IF(E244="","",IF(LEFT(E244,7)="SUBSOLO",-1,IF(LEFT(E244,6)="TÉRREO",0,IFERROR(VALUE(LEFT(E244,FIND("º",SUBSTITUTE(E244,"°","º"))-1)),""))))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IF(R244="","",COUNTIF($C$5:$C$3004,R244))</f>
        <v/>
      </c>
      <c r="W244" s="2">
        <f>IF(R244="","",COUNTIFS($C$5:$C$3004,R244,$O$5:$O$3004,"CONCLUÍDA"))</f>
        <v/>
      </c>
      <c r="X244" s="2">
        <f>IF(R244="","",COUNTIFS($C$5:$C$3004,R244,$O$5:$O$3004,"EM ANDAMENTO"))</f>
        <v/>
      </c>
      <c r="Y244" s="2">
        <f>IF(R244="","",IF(COUNTIFS($C$5:$C$3004,R244,$O$5:$O$3004,"CONCLUÍDA",$N$5:$N$3004,"&gt;=-1")=0,"",_xlfn.MAXIFS($N$5:$N$3004,$C$5:$C$3004,R244,$O$5:$O$3004,"CONCLUÍDA")))</f>
        <v/>
      </c>
      <c r="Z244" s="2">
        <f>IF(R244="","",IF(COUNTIFS($C$5:$C$3004,R244,$O$5:$O$3004,"EM ANDAMENTO",$N$5:$N$3004,"&gt;=-1")=0,"",_xlfn.MAXIFS($N$5:$N$3004,$C$5:$C$3004,R244,$O$5:$O$3004,"EM ANDAMENTO")))</f>
        <v/>
      </c>
      <c r="AA244" s="2">
        <f>IF(OR(R244="",S244="",U244&lt;&gt;"SIM",V244=0),"",IF(W244+X244=0,"",T244&amp;": "&amp;IF(W244=V244,"concluído",IF(W244=0,"em execução"&amp;IF(Z244&lt;&gt;""," ("&amp;IF(Z244=-1,"subsolo",IF(Z244=0,"térreo",Z244&amp;"º pav."))&amp;")",""),IF(Y244&lt;&gt;"","até "&amp;IF(Y244=-1,"subsolo",IF(Y244=0,"térreo",Y244&amp;"º pav.")),W244&amp;" de "&amp;V244&amp;" concluídas")&amp;IF(Z244="","",IF(OR(Y244="",Z244&gt;Y244),", executando "&amp;IF(Z244=-1,"subsolo",IF(Z244=0,"térreo",Z244&amp;"º pav."))," (restam serviços no "&amp;IF(Z244=-1,"subsolo",IF(Z244=0,"térreo",Z244&amp;"º pav."))&amp;")"))))))</f>
        <v/>
      </c>
    </row>
    <row r="245">
      <c r="B245" s="4" t="n">
        <v>31924986</v>
      </c>
      <c r="C245" s="4" t="inlineStr">
        <is>
          <t>Estrutura 2º Pav - Fase 1</t>
        </is>
      </c>
      <c r="D245" s="4" t="inlineStr">
        <is>
          <t>Escoramento Laje/Vigas</t>
        </is>
      </c>
      <c r="E245" s="4" t="inlineStr">
        <is>
          <t>2º PAV - GARAGEM</t>
        </is>
      </c>
      <c r="F245" s="118" t="n">
        <v>46266</v>
      </c>
      <c r="G245" s="118" t="n">
        <v>46276</v>
      </c>
      <c r="H245" s="118" t="n">
        <v>46289</v>
      </c>
      <c r="I245" s="4" t="n">
        <v>0</v>
      </c>
      <c r="J245" s="4" t="n">
        <v>100</v>
      </c>
      <c r="K245" s="4" t="n">
        <v>80</v>
      </c>
      <c r="M245" s="2">
        <f>IF(C245="","",IFERROR(INDEX($S$5:$S$304,MATCH(C245,$R$5:$R$304,0))&amp;"","?"))</f>
        <v/>
      </c>
      <c r="N245" s="2">
        <f>IF(E245="","",IF(LEFT(E245,7)="SUBSOLO",-1,IF(LEFT(E245,6)="TÉRREO",0,IFERROR(VALUE(LEFT(E245,FIND("º",SUBSTITUTE(E245,"°","º"))-1)),""))))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IF(R245="","",COUNTIF($C$5:$C$3004,R245))</f>
        <v/>
      </c>
      <c r="W245" s="2">
        <f>IF(R245="","",COUNTIFS($C$5:$C$3004,R245,$O$5:$O$3004,"CONCLUÍDA"))</f>
        <v/>
      </c>
      <c r="X245" s="2">
        <f>IF(R245="","",COUNTIFS($C$5:$C$3004,R245,$O$5:$O$3004,"EM ANDAMENTO"))</f>
        <v/>
      </c>
      <c r="Y245" s="2">
        <f>IF(R245="","",IF(COUNTIFS($C$5:$C$3004,R245,$O$5:$O$3004,"CONCLUÍDA",$N$5:$N$3004,"&gt;=-1")=0,"",_xlfn.MAXIFS($N$5:$N$3004,$C$5:$C$3004,R245,$O$5:$O$3004,"CONCLUÍDA")))</f>
        <v/>
      </c>
      <c r="Z245" s="2">
        <f>IF(R245="","",IF(COUNTIFS($C$5:$C$3004,R245,$O$5:$O$3004,"EM ANDAMENTO",$N$5:$N$3004,"&gt;=-1")=0,"",_xlfn.MAXIFS($N$5:$N$3004,$C$5:$C$3004,R245,$O$5:$O$3004,"EM ANDAMENTO")))</f>
        <v/>
      </c>
      <c r="AA245" s="2">
        <f>IF(OR(R245="",S245="",U245&lt;&gt;"SIM",V245=0),"",IF(W245+X245=0,"",T245&amp;": "&amp;IF(W245=V245,"concluído",IF(W245=0,"em execução"&amp;IF(Z245&lt;&gt;""," ("&amp;IF(Z245=-1,"subsolo",IF(Z245=0,"térreo",Z245&amp;"º pav."))&amp;")",""),IF(Y245&lt;&gt;"","até "&amp;IF(Y245=-1,"subsolo",IF(Y245=0,"térreo",Y245&amp;"º pav.")),W245&amp;" de "&amp;V245&amp;" concluídas")&amp;IF(Z245="","",IF(OR(Y245="",Z245&gt;Y245),", executando "&amp;IF(Z245=-1,"subsolo",IF(Z245=0,"térreo",Z245&amp;"º pav."))," (restam serviços no "&amp;IF(Z245=-1,"subsolo",IF(Z245=0,"térreo",Z245&amp;"º pav."))&amp;")"))))))</f>
        <v/>
      </c>
    </row>
    <row r="246">
      <c r="B246" s="4" t="n">
        <v>31924987</v>
      </c>
      <c r="C246" s="4" t="inlineStr">
        <is>
          <t>Estrutura 2º Pav - Fase 1</t>
        </is>
      </c>
      <c r="D246" s="4" t="inlineStr">
        <is>
          <t>Forro Laje</t>
        </is>
      </c>
      <c r="E246" s="4" t="inlineStr">
        <is>
          <t>2º PAV - GARAGEM</t>
        </is>
      </c>
      <c r="F246" s="118" t="n">
        <v>46279</v>
      </c>
      <c r="G246" s="118" t="n">
        <v>46293</v>
      </c>
      <c r="H246" s="118" t="n">
        <v>46289</v>
      </c>
      <c r="I246" s="4" t="n">
        <v>0</v>
      </c>
      <c r="J246" s="4" t="n">
        <v>81.818</v>
      </c>
      <c r="K246" s="4" t="n">
        <v>40</v>
      </c>
      <c r="M246" s="2">
        <f>IF(C246="","",IFERROR(INDEX($S$5:$S$304,MATCH(C246,$R$5:$R$304,0))&amp;"","?"))</f>
        <v/>
      </c>
      <c r="N246" s="2">
        <f>IF(E246="","",IF(LEFT(E246,7)="SUBSOLO",-1,IF(LEFT(E246,6)="TÉRREO",0,IFERROR(VALUE(LEFT(E246,FIND("º",SUBSTITUTE(E246,"°","º"))-1)),""))))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IF(R246="","",COUNTIF($C$5:$C$3004,R246))</f>
        <v/>
      </c>
      <c r="W246" s="2">
        <f>IF(R246="","",COUNTIFS($C$5:$C$3004,R246,$O$5:$O$3004,"CONCLUÍDA"))</f>
        <v/>
      </c>
      <c r="X246" s="2">
        <f>IF(R246="","",COUNTIFS($C$5:$C$3004,R246,$O$5:$O$3004,"EM ANDAMENTO"))</f>
        <v/>
      </c>
      <c r="Y246" s="2">
        <f>IF(R246="","",IF(COUNTIFS($C$5:$C$3004,R246,$O$5:$O$3004,"CONCLUÍDA",$N$5:$N$3004,"&gt;=-1")=0,"",_xlfn.MAXIFS($N$5:$N$3004,$C$5:$C$3004,R246,$O$5:$O$3004,"CONCLUÍDA")))</f>
        <v/>
      </c>
      <c r="Z246" s="2">
        <f>IF(R246="","",IF(COUNTIFS($C$5:$C$3004,R246,$O$5:$O$3004,"EM ANDAMENTO",$N$5:$N$3004,"&gt;=-1")=0,"",_xlfn.MAXIFS($N$5:$N$3004,$C$5:$C$3004,R246,$O$5:$O$3004,"EM ANDAMENTO")))</f>
        <v/>
      </c>
      <c r="AA246" s="2">
        <f>IF(OR(R246="",S246="",U246&lt;&gt;"SIM",V246=0),"",IF(W246+X246=0,"",T246&amp;": "&amp;IF(W246=V246,"concluído",IF(W246=0,"em execução"&amp;IF(Z246&lt;&gt;""," ("&amp;IF(Z246=-1,"subsolo",IF(Z246=0,"térreo",Z246&amp;"º pav."))&amp;")",""),IF(Y246&lt;&gt;"","até "&amp;IF(Y246=-1,"subsolo",IF(Y246=0,"térreo",Y246&amp;"º pav.")),W246&amp;" de "&amp;V246&amp;" concluídas")&amp;IF(Z246="","",IF(OR(Y246="",Z246&gt;Y246),", executando "&amp;IF(Z246=-1,"subsolo",IF(Z246=0,"térreo",Z246&amp;"º pav."))," (restam serviços no "&amp;IF(Z246=-1,"subsolo",IF(Z246=0,"térreo",Z246&amp;"º pav."))&amp;")"))))))</f>
        <v/>
      </c>
    </row>
    <row r="247">
      <c r="B247" s="4" t="n">
        <v>31924988</v>
      </c>
      <c r="C247" s="4" t="inlineStr">
        <is>
          <t>Estrutura 2º Pav - Fase 1</t>
        </is>
      </c>
      <c r="D247" s="4" t="inlineStr">
        <is>
          <t>Montagem Laje</t>
        </is>
      </c>
      <c r="E247" s="4" t="inlineStr">
        <is>
          <t>2º PAV - GARAGEM</t>
        </is>
      </c>
      <c r="F247" s="118" t="n">
        <v>46280</v>
      </c>
      <c r="G247" s="118" t="n">
        <v>46290</v>
      </c>
      <c r="H247" s="118" t="n">
        <v>46289</v>
      </c>
      <c r="I247" s="4" t="n">
        <v>0</v>
      </c>
      <c r="J247" s="4" t="n">
        <v>88.889</v>
      </c>
      <c r="K247" s="4" t="n">
        <v>35</v>
      </c>
      <c r="M247" s="2">
        <f>IF(C247="","",IFERROR(INDEX($S$5:$S$304,MATCH(C247,$R$5:$R$304,0))&amp;"","?"))</f>
        <v/>
      </c>
      <c r="N247" s="2">
        <f>IF(E247="","",IF(LEFT(E247,7)="SUBSOLO",-1,IF(LEFT(E247,6)="TÉRREO",0,IFERROR(VALUE(LEFT(E247,FIND("º",SUBSTITUTE(E247,"°","º"))-1)),""))))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IF(R247="","",COUNTIF($C$5:$C$3004,R247))</f>
        <v/>
      </c>
      <c r="W247" s="2">
        <f>IF(R247="","",COUNTIFS($C$5:$C$3004,R247,$O$5:$O$3004,"CONCLUÍDA"))</f>
        <v/>
      </c>
      <c r="X247" s="2">
        <f>IF(R247="","",COUNTIFS($C$5:$C$3004,R247,$O$5:$O$3004,"EM ANDAMENTO"))</f>
        <v/>
      </c>
      <c r="Y247" s="2">
        <f>IF(R247="","",IF(COUNTIFS($C$5:$C$3004,R247,$O$5:$O$3004,"CONCLUÍDA",$N$5:$N$3004,"&gt;=-1")=0,"",_xlfn.MAXIFS($N$5:$N$3004,$C$5:$C$3004,R247,$O$5:$O$3004,"CONCLUÍDA")))</f>
        <v/>
      </c>
      <c r="Z247" s="2">
        <f>IF(R247="","",IF(COUNTIFS($C$5:$C$3004,R247,$O$5:$O$3004,"EM ANDAMENTO",$N$5:$N$3004,"&gt;=-1")=0,"",_xlfn.MAXIFS($N$5:$N$3004,$C$5:$C$3004,R247,$O$5:$O$3004,"EM ANDAMENTO")))</f>
        <v/>
      </c>
      <c r="AA247" s="2">
        <f>IF(OR(R247="",S247="",U247&lt;&gt;"SIM",V247=0),"",IF(W247+X247=0,"",T247&amp;": "&amp;IF(W247=V247,"concluído",IF(W247=0,"em execução"&amp;IF(Z247&lt;&gt;""," ("&amp;IF(Z247=-1,"subsolo",IF(Z247=0,"térreo",Z247&amp;"º pav."))&amp;")",""),IF(Y247&lt;&gt;"","até "&amp;IF(Y247=-1,"subsolo",IF(Y247=0,"térreo",Y247&amp;"º pav.")),W247&amp;" de "&amp;V247&amp;" concluídas")&amp;IF(Z247="","",IF(OR(Y247="",Z247&gt;Y247),", executando "&amp;IF(Z247=-1,"subsolo",IF(Z247=0,"térreo",Z247&amp;"º pav."))," (restam serviços no "&amp;IF(Z247=-1,"subsolo",IF(Z247=0,"térreo",Z247&amp;"º pav."))&amp;")"))))))</f>
        <v/>
      </c>
    </row>
    <row r="248">
      <c r="B248" s="4" t="n">
        <v>31924989</v>
      </c>
      <c r="C248" s="4" t="inlineStr">
        <is>
          <t>Estrutura 2º Pav - Fase 1</t>
        </is>
      </c>
      <c r="D248" s="4" t="inlineStr">
        <is>
          <t>Concretagem Laje</t>
        </is>
      </c>
      <c r="E248" s="4" t="inlineStr">
        <is>
          <t>2º PAV - GARAGEM</t>
        </is>
      </c>
      <c r="F248" s="118" t="n">
        <v>46293</v>
      </c>
      <c r="G248" s="118" t="n">
        <v>46293</v>
      </c>
      <c r="H248" s="118" t="n">
        <v>46289</v>
      </c>
      <c r="I248" s="4" t="n">
        <v>0</v>
      </c>
      <c r="J248" s="4" t="n">
        <v>0</v>
      </c>
      <c r="K248" s="4" t="n">
        <v>0</v>
      </c>
      <c r="M248" s="2">
        <f>IF(C248="","",IFERROR(INDEX($S$5:$S$304,MATCH(C248,$R$5:$R$304,0))&amp;"","?"))</f>
        <v/>
      </c>
      <c r="N248" s="2">
        <f>IF(E248="","",IF(LEFT(E248,7)="SUBSOLO",-1,IF(LEFT(E248,6)="TÉRREO",0,IFERROR(VALUE(LEFT(E248,FIND("º",SUBSTITUTE(E248,"°","º"))-1)),""))))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IF(R248="","",COUNTIF($C$5:$C$3004,R248))</f>
        <v/>
      </c>
      <c r="W248" s="2">
        <f>IF(R248="","",COUNTIFS($C$5:$C$3004,R248,$O$5:$O$3004,"CONCLUÍDA"))</f>
        <v/>
      </c>
      <c r="X248" s="2">
        <f>IF(R248="","",COUNTIFS($C$5:$C$3004,R248,$O$5:$O$3004,"EM ANDAMENTO"))</f>
        <v/>
      </c>
      <c r="Y248" s="2">
        <f>IF(R248="","",IF(COUNTIFS($C$5:$C$3004,R248,$O$5:$O$3004,"CONCLUÍDA",$N$5:$N$3004,"&gt;=-1")=0,"",_xlfn.MAXIFS($N$5:$N$3004,$C$5:$C$3004,R248,$O$5:$O$3004,"CONCLUÍDA")))</f>
        <v/>
      </c>
      <c r="Z248" s="2">
        <f>IF(R248="","",IF(COUNTIFS($C$5:$C$3004,R248,$O$5:$O$3004,"EM ANDAMENTO",$N$5:$N$3004,"&gt;=-1")=0,"",_xlfn.MAXIFS($N$5:$N$3004,$C$5:$C$3004,R248,$O$5:$O$3004,"EM ANDAMENTO")))</f>
        <v/>
      </c>
      <c r="AA248" s="2">
        <f>IF(OR(R248="",S248="",U248&lt;&gt;"SIM",V248=0),"",IF(W248+X248=0,"",T248&amp;": "&amp;IF(W248=V248,"concluído",IF(W248=0,"em execução"&amp;IF(Z248&lt;&gt;""," ("&amp;IF(Z248=-1,"subsolo",IF(Z248=0,"térreo",Z248&amp;"º pav."))&amp;")",""),IF(Y248&lt;&gt;"","até "&amp;IF(Y248=-1,"subsolo",IF(Y248=0,"térreo",Y248&amp;"º pav.")),W248&amp;" de "&amp;V248&amp;" concluídas")&amp;IF(Z248="","",IF(OR(Y248="",Z248&gt;Y248),", executando "&amp;IF(Z248=-1,"subsolo",IF(Z248=0,"térreo",Z248&amp;"º pav."))," (restam serviços no "&amp;IF(Z248=-1,"subsolo",IF(Z248=0,"térreo",Z248&amp;"º pav."))&amp;")"))))))</f>
        <v/>
      </c>
    </row>
    <row r="249">
      <c r="B249" s="4" t="n">
        <v>29940909</v>
      </c>
      <c r="C249" s="4" t="inlineStr">
        <is>
          <t>ESTRUTURA</t>
        </is>
      </c>
      <c r="D249" s="4" t="inlineStr">
        <is>
          <t>-</t>
        </is>
      </c>
      <c r="E249" s="4" t="inlineStr">
        <is>
          <t>2º PAV - GARAGEM</t>
        </is>
      </c>
      <c r="F249" s="118" t="n">
        <v>46259</v>
      </c>
      <c r="G249" s="118" t="n">
        <v>46293</v>
      </c>
      <c r="H249" s="118" t="n">
        <v>46289</v>
      </c>
      <c r="I249" s="4" t="n">
        <v>79.31</v>
      </c>
      <c r="J249" s="4" t="n">
        <v>87.99992</v>
      </c>
      <c r="K249" s="4" t="n">
        <v>51.088</v>
      </c>
      <c r="M249" s="2">
        <f>IF(C249="","",IFERROR(INDEX($S$5:$S$304,MATCH(C249,$R$5:$R$304,0))&amp;"","?"))</f>
        <v/>
      </c>
      <c r="N249" s="2">
        <f>IF(E249="","",IF(LEFT(E249,7)="SUBSOLO",-1,IF(LEFT(E249,6)="TÉRREO",0,IFERROR(VALUE(LEFT(E249,FIND("º",SUBSTITUTE(E249,"°","º"))-1)),""))))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IF(R249="","",COUNTIF($C$5:$C$3004,R249))</f>
        <v/>
      </c>
      <c r="W249" s="2">
        <f>IF(R249="","",COUNTIFS($C$5:$C$3004,R249,$O$5:$O$3004,"CONCLUÍDA"))</f>
        <v/>
      </c>
      <c r="X249" s="2">
        <f>IF(R249="","",COUNTIFS($C$5:$C$3004,R249,$O$5:$O$3004,"EM ANDAMENTO"))</f>
        <v/>
      </c>
      <c r="Y249" s="2">
        <f>IF(R249="","",IF(COUNTIFS($C$5:$C$3004,R249,$O$5:$O$3004,"CONCLUÍDA",$N$5:$N$3004,"&gt;=-1")=0,"",_xlfn.MAXIFS($N$5:$N$3004,$C$5:$C$3004,R249,$O$5:$O$3004,"CONCLUÍDA")))</f>
        <v/>
      </c>
      <c r="Z249" s="2">
        <f>IF(R249="","",IF(COUNTIFS($C$5:$C$3004,R249,$O$5:$O$3004,"EM ANDAMENTO",$N$5:$N$3004,"&gt;=-1")=0,"",_xlfn.MAXIFS($N$5:$N$3004,$C$5:$C$3004,R249,$O$5:$O$3004,"EM ANDAMENTO")))</f>
        <v/>
      </c>
      <c r="AA249" s="2">
        <f>IF(OR(R249="",S249="",U249&lt;&gt;"SIM",V249=0),"",IF(W249+X249=0,"",T249&amp;": "&amp;IF(W249=V249,"concluído",IF(W249=0,"em execução"&amp;IF(Z249&lt;&gt;""," ("&amp;IF(Z249=-1,"subsolo",IF(Z249=0,"térreo",Z249&amp;"º pav."))&amp;")",""),IF(Y249&lt;&gt;"","até "&amp;IF(Y249=-1,"subsolo",IF(Y249=0,"térreo",Y249&amp;"º pav.")),W249&amp;" de "&amp;V249&amp;" concluídas")&amp;IF(Z249="","",IF(OR(Y249="",Z249&gt;Y249),", executando "&amp;IF(Z249=-1,"subsolo",IF(Z249=0,"térreo",Z249&amp;"º pav."))," (restam serviços no "&amp;IF(Z249=-1,"subsolo",IF(Z249=0,"térreo",Z249&amp;"º pav."))&amp;")"))))))</f>
        <v/>
      </c>
    </row>
    <row r="250">
      <c r="B250" s="4" t="n">
        <v>31528956</v>
      </c>
      <c r="C250" s="4" t="inlineStr">
        <is>
          <t>ESTRUTURA</t>
        </is>
      </c>
      <c r="D250" s="4" t="inlineStr">
        <is>
          <t>Forma</t>
        </is>
      </c>
      <c r="E250" s="4" t="inlineStr">
        <is>
          <t>2º PAV - GARAGEM</t>
        </is>
      </c>
      <c r="F250" s="118" t="n">
        <v>46259</v>
      </c>
      <c r="G250" s="118" t="n">
        <v>46282</v>
      </c>
      <c r="H250" s="118" t="n">
        <v>46289</v>
      </c>
      <c r="I250" s="4" t="n">
        <v>0</v>
      </c>
      <c r="J250" s="4" t="n">
        <v>100</v>
      </c>
      <c r="K250" s="4" t="n">
        <v>60.6</v>
      </c>
      <c r="M250" s="2">
        <f>IF(C250="","",IFERROR(INDEX($S$5:$S$304,MATCH(C250,$R$5:$R$304,0))&amp;"","?"))</f>
        <v/>
      </c>
      <c r="N250" s="2">
        <f>IF(E250="","",IF(LEFT(E250,7)="SUBSOLO",-1,IF(LEFT(E250,6)="TÉRREO",0,IFERROR(VALUE(LEFT(E250,FIND("º",SUBSTITUTE(E250,"°","º"))-1)),""))))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IF(R250="","",COUNTIF($C$5:$C$3004,R250))</f>
        <v/>
      </c>
      <c r="W250" s="2">
        <f>IF(R250="","",COUNTIFS($C$5:$C$3004,R250,$O$5:$O$3004,"CONCLUÍDA"))</f>
        <v/>
      </c>
      <c r="X250" s="2">
        <f>IF(R250="","",COUNTIFS($C$5:$C$3004,R250,$O$5:$O$3004,"EM ANDAMENTO"))</f>
        <v/>
      </c>
      <c r="Y250" s="2">
        <f>IF(R250="","",IF(COUNTIFS($C$5:$C$3004,R250,$O$5:$O$3004,"CONCLUÍDA",$N$5:$N$3004,"&gt;=-1")=0,"",_xlfn.MAXIFS($N$5:$N$3004,$C$5:$C$3004,R250,$O$5:$O$3004,"CONCLUÍDA")))</f>
        <v/>
      </c>
      <c r="Z250" s="2">
        <f>IF(R250="","",IF(COUNTIFS($C$5:$C$3004,R250,$O$5:$O$3004,"EM ANDAMENTO",$N$5:$N$3004,"&gt;=-1")=0,"",_xlfn.MAXIFS($N$5:$N$3004,$C$5:$C$3004,R250,$O$5:$O$3004,"EM ANDAMENTO")))</f>
        <v/>
      </c>
      <c r="AA250" s="2">
        <f>IF(OR(R250="",S250="",U250&lt;&gt;"SIM",V250=0),"",IF(W250+X250=0,"",T250&amp;": "&amp;IF(W250=V250,"concluído",IF(W250=0,"em execução"&amp;IF(Z250&lt;&gt;""," ("&amp;IF(Z250=-1,"subsolo",IF(Z250=0,"térreo",Z250&amp;"º pav."))&amp;")",""),IF(Y250&lt;&gt;"","até "&amp;IF(Y250=-1,"subsolo",IF(Y250=0,"térreo",Y250&amp;"º pav.")),W250&amp;" de "&amp;V250&amp;" concluídas")&amp;IF(Z250="","",IF(OR(Y250="",Z250&gt;Y250),", executando "&amp;IF(Z250=-1,"subsolo",IF(Z250=0,"térreo",Z250&amp;"º pav."))," (restam serviços no "&amp;IF(Z250=-1,"subsolo",IF(Z250=0,"térreo",Z250&amp;"º pav."))&amp;")"))))))</f>
        <v/>
      </c>
    </row>
    <row r="251">
      <c r="B251" s="4" t="n">
        <v>31528957</v>
      </c>
      <c r="C251" s="4" t="inlineStr">
        <is>
          <t>ESTRUTURA</t>
        </is>
      </c>
      <c r="D251" s="4" t="inlineStr">
        <is>
          <t>Armação</t>
        </is>
      </c>
      <c r="E251" s="4" t="inlineStr">
        <is>
          <t>2º PAV - GARAGEM</t>
        </is>
      </c>
      <c r="F251" s="118" t="n">
        <v>46283</v>
      </c>
      <c r="G251" s="118" t="n">
        <v>46290</v>
      </c>
      <c r="H251" s="118" t="n">
        <v>46289</v>
      </c>
      <c r="I251" s="4" t="n">
        <v>0</v>
      </c>
      <c r="J251" s="4" t="n">
        <v>83.333</v>
      </c>
      <c r="K251" s="4" t="n">
        <v>35.4</v>
      </c>
      <c r="M251" s="2">
        <f>IF(C251="","",IFERROR(INDEX($S$5:$S$304,MATCH(C251,$R$5:$R$304,0))&amp;"","?"))</f>
        <v/>
      </c>
      <c r="N251" s="2">
        <f>IF(E251="","",IF(LEFT(E251,7)="SUBSOLO",-1,IF(LEFT(E251,6)="TÉRREO",0,IFERROR(VALUE(LEFT(E251,FIND("º",SUBSTITUTE(E251,"°","º"))-1)),""))))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IF(R251="","",COUNTIF($C$5:$C$3004,R251))</f>
        <v/>
      </c>
      <c r="W251" s="2">
        <f>IF(R251="","",COUNTIFS($C$5:$C$3004,R251,$O$5:$O$3004,"CONCLUÍDA"))</f>
        <v/>
      </c>
      <c r="X251" s="2">
        <f>IF(R251="","",COUNTIFS($C$5:$C$3004,R251,$O$5:$O$3004,"EM ANDAMENTO"))</f>
        <v/>
      </c>
      <c r="Y251" s="2">
        <f>IF(R251="","",IF(COUNTIFS($C$5:$C$3004,R251,$O$5:$O$3004,"CONCLUÍDA",$N$5:$N$3004,"&gt;=-1")=0,"",_xlfn.MAXIFS($N$5:$N$3004,$C$5:$C$3004,R251,$O$5:$O$3004,"CONCLUÍDA")))</f>
        <v/>
      </c>
      <c r="Z251" s="2">
        <f>IF(R251="","",IF(COUNTIFS($C$5:$C$3004,R251,$O$5:$O$3004,"EM ANDAMENTO",$N$5:$N$3004,"&gt;=-1")=0,"",_xlfn.MAXIFS($N$5:$N$3004,$C$5:$C$3004,R251,$O$5:$O$3004,"EM ANDAMENTO")))</f>
        <v/>
      </c>
      <c r="AA251" s="2">
        <f>IF(OR(R251="",S251="",U251&lt;&gt;"SIM",V251=0),"",IF(W251+X251=0,"",T251&amp;": "&amp;IF(W251=V251,"concluído",IF(W251=0,"em execução"&amp;IF(Z251&lt;&gt;""," ("&amp;IF(Z251=-1,"subsolo",IF(Z251=0,"térreo",Z251&amp;"º pav."))&amp;")",""),IF(Y251&lt;&gt;"","até "&amp;IF(Y251=-1,"subsolo",IF(Y251=0,"térreo",Y251&amp;"º pav.")),W251&amp;" de "&amp;V251&amp;" concluídas")&amp;IF(Z251="","",IF(OR(Y251="",Z251&gt;Y251),", executando "&amp;IF(Z251=-1,"subsolo",IF(Z251=0,"térreo",Z251&amp;"º pav."))," (restam serviços no "&amp;IF(Z251=-1,"subsolo",IF(Z251=0,"térreo",Z251&amp;"º pav."))&amp;")"))))))</f>
        <v/>
      </c>
    </row>
    <row r="252">
      <c r="B252" s="4" t="n">
        <v>31528958</v>
      </c>
      <c r="C252" s="4" t="inlineStr">
        <is>
          <t>ESTRUTURA</t>
        </is>
      </c>
      <c r="D252" s="4" t="inlineStr">
        <is>
          <t>Concretagem</t>
        </is>
      </c>
      <c r="E252" s="4" t="inlineStr">
        <is>
          <t>2º PAV - GARAGEM</t>
        </is>
      </c>
      <c r="F252" s="118" t="n">
        <v>46293</v>
      </c>
      <c r="G252" s="118" t="n">
        <v>46293</v>
      </c>
      <c r="H252" s="118" t="n">
        <v>46289</v>
      </c>
      <c r="I252" s="4" t="n">
        <v>0</v>
      </c>
      <c r="J252" s="4" t="n">
        <v>0</v>
      </c>
      <c r="K252" s="4" t="n">
        <v>17.3</v>
      </c>
      <c r="M252" s="2">
        <f>IF(C252="","",IFERROR(INDEX($S$5:$S$304,MATCH(C252,$R$5:$R$304,0))&amp;"","?"))</f>
        <v/>
      </c>
      <c r="N252" s="2">
        <f>IF(E252="","",IF(LEFT(E252,7)="SUBSOLO",-1,IF(LEFT(E252,6)="TÉRREO",0,IFERROR(VALUE(LEFT(E252,FIND("º",SUBSTITUTE(E252,"°","º"))-1)),""))))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IF(R252="","",COUNTIF($C$5:$C$3004,R252))</f>
        <v/>
      </c>
      <c r="W252" s="2">
        <f>IF(R252="","",COUNTIFS($C$5:$C$3004,R252,$O$5:$O$3004,"CONCLUÍDA"))</f>
        <v/>
      </c>
      <c r="X252" s="2">
        <f>IF(R252="","",COUNTIFS($C$5:$C$3004,R252,$O$5:$O$3004,"EM ANDAMENTO"))</f>
        <v/>
      </c>
      <c r="Y252" s="2">
        <f>IF(R252="","",IF(COUNTIFS($C$5:$C$3004,R252,$O$5:$O$3004,"CONCLUÍDA",$N$5:$N$3004,"&gt;=-1")=0,"",_xlfn.MAXIFS($N$5:$N$3004,$C$5:$C$3004,R252,$O$5:$O$3004,"CONCLUÍDA")))</f>
        <v/>
      </c>
      <c r="Z252" s="2">
        <f>IF(R252="","",IF(COUNTIFS($C$5:$C$3004,R252,$O$5:$O$3004,"EM ANDAMENTO",$N$5:$N$3004,"&gt;=-1")=0,"",_xlfn.MAXIFS($N$5:$N$3004,$C$5:$C$3004,R252,$O$5:$O$3004,"EM ANDAMENTO")))</f>
        <v/>
      </c>
      <c r="AA252" s="2">
        <f>IF(OR(R252="",S252="",U252&lt;&gt;"SIM",V252=0),"",IF(W252+X252=0,"",T252&amp;": "&amp;IF(W252=V252,"concluído",IF(W252=0,"em execução"&amp;IF(Z252&lt;&gt;""," ("&amp;IF(Z252=-1,"subsolo",IF(Z252=0,"térreo",Z252&amp;"º pav."))&amp;")",""),IF(Y252&lt;&gt;"","até "&amp;IF(Y252=-1,"subsolo",IF(Y252=0,"térreo",Y252&amp;"º pav.")),W252&amp;" de "&amp;V252&amp;" concluídas")&amp;IF(Z252="","",IF(OR(Y252="",Z252&gt;Y252),", executando "&amp;IF(Z252=-1,"subsolo",IF(Z252=0,"térreo",Z252&amp;"º pav."))," (restam serviços no "&amp;IF(Z252=-1,"subsolo",IF(Z252=0,"térreo",Z252&amp;"º pav."))&amp;")"))))))</f>
        <v/>
      </c>
    </row>
    <row r="253">
      <c r="B253" s="4" t="n">
        <v>31528959</v>
      </c>
      <c r="C253" s="4" t="inlineStr">
        <is>
          <t>ESTRUTURA</t>
        </is>
      </c>
      <c r="D253" s="4" t="inlineStr">
        <is>
          <t>Polimento</t>
        </is>
      </c>
      <c r="E253" s="4" t="inlineStr">
        <is>
          <t>2º PAV - GARAGEM</t>
        </is>
      </c>
      <c r="F253" s="118" t="n">
        <v>46293</v>
      </c>
      <c r="G253" s="118" t="n">
        <v>46293</v>
      </c>
      <c r="H253" s="118" t="n">
        <v>46289</v>
      </c>
      <c r="I253" s="4" t="n">
        <v>0</v>
      </c>
      <c r="J253" s="4" t="n">
        <v>0</v>
      </c>
      <c r="K253" s="4" t="n">
        <v>17.3</v>
      </c>
      <c r="M253" s="2">
        <f>IF(C253="","",IFERROR(INDEX($S$5:$S$304,MATCH(C253,$R$5:$R$304,0))&amp;"","?"))</f>
        <v/>
      </c>
      <c r="N253" s="2">
        <f>IF(E253="","",IF(LEFT(E253,7)="SUBSOLO",-1,IF(LEFT(E253,6)="TÉRREO",0,IFERROR(VALUE(LEFT(E253,FIND("º",SUBSTITUTE(E253,"°","º"))-1)),""))))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IF(R253="","",COUNTIF($C$5:$C$3004,R253))</f>
        <v/>
      </c>
      <c r="W253" s="2">
        <f>IF(R253="","",COUNTIFS($C$5:$C$3004,R253,$O$5:$O$3004,"CONCLUÍDA"))</f>
        <v/>
      </c>
      <c r="X253" s="2">
        <f>IF(R253="","",COUNTIFS($C$5:$C$3004,R253,$O$5:$O$3004,"EM ANDAMENTO"))</f>
        <v/>
      </c>
      <c r="Y253" s="2">
        <f>IF(R253="","",IF(COUNTIFS($C$5:$C$3004,R253,$O$5:$O$3004,"CONCLUÍDA",$N$5:$N$3004,"&gt;=-1")=0,"",_xlfn.MAXIFS($N$5:$N$3004,$C$5:$C$3004,R253,$O$5:$O$3004,"CONCLUÍDA")))</f>
        <v/>
      </c>
      <c r="Z253" s="2">
        <f>IF(R253="","",IF(COUNTIFS($C$5:$C$3004,R253,$O$5:$O$3004,"EM ANDAMENTO",$N$5:$N$3004,"&gt;=-1")=0,"",_xlfn.MAXIFS($N$5:$N$3004,$C$5:$C$3004,R253,$O$5:$O$3004,"EM ANDAMENTO")))</f>
        <v/>
      </c>
      <c r="AA253" s="2">
        <f>IF(OR(R253="",S253="",U253&lt;&gt;"SIM",V253=0),"",IF(W253+X253=0,"",T253&amp;": "&amp;IF(W253=V253,"concluído",IF(W253=0,"em execução"&amp;IF(Z253&lt;&gt;""," ("&amp;IF(Z253=-1,"subsolo",IF(Z253=0,"térreo",Z253&amp;"º pav."))&amp;")",""),IF(Y253&lt;&gt;"","até "&amp;IF(Y253=-1,"subsolo",IF(Y253=0,"térreo",Y253&amp;"º pav.")),W253&amp;" de "&amp;V253&amp;" concluídas")&amp;IF(Z253="","",IF(OR(Y253="",Z253&gt;Y253),", executando "&amp;IF(Z253=-1,"subsolo",IF(Z253=0,"térreo",Z253&amp;"º pav."))," (restam serviços no "&amp;IF(Z253=-1,"subsolo",IF(Z253=0,"térreo",Z253&amp;"º pav."))&amp;")"))))))</f>
        <v/>
      </c>
    </row>
    <row r="254">
      <c r="B254" s="4" t="n">
        <v>30608451</v>
      </c>
      <c r="C254" s="4" t="inlineStr">
        <is>
          <t>TERRAPLENAGEM (FASE 2)</t>
        </is>
      </c>
      <c r="D254" s="4" t="inlineStr">
        <is>
          <t>-</t>
        </is>
      </c>
      <c r="E254" s="4" t="inlineStr">
        <is>
          <t>SERVIÇOS INICIAIS</t>
        </is>
      </c>
      <c r="F254" s="118" t="n">
        <v>46273</v>
      </c>
      <c r="G254" s="118" t="n">
        <v>46311</v>
      </c>
      <c r="H254" s="118" t="n">
        <v>46289</v>
      </c>
      <c r="I254" s="4" t="n">
        <v>0</v>
      </c>
      <c r="J254" s="4" t="n">
        <v>46.429</v>
      </c>
      <c r="K254" s="4" t="n">
        <v>0</v>
      </c>
      <c r="M254" s="2">
        <f>IF(C254="","",IFERROR(INDEX($S$5:$S$304,MATCH(C254,$R$5:$R$304,0))&amp;"","?"))</f>
        <v/>
      </c>
      <c r="N254" s="2">
        <f>IF(E254="","",IF(LEFT(E254,7)="SUBSOLO",-1,IF(LEFT(E254,6)="TÉRREO",0,IFERROR(VALUE(LEFT(E254,FIND("º",SUBSTITUTE(E254,"°","º"))-1)),""))))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IF(R254="","",COUNTIF($C$5:$C$3004,R254))</f>
        <v/>
      </c>
      <c r="W254" s="2">
        <f>IF(R254="","",COUNTIFS($C$5:$C$3004,R254,$O$5:$O$3004,"CONCLUÍDA"))</f>
        <v/>
      </c>
      <c r="X254" s="2">
        <f>IF(R254="","",COUNTIFS($C$5:$C$3004,R254,$O$5:$O$3004,"EM ANDAMENTO"))</f>
        <v/>
      </c>
      <c r="Y254" s="2">
        <f>IF(R254="","",IF(COUNTIFS($C$5:$C$3004,R254,$O$5:$O$3004,"CONCLUÍDA",$N$5:$N$3004,"&gt;=-1")=0,"",_xlfn.MAXIFS($N$5:$N$3004,$C$5:$C$3004,R254,$O$5:$O$3004,"CONCLUÍDA")))</f>
        <v/>
      </c>
      <c r="Z254" s="2">
        <f>IF(R254="","",IF(COUNTIFS($C$5:$C$3004,R254,$O$5:$O$3004,"EM ANDAMENTO",$N$5:$N$3004,"&gt;=-1")=0,"",_xlfn.MAXIFS($N$5:$N$3004,$C$5:$C$3004,R254,$O$5:$O$3004,"EM ANDAMENTO")))</f>
        <v/>
      </c>
      <c r="AA254" s="2">
        <f>IF(OR(R254="",S254="",U254&lt;&gt;"SIM",V254=0),"",IF(W254+X254=0,"",T254&amp;": "&amp;IF(W254=V254,"concluído",IF(W254=0,"em execução"&amp;IF(Z254&lt;&gt;""," ("&amp;IF(Z254=-1,"subsolo",IF(Z254=0,"térreo",Z254&amp;"º pav."))&amp;")",""),IF(Y254&lt;&gt;"","até "&amp;IF(Y254=-1,"subsolo",IF(Y254=0,"térreo",Y254&amp;"º pav.")),W254&amp;" de "&amp;V254&amp;" concluídas")&amp;IF(Z254="","",IF(OR(Y254="",Z254&gt;Y254),", executando "&amp;IF(Z254=-1,"subsolo",IF(Z254=0,"térreo",Z254&amp;"º pav."))," (restam serviços no "&amp;IF(Z254=-1,"subsolo",IF(Z254=0,"térreo",Z254&amp;"º pav."))&amp;")"))))))</f>
        <v/>
      </c>
    </row>
    <row r="255">
      <c r="B255" s="4" t="n">
        <v>46237033</v>
      </c>
      <c r="C255" s="4" t="inlineStr">
        <is>
          <t>CINTAS FASE 1</t>
        </is>
      </c>
      <c r="D255" s="4" t="inlineStr">
        <is>
          <t>-</t>
        </is>
      </c>
      <c r="E255" s="4" t="inlineStr">
        <is>
          <t>SERVIÇOS INICIAIS</t>
        </is>
      </c>
      <c r="F255" s="118" t="n">
        <v>46286</v>
      </c>
      <c r="G255" s="118" t="n">
        <v>46296</v>
      </c>
      <c r="H255" s="118" t="n">
        <v>46289</v>
      </c>
      <c r="I255" s="4" t="n">
        <v>0</v>
      </c>
      <c r="J255" s="4" t="n">
        <v>44.44444444</v>
      </c>
      <c r="K255" s="4" t="n">
        <v>0</v>
      </c>
      <c r="M255" s="2">
        <f>IF(C255="","",IFERROR(INDEX($S$5:$S$304,MATCH(C255,$R$5:$R$304,0))&amp;"","?"))</f>
        <v/>
      </c>
      <c r="N255" s="2">
        <f>IF(E255="","",IF(LEFT(E255,7)="SUBSOLO",-1,IF(LEFT(E255,6)="TÉRREO",0,IFERROR(VALUE(LEFT(E255,FIND("º",SUBSTITUTE(E255,"°","º"))-1)),""))))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IF(R255="","",COUNTIF($C$5:$C$3004,R255))</f>
        <v/>
      </c>
      <c r="W255" s="2">
        <f>IF(R255="","",COUNTIFS($C$5:$C$3004,R255,$O$5:$O$3004,"CONCLUÍDA"))</f>
        <v/>
      </c>
      <c r="X255" s="2">
        <f>IF(R255="","",COUNTIFS($C$5:$C$3004,R255,$O$5:$O$3004,"EM ANDAMENTO"))</f>
        <v/>
      </c>
      <c r="Y255" s="2">
        <f>IF(R255="","",IF(COUNTIFS($C$5:$C$3004,R255,$O$5:$O$3004,"CONCLUÍDA",$N$5:$N$3004,"&gt;=-1")=0,"",_xlfn.MAXIFS($N$5:$N$3004,$C$5:$C$3004,R255,$O$5:$O$3004,"CONCLUÍDA")))</f>
        <v/>
      </c>
      <c r="Z255" s="2">
        <f>IF(R255="","",IF(COUNTIFS($C$5:$C$3004,R255,$O$5:$O$3004,"EM ANDAMENTO",$N$5:$N$3004,"&gt;=-1")=0,"",_xlfn.MAXIFS($N$5:$N$3004,$C$5:$C$3004,R255,$O$5:$O$3004,"EM ANDAMENTO")))</f>
        <v/>
      </c>
      <c r="AA255" s="2">
        <f>IF(OR(R255="",S255="",U255&lt;&gt;"SIM",V255=0),"",IF(W255+X255=0,"",T255&amp;": "&amp;IF(W255=V255,"concluído",IF(W255=0,"em execução"&amp;IF(Z255&lt;&gt;""," ("&amp;IF(Z255=-1,"subsolo",IF(Z255=0,"térreo",Z255&amp;"º pav."))&amp;")",""),IF(Y255&lt;&gt;"","até "&amp;IF(Y255=-1,"subsolo",IF(Y255=0,"térreo",Y255&amp;"º pav.")),W255&amp;" de "&amp;V255&amp;" concluídas")&amp;IF(Z255="","",IF(OR(Y255="",Z255&gt;Y255),", executando "&amp;IF(Z255=-1,"subsolo",IF(Z255=0,"térreo",Z255&amp;"º pav."))," (restam serviços no "&amp;IF(Z255=-1,"subsolo",IF(Z255=0,"térreo",Z255&amp;"º pav."))&amp;")"))))))</f>
        <v/>
      </c>
    </row>
    <row r="256">
      <c r="B256" s="4" t="n">
        <v>30974180</v>
      </c>
      <c r="C256" s="4" t="inlineStr">
        <is>
          <t>CINTAS FASE 1</t>
        </is>
      </c>
      <c r="D256" s="4" t="inlineStr">
        <is>
          <t>Escavação - C 41 / 45 /47 / 49 /52 / VA1 / C3</t>
        </is>
      </c>
      <c r="E256" s="4" t="inlineStr">
        <is>
          <t>SERVIÇOS INICIAIS</t>
        </is>
      </c>
      <c r="F256" s="118" t="n">
        <v>46286</v>
      </c>
      <c r="G256" s="118" t="n">
        <v>46289</v>
      </c>
      <c r="H256" s="118" t="n">
        <v>46289</v>
      </c>
      <c r="I256" s="4" t="n">
        <v>0</v>
      </c>
      <c r="J256" s="4" t="n">
        <v>100</v>
      </c>
      <c r="K256" s="4" t="n">
        <v>0</v>
      </c>
      <c r="M256" s="2">
        <f>IF(C256="","",IFERROR(INDEX($S$5:$S$304,MATCH(C256,$R$5:$R$304,0))&amp;"","?"))</f>
        <v/>
      </c>
      <c r="N256" s="2">
        <f>IF(E256="","",IF(LEFT(E256,7)="SUBSOLO",-1,IF(LEFT(E256,6)="TÉRREO",0,IFERROR(VALUE(LEFT(E256,FIND("º",SUBSTITUTE(E256,"°","º"))-1)),""))))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IF(R256="","",COUNTIF($C$5:$C$3004,R256))</f>
        <v/>
      </c>
      <c r="W256" s="2">
        <f>IF(R256="","",COUNTIFS($C$5:$C$3004,R256,$O$5:$O$3004,"CONCLUÍDA"))</f>
        <v/>
      </c>
      <c r="X256" s="2">
        <f>IF(R256="","",COUNTIFS($C$5:$C$3004,R256,$O$5:$O$3004,"EM ANDAMENTO"))</f>
        <v/>
      </c>
      <c r="Y256" s="2">
        <f>IF(R256="","",IF(COUNTIFS($C$5:$C$3004,R256,$O$5:$O$3004,"CONCLUÍDA",$N$5:$N$3004,"&gt;=-1")=0,"",_xlfn.MAXIFS($N$5:$N$3004,$C$5:$C$3004,R256,$O$5:$O$3004,"CONCLUÍDA")))</f>
        <v/>
      </c>
      <c r="Z256" s="2">
        <f>IF(R256="","",IF(COUNTIFS($C$5:$C$3004,R256,$O$5:$O$3004,"EM ANDAMENTO",$N$5:$N$3004,"&gt;=-1")=0,"",_xlfn.MAXIFS($N$5:$N$3004,$C$5:$C$3004,R256,$O$5:$O$3004,"EM ANDAMENTO")))</f>
        <v/>
      </c>
      <c r="AA256" s="2">
        <f>IF(OR(R256="",S256="",U256&lt;&gt;"SIM",V256=0),"",IF(W256+X256=0,"",T256&amp;": "&amp;IF(W256=V256,"concluído",IF(W256=0,"em execução"&amp;IF(Z256&lt;&gt;""," ("&amp;IF(Z256=-1,"subsolo",IF(Z256=0,"térreo",Z256&amp;"º pav."))&amp;")",""),IF(Y256&lt;&gt;"","até "&amp;IF(Y256=-1,"subsolo",IF(Y256=0,"térreo",Y256&amp;"º pav.")),W256&amp;" de "&amp;V256&amp;" concluídas")&amp;IF(Z256="","",IF(OR(Y256="",Z256&gt;Y256),", executando "&amp;IF(Z256=-1,"subsolo",IF(Z256=0,"térreo",Z256&amp;"º pav."))," (restam serviços no "&amp;IF(Z256=-1,"subsolo",IF(Z256=0,"térreo",Z256&amp;"º pav."))&amp;")"))))))</f>
        <v/>
      </c>
    </row>
    <row r="257">
      <c r="B257" s="4" t="n">
        <v>30974181</v>
      </c>
      <c r="C257" s="4" t="inlineStr">
        <is>
          <t>CINTAS FASE 1</t>
        </is>
      </c>
      <c r="D257" s="4" t="inlineStr">
        <is>
          <t>Forma e Armação - C 41 / 45 /47 / 49 /52 / VA1 / C3</t>
        </is>
      </c>
      <c r="E257" s="4" t="inlineStr">
        <is>
          <t>SERVIÇOS INICIAIS</t>
        </is>
      </c>
      <c r="F257" s="118" t="n">
        <v>46290</v>
      </c>
      <c r="G257" s="118" t="n">
        <v>46295</v>
      </c>
      <c r="H257" s="118" t="n">
        <v>46289</v>
      </c>
      <c r="I257" s="4" t="n">
        <v>0</v>
      </c>
      <c r="J257" s="4" t="n">
        <v>0</v>
      </c>
      <c r="K257" s="4" t="n">
        <v>0</v>
      </c>
      <c r="M257" s="2">
        <f>IF(C257="","",IFERROR(INDEX($S$5:$S$304,MATCH(C257,$R$5:$R$304,0))&amp;"","?"))</f>
        <v/>
      </c>
      <c r="N257" s="2">
        <f>IF(E257="","",IF(LEFT(E257,7)="SUBSOLO",-1,IF(LEFT(E257,6)="TÉRREO",0,IFERROR(VALUE(LEFT(E257,FIND("º",SUBSTITUTE(E257,"°","º"))-1)),""))))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IF(R257="","",COUNTIF($C$5:$C$3004,R257))</f>
        <v/>
      </c>
      <c r="W257" s="2">
        <f>IF(R257="","",COUNTIFS($C$5:$C$3004,R257,$O$5:$O$3004,"CONCLUÍDA"))</f>
        <v/>
      </c>
      <c r="X257" s="2">
        <f>IF(R257="","",COUNTIFS($C$5:$C$3004,R257,$O$5:$O$3004,"EM ANDAMENTO"))</f>
        <v/>
      </c>
      <c r="Y257" s="2">
        <f>IF(R257="","",IF(COUNTIFS($C$5:$C$3004,R257,$O$5:$O$3004,"CONCLUÍDA",$N$5:$N$3004,"&gt;=-1")=0,"",_xlfn.MAXIFS($N$5:$N$3004,$C$5:$C$3004,R257,$O$5:$O$3004,"CONCLUÍDA")))</f>
        <v/>
      </c>
      <c r="Z257" s="2">
        <f>IF(R257="","",IF(COUNTIFS($C$5:$C$3004,R257,$O$5:$O$3004,"EM ANDAMENTO",$N$5:$N$3004,"&gt;=-1")=0,"",_xlfn.MAXIFS($N$5:$N$3004,$C$5:$C$3004,R257,$O$5:$O$3004,"EM ANDAMENTO")))</f>
        <v/>
      </c>
      <c r="AA257" s="2">
        <f>IF(OR(R257="",S257="",U257&lt;&gt;"SIM",V257=0),"",IF(W257+X257=0,"",T257&amp;": "&amp;IF(W257=V257,"concluído",IF(W257=0,"em execução"&amp;IF(Z257&lt;&gt;""," ("&amp;IF(Z257=-1,"subsolo",IF(Z257=0,"térreo",Z257&amp;"º pav."))&amp;")",""),IF(Y257&lt;&gt;"","até "&amp;IF(Y257=-1,"subsolo",IF(Y257=0,"térreo",Y257&amp;"º pav.")),W257&amp;" de "&amp;V257&amp;" concluídas")&amp;IF(Z257="","",IF(OR(Y257="",Z257&gt;Y257),", executando "&amp;IF(Z257=-1,"subsolo",IF(Z257=0,"térreo",Z257&amp;"º pav."))," (restam serviços no "&amp;IF(Z257=-1,"subsolo",IF(Z257=0,"térreo",Z257&amp;"º pav."))&amp;")"))))))</f>
        <v/>
      </c>
    </row>
    <row r="258">
      <c r="B258" s="4" t="n">
        <v>30974182</v>
      </c>
      <c r="C258" s="4" t="inlineStr">
        <is>
          <t>CINTAS FASE 1</t>
        </is>
      </c>
      <c r="D258" s="4" t="inlineStr">
        <is>
          <t>Concreto - C 41 / 45 /47 / 49 /52 / VA1 / C3</t>
        </is>
      </c>
      <c r="E258" s="4" t="inlineStr">
        <is>
          <t>SERVIÇOS INICIAIS</t>
        </is>
      </c>
      <c r="F258" s="118" t="n">
        <v>46296</v>
      </c>
      <c r="G258" s="118" t="n">
        <v>46296</v>
      </c>
      <c r="H258" s="118" t="n">
        <v>46289</v>
      </c>
      <c r="I258" s="4" t="n">
        <v>0</v>
      </c>
      <c r="J258" s="4" t="n">
        <v>0</v>
      </c>
      <c r="K258" s="4" t="n">
        <v>0</v>
      </c>
      <c r="M258" s="2">
        <f>IF(C258="","",IFERROR(INDEX($S$5:$S$304,MATCH(C258,$R$5:$R$304,0))&amp;"","?"))</f>
        <v/>
      </c>
      <c r="N258" s="2">
        <f>IF(E258="","",IF(LEFT(E258,7)="SUBSOLO",-1,IF(LEFT(E258,6)="TÉRREO",0,IFERROR(VALUE(LEFT(E258,FIND("º",SUBSTITUTE(E258,"°","º"))-1)),""))))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IF(R258="","",COUNTIF($C$5:$C$3004,R258))</f>
        <v/>
      </c>
      <c r="W258" s="2">
        <f>IF(R258="","",COUNTIFS($C$5:$C$3004,R258,$O$5:$O$3004,"CONCLUÍDA"))</f>
        <v/>
      </c>
      <c r="X258" s="2">
        <f>IF(R258="","",COUNTIFS($C$5:$C$3004,R258,$O$5:$O$3004,"EM ANDAMENTO"))</f>
        <v/>
      </c>
      <c r="Y258" s="2">
        <f>IF(R258="","",IF(COUNTIFS($C$5:$C$3004,R258,$O$5:$O$3004,"CONCLUÍDA",$N$5:$N$3004,"&gt;=-1")=0,"",_xlfn.MAXIFS($N$5:$N$3004,$C$5:$C$3004,R258,$O$5:$O$3004,"CONCLUÍDA")))</f>
        <v/>
      </c>
      <c r="Z258" s="2">
        <f>IF(R258="","",IF(COUNTIFS($C$5:$C$3004,R258,$O$5:$O$3004,"EM ANDAMENTO",$N$5:$N$3004,"&gt;=-1")=0,"",_xlfn.MAXIFS($N$5:$N$3004,$C$5:$C$3004,R258,$O$5:$O$3004,"EM ANDAMENTO")))</f>
        <v/>
      </c>
      <c r="AA258" s="2">
        <f>IF(OR(R258="",S258="",U258&lt;&gt;"SIM",V258=0),"",IF(W258+X258=0,"",T258&amp;": "&amp;IF(W258=V258,"concluído",IF(W258=0,"em execução"&amp;IF(Z258&lt;&gt;""," ("&amp;IF(Z258=-1,"subsolo",IF(Z258=0,"térreo",Z258&amp;"º pav."))&amp;")",""),IF(Y258&lt;&gt;"","até "&amp;IF(Y258=-1,"subsolo",IF(Y258=0,"térreo",Y258&amp;"º pav.")),W258&amp;" de "&amp;V258&amp;" concluídas")&amp;IF(Z258="","",IF(OR(Y258="",Z258&gt;Y258),", executando "&amp;IF(Z258=-1,"subsolo",IF(Z258=0,"térreo",Z258&amp;"º pav."))," (restam serviços no "&amp;IF(Z258=-1,"subsolo",IF(Z258=0,"térreo",Z258&amp;"º pav."))&amp;")"))))))</f>
        <v/>
      </c>
    </row>
    <row r="259">
      <c r="B259" s="4" t="n">
        <v>29940607</v>
      </c>
      <c r="C259" s="4" t="inlineStr">
        <is>
          <t>ESTRUTURA</t>
        </is>
      </c>
      <c r="D259" s="4" t="inlineStr">
        <is>
          <t>-</t>
        </is>
      </c>
      <c r="E259" s="4" t="inlineStr">
        <is>
          <t>3º PAV - GARAGEM</t>
        </is>
      </c>
      <c r="F259" s="118" t="n">
        <v>46294</v>
      </c>
      <c r="G259" s="118" t="n">
        <v>46321</v>
      </c>
      <c r="H259" s="118" t="n">
        <v>46289</v>
      </c>
      <c r="I259" s="4" t="n">
        <v>0</v>
      </c>
      <c r="J259" s="4" t="n">
        <v>0</v>
      </c>
      <c r="K259" s="4" t="n">
        <v>0</v>
      </c>
      <c r="M259" s="2">
        <f>IF(C259="","",IFERROR(INDEX($S$5:$S$304,MATCH(C259,$R$5:$R$304,0))&amp;"","?"))</f>
        <v/>
      </c>
      <c r="N259" s="2">
        <f>IF(E259="","",IF(LEFT(E259,7)="SUBSOLO",-1,IF(LEFT(E259,6)="TÉRREO",0,IFERROR(VALUE(LEFT(E259,FIND("º",SUBSTITUTE(E259,"°","º"))-1)),""))))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IF(R259="","",COUNTIF($C$5:$C$3004,R259))</f>
        <v/>
      </c>
      <c r="W259" s="2">
        <f>IF(R259="","",COUNTIFS($C$5:$C$3004,R259,$O$5:$O$3004,"CONCLUÍDA"))</f>
        <v/>
      </c>
      <c r="X259" s="2">
        <f>IF(R259="","",COUNTIFS($C$5:$C$3004,R259,$O$5:$O$3004,"EM ANDAMENTO"))</f>
        <v/>
      </c>
      <c r="Y259" s="2">
        <f>IF(R259="","",IF(COUNTIFS($C$5:$C$3004,R259,$O$5:$O$3004,"CONCLUÍDA",$N$5:$N$3004,"&gt;=-1")=0,"",_xlfn.MAXIFS($N$5:$N$3004,$C$5:$C$3004,R259,$O$5:$O$3004,"CONCLUÍDA")))</f>
        <v/>
      </c>
      <c r="Z259" s="2">
        <f>IF(R259="","",IF(COUNTIFS($C$5:$C$3004,R259,$O$5:$O$3004,"EM ANDAMENTO",$N$5:$N$3004,"&gt;=-1")=0,"",_xlfn.MAXIFS($N$5:$N$3004,$C$5:$C$3004,R259,$O$5:$O$3004,"EM ANDAMENTO")))</f>
        <v/>
      </c>
      <c r="AA259" s="2">
        <f>IF(OR(R259="",S259="",U259&lt;&gt;"SIM",V259=0),"",IF(W259+X259=0,"",T259&amp;": "&amp;IF(W259=V259,"concluído",IF(W259=0,"em execução"&amp;IF(Z259&lt;&gt;""," ("&amp;IF(Z259=-1,"subsolo",IF(Z259=0,"térreo",Z259&amp;"º pav."))&amp;")",""),IF(Y259&lt;&gt;"","até "&amp;IF(Y259=-1,"subsolo",IF(Y259=0,"térreo",Y259&amp;"º pav.")),W259&amp;" de "&amp;V259&amp;" concluídas")&amp;IF(Z259="","",IF(OR(Y259="",Z259&gt;Y259),", executando "&amp;IF(Z259=-1,"subsolo",IF(Z259=0,"térreo",Z259&amp;"º pav."))," (restam serviços no "&amp;IF(Z259=-1,"subsolo",IF(Z259=0,"térreo",Z259&amp;"º pav."))&amp;")"))))))</f>
        <v/>
      </c>
    </row>
    <row r="260">
      <c r="B260" s="4" t="n">
        <v>31528960</v>
      </c>
      <c r="C260" s="4" t="inlineStr">
        <is>
          <t>ESTRUTURA</t>
        </is>
      </c>
      <c r="D260" s="4" t="inlineStr">
        <is>
          <t>Forma</t>
        </is>
      </c>
      <c r="E260" s="4" t="inlineStr">
        <is>
          <t>3º PAV - GARAGEM</t>
        </is>
      </c>
      <c r="F260" s="118" t="n">
        <v>46294</v>
      </c>
      <c r="G260" s="118" t="n">
        <v>46310</v>
      </c>
      <c r="H260" s="118" t="n">
        <v>46289</v>
      </c>
      <c r="I260" s="4" t="n">
        <v>0</v>
      </c>
      <c r="J260" s="4" t="n">
        <v>0</v>
      </c>
      <c r="K260" s="4" t="n">
        <v>0</v>
      </c>
      <c r="M260" s="2">
        <f>IF(C260="","",IFERROR(INDEX($S$5:$S$304,MATCH(C260,$R$5:$R$304,0))&amp;"","?"))</f>
        <v/>
      </c>
      <c r="N260" s="2">
        <f>IF(E260="","",IF(LEFT(E260,7)="SUBSOLO",-1,IF(LEFT(E260,6)="TÉRREO",0,IFERROR(VALUE(LEFT(E260,FIND("º",SUBSTITUTE(E260,"°","º"))-1)),""))))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IF(R260="","",COUNTIF($C$5:$C$3004,R260))</f>
        <v/>
      </c>
      <c r="W260" s="2">
        <f>IF(R260="","",COUNTIFS($C$5:$C$3004,R260,$O$5:$O$3004,"CONCLUÍDA"))</f>
        <v/>
      </c>
      <c r="X260" s="2">
        <f>IF(R260="","",COUNTIFS($C$5:$C$3004,R260,$O$5:$O$3004,"EM ANDAMENTO"))</f>
        <v/>
      </c>
      <c r="Y260" s="2">
        <f>IF(R260="","",IF(COUNTIFS($C$5:$C$3004,R260,$O$5:$O$3004,"CONCLUÍDA",$N$5:$N$3004,"&gt;=-1")=0,"",_xlfn.MAXIFS($N$5:$N$3004,$C$5:$C$3004,R260,$O$5:$O$3004,"CONCLUÍDA")))</f>
        <v/>
      </c>
      <c r="Z260" s="2">
        <f>IF(R260="","",IF(COUNTIFS($C$5:$C$3004,R260,$O$5:$O$3004,"EM ANDAMENTO",$N$5:$N$3004,"&gt;=-1")=0,"",_xlfn.MAXIFS($N$5:$N$3004,$C$5:$C$3004,R260,$O$5:$O$3004,"EM ANDAMENTO")))</f>
        <v/>
      </c>
      <c r="AA260" s="2">
        <f>IF(OR(R260="",S260="",U260&lt;&gt;"SIM",V260=0),"",IF(W260+X260=0,"",T260&amp;": "&amp;IF(W260=V260,"concluído",IF(W260=0,"em execução"&amp;IF(Z260&lt;&gt;""," ("&amp;IF(Z260=-1,"subsolo",IF(Z260=0,"térreo",Z260&amp;"º pav."))&amp;")",""),IF(Y260&lt;&gt;"","até "&amp;IF(Y260=-1,"subsolo",IF(Y260=0,"térreo",Y260&amp;"º pav.")),W260&amp;" de "&amp;V260&amp;" concluídas")&amp;IF(Z260="","",IF(OR(Y260="",Z260&gt;Y260),", executando "&amp;IF(Z260=-1,"subsolo",IF(Z260=0,"térreo",Z260&amp;"º pav."))," (restam serviços no "&amp;IF(Z260=-1,"subsolo",IF(Z260=0,"térreo",Z260&amp;"º pav."))&amp;")"))))))</f>
        <v/>
      </c>
    </row>
    <row r="261">
      <c r="B261" s="4" t="n">
        <v>31528961</v>
      </c>
      <c r="C261" s="4" t="inlineStr">
        <is>
          <t>ESTRUTURA</t>
        </is>
      </c>
      <c r="D261" s="4" t="inlineStr">
        <is>
          <t>Armação</t>
        </is>
      </c>
      <c r="E261" s="4" t="inlineStr">
        <is>
          <t>3º PAV - GARAGEM</t>
        </is>
      </c>
      <c r="F261" s="118" t="n">
        <v>46311</v>
      </c>
      <c r="G261" s="118" t="n">
        <v>46318</v>
      </c>
      <c r="H261" s="118" t="n">
        <v>46289</v>
      </c>
      <c r="I261" s="4" t="n">
        <v>0</v>
      </c>
      <c r="J261" s="4" t="n">
        <v>0</v>
      </c>
      <c r="K261" s="4" t="n">
        <v>0</v>
      </c>
      <c r="M261" s="2">
        <f>IF(C261="","",IFERROR(INDEX($S$5:$S$304,MATCH(C261,$R$5:$R$304,0))&amp;"","?"))</f>
        <v/>
      </c>
      <c r="N261" s="2">
        <f>IF(E261="","",IF(LEFT(E261,7)="SUBSOLO",-1,IF(LEFT(E261,6)="TÉRREO",0,IFERROR(VALUE(LEFT(E261,FIND("º",SUBSTITUTE(E261,"°","º"))-1)),""))))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IF(R261="","",COUNTIF($C$5:$C$3004,R261))</f>
        <v/>
      </c>
      <c r="W261" s="2">
        <f>IF(R261="","",COUNTIFS($C$5:$C$3004,R261,$O$5:$O$3004,"CONCLUÍDA"))</f>
        <v/>
      </c>
      <c r="X261" s="2">
        <f>IF(R261="","",COUNTIFS($C$5:$C$3004,R261,$O$5:$O$3004,"EM ANDAMENTO"))</f>
        <v/>
      </c>
      <c r="Y261" s="2">
        <f>IF(R261="","",IF(COUNTIFS($C$5:$C$3004,R261,$O$5:$O$3004,"CONCLUÍDA",$N$5:$N$3004,"&gt;=-1")=0,"",_xlfn.MAXIFS($N$5:$N$3004,$C$5:$C$3004,R261,$O$5:$O$3004,"CONCLUÍDA")))</f>
        <v/>
      </c>
      <c r="Z261" s="2">
        <f>IF(R261="","",IF(COUNTIFS($C$5:$C$3004,R261,$O$5:$O$3004,"EM ANDAMENTO",$N$5:$N$3004,"&gt;=-1")=0,"",_xlfn.MAXIFS($N$5:$N$3004,$C$5:$C$3004,R261,$O$5:$O$3004,"EM ANDAMENTO")))</f>
        <v/>
      </c>
      <c r="AA261" s="2">
        <f>IF(OR(R261="",S261="",U261&lt;&gt;"SIM",V261=0),"",IF(W261+X261=0,"",T261&amp;": "&amp;IF(W261=V261,"concluído",IF(W261=0,"em execução"&amp;IF(Z261&lt;&gt;""," ("&amp;IF(Z261=-1,"subsolo",IF(Z261=0,"térreo",Z261&amp;"º pav."))&amp;")",""),IF(Y261&lt;&gt;"","até "&amp;IF(Y261=-1,"subsolo",IF(Y261=0,"térreo",Y261&amp;"º pav.")),W261&amp;" de "&amp;V261&amp;" concluídas")&amp;IF(Z261="","",IF(OR(Y261="",Z261&gt;Y261),", executando "&amp;IF(Z261=-1,"subsolo",IF(Z261=0,"térreo",Z261&amp;"º pav."))," (restam serviços no "&amp;IF(Z261=-1,"subsolo",IF(Z261=0,"térreo",Z261&amp;"º pav."))&amp;")"))))))</f>
        <v/>
      </c>
    </row>
    <row r="262">
      <c r="B262" s="4" t="n">
        <v>31528962</v>
      </c>
      <c r="C262" s="4" t="inlineStr">
        <is>
          <t>ESTRUTURA</t>
        </is>
      </c>
      <c r="D262" s="4" t="inlineStr">
        <is>
          <t>Concretagem</t>
        </is>
      </c>
      <c r="E262" s="4" t="inlineStr">
        <is>
          <t>3º PAV - GARAGEM</t>
        </is>
      </c>
      <c r="F262" s="118" t="n">
        <v>46321</v>
      </c>
      <c r="G262" s="118" t="n">
        <v>46321</v>
      </c>
      <c r="H262" s="118" t="n">
        <v>46289</v>
      </c>
      <c r="I262" s="4" t="n">
        <v>0</v>
      </c>
      <c r="J262" s="4" t="n">
        <v>0</v>
      </c>
      <c r="K262" s="4" t="n">
        <v>0</v>
      </c>
      <c r="M262" s="2">
        <f>IF(C262="","",IFERROR(INDEX($S$5:$S$304,MATCH(C262,$R$5:$R$304,0))&amp;"","?"))</f>
        <v/>
      </c>
      <c r="N262" s="2">
        <f>IF(E262="","",IF(LEFT(E262,7)="SUBSOLO",-1,IF(LEFT(E262,6)="TÉRREO",0,IFERROR(VALUE(LEFT(E262,FIND("º",SUBSTITUTE(E262,"°","º"))-1)),""))))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IF(R262="","",COUNTIF($C$5:$C$3004,R262))</f>
        <v/>
      </c>
      <c r="W262" s="2">
        <f>IF(R262="","",COUNTIFS($C$5:$C$3004,R262,$O$5:$O$3004,"CONCLUÍDA"))</f>
        <v/>
      </c>
      <c r="X262" s="2">
        <f>IF(R262="","",COUNTIFS($C$5:$C$3004,R262,$O$5:$O$3004,"EM ANDAMENTO"))</f>
        <v/>
      </c>
      <c r="Y262" s="2">
        <f>IF(R262="","",IF(COUNTIFS($C$5:$C$3004,R262,$O$5:$O$3004,"CONCLUÍDA",$N$5:$N$3004,"&gt;=-1")=0,"",_xlfn.MAXIFS($N$5:$N$3004,$C$5:$C$3004,R262,$O$5:$O$3004,"CONCLUÍDA")))</f>
        <v/>
      </c>
      <c r="Z262" s="2">
        <f>IF(R262="","",IF(COUNTIFS($C$5:$C$3004,R262,$O$5:$O$3004,"EM ANDAMENTO",$N$5:$N$3004,"&gt;=-1")=0,"",_xlfn.MAXIFS($N$5:$N$3004,$C$5:$C$3004,R262,$O$5:$O$3004,"EM ANDAMENTO")))</f>
        <v/>
      </c>
      <c r="AA262" s="2">
        <f>IF(OR(R262="",S262="",U262&lt;&gt;"SIM",V262=0),"",IF(W262+X262=0,"",T262&amp;": "&amp;IF(W262=V262,"concluído",IF(W262=0,"em execução"&amp;IF(Z262&lt;&gt;""," ("&amp;IF(Z262=-1,"subsolo",IF(Z262=0,"térreo",Z262&amp;"º pav."))&amp;")",""),IF(Y262&lt;&gt;"","até "&amp;IF(Y262=-1,"subsolo",IF(Y262=0,"térreo",Y262&amp;"º pav.")),W262&amp;" de "&amp;V262&amp;" concluídas")&amp;IF(Z262="","",IF(OR(Y262="",Z262&gt;Y262),", executando "&amp;IF(Z262=-1,"subsolo",IF(Z262=0,"térreo",Z262&amp;"º pav."))," (restam serviços no "&amp;IF(Z262=-1,"subsolo",IF(Z262=0,"térreo",Z262&amp;"º pav."))&amp;")"))))))</f>
        <v/>
      </c>
    </row>
    <row r="263">
      <c r="B263" s="4" t="n">
        <v>31528963</v>
      </c>
      <c r="C263" s="4" t="inlineStr">
        <is>
          <t>ESTRUTURA</t>
        </is>
      </c>
      <c r="D263" s="4" t="inlineStr">
        <is>
          <t>Polimento</t>
        </is>
      </c>
      <c r="E263" s="4" t="inlineStr">
        <is>
          <t>3º PAV - GARAGEM</t>
        </is>
      </c>
      <c r="F263" s="118" t="n">
        <v>46321</v>
      </c>
      <c r="G263" s="118" t="n">
        <v>46321</v>
      </c>
      <c r="H263" s="118" t="n">
        <v>46289</v>
      </c>
      <c r="I263" s="4" t="n">
        <v>0</v>
      </c>
      <c r="J263" s="4" t="n">
        <v>0</v>
      </c>
      <c r="K263" s="4" t="n">
        <v>0</v>
      </c>
      <c r="M263" s="2">
        <f>IF(C263="","",IFERROR(INDEX($S$5:$S$304,MATCH(C263,$R$5:$R$304,0))&amp;"","?"))</f>
        <v/>
      </c>
      <c r="N263" s="2">
        <f>IF(E263="","",IF(LEFT(E263,7)="SUBSOLO",-1,IF(LEFT(E263,6)="TÉRREO",0,IFERROR(VALUE(LEFT(E263,FIND("º",SUBSTITUTE(E263,"°","º"))-1)),""))))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IF(R263="","",COUNTIF($C$5:$C$3004,R263))</f>
        <v/>
      </c>
      <c r="W263" s="2">
        <f>IF(R263="","",COUNTIFS($C$5:$C$3004,R263,$O$5:$O$3004,"CONCLUÍDA"))</f>
        <v/>
      </c>
      <c r="X263" s="2">
        <f>IF(R263="","",COUNTIFS($C$5:$C$3004,R263,$O$5:$O$3004,"EM ANDAMENTO"))</f>
        <v/>
      </c>
      <c r="Y263" s="2">
        <f>IF(R263="","",IF(COUNTIFS($C$5:$C$3004,R263,$O$5:$O$3004,"CONCLUÍDA",$N$5:$N$3004,"&gt;=-1")=0,"",_xlfn.MAXIFS($N$5:$N$3004,$C$5:$C$3004,R263,$O$5:$O$3004,"CONCLUÍDA")))</f>
        <v/>
      </c>
      <c r="Z263" s="2">
        <f>IF(R263="","",IF(COUNTIFS($C$5:$C$3004,R263,$O$5:$O$3004,"EM ANDAMENTO",$N$5:$N$3004,"&gt;=-1")=0,"",_xlfn.MAXIFS($N$5:$N$3004,$C$5:$C$3004,R263,$O$5:$O$3004,"EM ANDAMENTO")))</f>
        <v/>
      </c>
      <c r="AA263" s="2">
        <f>IF(OR(R263="",S263="",U263&lt;&gt;"SIM",V263=0),"",IF(W263+X263=0,"",T263&amp;": "&amp;IF(W263=V263,"concluído",IF(W263=0,"em execução"&amp;IF(Z263&lt;&gt;""," ("&amp;IF(Z263=-1,"subsolo",IF(Z263=0,"térreo",Z263&amp;"º pav."))&amp;")",""),IF(Y263&lt;&gt;"","até "&amp;IF(Y263=-1,"subsolo",IF(Y263=0,"térreo",Y263&amp;"º pav.")),W263&amp;" de "&amp;V263&amp;" concluídas")&amp;IF(Z263="","",IF(OR(Y263="",Z263&gt;Y263),", executando "&amp;IF(Z263=-1,"subsolo",IF(Z263=0,"térreo",Z263&amp;"º pav."))," (restam serviços no "&amp;IF(Z263=-1,"subsolo",IF(Z263=0,"térreo",Z263&amp;"º pav."))&amp;")"))))))</f>
        <v/>
      </c>
    </row>
    <row r="264">
      <c r="B264" s="4" t="n">
        <v>46237049</v>
      </c>
      <c r="C264" s="4" t="inlineStr">
        <is>
          <t>CINTAS FASE 2</t>
        </is>
      </c>
      <c r="D264" s="4" t="inlineStr">
        <is>
          <t>-</t>
        </is>
      </c>
      <c r="E264" s="4" t="inlineStr">
        <is>
          <t>SERVIÇOS INICIAIS</t>
        </is>
      </c>
      <c r="F264" s="118" t="n">
        <v>46297</v>
      </c>
      <c r="G264" s="118" t="n">
        <v>46311</v>
      </c>
      <c r="H264" s="118" t="n">
        <v>46289</v>
      </c>
      <c r="I264" s="4" t="n">
        <v>0</v>
      </c>
      <c r="J264" s="4" t="n">
        <v>0</v>
      </c>
      <c r="K264" s="4" t="n">
        <v>0</v>
      </c>
      <c r="M264" s="2">
        <f>IF(C264="","",IFERROR(INDEX($S$5:$S$304,MATCH(C264,$R$5:$R$304,0))&amp;"","?"))</f>
        <v/>
      </c>
      <c r="N264" s="2">
        <f>IF(E264="","",IF(LEFT(E264,7)="SUBSOLO",-1,IF(LEFT(E264,6)="TÉRREO",0,IFERROR(VALUE(LEFT(E264,FIND("º",SUBSTITUTE(E264,"°","º"))-1)),""))))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IF(R264="","",COUNTIF($C$5:$C$3004,R264))</f>
        <v/>
      </c>
      <c r="W264" s="2">
        <f>IF(R264="","",COUNTIFS($C$5:$C$3004,R264,$O$5:$O$3004,"CONCLUÍDA"))</f>
        <v/>
      </c>
      <c r="X264" s="2">
        <f>IF(R264="","",COUNTIFS($C$5:$C$3004,R264,$O$5:$O$3004,"EM ANDAMENTO"))</f>
        <v/>
      </c>
      <c r="Y264" s="2">
        <f>IF(R264="","",IF(COUNTIFS($C$5:$C$3004,R264,$O$5:$O$3004,"CONCLUÍDA",$N$5:$N$3004,"&gt;=-1")=0,"",_xlfn.MAXIFS($N$5:$N$3004,$C$5:$C$3004,R264,$O$5:$O$3004,"CONCLUÍDA")))</f>
        <v/>
      </c>
      <c r="Z264" s="2">
        <f>IF(R264="","",IF(COUNTIFS($C$5:$C$3004,R264,$O$5:$O$3004,"EM ANDAMENTO",$N$5:$N$3004,"&gt;=-1")=0,"",_xlfn.MAXIFS($N$5:$N$3004,$C$5:$C$3004,R264,$O$5:$O$3004,"EM ANDAMENTO")))</f>
        <v/>
      </c>
      <c r="AA264" s="2">
        <f>IF(OR(R264="",S264="",U264&lt;&gt;"SIM",V264=0),"",IF(W264+X264=0,"",T264&amp;": "&amp;IF(W264=V264,"concluído",IF(W264=0,"em execução"&amp;IF(Z264&lt;&gt;""," ("&amp;IF(Z264=-1,"subsolo",IF(Z264=0,"térreo",Z264&amp;"º pav."))&amp;")",""),IF(Y264&lt;&gt;"","até "&amp;IF(Y264=-1,"subsolo",IF(Y264=0,"térreo",Y264&amp;"º pav.")),W264&amp;" de "&amp;V264&amp;" concluídas")&amp;IF(Z264="","",IF(OR(Y264="",Z264&gt;Y264),", executando "&amp;IF(Z264=-1,"subsolo",IF(Z264=0,"térreo",Z264&amp;"º pav."))," (restam serviços no "&amp;IF(Z264=-1,"subsolo",IF(Z264=0,"térreo",Z264&amp;"º pav."))&amp;")"))))))</f>
        <v/>
      </c>
    </row>
    <row r="265">
      <c r="B265" s="4" t="n">
        <v>30974183</v>
      </c>
      <c r="C265" s="4" t="inlineStr">
        <is>
          <t>CINTAS FASE 2</t>
        </is>
      </c>
      <c r="D265" s="4" t="inlineStr">
        <is>
          <t>Escavação - C 22 / 23 / 26 / 27 / 34 / 37 /43 / 46</t>
        </is>
      </c>
      <c r="E265" s="4" t="inlineStr">
        <is>
          <t>SERVIÇOS INICIAIS</t>
        </is>
      </c>
      <c r="F265" s="118" t="n">
        <v>46297</v>
      </c>
      <c r="G265" s="118" t="n">
        <v>46302</v>
      </c>
      <c r="H265" s="118" t="n">
        <v>46289</v>
      </c>
      <c r="I265" s="4" t="n">
        <v>0</v>
      </c>
      <c r="J265" s="4" t="n">
        <v>0</v>
      </c>
      <c r="K265" s="4" t="n">
        <v>0</v>
      </c>
      <c r="M265" s="2">
        <f>IF(C265="","",IFERROR(INDEX($S$5:$S$304,MATCH(C265,$R$5:$R$304,0))&amp;"","?"))</f>
        <v/>
      </c>
      <c r="N265" s="2">
        <f>IF(E265="","",IF(LEFT(E265,7)="SUBSOLO",-1,IF(LEFT(E265,6)="TÉRREO",0,IFERROR(VALUE(LEFT(E265,FIND("º",SUBSTITUTE(E265,"°","º"))-1)),""))))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IF(R265="","",COUNTIF($C$5:$C$3004,R265))</f>
        <v/>
      </c>
      <c r="W265" s="2">
        <f>IF(R265="","",COUNTIFS($C$5:$C$3004,R265,$O$5:$O$3004,"CONCLUÍDA"))</f>
        <v/>
      </c>
      <c r="X265" s="2">
        <f>IF(R265="","",COUNTIFS($C$5:$C$3004,R265,$O$5:$O$3004,"EM ANDAMENTO"))</f>
        <v/>
      </c>
      <c r="Y265" s="2">
        <f>IF(R265="","",IF(COUNTIFS($C$5:$C$3004,R265,$O$5:$O$3004,"CONCLUÍDA",$N$5:$N$3004,"&gt;=-1")=0,"",_xlfn.MAXIFS($N$5:$N$3004,$C$5:$C$3004,R265,$O$5:$O$3004,"CONCLUÍDA")))</f>
        <v/>
      </c>
      <c r="Z265" s="2">
        <f>IF(R265="","",IF(COUNTIFS($C$5:$C$3004,R265,$O$5:$O$3004,"EM ANDAMENTO",$N$5:$N$3004,"&gt;=-1")=0,"",_xlfn.MAXIFS($N$5:$N$3004,$C$5:$C$3004,R265,$O$5:$O$3004,"EM ANDAMENTO")))</f>
        <v/>
      </c>
      <c r="AA265" s="2">
        <f>IF(OR(R265="",S265="",U265&lt;&gt;"SIM",V265=0),"",IF(W265+X265=0,"",T265&amp;": "&amp;IF(W265=V265,"concluído",IF(W265=0,"em execução"&amp;IF(Z265&lt;&gt;""," ("&amp;IF(Z265=-1,"subsolo",IF(Z265=0,"térreo",Z265&amp;"º pav."))&amp;")",""),IF(Y265&lt;&gt;"","até "&amp;IF(Y265=-1,"subsolo",IF(Y265=0,"térreo",Y265&amp;"º pav.")),W265&amp;" de "&amp;V265&amp;" concluídas")&amp;IF(Z265="","",IF(OR(Y265="",Z265&gt;Y265),", executando "&amp;IF(Z265=-1,"subsolo",IF(Z265=0,"térreo",Z265&amp;"º pav."))," (restam serviços no "&amp;IF(Z265=-1,"subsolo",IF(Z265=0,"térreo",Z265&amp;"º pav."))&amp;")"))))))</f>
        <v/>
      </c>
    </row>
    <row r="266">
      <c r="B266" s="4" t="n">
        <v>30974184</v>
      </c>
      <c r="C266" s="4" t="inlineStr">
        <is>
          <t>CINTAS FASE 2</t>
        </is>
      </c>
      <c r="D266" s="4" t="inlineStr">
        <is>
          <t>Forma e Armação - C 22 / 23 / 26 / 27 / 34 / 37 /43 / 46</t>
        </is>
      </c>
      <c r="E266" s="4" t="inlineStr">
        <is>
          <t>SERVIÇOS INICIAIS</t>
        </is>
      </c>
      <c r="F266" s="118" t="n">
        <v>46303</v>
      </c>
      <c r="G266" s="118" t="n">
        <v>46309</v>
      </c>
      <c r="H266" s="118" t="n">
        <v>46289</v>
      </c>
      <c r="I266" s="4" t="n">
        <v>0</v>
      </c>
      <c r="J266" s="4" t="n">
        <v>0</v>
      </c>
      <c r="K266" s="4" t="n">
        <v>0</v>
      </c>
      <c r="M266" s="2">
        <f>IF(C266="","",IFERROR(INDEX($S$5:$S$304,MATCH(C266,$R$5:$R$304,0))&amp;"","?"))</f>
        <v/>
      </c>
      <c r="N266" s="2">
        <f>IF(E266="","",IF(LEFT(E266,7)="SUBSOLO",-1,IF(LEFT(E266,6)="TÉRREO",0,IFERROR(VALUE(LEFT(E266,FIND("º",SUBSTITUTE(E266,"°","º"))-1)),""))))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IF(R266="","",COUNTIF($C$5:$C$3004,R266))</f>
        <v/>
      </c>
      <c r="W266" s="2">
        <f>IF(R266="","",COUNTIFS($C$5:$C$3004,R266,$O$5:$O$3004,"CONCLUÍDA"))</f>
        <v/>
      </c>
      <c r="X266" s="2">
        <f>IF(R266="","",COUNTIFS($C$5:$C$3004,R266,$O$5:$O$3004,"EM ANDAMENTO"))</f>
        <v/>
      </c>
      <c r="Y266" s="2">
        <f>IF(R266="","",IF(COUNTIFS($C$5:$C$3004,R266,$O$5:$O$3004,"CONCLUÍDA",$N$5:$N$3004,"&gt;=-1")=0,"",_xlfn.MAXIFS($N$5:$N$3004,$C$5:$C$3004,R266,$O$5:$O$3004,"CONCLUÍDA")))</f>
        <v/>
      </c>
      <c r="Z266" s="2">
        <f>IF(R266="","",IF(COUNTIFS($C$5:$C$3004,R266,$O$5:$O$3004,"EM ANDAMENTO",$N$5:$N$3004,"&gt;=-1")=0,"",_xlfn.MAXIFS($N$5:$N$3004,$C$5:$C$3004,R266,$O$5:$O$3004,"EM ANDAMENTO")))</f>
        <v/>
      </c>
      <c r="AA266" s="2">
        <f>IF(OR(R266="",S266="",U266&lt;&gt;"SIM",V266=0),"",IF(W266+X266=0,"",T266&amp;": "&amp;IF(W266=V266,"concluído",IF(W266=0,"em execução"&amp;IF(Z266&lt;&gt;""," ("&amp;IF(Z266=-1,"subsolo",IF(Z266=0,"térreo",Z266&amp;"º pav."))&amp;")",""),IF(Y266&lt;&gt;"","até "&amp;IF(Y266=-1,"subsolo",IF(Y266=0,"térreo",Y266&amp;"º pav.")),W266&amp;" de "&amp;V266&amp;" concluídas")&amp;IF(Z266="","",IF(OR(Y266="",Z266&gt;Y266),", executando "&amp;IF(Z266=-1,"subsolo",IF(Z266=0,"térreo",Z266&amp;"º pav."))," (restam serviços no "&amp;IF(Z266=-1,"subsolo",IF(Z266=0,"térreo",Z266&amp;"º pav."))&amp;")"))))))</f>
        <v/>
      </c>
    </row>
    <row r="267">
      <c r="B267" s="4" t="n">
        <v>30974185</v>
      </c>
      <c r="C267" s="4" t="inlineStr">
        <is>
          <t>CINTAS FASE 2</t>
        </is>
      </c>
      <c r="D267" s="4" t="inlineStr">
        <is>
          <t>Concreto - C 22 / 23 / 26 / 27 / 34 / 37 /43 / 46</t>
        </is>
      </c>
      <c r="E267" s="4" t="inlineStr">
        <is>
          <t>SERVIÇOS INICIAIS</t>
        </is>
      </c>
      <c r="F267" s="118" t="n">
        <v>46310</v>
      </c>
      <c r="G267" s="118" t="n">
        <v>46311</v>
      </c>
      <c r="H267" s="118" t="n">
        <v>46289</v>
      </c>
      <c r="I267" s="4" t="n">
        <v>0</v>
      </c>
      <c r="J267" s="4" t="n">
        <v>0</v>
      </c>
      <c r="K267" s="4" t="n">
        <v>0</v>
      </c>
      <c r="M267" s="2">
        <f>IF(C267="","",IFERROR(INDEX($S$5:$S$304,MATCH(C267,$R$5:$R$304,0))&amp;"","?"))</f>
        <v/>
      </c>
      <c r="N267" s="2">
        <f>IF(E267="","",IF(LEFT(E267,7)="SUBSOLO",-1,IF(LEFT(E267,6)="TÉRREO",0,IFERROR(VALUE(LEFT(E267,FIND("º",SUBSTITUTE(E267,"°","º"))-1)),""))))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IF(R267="","",COUNTIF($C$5:$C$3004,R267))</f>
        <v/>
      </c>
      <c r="W267" s="2">
        <f>IF(R267="","",COUNTIFS($C$5:$C$3004,R267,$O$5:$O$3004,"CONCLUÍDA"))</f>
        <v/>
      </c>
      <c r="X267" s="2">
        <f>IF(R267="","",COUNTIFS($C$5:$C$3004,R267,$O$5:$O$3004,"EM ANDAMENTO"))</f>
        <v/>
      </c>
      <c r="Y267" s="2">
        <f>IF(R267="","",IF(COUNTIFS($C$5:$C$3004,R267,$O$5:$O$3004,"CONCLUÍDA",$N$5:$N$3004,"&gt;=-1")=0,"",_xlfn.MAXIFS($N$5:$N$3004,$C$5:$C$3004,R267,$O$5:$O$3004,"CONCLUÍDA")))</f>
        <v/>
      </c>
      <c r="Z267" s="2">
        <f>IF(R267="","",IF(COUNTIFS($C$5:$C$3004,R267,$O$5:$O$3004,"EM ANDAMENTO",$N$5:$N$3004,"&gt;=-1")=0,"",_xlfn.MAXIFS($N$5:$N$3004,$C$5:$C$3004,R267,$O$5:$O$3004,"EM ANDAMENTO")))</f>
        <v/>
      </c>
      <c r="AA267" s="2">
        <f>IF(OR(R267="",S267="",U267&lt;&gt;"SIM",V267=0),"",IF(W267+X267=0,"",T267&amp;": "&amp;IF(W267=V267,"concluído",IF(W267=0,"em execução"&amp;IF(Z267&lt;&gt;""," ("&amp;IF(Z267=-1,"subsolo",IF(Z267=0,"térreo",Z267&amp;"º pav."))&amp;")",""),IF(Y267&lt;&gt;"","até "&amp;IF(Y267=-1,"subsolo",IF(Y267=0,"térreo",Y267&amp;"º pav.")),W267&amp;" de "&amp;V267&amp;" concluídas")&amp;IF(Z267="","",IF(OR(Y267="",Z267&gt;Y267),", executando "&amp;IF(Z267=-1,"subsolo",IF(Z267=0,"térreo",Z267&amp;"º pav."))," (restam serviços no "&amp;IF(Z267=-1,"subsolo",IF(Z267=0,"térreo",Z267&amp;"º pav."))&amp;")"))))))</f>
        <v/>
      </c>
    </row>
    <row r="268">
      <c r="B268" s="4" t="n">
        <v>35594308</v>
      </c>
      <c r="C268" s="4" t="inlineStr">
        <is>
          <t>FECHAMENTO DE CORTINA - CONTENÇÕES</t>
        </is>
      </c>
      <c r="D268" s="4" t="inlineStr">
        <is>
          <t>-</t>
        </is>
      </c>
      <c r="E268" s="4" t="inlineStr">
        <is>
          <t>SERVIÇOS INICIAIS</t>
        </is>
      </c>
      <c r="F268" s="118" t="n">
        <v>46314</v>
      </c>
      <c r="G268" s="118" t="n">
        <v>46356</v>
      </c>
      <c r="H268" s="118" t="n">
        <v>46289</v>
      </c>
      <c r="I268" s="4" t="n">
        <v>0</v>
      </c>
      <c r="J268" s="4" t="n">
        <v>0</v>
      </c>
      <c r="K268" s="4" t="n">
        <v>0</v>
      </c>
      <c r="M268" s="2">
        <f>IF(C268="","",IFERROR(INDEX($S$5:$S$304,MATCH(C268,$R$5:$R$304,0))&amp;"","?"))</f>
        <v/>
      </c>
      <c r="N268" s="2">
        <f>IF(E268="","",IF(LEFT(E268,7)="SUBSOLO",-1,IF(LEFT(E268,6)="TÉRREO",0,IFERROR(VALUE(LEFT(E268,FIND("º",SUBSTITUTE(E268,"°","º"))-1)),""))))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IF(R268="","",COUNTIF($C$5:$C$3004,R268))</f>
        <v/>
      </c>
      <c r="W268" s="2">
        <f>IF(R268="","",COUNTIFS($C$5:$C$3004,R268,$O$5:$O$3004,"CONCLUÍDA"))</f>
        <v/>
      </c>
      <c r="X268" s="2">
        <f>IF(R268="","",COUNTIFS($C$5:$C$3004,R268,$O$5:$O$3004,"EM ANDAMENTO"))</f>
        <v/>
      </c>
      <c r="Y268" s="2">
        <f>IF(R268="","",IF(COUNTIFS($C$5:$C$3004,R268,$O$5:$O$3004,"CONCLUÍDA",$N$5:$N$3004,"&gt;=-1")=0,"",_xlfn.MAXIFS($N$5:$N$3004,$C$5:$C$3004,R268,$O$5:$O$3004,"CONCLUÍDA")))</f>
        <v/>
      </c>
      <c r="Z268" s="2">
        <f>IF(R268="","",IF(COUNTIFS($C$5:$C$3004,R268,$O$5:$O$3004,"EM ANDAMENTO",$N$5:$N$3004,"&gt;=-1")=0,"",_xlfn.MAXIFS($N$5:$N$3004,$C$5:$C$3004,R268,$O$5:$O$3004,"EM ANDAMENTO")))</f>
        <v/>
      </c>
      <c r="AA268" s="2">
        <f>IF(OR(R268="",S268="",U268&lt;&gt;"SIM",V268=0),"",IF(W268+X268=0,"",T268&amp;": "&amp;IF(W268=V268,"concluído",IF(W268=0,"em execução"&amp;IF(Z268&lt;&gt;""," ("&amp;IF(Z268=-1,"subsolo",IF(Z268=0,"térreo",Z268&amp;"º pav."))&amp;")",""),IF(Y268&lt;&gt;"","até "&amp;IF(Y268=-1,"subsolo",IF(Y268=0,"térreo",Y268&amp;"º pav.")),W268&amp;" de "&amp;V268&amp;" concluídas")&amp;IF(Z268="","",IF(OR(Y268="",Z268&gt;Y268),", executando "&amp;IF(Z268=-1,"subsolo",IF(Z268=0,"térreo",Z268&amp;"º pav."))," (restam serviços no "&amp;IF(Z268=-1,"subsolo",IF(Z268=0,"térreo",Z268&amp;"º pav."))&amp;")"))))))</f>
        <v/>
      </c>
    </row>
    <row r="269">
      <c r="B269" s="4" t="n">
        <v>46237078</v>
      </c>
      <c r="C269" s="4" t="inlineStr">
        <is>
          <t>CINTAS FASE 3</t>
        </is>
      </c>
      <c r="D269" s="4" t="inlineStr">
        <is>
          <t>-</t>
        </is>
      </c>
      <c r="E269" s="4" t="inlineStr">
        <is>
          <t>SERVIÇOS INICIAIS</t>
        </is>
      </c>
      <c r="F269" s="118" t="n">
        <v>46314</v>
      </c>
      <c r="G269" s="118" t="n">
        <v>46325</v>
      </c>
      <c r="H269" s="118" t="n">
        <v>46289</v>
      </c>
      <c r="I269" s="4" t="n">
        <v>0</v>
      </c>
      <c r="J269" s="4" t="n">
        <v>0</v>
      </c>
      <c r="K269" s="4" t="n">
        <v>0</v>
      </c>
      <c r="M269" s="2">
        <f>IF(C269="","",IFERROR(INDEX($S$5:$S$304,MATCH(C269,$R$5:$R$304,0))&amp;"","?"))</f>
        <v/>
      </c>
      <c r="N269" s="2">
        <f>IF(E269="","",IF(LEFT(E269,7)="SUBSOLO",-1,IF(LEFT(E269,6)="TÉRREO",0,IFERROR(VALUE(LEFT(E269,FIND("º",SUBSTITUTE(E269,"°","º"))-1)),""))))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IF(R269="","",COUNTIF($C$5:$C$3004,R269))</f>
        <v/>
      </c>
      <c r="W269" s="2">
        <f>IF(R269="","",COUNTIFS($C$5:$C$3004,R269,$O$5:$O$3004,"CONCLUÍDA"))</f>
        <v/>
      </c>
      <c r="X269" s="2">
        <f>IF(R269="","",COUNTIFS($C$5:$C$3004,R269,$O$5:$O$3004,"EM ANDAMENTO"))</f>
        <v/>
      </c>
      <c r="Y269" s="2">
        <f>IF(R269="","",IF(COUNTIFS($C$5:$C$3004,R269,$O$5:$O$3004,"CONCLUÍDA",$N$5:$N$3004,"&gt;=-1")=0,"",_xlfn.MAXIFS($N$5:$N$3004,$C$5:$C$3004,R269,$O$5:$O$3004,"CONCLUÍDA")))</f>
        <v/>
      </c>
      <c r="Z269" s="2">
        <f>IF(R269="","",IF(COUNTIFS($C$5:$C$3004,R269,$O$5:$O$3004,"EM ANDAMENTO",$N$5:$N$3004,"&gt;=-1")=0,"",_xlfn.MAXIFS($N$5:$N$3004,$C$5:$C$3004,R269,$O$5:$O$3004,"EM ANDAMENTO")))</f>
        <v/>
      </c>
      <c r="AA269" s="2">
        <f>IF(OR(R269="",S269="",U269&lt;&gt;"SIM",V269=0),"",IF(W269+X269=0,"",T269&amp;": "&amp;IF(W269=V269,"concluído",IF(W269=0,"em execução"&amp;IF(Z269&lt;&gt;""," ("&amp;IF(Z269=-1,"subsolo",IF(Z269=0,"térreo",Z269&amp;"º pav."))&amp;")",""),IF(Y269&lt;&gt;"","até "&amp;IF(Y269=-1,"subsolo",IF(Y269=0,"térreo",Y269&amp;"º pav.")),W269&amp;" de "&amp;V269&amp;" concluídas")&amp;IF(Z269="","",IF(OR(Y269="",Z269&gt;Y269),", executando "&amp;IF(Z269=-1,"subsolo",IF(Z269=0,"térreo",Z269&amp;"º pav."))," (restam serviços no "&amp;IF(Z269=-1,"subsolo",IF(Z269=0,"térreo",Z269&amp;"º pav."))&amp;")"))))))</f>
        <v/>
      </c>
    </row>
    <row r="270">
      <c r="B270" s="4" t="n">
        <v>30974192</v>
      </c>
      <c r="C270" s="4" t="inlineStr">
        <is>
          <t>CINTAS FASE 3</t>
        </is>
      </c>
      <c r="D270" s="4" t="inlineStr">
        <is>
          <t>Escavação - C 7 / 9 /12 -16 / 20 / 18 / 35-36 / 38-40 / 42 / 44</t>
        </is>
      </c>
      <c r="E270" s="4" t="inlineStr">
        <is>
          <t>SERVIÇOS INICIAIS</t>
        </is>
      </c>
      <c r="F270" s="118" t="n">
        <v>46314</v>
      </c>
      <c r="G270" s="118" t="n">
        <v>46321</v>
      </c>
      <c r="H270" s="118" t="n">
        <v>46289</v>
      </c>
      <c r="I270" s="4" t="n">
        <v>0</v>
      </c>
      <c r="J270" s="4" t="n">
        <v>0</v>
      </c>
      <c r="K270" s="4" t="n">
        <v>0</v>
      </c>
      <c r="M270" s="2">
        <f>IF(C270="","",IFERROR(INDEX($S$5:$S$304,MATCH(C270,$R$5:$R$304,0))&amp;"","?"))</f>
        <v/>
      </c>
      <c r="N270" s="2">
        <f>IF(E270="","",IF(LEFT(E270,7)="SUBSOLO",-1,IF(LEFT(E270,6)="TÉRREO",0,IFERROR(VALUE(LEFT(E270,FIND("º",SUBSTITUTE(E270,"°","º"))-1)),""))))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IF(R270="","",COUNTIF($C$5:$C$3004,R270))</f>
        <v/>
      </c>
      <c r="W270" s="2">
        <f>IF(R270="","",COUNTIFS($C$5:$C$3004,R270,$O$5:$O$3004,"CONCLUÍDA"))</f>
        <v/>
      </c>
      <c r="X270" s="2">
        <f>IF(R270="","",COUNTIFS($C$5:$C$3004,R270,$O$5:$O$3004,"EM ANDAMENTO"))</f>
        <v/>
      </c>
      <c r="Y270" s="2">
        <f>IF(R270="","",IF(COUNTIFS($C$5:$C$3004,R270,$O$5:$O$3004,"CONCLUÍDA",$N$5:$N$3004,"&gt;=-1")=0,"",_xlfn.MAXIFS($N$5:$N$3004,$C$5:$C$3004,R270,$O$5:$O$3004,"CONCLUÍDA")))</f>
        <v/>
      </c>
      <c r="Z270" s="2">
        <f>IF(R270="","",IF(COUNTIFS($C$5:$C$3004,R270,$O$5:$O$3004,"EM ANDAMENTO",$N$5:$N$3004,"&gt;=-1")=0,"",_xlfn.MAXIFS($N$5:$N$3004,$C$5:$C$3004,R270,$O$5:$O$3004,"EM ANDAMENTO")))</f>
        <v/>
      </c>
      <c r="AA270" s="2">
        <f>IF(OR(R270="",S270="",U270&lt;&gt;"SIM",V270=0),"",IF(W270+X270=0,"",T270&amp;": "&amp;IF(W270=V270,"concluído",IF(W270=0,"em execução"&amp;IF(Z270&lt;&gt;""," ("&amp;IF(Z270=-1,"subsolo",IF(Z270=0,"térreo",Z270&amp;"º pav."))&amp;")",""),IF(Y270&lt;&gt;"","até "&amp;IF(Y270=-1,"subsolo",IF(Y270=0,"térreo",Y270&amp;"º pav.")),W270&amp;" de "&amp;V270&amp;" concluídas")&amp;IF(Z270="","",IF(OR(Y270="",Z270&gt;Y270),", executando "&amp;IF(Z270=-1,"subsolo",IF(Z270=0,"térreo",Z270&amp;"º pav."))," (restam serviços no "&amp;IF(Z270=-1,"subsolo",IF(Z270=0,"térreo",Z270&amp;"º pav."))&amp;")"))))))</f>
        <v/>
      </c>
    </row>
    <row r="271">
      <c r="B271" s="4" t="n">
        <v>30974193</v>
      </c>
      <c r="C271" s="4" t="inlineStr">
        <is>
          <t>CINTAS FASE 3</t>
        </is>
      </c>
      <c r="D271" s="4" t="inlineStr">
        <is>
          <t>Forma e Armação - C 7 / 9 /12 -16 / 20 / 18 / 35-36 / 38-40 / 42 / 44</t>
        </is>
      </c>
      <c r="E271" s="4" t="inlineStr">
        <is>
          <t>SERVIÇOS INICIAIS</t>
        </is>
      </c>
      <c r="F271" s="118" t="n">
        <v>46322</v>
      </c>
      <c r="G271" s="118" t="n">
        <v>46324</v>
      </c>
      <c r="H271" s="118" t="n">
        <v>46289</v>
      </c>
      <c r="I271" s="4" t="n">
        <v>0</v>
      </c>
      <c r="J271" s="4" t="n">
        <v>0</v>
      </c>
      <c r="K271" s="4" t="n">
        <v>0</v>
      </c>
      <c r="M271" s="2">
        <f>IF(C271="","",IFERROR(INDEX($S$5:$S$304,MATCH(C271,$R$5:$R$304,0))&amp;"","?"))</f>
        <v/>
      </c>
      <c r="N271" s="2">
        <f>IF(E271="","",IF(LEFT(E271,7)="SUBSOLO",-1,IF(LEFT(E271,6)="TÉRREO",0,IFERROR(VALUE(LEFT(E271,FIND("º",SUBSTITUTE(E271,"°","º"))-1)),""))))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IF(R271="","",COUNTIF($C$5:$C$3004,R271))</f>
        <v/>
      </c>
      <c r="W271" s="2">
        <f>IF(R271="","",COUNTIFS($C$5:$C$3004,R271,$O$5:$O$3004,"CONCLUÍDA"))</f>
        <v/>
      </c>
      <c r="X271" s="2">
        <f>IF(R271="","",COUNTIFS($C$5:$C$3004,R271,$O$5:$O$3004,"EM ANDAMENTO"))</f>
        <v/>
      </c>
      <c r="Y271" s="2">
        <f>IF(R271="","",IF(COUNTIFS($C$5:$C$3004,R271,$O$5:$O$3004,"CONCLUÍDA",$N$5:$N$3004,"&gt;=-1")=0,"",_xlfn.MAXIFS($N$5:$N$3004,$C$5:$C$3004,R271,$O$5:$O$3004,"CONCLUÍDA")))</f>
        <v/>
      </c>
      <c r="Z271" s="2">
        <f>IF(R271="","",IF(COUNTIFS($C$5:$C$3004,R271,$O$5:$O$3004,"EM ANDAMENTO",$N$5:$N$3004,"&gt;=-1")=0,"",_xlfn.MAXIFS($N$5:$N$3004,$C$5:$C$3004,R271,$O$5:$O$3004,"EM ANDAMENTO")))</f>
        <v/>
      </c>
      <c r="AA271" s="2">
        <f>IF(OR(R271="",S271="",U271&lt;&gt;"SIM",V271=0),"",IF(W271+X271=0,"",T271&amp;": "&amp;IF(W271=V271,"concluído",IF(W271=0,"em execução"&amp;IF(Z271&lt;&gt;""," ("&amp;IF(Z271=-1,"subsolo",IF(Z271=0,"térreo",Z271&amp;"º pav."))&amp;")",""),IF(Y271&lt;&gt;"","até "&amp;IF(Y271=-1,"subsolo",IF(Y271=0,"térreo",Y271&amp;"º pav.")),W271&amp;" de "&amp;V271&amp;" concluídas")&amp;IF(Z271="","",IF(OR(Y271="",Z271&gt;Y271),", executando "&amp;IF(Z271=-1,"subsolo",IF(Z271=0,"térreo",Z271&amp;"º pav."))," (restam serviços no "&amp;IF(Z271=-1,"subsolo",IF(Z271=0,"térreo",Z271&amp;"º pav."))&amp;")"))))))</f>
        <v/>
      </c>
    </row>
    <row r="272">
      <c r="B272" s="4" t="n">
        <v>30974194</v>
      </c>
      <c r="C272" s="4" t="inlineStr">
        <is>
          <t>CINTAS FASE 3</t>
        </is>
      </c>
      <c r="D272" s="4" t="inlineStr">
        <is>
          <t>Concreto - C 7 / 9 /12 -16 / 20 / 18 / 35-36 / 38-40 / 42 / 44</t>
        </is>
      </c>
      <c r="E272" s="4" t="inlineStr">
        <is>
          <t>SERVIÇOS INICIAIS</t>
        </is>
      </c>
      <c r="F272" s="118" t="n">
        <v>46325</v>
      </c>
      <c r="G272" s="118" t="n">
        <v>46325</v>
      </c>
      <c r="H272" s="118" t="n">
        <v>46289</v>
      </c>
      <c r="I272" s="4" t="n">
        <v>0</v>
      </c>
      <c r="J272" s="4" t="n">
        <v>0</v>
      </c>
      <c r="K272" s="4" t="n">
        <v>0</v>
      </c>
      <c r="M272" s="2">
        <f>IF(C272="","",IFERROR(INDEX($S$5:$S$304,MATCH(C272,$R$5:$R$304,0))&amp;"","?"))</f>
        <v/>
      </c>
      <c r="N272" s="2">
        <f>IF(E272="","",IF(LEFT(E272,7)="SUBSOLO",-1,IF(LEFT(E272,6)="TÉRREO",0,IFERROR(VALUE(LEFT(E272,FIND("º",SUBSTITUTE(E272,"°","º"))-1)),""))))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IF(R272="","",COUNTIF($C$5:$C$3004,R272))</f>
        <v/>
      </c>
      <c r="W272" s="2">
        <f>IF(R272="","",COUNTIFS($C$5:$C$3004,R272,$O$5:$O$3004,"CONCLUÍDA"))</f>
        <v/>
      </c>
      <c r="X272" s="2">
        <f>IF(R272="","",COUNTIFS($C$5:$C$3004,R272,$O$5:$O$3004,"EM ANDAMENTO"))</f>
        <v/>
      </c>
      <c r="Y272" s="2">
        <f>IF(R272="","",IF(COUNTIFS($C$5:$C$3004,R272,$O$5:$O$3004,"CONCLUÍDA",$N$5:$N$3004,"&gt;=-1")=0,"",_xlfn.MAXIFS($N$5:$N$3004,$C$5:$C$3004,R272,$O$5:$O$3004,"CONCLUÍDA")))</f>
        <v/>
      </c>
      <c r="Z272" s="2">
        <f>IF(R272="","",IF(COUNTIFS($C$5:$C$3004,R272,$O$5:$O$3004,"EM ANDAMENTO",$N$5:$N$3004,"&gt;=-1")=0,"",_xlfn.MAXIFS($N$5:$N$3004,$C$5:$C$3004,R272,$O$5:$O$3004,"EM ANDAMENTO")))</f>
        <v/>
      </c>
      <c r="AA272" s="2">
        <f>IF(OR(R272="",S272="",U272&lt;&gt;"SIM",V272=0),"",IF(W272+X272=0,"",T272&amp;": "&amp;IF(W272=V272,"concluído",IF(W272=0,"em execução"&amp;IF(Z272&lt;&gt;""," ("&amp;IF(Z272=-1,"subsolo",IF(Z272=0,"térreo",Z272&amp;"º pav."))&amp;")",""),IF(Y272&lt;&gt;"","até "&amp;IF(Y272=-1,"subsolo",IF(Y272=0,"térreo",Y272&amp;"º pav.")),W272&amp;" de "&amp;V272&amp;" concluídas")&amp;IF(Z272="","",IF(OR(Y272="",Z272&gt;Y272),", executando "&amp;IF(Z272=-1,"subsolo",IF(Z272=0,"térreo",Z272&amp;"º pav."))," (restam serviços no "&amp;IF(Z272=-1,"subsolo",IF(Z272=0,"térreo",Z272&amp;"º pav."))&amp;")"))))))</f>
        <v/>
      </c>
    </row>
    <row r="273">
      <c r="B273" s="4" t="n">
        <v>46237083</v>
      </c>
      <c r="C273" s="4" t="inlineStr">
        <is>
          <t>CINTAS FASE 4</t>
        </is>
      </c>
      <c r="D273" s="4" t="inlineStr">
        <is>
          <t>-</t>
        </is>
      </c>
      <c r="E273" s="4" t="inlineStr">
        <is>
          <t>SERVIÇOS INICIAIS</t>
        </is>
      </c>
      <c r="F273" s="118" t="n">
        <v>46314</v>
      </c>
      <c r="G273" s="118" t="n">
        <v>46325</v>
      </c>
      <c r="H273" s="118" t="n">
        <v>46289</v>
      </c>
      <c r="I273" s="4" t="n">
        <v>0</v>
      </c>
      <c r="J273" s="4" t="n">
        <v>0</v>
      </c>
      <c r="K273" s="4" t="n">
        <v>0</v>
      </c>
      <c r="M273" s="2">
        <f>IF(C273="","",IFERROR(INDEX($S$5:$S$304,MATCH(C273,$R$5:$R$304,0))&amp;"","?"))</f>
        <v/>
      </c>
      <c r="N273" s="2">
        <f>IF(E273="","",IF(LEFT(E273,7)="SUBSOLO",-1,IF(LEFT(E273,6)="TÉRREO",0,IFERROR(VALUE(LEFT(E273,FIND("º",SUBSTITUTE(E273,"°","º"))-1)),""))))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IF(R273="","",COUNTIF($C$5:$C$3004,R273))</f>
        <v/>
      </c>
      <c r="W273" s="2">
        <f>IF(R273="","",COUNTIFS($C$5:$C$3004,R273,$O$5:$O$3004,"CONCLUÍDA"))</f>
        <v/>
      </c>
      <c r="X273" s="2">
        <f>IF(R273="","",COUNTIFS($C$5:$C$3004,R273,$O$5:$O$3004,"EM ANDAMENTO"))</f>
        <v/>
      </c>
      <c r="Y273" s="2">
        <f>IF(R273="","",IF(COUNTIFS($C$5:$C$3004,R273,$O$5:$O$3004,"CONCLUÍDA",$N$5:$N$3004,"&gt;=-1")=0,"",_xlfn.MAXIFS($N$5:$N$3004,$C$5:$C$3004,R273,$O$5:$O$3004,"CONCLUÍDA")))</f>
        <v/>
      </c>
      <c r="Z273" s="2">
        <f>IF(R273="","",IF(COUNTIFS($C$5:$C$3004,R273,$O$5:$O$3004,"EM ANDAMENTO",$N$5:$N$3004,"&gt;=-1")=0,"",_xlfn.MAXIFS($N$5:$N$3004,$C$5:$C$3004,R273,$O$5:$O$3004,"EM ANDAMENTO")))</f>
        <v/>
      </c>
      <c r="AA273" s="2">
        <f>IF(OR(R273="",S273="",U273&lt;&gt;"SIM",V273=0),"",IF(W273+X273=0,"",T273&amp;": "&amp;IF(W273=V273,"concluído",IF(W273=0,"em execução"&amp;IF(Z273&lt;&gt;""," ("&amp;IF(Z273=-1,"subsolo",IF(Z273=0,"térreo",Z273&amp;"º pav."))&amp;")",""),IF(Y273&lt;&gt;"","até "&amp;IF(Y273=-1,"subsolo",IF(Y273=0,"térreo",Y273&amp;"º pav.")),W273&amp;" de "&amp;V273&amp;" concluídas")&amp;IF(Z273="","",IF(OR(Y273="",Z273&gt;Y273),", executando "&amp;IF(Z273=-1,"subsolo",IF(Z273=0,"térreo",Z273&amp;"º pav."))," (restam serviços no "&amp;IF(Z273=-1,"subsolo",IF(Z273=0,"térreo",Z273&amp;"º pav."))&amp;")"))))))</f>
        <v/>
      </c>
    </row>
    <row r="274">
      <c r="B274" s="4" t="n">
        <v>30974195</v>
      </c>
      <c r="C274" s="4" t="inlineStr">
        <is>
          <t>CINTAS FASE 4</t>
        </is>
      </c>
      <c r="D274" s="4" t="inlineStr">
        <is>
          <t>Escavação - C 21/ 24-25 /28/48/50/51/ 53-54</t>
        </is>
      </c>
      <c r="E274" s="4" t="inlineStr">
        <is>
          <t>SERVIÇOS INICIAIS</t>
        </is>
      </c>
      <c r="F274" s="118" t="n">
        <v>46314</v>
      </c>
      <c r="G274" s="118" t="n">
        <v>46317</v>
      </c>
      <c r="H274" s="118" t="n">
        <v>46289</v>
      </c>
      <c r="I274" s="4" t="n">
        <v>0</v>
      </c>
      <c r="J274" s="4" t="n">
        <v>0</v>
      </c>
      <c r="K274" s="4" t="n">
        <v>0</v>
      </c>
      <c r="M274" s="2">
        <f>IF(C274="","",IFERROR(INDEX($S$5:$S$304,MATCH(C274,$R$5:$R$304,0))&amp;"","?"))</f>
        <v/>
      </c>
      <c r="N274" s="2">
        <f>IF(E274="","",IF(LEFT(E274,7)="SUBSOLO",-1,IF(LEFT(E274,6)="TÉRREO",0,IFERROR(VALUE(LEFT(E274,FIND("º",SUBSTITUTE(E274,"°","º"))-1)),""))))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IF(R274="","",COUNTIF($C$5:$C$3004,R274))</f>
        <v/>
      </c>
      <c r="W274" s="2">
        <f>IF(R274="","",COUNTIFS($C$5:$C$3004,R274,$O$5:$O$3004,"CONCLUÍDA"))</f>
        <v/>
      </c>
      <c r="X274" s="2">
        <f>IF(R274="","",COUNTIFS($C$5:$C$3004,R274,$O$5:$O$3004,"EM ANDAMENTO"))</f>
        <v/>
      </c>
      <c r="Y274" s="2">
        <f>IF(R274="","",IF(COUNTIFS($C$5:$C$3004,R274,$O$5:$O$3004,"CONCLUÍDA",$N$5:$N$3004,"&gt;=-1")=0,"",_xlfn.MAXIFS($N$5:$N$3004,$C$5:$C$3004,R274,$O$5:$O$3004,"CONCLUÍDA")))</f>
        <v/>
      </c>
      <c r="Z274" s="2">
        <f>IF(R274="","",IF(COUNTIFS($C$5:$C$3004,R274,$O$5:$O$3004,"EM ANDAMENTO",$N$5:$N$3004,"&gt;=-1")=0,"",_xlfn.MAXIFS($N$5:$N$3004,$C$5:$C$3004,R274,$O$5:$O$3004,"EM ANDAMENTO")))</f>
        <v/>
      </c>
      <c r="AA274" s="2">
        <f>IF(OR(R274="",S274="",U274&lt;&gt;"SIM",V274=0),"",IF(W274+X274=0,"",T274&amp;": "&amp;IF(W274=V274,"concluído",IF(W274=0,"em execução"&amp;IF(Z274&lt;&gt;""," ("&amp;IF(Z274=-1,"subsolo",IF(Z274=0,"térreo",Z274&amp;"º pav."))&amp;")",""),IF(Y274&lt;&gt;"","até "&amp;IF(Y274=-1,"subsolo",IF(Y274=0,"térreo",Y274&amp;"º pav.")),W274&amp;" de "&amp;V274&amp;" concluídas")&amp;IF(Z274="","",IF(OR(Y274="",Z274&gt;Y274),", executando "&amp;IF(Z274=-1,"subsolo",IF(Z274=0,"térreo",Z274&amp;"º pav."))," (restam serviços no "&amp;IF(Z274=-1,"subsolo",IF(Z274=0,"térreo",Z274&amp;"º pav."))&amp;")"))))))</f>
        <v/>
      </c>
    </row>
    <row r="275">
      <c r="B275" s="4" t="n">
        <v>30974196</v>
      </c>
      <c r="C275" s="4" t="inlineStr">
        <is>
          <t>CINTAS FASE 4</t>
        </is>
      </c>
      <c r="D275" s="4" t="inlineStr">
        <is>
          <t>Forma e Armação - C 21/ 24-25 /28/48/50/51/ 53-54</t>
        </is>
      </c>
      <c r="E275" s="4" t="inlineStr">
        <is>
          <t>SERVIÇOS INICIAIS</t>
        </is>
      </c>
      <c r="F275" s="118" t="n">
        <v>46318</v>
      </c>
      <c r="G275" s="118" t="n">
        <v>46323</v>
      </c>
      <c r="H275" s="118" t="n">
        <v>46289</v>
      </c>
      <c r="I275" s="4" t="n">
        <v>0</v>
      </c>
      <c r="J275" s="4" t="n">
        <v>0</v>
      </c>
      <c r="K275" s="4" t="n">
        <v>0</v>
      </c>
      <c r="M275" s="2">
        <f>IF(C275="","",IFERROR(INDEX($S$5:$S$304,MATCH(C275,$R$5:$R$304,0))&amp;"","?"))</f>
        <v/>
      </c>
      <c r="N275" s="2">
        <f>IF(E275="","",IF(LEFT(E275,7)="SUBSOLO",-1,IF(LEFT(E275,6)="TÉRREO",0,IFERROR(VALUE(LEFT(E275,FIND("º",SUBSTITUTE(E275,"°","º"))-1)),""))))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IF(R275="","",COUNTIF($C$5:$C$3004,R275))</f>
        <v/>
      </c>
      <c r="W275" s="2">
        <f>IF(R275="","",COUNTIFS($C$5:$C$3004,R275,$O$5:$O$3004,"CONCLUÍDA"))</f>
        <v/>
      </c>
      <c r="X275" s="2">
        <f>IF(R275="","",COUNTIFS($C$5:$C$3004,R275,$O$5:$O$3004,"EM ANDAMENTO"))</f>
        <v/>
      </c>
      <c r="Y275" s="2">
        <f>IF(R275="","",IF(COUNTIFS($C$5:$C$3004,R275,$O$5:$O$3004,"CONCLUÍDA",$N$5:$N$3004,"&gt;=-1")=0,"",_xlfn.MAXIFS($N$5:$N$3004,$C$5:$C$3004,R275,$O$5:$O$3004,"CONCLUÍDA")))</f>
        <v/>
      </c>
      <c r="Z275" s="2">
        <f>IF(R275="","",IF(COUNTIFS($C$5:$C$3004,R275,$O$5:$O$3004,"EM ANDAMENTO",$N$5:$N$3004,"&gt;=-1")=0,"",_xlfn.MAXIFS($N$5:$N$3004,$C$5:$C$3004,R275,$O$5:$O$3004,"EM ANDAMENTO")))</f>
        <v/>
      </c>
      <c r="AA275" s="2">
        <f>IF(OR(R275="",S275="",U275&lt;&gt;"SIM",V275=0),"",IF(W275+X275=0,"",T275&amp;": "&amp;IF(W275=V275,"concluído",IF(W275=0,"em execução"&amp;IF(Z275&lt;&gt;""," ("&amp;IF(Z275=-1,"subsolo",IF(Z275=0,"térreo",Z275&amp;"º pav."))&amp;")",""),IF(Y275&lt;&gt;"","até "&amp;IF(Y275=-1,"subsolo",IF(Y275=0,"térreo",Y275&amp;"º pav.")),W275&amp;" de "&amp;V275&amp;" concluídas")&amp;IF(Z275="","",IF(OR(Y275="",Z275&gt;Y275),", executando "&amp;IF(Z275=-1,"subsolo",IF(Z275=0,"térreo",Z275&amp;"º pav."))," (restam serviços no "&amp;IF(Z275=-1,"subsolo",IF(Z275=0,"térreo",Z275&amp;"º pav."))&amp;")"))))))</f>
        <v/>
      </c>
    </row>
    <row r="276">
      <c r="B276" s="4" t="n">
        <v>30974197</v>
      </c>
      <c r="C276" s="4" t="inlineStr">
        <is>
          <t>CINTAS FASE 4</t>
        </is>
      </c>
      <c r="D276" s="4" t="inlineStr">
        <is>
          <t>Concreto - C 21/ 24-25 /28/48/50/51/ 53-54</t>
        </is>
      </c>
      <c r="E276" s="4" t="inlineStr">
        <is>
          <t>SERVIÇOS INICIAIS</t>
        </is>
      </c>
      <c r="F276" s="118" t="n">
        <v>46324</v>
      </c>
      <c r="G276" s="118" t="n">
        <v>46325</v>
      </c>
      <c r="H276" s="118" t="n">
        <v>46289</v>
      </c>
      <c r="I276" s="4" t="n">
        <v>0</v>
      </c>
      <c r="J276" s="4" t="n">
        <v>0</v>
      </c>
      <c r="K276" s="4" t="n">
        <v>0</v>
      </c>
      <c r="M276" s="2">
        <f>IF(C276="","",IFERROR(INDEX($S$5:$S$304,MATCH(C276,$R$5:$R$304,0))&amp;"","?"))</f>
        <v/>
      </c>
      <c r="N276" s="2">
        <f>IF(E276="","",IF(LEFT(E276,7)="SUBSOLO",-1,IF(LEFT(E276,6)="TÉRREO",0,IFERROR(VALUE(LEFT(E276,FIND("º",SUBSTITUTE(E276,"°","º"))-1)),""))))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IF(R276="","",COUNTIF($C$5:$C$3004,R276))</f>
        <v/>
      </c>
      <c r="W276" s="2">
        <f>IF(R276="","",COUNTIFS($C$5:$C$3004,R276,$O$5:$O$3004,"CONCLUÍDA"))</f>
        <v/>
      </c>
      <c r="X276" s="2">
        <f>IF(R276="","",COUNTIFS($C$5:$C$3004,R276,$O$5:$O$3004,"EM ANDAMENTO"))</f>
        <v/>
      </c>
      <c r="Y276" s="2">
        <f>IF(R276="","",IF(COUNTIFS($C$5:$C$3004,R276,$O$5:$O$3004,"CONCLUÍDA",$N$5:$N$3004,"&gt;=-1")=0,"",_xlfn.MAXIFS($N$5:$N$3004,$C$5:$C$3004,R276,$O$5:$O$3004,"CONCLUÍDA")))</f>
        <v/>
      </c>
      <c r="Z276" s="2">
        <f>IF(R276="","",IF(COUNTIFS($C$5:$C$3004,R276,$O$5:$O$3004,"EM ANDAMENTO",$N$5:$N$3004,"&gt;=-1")=0,"",_xlfn.MAXIFS($N$5:$N$3004,$C$5:$C$3004,R276,$O$5:$O$3004,"EM ANDAMENTO")))</f>
        <v/>
      </c>
      <c r="AA276" s="2">
        <f>IF(OR(R276="",S276="",U276&lt;&gt;"SIM",V276=0),"",IF(W276+X276=0,"",T276&amp;": "&amp;IF(W276=V276,"concluído",IF(W276=0,"em execução"&amp;IF(Z276&lt;&gt;""," ("&amp;IF(Z276=-1,"subsolo",IF(Z276=0,"térreo",Z276&amp;"º pav."))&amp;")",""),IF(Y276&lt;&gt;"","até "&amp;IF(Y276=-1,"subsolo",IF(Y276=0,"térreo",Y276&amp;"º pav.")),W276&amp;" de "&amp;V276&amp;" concluídas")&amp;IF(Z276="","",IF(OR(Y276="",Z276&gt;Y276),", executando "&amp;IF(Z276=-1,"subsolo",IF(Z276=0,"térreo",Z276&amp;"º pav."))," (restam serviços no "&amp;IF(Z276=-1,"subsolo",IF(Z276=0,"térreo",Z276&amp;"º pav."))&amp;")"))))))</f>
        <v/>
      </c>
    </row>
    <row r="277">
      <c r="B277" s="4" t="n">
        <v>30205736</v>
      </c>
      <c r="C277" s="4" t="inlineStr">
        <is>
          <t>TRATAMENTO DE CONCRETO - TETO</t>
        </is>
      </c>
      <c r="D277" s="4" t="inlineStr">
        <is>
          <t>-</t>
        </is>
      </c>
      <c r="E277" s="4" t="inlineStr">
        <is>
          <t>SUBSOLO</t>
        </is>
      </c>
      <c r="F277" s="118" t="n">
        <v>46314</v>
      </c>
      <c r="G277" s="118" t="n">
        <v>46379</v>
      </c>
      <c r="H277" s="118" t="n">
        <v>46289</v>
      </c>
      <c r="I277" s="4" t="n">
        <v>0</v>
      </c>
      <c r="J277" s="4" t="n">
        <v>0</v>
      </c>
      <c r="K277" s="4" t="n">
        <v>0</v>
      </c>
      <c r="M277" s="2">
        <f>IF(C277="","",IFERROR(INDEX($S$5:$S$304,MATCH(C277,$R$5:$R$304,0))&amp;"","?"))</f>
        <v/>
      </c>
      <c r="N277" s="2">
        <f>IF(E277="","",IF(LEFT(E277,7)="SUBSOLO",-1,IF(LEFT(E277,6)="TÉRREO",0,IFERROR(VALUE(LEFT(E277,FIND("º",SUBSTITUTE(E277,"°","º"))-1)),""))))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IF(R277="","",COUNTIF($C$5:$C$3004,R277))</f>
        <v/>
      </c>
      <c r="W277" s="2">
        <f>IF(R277="","",COUNTIFS($C$5:$C$3004,R277,$O$5:$O$3004,"CONCLUÍDA"))</f>
        <v/>
      </c>
      <c r="X277" s="2">
        <f>IF(R277="","",COUNTIFS($C$5:$C$3004,R277,$O$5:$O$3004,"EM ANDAMENTO"))</f>
        <v/>
      </c>
      <c r="Y277" s="2">
        <f>IF(R277="","",IF(COUNTIFS($C$5:$C$3004,R277,$O$5:$O$3004,"CONCLUÍDA",$N$5:$N$3004,"&gt;=-1")=0,"",_xlfn.MAXIFS($N$5:$N$3004,$C$5:$C$3004,R277,$O$5:$O$3004,"CONCLUÍDA")))</f>
        <v/>
      </c>
      <c r="Z277" s="2">
        <f>IF(R277="","",IF(COUNTIFS($C$5:$C$3004,R277,$O$5:$O$3004,"EM ANDAMENTO",$N$5:$N$3004,"&gt;=-1")=0,"",_xlfn.MAXIFS($N$5:$N$3004,$C$5:$C$3004,R277,$O$5:$O$3004,"EM ANDAMENTO")))</f>
        <v/>
      </c>
      <c r="AA277" s="2">
        <f>IF(OR(R277="",S277="",U277&lt;&gt;"SIM",V277=0),"",IF(W277+X277=0,"",T277&amp;": "&amp;IF(W277=V277,"concluído",IF(W277=0,"em execução"&amp;IF(Z277&lt;&gt;""," ("&amp;IF(Z277=-1,"subsolo",IF(Z277=0,"térreo",Z277&amp;"º pav."))&amp;")",""),IF(Y277&lt;&gt;"","até "&amp;IF(Y277=-1,"subsolo",IF(Y277=0,"térreo",Y277&amp;"º pav.")),W277&amp;" de "&amp;V277&amp;" concluídas")&amp;IF(Z277="","",IF(OR(Y277="",Z277&gt;Y277),", executando "&amp;IF(Z277=-1,"subsolo",IF(Z277=0,"térreo",Z277&amp;"º pav."))," (restam serviços no "&amp;IF(Z277=-1,"subsolo",IF(Z277=0,"térreo",Z277&amp;"º pav."))&amp;")"))))))</f>
        <v/>
      </c>
    </row>
    <row r="278">
      <c r="B278" s="4" t="n">
        <v>29940605</v>
      </c>
      <c r="C278" s="4" t="inlineStr">
        <is>
          <t>ESTRUTURA</t>
        </is>
      </c>
      <c r="D278" s="4" t="inlineStr">
        <is>
          <t>-</t>
        </is>
      </c>
      <c r="E278" s="4" t="inlineStr">
        <is>
          <t>4º PAV - GARAGEM</t>
        </is>
      </c>
      <c r="F278" s="118" t="n">
        <v>46322</v>
      </c>
      <c r="G278" s="118" t="n">
        <v>46350</v>
      </c>
      <c r="H278" s="118" t="n">
        <v>46289</v>
      </c>
      <c r="I278" s="4" t="n">
        <v>0</v>
      </c>
      <c r="J278" s="4" t="n">
        <v>0</v>
      </c>
      <c r="K278" s="4" t="n">
        <v>0</v>
      </c>
      <c r="M278" s="2">
        <f>IF(C278="","",IFERROR(INDEX($S$5:$S$304,MATCH(C278,$R$5:$R$304,0))&amp;"","?"))</f>
        <v/>
      </c>
      <c r="N278" s="2">
        <f>IF(E278="","",IF(LEFT(E278,7)="SUBSOLO",-1,IF(LEFT(E278,6)="TÉRREO",0,IFERROR(VALUE(LEFT(E278,FIND("º",SUBSTITUTE(E278,"°","º"))-1)),""))))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IF(R278="","",COUNTIF($C$5:$C$3004,R278))</f>
        <v/>
      </c>
      <c r="W278" s="2">
        <f>IF(R278="","",COUNTIFS($C$5:$C$3004,R278,$O$5:$O$3004,"CONCLUÍDA"))</f>
        <v/>
      </c>
      <c r="X278" s="2">
        <f>IF(R278="","",COUNTIFS($C$5:$C$3004,R278,$O$5:$O$3004,"EM ANDAMENTO"))</f>
        <v/>
      </c>
      <c r="Y278" s="2">
        <f>IF(R278="","",IF(COUNTIFS($C$5:$C$3004,R278,$O$5:$O$3004,"CONCLUÍDA",$N$5:$N$3004,"&gt;=-1")=0,"",_xlfn.MAXIFS($N$5:$N$3004,$C$5:$C$3004,R278,$O$5:$O$3004,"CONCLUÍDA")))</f>
        <v/>
      </c>
      <c r="Z278" s="2">
        <f>IF(R278="","",IF(COUNTIFS($C$5:$C$3004,R278,$O$5:$O$3004,"EM ANDAMENTO",$N$5:$N$3004,"&gt;=-1")=0,"",_xlfn.MAXIFS($N$5:$N$3004,$C$5:$C$3004,R278,$O$5:$O$3004,"EM ANDAMENTO")))</f>
        <v/>
      </c>
      <c r="AA278" s="2">
        <f>IF(OR(R278="",S278="",U278&lt;&gt;"SIM",V278=0),"",IF(W278+X278=0,"",T278&amp;": "&amp;IF(W278=V278,"concluído",IF(W278=0,"em execução"&amp;IF(Z278&lt;&gt;""," ("&amp;IF(Z278=-1,"subsolo",IF(Z278=0,"térreo",Z278&amp;"º pav."))&amp;")",""),IF(Y278&lt;&gt;"","até "&amp;IF(Y278=-1,"subsolo",IF(Y278=0,"térreo",Y278&amp;"º pav.")),W278&amp;" de "&amp;V278&amp;" concluídas")&amp;IF(Z278="","",IF(OR(Y278="",Z278&gt;Y278),", executando "&amp;IF(Z278=-1,"subsolo",IF(Z278=0,"térreo",Z278&amp;"º pav."))," (restam serviços no "&amp;IF(Z278=-1,"subsolo",IF(Z278=0,"térreo",Z278&amp;"º pav."))&amp;")"))))))</f>
        <v/>
      </c>
    </row>
    <row r="279">
      <c r="B279" s="4" t="n">
        <v>31528964</v>
      </c>
      <c r="C279" s="4" t="inlineStr">
        <is>
          <t>ESTRUTURA</t>
        </is>
      </c>
      <c r="D279" s="4" t="inlineStr">
        <is>
          <t>Forma</t>
        </is>
      </c>
      <c r="E279" s="4" t="inlineStr">
        <is>
          <t>4º PAV - GARAGEM</t>
        </is>
      </c>
      <c r="F279" s="118" t="n">
        <v>46322</v>
      </c>
      <c r="G279" s="118" t="n">
        <v>46338</v>
      </c>
      <c r="H279" s="118" t="n">
        <v>46289</v>
      </c>
      <c r="I279" s="4" t="n">
        <v>0</v>
      </c>
      <c r="J279" s="4" t="n">
        <v>0</v>
      </c>
      <c r="K279" s="4" t="n">
        <v>0</v>
      </c>
      <c r="M279" s="2">
        <f>IF(C279="","",IFERROR(INDEX($S$5:$S$304,MATCH(C279,$R$5:$R$304,0))&amp;"","?"))</f>
        <v/>
      </c>
      <c r="N279" s="2">
        <f>IF(E279="","",IF(LEFT(E279,7)="SUBSOLO",-1,IF(LEFT(E279,6)="TÉRREO",0,IFERROR(VALUE(LEFT(E279,FIND("º",SUBSTITUTE(E279,"°","º"))-1)),""))))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IF(R279="","",COUNTIF($C$5:$C$3004,R279))</f>
        <v/>
      </c>
      <c r="W279" s="2">
        <f>IF(R279="","",COUNTIFS($C$5:$C$3004,R279,$O$5:$O$3004,"CONCLUÍDA"))</f>
        <v/>
      </c>
      <c r="X279" s="2">
        <f>IF(R279="","",COUNTIFS($C$5:$C$3004,R279,$O$5:$O$3004,"EM ANDAMENTO"))</f>
        <v/>
      </c>
      <c r="Y279" s="2">
        <f>IF(R279="","",IF(COUNTIFS($C$5:$C$3004,R279,$O$5:$O$3004,"CONCLUÍDA",$N$5:$N$3004,"&gt;=-1")=0,"",_xlfn.MAXIFS($N$5:$N$3004,$C$5:$C$3004,R279,$O$5:$O$3004,"CONCLUÍDA")))</f>
        <v/>
      </c>
      <c r="Z279" s="2">
        <f>IF(R279="","",IF(COUNTIFS($C$5:$C$3004,R279,$O$5:$O$3004,"EM ANDAMENTO",$N$5:$N$3004,"&gt;=-1")=0,"",_xlfn.MAXIFS($N$5:$N$3004,$C$5:$C$3004,R279,$O$5:$O$3004,"EM ANDAMENTO")))</f>
        <v/>
      </c>
      <c r="AA279" s="2">
        <f>IF(OR(R279="",S279="",U279&lt;&gt;"SIM",V279=0),"",IF(W279+X279=0,"",T279&amp;": "&amp;IF(W279=V279,"concluído",IF(W279=0,"em execução"&amp;IF(Z279&lt;&gt;""," ("&amp;IF(Z279=-1,"subsolo",IF(Z279=0,"térreo",Z279&amp;"º pav."))&amp;")",""),IF(Y279&lt;&gt;"","até "&amp;IF(Y279=-1,"subsolo",IF(Y279=0,"térreo",Y279&amp;"º pav.")),W279&amp;" de "&amp;V279&amp;" concluídas")&amp;IF(Z279="","",IF(OR(Y279="",Z279&gt;Y279),", executando "&amp;IF(Z279=-1,"subsolo",IF(Z279=0,"térreo",Z279&amp;"º pav."))," (restam serviços no "&amp;IF(Z279=-1,"subsolo",IF(Z279=0,"térreo",Z279&amp;"º pav."))&amp;")"))))))</f>
        <v/>
      </c>
    </row>
    <row r="280">
      <c r="B280" s="4" t="n">
        <v>31528965</v>
      </c>
      <c r="C280" s="4" t="inlineStr">
        <is>
          <t>ESTRUTURA</t>
        </is>
      </c>
      <c r="D280" s="4" t="inlineStr">
        <is>
          <t>Armação</t>
        </is>
      </c>
      <c r="E280" s="4" t="inlineStr">
        <is>
          <t>4º PAV - GARAGEM</t>
        </is>
      </c>
      <c r="F280" s="118" t="n">
        <v>46339</v>
      </c>
      <c r="G280" s="118" t="n">
        <v>46349</v>
      </c>
      <c r="H280" s="118" t="n">
        <v>46289</v>
      </c>
      <c r="I280" s="4" t="n">
        <v>0</v>
      </c>
      <c r="J280" s="4" t="n">
        <v>0</v>
      </c>
      <c r="K280" s="4" t="n">
        <v>0</v>
      </c>
      <c r="M280" s="2">
        <f>IF(C280="","",IFERROR(INDEX($S$5:$S$304,MATCH(C280,$R$5:$R$304,0))&amp;"","?"))</f>
        <v/>
      </c>
      <c r="N280" s="2">
        <f>IF(E280="","",IF(LEFT(E280,7)="SUBSOLO",-1,IF(LEFT(E280,6)="TÉRREO",0,IFERROR(VALUE(LEFT(E280,FIND("º",SUBSTITUTE(E280,"°","º"))-1)),""))))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IF(R280="","",COUNTIF($C$5:$C$3004,R280))</f>
        <v/>
      </c>
      <c r="W280" s="2">
        <f>IF(R280="","",COUNTIFS($C$5:$C$3004,R280,$O$5:$O$3004,"CONCLUÍDA"))</f>
        <v/>
      </c>
      <c r="X280" s="2">
        <f>IF(R280="","",COUNTIFS($C$5:$C$3004,R280,$O$5:$O$3004,"EM ANDAMENTO"))</f>
        <v/>
      </c>
      <c r="Y280" s="2">
        <f>IF(R280="","",IF(COUNTIFS($C$5:$C$3004,R280,$O$5:$O$3004,"CONCLUÍDA",$N$5:$N$3004,"&gt;=-1")=0,"",_xlfn.MAXIFS($N$5:$N$3004,$C$5:$C$3004,R280,$O$5:$O$3004,"CONCLUÍDA")))</f>
        <v/>
      </c>
      <c r="Z280" s="2">
        <f>IF(R280="","",IF(COUNTIFS($C$5:$C$3004,R280,$O$5:$O$3004,"EM ANDAMENTO",$N$5:$N$3004,"&gt;=-1")=0,"",_xlfn.MAXIFS($N$5:$N$3004,$C$5:$C$3004,R280,$O$5:$O$3004,"EM ANDAMENTO")))</f>
        <v/>
      </c>
      <c r="AA280" s="2">
        <f>IF(OR(R280="",S280="",U280&lt;&gt;"SIM",V280=0),"",IF(W280+X280=0,"",T280&amp;": "&amp;IF(W280=V280,"concluído",IF(W280=0,"em execução"&amp;IF(Z280&lt;&gt;""," ("&amp;IF(Z280=-1,"subsolo",IF(Z280=0,"térreo",Z280&amp;"º pav."))&amp;")",""),IF(Y280&lt;&gt;"","até "&amp;IF(Y280=-1,"subsolo",IF(Y280=0,"térreo",Y280&amp;"º pav.")),W280&amp;" de "&amp;V280&amp;" concluídas")&amp;IF(Z280="","",IF(OR(Y280="",Z280&gt;Y280),", executando "&amp;IF(Z280=-1,"subsolo",IF(Z280=0,"térreo",Z280&amp;"º pav."))," (restam serviços no "&amp;IF(Z280=-1,"subsolo",IF(Z280=0,"térreo",Z280&amp;"º pav."))&amp;")"))))))</f>
        <v/>
      </c>
    </row>
    <row r="281">
      <c r="B281" s="4" t="n">
        <v>31528966</v>
      </c>
      <c r="C281" s="4" t="inlineStr">
        <is>
          <t>ESTRUTURA</t>
        </is>
      </c>
      <c r="D281" s="4" t="inlineStr">
        <is>
          <t>Concretagem</t>
        </is>
      </c>
      <c r="E281" s="4" t="inlineStr">
        <is>
          <t>4º PAV - GARAGEM</t>
        </is>
      </c>
      <c r="F281" s="118" t="n">
        <v>46350</v>
      </c>
      <c r="G281" s="118" t="n">
        <v>46350</v>
      </c>
      <c r="H281" s="118" t="n">
        <v>46289</v>
      </c>
      <c r="I281" s="4" t="n">
        <v>0</v>
      </c>
      <c r="J281" s="4" t="n">
        <v>0</v>
      </c>
      <c r="K281" s="4" t="n">
        <v>0</v>
      </c>
      <c r="M281" s="2">
        <f>IF(C281="","",IFERROR(INDEX($S$5:$S$304,MATCH(C281,$R$5:$R$304,0))&amp;"","?"))</f>
        <v/>
      </c>
      <c r="N281" s="2">
        <f>IF(E281="","",IF(LEFT(E281,7)="SUBSOLO",-1,IF(LEFT(E281,6)="TÉRREO",0,IFERROR(VALUE(LEFT(E281,FIND("º",SUBSTITUTE(E281,"°","º"))-1)),""))))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IF(R281="","",COUNTIF($C$5:$C$3004,R281))</f>
        <v/>
      </c>
      <c r="W281" s="2">
        <f>IF(R281="","",COUNTIFS($C$5:$C$3004,R281,$O$5:$O$3004,"CONCLUÍDA"))</f>
        <v/>
      </c>
      <c r="X281" s="2">
        <f>IF(R281="","",COUNTIFS($C$5:$C$3004,R281,$O$5:$O$3004,"EM ANDAMENTO"))</f>
        <v/>
      </c>
      <c r="Y281" s="2">
        <f>IF(R281="","",IF(COUNTIFS($C$5:$C$3004,R281,$O$5:$O$3004,"CONCLUÍDA",$N$5:$N$3004,"&gt;=-1")=0,"",_xlfn.MAXIFS($N$5:$N$3004,$C$5:$C$3004,R281,$O$5:$O$3004,"CONCLUÍDA")))</f>
        <v/>
      </c>
      <c r="Z281" s="2">
        <f>IF(R281="","",IF(COUNTIFS($C$5:$C$3004,R281,$O$5:$O$3004,"EM ANDAMENTO",$N$5:$N$3004,"&gt;=-1")=0,"",_xlfn.MAXIFS($N$5:$N$3004,$C$5:$C$3004,R281,$O$5:$O$3004,"EM ANDAMENTO")))</f>
        <v/>
      </c>
      <c r="AA281" s="2">
        <f>IF(OR(R281="",S281="",U281&lt;&gt;"SIM",V281=0),"",IF(W281+X281=0,"",T281&amp;": "&amp;IF(W281=V281,"concluído",IF(W281=0,"em execução"&amp;IF(Z281&lt;&gt;""," ("&amp;IF(Z281=-1,"subsolo",IF(Z281=0,"térreo",Z281&amp;"º pav."))&amp;")",""),IF(Y281&lt;&gt;"","até "&amp;IF(Y281=-1,"subsolo",IF(Y281=0,"térreo",Y281&amp;"º pav.")),W281&amp;" de "&amp;V281&amp;" concluídas")&amp;IF(Z281="","",IF(OR(Y281="",Z281&gt;Y281),", executando "&amp;IF(Z281=-1,"subsolo",IF(Z281=0,"térreo",Z281&amp;"º pav."))," (restam serviços no "&amp;IF(Z281=-1,"subsolo",IF(Z281=0,"térreo",Z281&amp;"º pav."))&amp;")"))))))</f>
        <v/>
      </c>
    </row>
    <row r="282">
      <c r="B282" s="4" t="n">
        <v>31528967</v>
      </c>
      <c r="C282" s="4" t="inlineStr">
        <is>
          <t>ESTRUTURA</t>
        </is>
      </c>
      <c r="D282" s="4" t="inlineStr">
        <is>
          <t>Polimento</t>
        </is>
      </c>
      <c r="E282" s="4" t="inlineStr">
        <is>
          <t>4º PAV - GARAGEM</t>
        </is>
      </c>
      <c r="F282" s="118" t="n">
        <v>46350</v>
      </c>
      <c r="G282" s="118" t="n">
        <v>46350</v>
      </c>
      <c r="H282" s="118" t="n">
        <v>46289</v>
      </c>
      <c r="I282" s="4" t="n">
        <v>0</v>
      </c>
      <c r="J282" s="4" t="n">
        <v>0</v>
      </c>
      <c r="K282" s="4" t="n">
        <v>0</v>
      </c>
      <c r="M282" s="2">
        <f>IF(C282="","",IFERROR(INDEX($S$5:$S$304,MATCH(C282,$R$5:$R$304,0))&amp;"","?"))</f>
        <v/>
      </c>
      <c r="N282" s="2">
        <f>IF(E282="","",IF(LEFT(E282,7)="SUBSOLO",-1,IF(LEFT(E282,6)="TÉRREO",0,IFERROR(VALUE(LEFT(E282,FIND("º",SUBSTITUTE(E282,"°","º"))-1)),""))))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IF(R282="","",COUNTIF($C$5:$C$3004,R282))</f>
        <v/>
      </c>
      <c r="W282" s="2">
        <f>IF(R282="","",COUNTIFS($C$5:$C$3004,R282,$O$5:$O$3004,"CONCLUÍDA"))</f>
        <v/>
      </c>
      <c r="X282" s="2">
        <f>IF(R282="","",COUNTIFS($C$5:$C$3004,R282,$O$5:$O$3004,"EM ANDAMENTO"))</f>
        <v/>
      </c>
      <c r="Y282" s="2">
        <f>IF(R282="","",IF(COUNTIFS($C$5:$C$3004,R282,$O$5:$O$3004,"CONCLUÍDA",$N$5:$N$3004,"&gt;=-1")=0,"",_xlfn.MAXIFS($N$5:$N$3004,$C$5:$C$3004,R282,$O$5:$O$3004,"CONCLUÍDA")))</f>
        <v/>
      </c>
      <c r="Z282" s="2">
        <f>IF(R282="","",IF(COUNTIFS($C$5:$C$3004,R282,$O$5:$O$3004,"EM ANDAMENTO",$N$5:$N$3004,"&gt;=-1")=0,"",_xlfn.MAXIFS($N$5:$N$3004,$C$5:$C$3004,R282,$O$5:$O$3004,"EM ANDAMENTO")))</f>
        <v/>
      </c>
      <c r="AA282" s="2">
        <f>IF(OR(R282="",S282="",U282&lt;&gt;"SIM",V282=0),"",IF(W282+X282=0,"",T282&amp;": "&amp;IF(W282=V282,"concluído",IF(W282=0,"em execução"&amp;IF(Z282&lt;&gt;""," ("&amp;IF(Z282=-1,"subsolo",IF(Z282=0,"térreo",Z282&amp;"º pav."))&amp;")",""),IF(Y282&lt;&gt;"","até "&amp;IF(Y282=-1,"subsolo",IF(Y282=0,"térreo",Y282&amp;"º pav.")),W282&amp;" de "&amp;V282&amp;" concluídas")&amp;IF(Z282="","",IF(OR(Y282="",Z282&gt;Y282),", executando "&amp;IF(Z282=-1,"subsolo",IF(Z282=0,"térreo",Z282&amp;"º pav."))," (restam serviços no "&amp;IF(Z282=-1,"subsolo",IF(Z282=0,"térreo",Z282&amp;"º pav."))&amp;")"))))))</f>
        <v/>
      </c>
    </row>
    <row r="283">
      <c r="B283" s="4" t="n">
        <v>35594317</v>
      </c>
      <c r="C283" s="4" t="inlineStr">
        <is>
          <t>TRATAMENTO DE CONTENÇÕES</t>
        </is>
      </c>
      <c r="D283" s="4" t="inlineStr">
        <is>
          <t>-</t>
        </is>
      </c>
      <c r="E283" s="4" t="inlineStr">
        <is>
          <t>SERVIÇOS INICIAIS</t>
        </is>
      </c>
      <c r="F283" s="118" t="n">
        <v>46339</v>
      </c>
      <c r="G283" s="118" t="n">
        <v>46379</v>
      </c>
      <c r="H283" s="118" t="n">
        <v>46289</v>
      </c>
      <c r="I283" s="4" t="n">
        <v>4.444</v>
      </c>
      <c r="J283" s="4" t="n">
        <v>0</v>
      </c>
      <c r="K283" s="4" t="n">
        <v>0</v>
      </c>
      <c r="M283" s="2">
        <f>IF(C283="","",IFERROR(INDEX($S$5:$S$304,MATCH(C283,$R$5:$R$304,0))&amp;"","?"))</f>
        <v/>
      </c>
      <c r="N283" s="2">
        <f>IF(E283="","",IF(LEFT(E283,7)="SUBSOLO",-1,IF(LEFT(E283,6)="TÉRREO",0,IFERROR(VALUE(LEFT(E283,FIND("º",SUBSTITUTE(E283,"°","º"))-1)),""))))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IF(R283="","",COUNTIF($C$5:$C$3004,R283))</f>
        <v/>
      </c>
      <c r="W283" s="2">
        <f>IF(R283="","",COUNTIFS($C$5:$C$3004,R283,$O$5:$O$3004,"CONCLUÍDA"))</f>
        <v/>
      </c>
      <c r="X283" s="2">
        <f>IF(R283="","",COUNTIFS($C$5:$C$3004,R283,$O$5:$O$3004,"EM ANDAMENTO"))</f>
        <v/>
      </c>
      <c r="Y283" s="2">
        <f>IF(R283="","",IF(COUNTIFS($C$5:$C$3004,R283,$O$5:$O$3004,"CONCLUÍDA",$N$5:$N$3004,"&gt;=-1")=0,"",_xlfn.MAXIFS($N$5:$N$3004,$C$5:$C$3004,R283,$O$5:$O$3004,"CONCLUÍDA")))</f>
        <v/>
      </c>
      <c r="Z283" s="2">
        <f>IF(R283="","",IF(COUNTIFS($C$5:$C$3004,R283,$O$5:$O$3004,"EM ANDAMENTO",$N$5:$N$3004,"&gt;=-1")=0,"",_xlfn.MAXIFS($N$5:$N$3004,$C$5:$C$3004,R283,$O$5:$O$3004,"EM ANDAMENTO")))</f>
        <v/>
      </c>
      <c r="AA283" s="2">
        <f>IF(OR(R283="",S283="",U283&lt;&gt;"SIM",V283=0),"",IF(W283+X283=0,"",T283&amp;": "&amp;IF(W283=V283,"concluído",IF(W283=0,"em execução"&amp;IF(Z283&lt;&gt;""," ("&amp;IF(Z283=-1,"subsolo",IF(Z283=0,"térreo",Z283&amp;"º pav."))&amp;")",""),IF(Y283&lt;&gt;"","até "&amp;IF(Y283=-1,"subsolo",IF(Y283=0,"térreo",Y283&amp;"º pav.")),W283&amp;" de "&amp;V283&amp;" concluídas")&amp;IF(Z283="","",IF(OR(Y283="",Z283&gt;Y283),", executando "&amp;IF(Z283=-1,"subsolo",IF(Z283=0,"térreo",Z283&amp;"º pav."))," (restam serviços no "&amp;IF(Z283=-1,"subsolo",IF(Z283=0,"térreo",Z283&amp;"º pav."))&amp;")"))))))</f>
        <v/>
      </c>
    </row>
    <row r="284">
      <c r="B284" s="4" t="n">
        <v>29940927</v>
      </c>
      <c r="C284" s="4" t="inlineStr">
        <is>
          <t>ESTRUTURA</t>
        </is>
      </c>
      <c r="D284" s="4" t="inlineStr">
        <is>
          <t>-</t>
        </is>
      </c>
      <c r="E284" s="4" t="inlineStr">
        <is>
          <t>5º PAV - GARAGEM</t>
        </is>
      </c>
      <c r="F284" s="118" t="n">
        <v>46351</v>
      </c>
      <c r="G284" s="118" t="n">
        <v>46379</v>
      </c>
      <c r="H284" s="118" t="n">
        <v>46289</v>
      </c>
      <c r="I284" s="4" t="n">
        <v>0</v>
      </c>
      <c r="J284" s="4" t="n">
        <v>0</v>
      </c>
      <c r="K284" s="4" t="n">
        <v>0</v>
      </c>
      <c r="M284" s="2">
        <f>IF(C284="","",IFERROR(INDEX($S$5:$S$304,MATCH(C284,$R$5:$R$304,0))&amp;"","?"))</f>
        <v/>
      </c>
      <c r="N284" s="2">
        <f>IF(E284="","",IF(LEFT(E284,7)="SUBSOLO",-1,IF(LEFT(E284,6)="TÉRREO",0,IFERROR(VALUE(LEFT(E284,FIND("º",SUBSTITUTE(E284,"°","º"))-1)),""))))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IF(R284="","",COUNTIF($C$5:$C$3004,R284))</f>
        <v/>
      </c>
      <c r="W284" s="2">
        <f>IF(R284="","",COUNTIFS($C$5:$C$3004,R284,$O$5:$O$3004,"CONCLUÍDA"))</f>
        <v/>
      </c>
      <c r="X284" s="2">
        <f>IF(R284="","",COUNTIFS($C$5:$C$3004,R284,$O$5:$O$3004,"EM ANDAMENTO"))</f>
        <v/>
      </c>
      <c r="Y284" s="2">
        <f>IF(R284="","",IF(COUNTIFS($C$5:$C$3004,R284,$O$5:$O$3004,"CONCLUÍDA",$N$5:$N$3004,"&gt;=-1")=0,"",_xlfn.MAXIFS($N$5:$N$3004,$C$5:$C$3004,R284,$O$5:$O$3004,"CONCLUÍDA")))</f>
        <v/>
      </c>
      <c r="Z284" s="2">
        <f>IF(R284="","",IF(COUNTIFS($C$5:$C$3004,R284,$O$5:$O$3004,"EM ANDAMENTO",$N$5:$N$3004,"&gt;=-1")=0,"",_xlfn.MAXIFS($N$5:$N$3004,$C$5:$C$3004,R284,$O$5:$O$3004,"EM ANDAMENTO")))</f>
        <v/>
      </c>
      <c r="AA284" s="2">
        <f>IF(OR(R284="",S284="",U284&lt;&gt;"SIM",V284=0),"",IF(W284+X284=0,"",T284&amp;": "&amp;IF(W284=V284,"concluído",IF(W284=0,"em execução"&amp;IF(Z284&lt;&gt;""," ("&amp;IF(Z284=-1,"subsolo",IF(Z284=0,"térreo",Z284&amp;"º pav."))&amp;")",""),IF(Y284&lt;&gt;"","até "&amp;IF(Y284=-1,"subsolo",IF(Y284=0,"térreo",Y284&amp;"º pav.")),W284&amp;" de "&amp;V284&amp;" concluídas")&amp;IF(Z284="","",IF(OR(Y284="",Z284&gt;Y284),", executando "&amp;IF(Z284=-1,"subsolo",IF(Z284=0,"térreo",Z284&amp;"º pav."))," (restam serviços no "&amp;IF(Z284=-1,"subsolo",IF(Z284=0,"térreo",Z284&amp;"º pav."))&amp;")"))))))</f>
        <v/>
      </c>
    </row>
    <row r="285">
      <c r="B285" s="4" t="n">
        <v>31528968</v>
      </c>
      <c r="C285" s="4" t="inlineStr">
        <is>
          <t>ESTRUTURA</t>
        </is>
      </c>
      <c r="D285" s="4" t="inlineStr">
        <is>
          <t>Forma</t>
        </is>
      </c>
      <c r="E285" s="4" t="inlineStr">
        <is>
          <t>5º PAV - GARAGEM</t>
        </is>
      </c>
      <c r="F285" s="118" t="n">
        <v>46351</v>
      </c>
      <c r="G285" s="118" t="n">
        <v>46367</v>
      </c>
      <c r="H285" s="118" t="n">
        <v>46289</v>
      </c>
      <c r="I285" s="4" t="n">
        <v>0</v>
      </c>
      <c r="J285" s="4" t="n">
        <v>0</v>
      </c>
      <c r="K285" s="4" t="n">
        <v>0</v>
      </c>
      <c r="M285" s="2">
        <f>IF(C285="","",IFERROR(INDEX($S$5:$S$304,MATCH(C285,$R$5:$R$304,0))&amp;"","?"))</f>
        <v/>
      </c>
      <c r="N285" s="2">
        <f>IF(E285="","",IF(LEFT(E285,7)="SUBSOLO",-1,IF(LEFT(E285,6)="TÉRREO",0,IFERROR(VALUE(LEFT(E285,FIND("º",SUBSTITUTE(E285,"°","º"))-1)),""))))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IF(R285="","",COUNTIF($C$5:$C$3004,R285))</f>
        <v/>
      </c>
      <c r="W285" s="2">
        <f>IF(R285="","",COUNTIFS($C$5:$C$3004,R285,$O$5:$O$3004,"CONCLUÍDA"))</f>
        <v/>
      </c>
      <c r="X285" s="2">
        <f>IF(R285="","",COUNTIFS($C$5:$C$3004,R285,$O$5:$O$3004,"EM ANDAMENTO"))</f>
        <v/>
      </c>
      <c r="Y285" s="2">
        <f>IF(R285="","",IF(COUNTIFS($C$5:$C$3004,R285,$O$5:$O$3004,"CONCLUÍDA",$N$5:$N$3004,"&gt;=-1")=0,"",_xlfn.MAXIFS($N$5:$N$3004,$C$5:$C$3004,R285,$O$5:$O$3004,"CONCLUÍDA")))</f>
        <v/>
      </c>
      <c r="Z285" s="2">
        <f>IF(R285="","",IF(COUNTIFS($C$5:$C$3004,R285,$O$5:$O$3004,"EM ANDAMENTO",$N$5:$N$3004,"&gt;=-1")=0,"",_xlfn.MAXIFS($N$5:$N$3004,$C$5:$C$3004,R285,$O$5:$O$3004,"EM ANDAMENTO")))</f>
        <v/>
      </c>
      <c r="AA285" s="2">
        <f>IF(OR(R285="",S285="",U285&lt;&gt;"SIM",V285=0),"",IF(W285+X285=0,"",T285&amp;": "&amp;IF(W285=V285,"concluído",IF(W285=0,"em execução"&amp;IF(Z285&lt;&gt;""," ("&amp;IF(Z285=-1,"subsolo",IF(Z285=0,"térreo",Z285&amp;"º pav."))&amp;")",""),IF(Y285&lt;&gt;"","até "&amp;IF(Y285=-1,"subsolo",IF(Y285=0,"térreo",Y285&amp;"º pav.")),W285&amp;" de "&amp;V285&amp;" concluídas")&amp;IF(Z285="","",IF(OR(Y285="",Z285&gt;Y285),", executando "&amp;IF(Z285=-1,"subsolo",IF(Z285=0,"térreo",Z285&amp;"º pav."))," (restam serviços no "&amp;IF(Z285=-1,"subsolo",IF(Z285=0,"térreo",Z285&amp;"º pav."))&amp;")"))))))</f>
        <v/>
      </c>
    </row>
    <row r="286">
      <c r="B286" s="4" t="n">
        <v>31528969</v>
      </c>
      <c r="C286" s="4" t="inlineStr">
        <is>
          <t>ESTRUTURA</t>
        </is>
      </c>
      <c r="D286" s="4" t="inlineStr">
        <is>
          <t>Armação</t>
        </is>
      </c>
      <c r="E286" s="4" t="inlineStr">
        <is>
          <t>5º PAV - GARAGEM</t>
        </is>
      </c>
      <c r="F286" s="118" t="n">
        <v>46370</v>
      </c>
      <c r="G286" s="118" t="n">
        <v>46378</v>
      </c>
      <c r="H286" s="118" t="n">
        <v>46289</v>
      </c>
      <c r="I286" s="4" t="n">
        <v>0</v>
      </c>
      <c r="J286" s="4" t="n">
        <v>0</v>
      </c>
      <c r="K286" s="4" t="n">
        <v>0</v>
      </c>
      <c r="M286" s="2">
        <f>IF(C286="","",IFERROR(INDEX($S$5:$S$304,MATCH(C286,$R$5:$R$304,0))&amp;"","?"))</f>
        <v/>
      </c>
      <c r="N286" s="2">
        <f>IF(E286="","",IF(LEFT(E286,7)="SUBSOLO",-1,IF(LEFT(E286,6)="TÉRREO",0,IFERROR(VALUE(LEFT(E286,FIND("º",SUBSTITUTE(E286,"°","º"))-1)),""))))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IF(R286="","",COUNTIF($C$5:$C$3004,R286))</f>
        <v/>
      </c>
      <c r="W286" s="2">
        <f>IF(R286="","",COUNTIFS($C$5:$C$3004,R286,$O$5:$O$3004,"CONCLUÍDA"))</f>
        <v/>
      </c>
      <c r="X286" s="2">
        <f>IF(R286="","",COUNTIFS($C$5:$C$3004,R286,$O$5:$O$3004,"EM ANDAMENTO"))</f>
        <v/>
      </c>
      <c r="Y286" s="2">
        <f>IF(R286="","",IF(COUNTIFS($C$5:$C$3004,R286,$O$5:$O$3004,"CONCLUÍDA",$N$5:$N$3004,"&gt;=-1")=0,"",_xlfn.MAXIFS($N$5:$N$3004,$C$5:$C$3004,R286,$O$5:$O$3004,"CONCLUÍDA")))</f>
        <v/>
      </c>
      <c r="Z286" s="2">
        <f>IF(R286="","",IF(COUNTIFS($C$5:$C$3004,R286,$O$5:$O$3004,"EM ANDAMENTO",$N$5:$N$3004,"&gt;=-1")=0,"",_xlfn.MAXIFS($N$5:$N$3004,$C$5:$C$3004,R286,$O$5:$O$3004,"EM ANDAMENTO")))</f>
        <v/>
      </c>
      <c r="AA286" s="2">
        <f>IF(OR(R286="",S286="",U286&lt;&gt;"SIM",V286=0),"",IF(W286+X286=0,"",T286&amp;": "&amp;IF(W286=V286,"concluído",IF(W286=0,"em execução"&amp;IF(Z286&lt;&gt;""," ("&amp;IF(Z286=-1,"subsolo",IF(Z286=0,"térreo",Z286&amp;"º pav."))&amp;")",""),IF(Y286&lt;&gt;"","até "&amp;IF(Y286=-1,"subsolo",IF(Y286=0,"térreo",Y286&amp;"º pav.")),W286&amp;" de "&amp;V286&amp;" concluídas")&amp;IF(Z286="","",IF(OR(Y286="",Z286&gt;Y286),", executando "&amp;IF(Z286=-1,"subsolo",IF(Z286=0,"térreo",Z286&amp;"º pav."))," (restam serviços no "&amp;IF(Z286=-1,"subsolo",IF(Z286=0,"térreo",Z286&amp;"º pav."))&amp;")"))))))</f>
        <v/>
      </c>
    </row>
    <row r="287">
      <c r="B287" s="4" t="n">
        <v>31528970</v>
      </c>
      <c r="C287" s="4" t="inlineStr">
        <is>
          <t>ESTRUTURA</t>
        </is>
      </c>
      <c r="D287" s="4" t="inlineStr">
        <is>
          <t>Concretagem</t>
        </is>
      </c>
      <c r="E287" s="4" t="inlineStr">
        <is>
          <t>5º PAV - GARAGEM</t>
        </is>
      </c>
      <c r="F287" s="118" t="n">
        <v>46379</v>
      </c>
      <c r="G287" s="118" t="n">
        <v>46379</v>
      </c>
      <c r="H287" s="118" t="n">
        <v>46289</v>
      </c>
      <c r="I287" s="4" t="n">
        <v>0</v>
      </c>
      <c r="J287" s="4" t="n">
        <v>0</v>
      </c>
      <c r="K287" s="4" t="n">
        <v>0</v>
      </c>
      <c r="M287" s="2">
        <f>IF(C287="","",IFERROR(INDEX($S$5:$S$304,MATCH(C287,$R$5:$R$304,0))&amp;"","?"))</f>
        <v/>
      </c>
      <c r="N287" s="2">
        <f>IF(E287="","",IF(LEFT(E287,7)="SUBSOLO",-1,IF(LEFT(E287,6)="TÉRREO",0,IFERROR(VALUE(LEFT(E287,FIND("º",SUBSTITUTE(E287,"°","º"))-1)),""))))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IF(R287="","",COUNTIF($C$5:$C$3004,R287))</f>
        <v/>
      </c>
      <c r="W287" s="2">
        <f>IF(R287="","",COUNTIFS($C$5:$C$3004,R287,$O$5:$O$3004,"CONCLUÍDA"))</f>
        <v/>
      </c>
      <c r="X287" s="2">
        <f>IF(R287="","",COUNTIFS($C$5:$C$3004,R287,$O$5:$O$3004,"EM ANDAMENTO"))</f>
        <v/>
      </c>
      <c r="Y287" s="2">
        <f>IF(R287="","",IF(COUNTIFS($C$5:$C$3004,R287,$O$5:$O$3004,"CONCLUÍDA",$N$5:$N$3004,"&gt;=-1")=0,"",_xlfn.MAXIFS($N$5:$N$3004,$C$5:$C$3004,R287,$O$5:$O$3004,"CONCLUÍDA")))</f>
        <v/>
      </c>
      <c r="Z287" s="2">
        <f>IF(R287="","",IF(COUNTIFS($C$5:$C$3004,R287,$O$5:$O$3004,"EM ANDAMENTO",$N$5:$N$3004,"&gt;=-1")=0,"",_xlfn.MAXIFS($N$5:$N$3004,$C$5:$C$3004,R287,$O$5:$O$3004,"EM ANDAMENTO")))</f>
        <v/>
      </c>
      <c r="AA287" s="2">
        <f>IF(OR(R287="",S287="",U287&lt;&gt;"SIM",V287=0),"",IF(W287+X287=0,"",T287&amp;": "&amp;IF(W287=V287,"concluído",IF(W287=0,"em execução"&amp;IF(Z287&lt;&gt;""," ("&amp;IF(Z287=-1,"subsolo",IF(Z287=0,"térreo",Z287&amp;"º pav."))&amp;")",""),IF(Y287&lt;&gt;"","até "&amp;IF(Y287=-1,"subsolo",IF(Y287=0,"térreo",Y287&amp;"º pav.")),W287&amp;" de "&amp;V287&amp;" concluídas")&amp;IF(Z287="","",IF(OR(Y287="",Z287&gt;Y287),", executando "&amp;IF(Z287=-1,"subsolo",IF(Z287=0,"térreo",Z287&amp;"º pav."))," (restam serviços no "&amp;IF(Z287=-1,"subsolo",IF(Z287=0,"térreo",Z287&amp;"º pav."))&amp;")"))))))</f>
        <v/>
      </c>
    </row>
    <row r="288">
      <c r="B288" s="4" t="n">
        <v>31528971</v>
      </c>
      <c r="C288" s="4" t="inlineStr">
        <is>
          <t>ESTRUTURA</t>
        </is>
      </c>
      <c r="D288" s="4" t="inlineStr">
        <is>
          <t>Polimento</t>
        </is>
      </c>
      <c r="E288" s="4" t="inlineStr">
        <is>
          <t>5º PAV - GARAGEM</t>
        </is>
      </c>
      <c r="F288" s="118" t="n">
        <v>46379</v>
      </c>
      <c r="G288" s="118" t="n">
        <v>46379</v>
      </c>
      <c r="H288" s="118" t="n">
        <v>46289</v>
      </c>
      <c r="I288" s="4" t="n">
        <v>0</v>
      </c>
      <c r="J288" s="4" t="n">
        <v>0</v>
      </c>
      <c r="K288" s="4" t="n">
        <v>0</v>
      </c>
      <c r="M288" s="2">
        <f>IF(C288="","",IFERROR(INDEX($S$5:$S$304,MATCH(C288,$R$5:$R$304,0))&amp;"","?"))</f>
        <v/>
      </c>
      <c r="N288" s="2">
        <f>IF(E288="","",IF(LEFT(E288,7)="SUBSOLO",-1,IF(LEFT(E288,6)="TÉRREO",0,IFERROR(VALUE(LEFT(E288,FIND("º",SUBSTITUTE(E288,"°","º"))-1)),""))))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IF(R288="","",COUNTIF($C$5:$C$3004,R288))</f>
        <v/>
      </c>
      <c r="W288" s="2">
        <f>IF(R288="","",COUNTIFS($C$5:$C$3004,R288,$O$5:$O$3004,"CONCLUÍDA"))</f>
        <v/>
      </c>
      <c r="X288" s="2">
        <f>IF(R288="","",COUNTIFS($C$5:$C$3004,R288,$O$5:$O$3004,"EM ANDAMENTO"))</f>
        <v/>
      </c>
      <c r="Y288" s="2">
        <f>IF(R288="","",IF(COUNTIFS($C$5:$C$3004,R288,$O$5:$O$3004,"CONCLUÍDA",$N$5:$N$3004,"&gt;=-1")=0,"",_xlfn.MAXIFS($N$5:$N$3004,$C$5:$C$3004,R288,$O$5:$O$3004,"CONCLUÍDA")))</f>
        <v/>
      </c>
      <c r="Z288" s="2">
        <f>IF(R288="","",IF(COUNTIFS($C$5:$C$3004,R288,$O$5:$O$3004,"EM ANDAMENTO",$N$5:$N$3004,"&gt;=-1")=0,"",_xlfn.MAXIFS($N$5:$N$3004,$C$5:$C$3004,R288,$O$5:$O$3004,"EM ANDAMENTO")))</f>
        <v/>
      </c>
      <c r="AA288" s="2">
        <f>IF(OR(R288="",S288="",U288&lt;&gt;"SIM",V288=0),"",IF(W288+X288=0,"",T288&amp;": "&amp;IF(W288=V288,"concluído",IF(W288=0,"em execução"&amp;IF(Z288&lt;&gt;""," ("&amp;IF(Z288=-1,"subsolo",IF(Z288=0,"térreo",Z288&amp;"º pav."))&amp;")",""),IF(Y288&lt;&gt;"","até "&amp;IF(Y288=-1,"subsolo",IF(Y288=0,"térreo",Y288&amp;"º pav.")),W288&amp;" de "&amp;V288&amp;" concluídas")&amp;IF(Z288="","",IF(OR(Y288="",Z288&gt;Y288),", executando "&amp;IF(Z288=-1,"subsolo",IF(Z288=0,"térreo",Z288&amp;"º pav."))," (restam serviços no "&amp;IF(Z288=-1,"subsolo",IF(Z288=0,"térreo",Z288&amp;"º pav."))&amp;")"))))))</f>
        <v/>
      </c>
    </row>
    <row r="289">
      <c r="B289" s="4" t="n">
        <v>30171492</v>
      </c>
      <c r="C289" s="4" t="inlineStr">
        <is>
          <t>TRATAMENTO DE CONCRETO - TETO</t>
        </is>
      </c>
      <c r="D289" s="4" t="inlineStr">
        <is>
          <t>-</t>
        </is>
      </c>
      <c r="E289" s="4" t="inlineStr">
        <is>
          <t>2º PAV - GARAGEM</t>
        </is>
      </c>
      <c r="F289" s="118" t="n">
        <v>46391</v>
      </c>
      <c r="G289" s="118" t="n">
        <v>46420</v>
      </c>
      <c r="H289" s="118" t="n">
        <v>46289</v>
      </c>
      <c r="I289" s="4" t="n">
        <v>0</v>
      </c>
      <c r="J289" s="4" t="n">
        <v>0</v>
      </c>
      <c r="K289" s="4" t="n">
        <v>0</v>
      </c>
      <c r="M289" s="2">
        <f>IF(C289="","",IFERROR(INDEX($S$5:$S$304,MATCH(C289,$R$5:$R$304,0))&amp;"","?"))</f>
        <v/>
      </c>
      <c r="N289" s="2">
        <f>IF(E289="","",IF(LEFT(E289,7)="SUBSOLO",-1,IF(LEFT(E289,6)="TÉRREO",0,IFERROR(VALUE(LEFT(E289,FIND("º",SUBSTITUTE(E289,"°","º"))-1)),""))))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IF(R289="","",COUNTIF($C$5:$C$3004,R289))</f>
        <v/>
      </c>
      <c r="W289" s="2">
        <f>IF(R289="","",COUNTIFS($C$5:$C$3004,R289,$O$5:$O$3004,"CONCLUÍDA"))</f>
        <v/>
      </c>
      <c r="X289" s="2">
        <f>IF(R289="","",COUNTIFS($C$5:$C$3004,R289,$O$5:$O$3004,"EM ANDAMENTO"))</f>
        <v/>
      </c>
      <c r="Y289" s="2">
        <f>IF(R289="","",IF(COUNTIFS($C$5:$C$3004,R289,$O$5:$O$3004,"CONCLUÍDA",$N$5:$N$3004,"&gt;=-1")=0,"",_xlfn.MAXIFS($N$5:$N$3004,$C$5:$C$3004,R289,$O$5:$O$3004,"CONCLUÍDA")))</f>
        <v/>
      </c>
      <c r="Z289" s="2">
        <f>IF(R289="","",IF(COUNTIFS($C$5:$C$3004,R289,$O$5:$O$3004,"EM ANDAMENTO",$N$5:$N$3004,"&gt;=-1")=0,"",_xlfn.MAXIFS($N$5:$N$3004,$C$5:$C$3004,R289,$O$5:$O$3004,"EM ANDAMENTO")))</f>
        <v/>
      </c>
      <c r="AA289" s="2">
        <f>IF(OR(R289="",S289="",U289&lt;&gt;"SIM",V289=0),"",IF(W289+X289=0,"",T289&amp;": "&amp;IF(W289=V289,"concluído",IF(W289=0,"em execução"&amp;IF(Z289&lt;&gt;""," ("&amp;IF(Z289=-1,"subsolo",IF(Z289=0,"térreo",Z289&amp;"º pav."))&amp;")",""),IF(Y289&lt;&gt;"","até "&amp;IF(Y289=-1,"subsolo",IF(Y289=0,"térreo",Y289&amp;"º pav.")),W289&amp;" de "&amp;V289&amp;" concluídas")&amp;IF(Z289="","",IF(OR(Y289="",Z289&gt;Y289),", executando "&amp;IF(Z289=-1,"subsolo",IF(Z289=0,"térreo",Z289&amp;"º pav."))," (restam serviços no "&amp;IF(Z289=-1,"subsolo",IF(Z289=0,"térreo",Z289&amp;"º pav."))&amp;")"))))))</f>
        <v/>
      </c>
    </row>
    <row r="290">
      <c r="B290" s="4" t="n">
        <v>29940929</v>
      </c>
      <c r="C290" s="4" t="inlineStr">
        <is>
          <t>ESTRUTURA</t>
        </is>
      </c>
      <c r="D290" s="4" t="inlineStr">
        <is>
          <t>-</t>
        </is>
      </c>
      <c r="E290" s="4" t="inlineStr">
        <is>
          <t>6º PAV - PILOTIS</t>
        </is>
      </c>
      <c r="F290" s="118" t="n">
        <v>46391</v>
      </c>
      <c r="G290" s="118" t="n">
        <v>46414</v>
      </c>
      <c r="H290" s="118" t="n">
        <v>46289</v>
      </c>
      <c r="I290" s="4" t="n">
        <v>0</v>
      </c>
      <c r="J290" s="4" t="n">
        <v>0</v>
      </c>
      <c r="K290" s="4" t="n">
        <v>0</v>
      </c>
      <c r="M290" s="2">
        <f>IF(C290="","",IFERROR(INDEX($S$5:$S$304,MATCH(C290,$R$5:$R$304,0))&amp;"","?"))</f>
        <v/>
      </c>
      <c r="N290" s="2">
        <f>IF(E290="","",IF(LEFT(E290,7)="SUBSOLO",-1,IF(LEFT(E290,6)="TÉRREO",0,IFERROR(VALUE(LEFT(E290,FIND("º",SUBSTITUTE(E290,"°","º"))-1)),""))))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IF(R290="","",COUNTIF($C$5:$C$3004,R290))</f>
        <v/>
      </c>
      <c r="W290" s="2">
        <f>IF(R290="","",COUNTIFS($C$5:$C$3004,R290,$O$5:$O$3004,"CONCLUÍDA"))</f>
        <v/>
      </c>
      <c r="X290" s="2">
        <f>IF(R290="","",COUNTIFS($C$5:$C$3004,R290,$O$5:$O$3004,"EM ANDAMENTO"))</f>
        <v/>
      </c>
      <c r="Y290" s="2">
        <f>IF(R290="","",IF(COUNTIFS($C$5:$C$3004,R290,$O$5:$O$3004,"CONCLUÍDA",$N$5:$N$3004,"&gt;=-1")=0,"",_xlfn.MAXIFS($N$5:$N$3004,$C$5:$C$3004,R290,$O$5:$O$3004,"CONCLUÍDA")))</f>
        <v/>
      </c>
      <c r="Z290" s="2">
        <f>IF(R290="","",IF(COUNTIFS($C$5:$C$3004,R290,$O$5:$O$3004,"EM ANDAMENTO",$N$5:$N$3004,"&gt;=-1")=0,"",_xlfn.MAXIFS($N$5:$N$3004,$C$5:$C$3004,R290,$O$5:$O$3004,"EM ANDAMENTO")))</f>
        <v/>
      </c>
      <c r="AA290" s="2">
        <f>IF(OR(R290="",S290="",U290&lt;&gt;"SIM",V290=0),"",IF(W290+X290=0,"",T290&amp;": "&amp;IF(W290=V290,"concluído",IF(W290=0,"em execução"&amp;IF(Z290&lt;&gt;""," ("&amp;IF(Z290=-1,"subsolo",IF(Z290=0,"térreo",Z290&amp;"º pav."))&amp;")",""),IF(Y290&lt;&gt;"","até "&amp;IF(Y290=-1,"subsolo",IF(Y290=0,"térreo",Y290&amp;"º pav.")),W290&amp;" de "&amp;V290&amp;" concluídas")&amp;IF(Z290="","",IF(OR(Y290="",Z290&gt;Y290),", executando "&amp;IF(Z290=-1,"subsolo",IF(Z290=0,"térreo",Z290&amp;"º pav."))," (restam serviços no "&amp;IF(Z290=-1,"subsolo",IF(Z290=0,"térreo",Z290&amp;"º pav."))&amp;")"))))))</f>
        <v/>
      </c>
    </row>
    <row r="291">
      <c r="B291" s="4" t="n">
        <v>31528972</v>
      </c>
      <c r="C291" s="4" t="inlineStr">
        <is>
          <t>ESTRUTURA</t>
        </is>
      </c>
      <c r="D291" s="4" t="inlineStr">
        <is>
          <t>Forma</t>
        </is>
      </c>
      <c r="E291" s="4" t="inlineStr">
        <is>
          <t>6º PAV - PILOTIS</t>
        </is>
      </c>
      <c r="F291" s="118" t="n">
        <v>46391</v>
      </c>
      <c r="G291" s="118" t="n">
        <v>46406</v>
      </c>
      <c r="H291" s="118" t="n">
        <v>46289</v>
      </c>
      <c r="I291" s="4" t="n">
        <v>0</v>
      </c>
      <c r="J291" s="4" t="n">
        <v>0</v>
      </c>
      <c r="K291" s="4" t="n">
        <v>0</v>
      </c>
      <c r="M291" s="2">
        <f>IF(C291="","",IFERROR(INDEX($S$5:$S$304,MATCH(C291,$R$5:$R$304,0))&amp;"","?"))</f>
        <v/>
      </c>
      <c r="N291" s="2">
        <f>IF(E291="","",IF(LEFT(E291,7)="SUBSOLO",-1,IF(LEFT(E291,6)="TÉRREO",0,IFERROR(VALUE(LEFT(E291,FIND("º",SUBSTITUTE(E291,"°","º"))-1)),""))))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IF(R291="","",COUNTIF($C$5:$C$3004,R291))</f>
        <v/>
      </c>
      <c r="W291" s="2">
        <f>IF(R291="","",COUNTIFS($C$5:$C$3004,R291,$O$5:$O$3004,"CONCLUÍDA"))</f>
        <v/>
      </c>
      <c r="X291" s="2">
        <f>IF(R291="","",COUNTIFS($C$5:$C$3004,R291,$O$5:$O$3004,"EM ANDAMENTO"))</f>
        <v/>
      </c>
      <c r="Y291" s="2">
        <f>IF(R291="","",IF(COUNTIFS($C$5:$C$3004,R291,$O$5:$O$3004,"CONCLUÍDA",$N$5:$N$3004,"&gt;=-1")=0,"",_xlfn.MAXIFS($N$5:$N$3004,$C$5:$C$3004,R291,$O$5:$O$3004,"CONCLUÍDA")))</f>
        <v/>
      </c>
      <c r="Z291" s="2">
        <f>IF(R291="","",IF(COUNTIFS($C$5:$C$3004,R291,$O$5:$O$3004,"EM ANDAMENTO",$N$5:$N$3004,"&gt;=-1")=0,"",_xlfn.MAXIFS($N$5:$N$3004,$C$5:$C$3004,R291,$O$5:$O$3004,"EM ANDAMENTO")))</f>
        <v/>
      </c>
      <c r="AA291" s="2">
        <f>IF(OR(R291="",S291="",U291&lt;&gt;"SIM",V291=0),"",IF(W291+X291=0,"",T291&amp;": "&amp;IF(W291=V291,"concluído",IF(W291=0,"em execução"&amp;IF(Z291&lt;&gt;""," ("&amp;IF(Z291=-1,"subsolo",IF(Z291=0,"térreo",Z291&amp;"º pav."))&amp;")",""),IF(Y291&lt;&gt;"","até "&amp;IF(Y291=-1,"subsolo",IF(Y291=0,"térreo",Y291&amp;"º pav.")),W291&amp;" de "&amp;V291&amp;" concluídas")&amp;IF(Z291="","",IF(OR(Y291="",Z291&gt;Y291),", executando "&amp;IF(Z291=-1,"subsolo",IF(Z291=0,"térreo",Z291&amp;"º pav."))," (restam serviços no "&amp;IF(Z291=-1,"subsolo",IF(Z291=0,"térreo",Z291&amp;"º pav."))&amp;")"))))))</f>
        <v/>
      </c>
    </row>
    <row r="292">
      <c r="B292" s="4" t="n">
        <v>31528973</v>
      </c>
      <c r="C292" s="4" t="inlineStr">
        <is>
          <t>ESTRUTURA</t>
        </is>
      </c>
      <c r="D292" s="4" t="inlineStr">
        <is>
          <t>Armação</t>
        </is>
      </c>
      <c r="E292" s="4" t="inlineStr">
        <is>
          <t>6º PAV - PILOTIS</t>
        </is>
      </c>
      <c r="F292" s="118" t="n">
        <v>46407</v>
      </c>
      <c r="G292" s="118" t="n">
        <v>46413</v>
      </c>
      <c r="H292" s="118" t="n">
        <v>46289</v>
      </c>
      <c r="I292" s="4" t="n">
        <v>0</v>
      </c>
      <c r="J292" s="4" t="n">
        <v>0</v>
      </c>
      <c r="K292" s="4" t="n">
        <v>0</v>
      </c>
      <c r="M292" s="2">
        <f>IF(C292="","",IFERROR(INDEX($S$5:$S$304,MATCH(C292,$R$5:$R$304,0))&amp;"","?"))</f>
        <v/>
      </c>
      <c r="N292" s="2">
        <f>IF(E292="","",IF(LEFT(E292,7)="SUBSOLO",-1,IF(LEFT(E292,6)="TÉRREO",0,IFERROR(VALUE(LEFT(E292,FIND("º",SUBSTITUTE(E292,"°","º"))-1)),""))))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IF(R292="","",COUNTIF($C$5:$C$3004,R292))</f>
        <v/>
      </c>
      <c r="W292" s="2">
        <f>IF(R292="","",COUNTIFS($C$5:$C$3004,R292,$O$5:$O$3004,"CONCLUÍDA"))</f>
        <v/>
      </c>
      <c r="X292" s="2">
        <f>IF(R292="","",COUNTIFS($C$5:$C$3004,R292,$O$5:$O$3004,"EM ANDAMENTO"))</f>
        <v/>
      </c>
      <c r="Y292" s="2">
        <f>IF(R292="","",IF(COUNTIFS($C$5:$C$3004,R292,$O$5:$O$3004,"CONCLUÍDA",$N$5:$N$3004,"&gt;=-1")=0,"",_xlfn.MAXIFS($N$5:$N$3004,$C$5:$C$3004,R292,$O$5:$O$3004,"CONCLUÍDA")))</f>
        <v/>
      </c>
      <c r="Z292" s="2">
        <f>IF(R292="","",IF(COUNTIFS($C$5:$C$3004,R292,$O$5:$O$3004,"EM ANDAMENTO",$N$5:$N$3004,"&gt;=-1")=0,"",_xlfn.MAXIFS($N$5:$N$3004,$C$5:$C$3004,R292,$O$5:$O$3004,"EM ANDAMENTO")))</f>
        <v/>
      </c>
      <c r="AA292" s="2">
        <f>IF(OR(R292="",S292="",U292&lt;&gt;"SIM",V292=0),"",IF(W292+X292=0,"",T292&amp;": "&amp;IF(W292=V292,"concluído",IF(W292=0,"em execução"&amp;IF(Z292&lt;&gt;""," ("&amp;IF(Z292=-1,"subsolo",IF(Z292=0,"térreo",Z292&amp;"º pav."))&amp;")",""),IF(Y292&lt;&gt;"","até "&amp;IF(Y292=-1,"subsolo",IF(Y292=0,"térreo",Y292&amp;"º pav.")),W292&amp;" de "&amp;V292&amp;" concluídas")&amp;IF(Z292="","",IF(OR(Y292="",Z292&gt;Y292),", executando "&amp;IF(Z292=-1,"subsolo",IF(Z292=0,"térreo",Z292&amp;"º pav."))," (restam serviços no "&amp;IF(Z292=-1,"subsolo",IF(Z292=0,"térreo",Z292&amp;"º pav."))&amp;")"))))))</f>
        <v/>
      </c>
    </row>
    <row r="293">
      <c r="B293" s="4" t="n">
        <v>31528974</v>
      </c>
      <c r="C293" s="4" t="inlineStr">
        <is>
          <t>ESTRUTURA</t>
        </is>
      </c>
      <c r="D293" s="4" t="inlineStr">
        <is>
          <t>Concretagem</t>
        </is>
      </c>
      <c r="E293" s="4" t="inlineStr">
        <is>
          <t>6º PAV - PILOTIS</t>
        </is>
      </c>
      <c r="F293" s="118" t="n">
        <v>46414</v>
      </c>
      <c r="G293" s="118" t="n">
        <v>46414</v>
      </c>
      <c r="H293" s="118" t="n">
        <v>46289</v>
      </c>
      <c r="I293" s="4" t="n">
        <v>0</v>
      </c>
      <c r="J293" s="4" t="n">
        <v>0</v>
      </c>
      <c r="K293" s="4" t="n">
        <v>0</v>
      </c>
      <c r="M293" s="2">
        <f>IF(C293="","",IFERROR(INDEX($S$5:$S$304,MATCH(C293,$R$5:$R$304,0))&amp;"","?"))</f>
        <v/>
      </c>
      <c r="N293" s="2">
        <f>IF(E293="","",IF(LEFT(E293,7)="SUBSOLO",-1,IF(LEFT(E293,6)="TÉRREO",0,IFERROR(VALUE(LEFT(E293,FIND("º",SUBSTITUTE(E293,"°","º"))-1)),""))))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IF(R293="","",COUNTIF($C$5:$C$3004,R293))</f>
        <v/>
      </c>
      <c r="W293" s="2">
        <f>IF(R293="","",COUNTIFS($C$5:$C$3004,R293,$O$5:$O$3004,"CONCLUÍDA"))</f>
        <v/>
      </c>
      <c r="X293" s="2">
        <f>IF(R293="","",COUNTIFS($C$5:$C$3004,R293,$O$5:$O$3004,"EM ANDAMENTO"))</f>
        <v/>
      </c>
      <c r="Y293" s="2">
        <f>IF(R293="","",IF(COUNTIFS($C$5:$C$3004,R293,$O$5:$O$3004,"CONCLUÍDA",$N$5:$N$3004,"&gt;=-1")=0,"",_xlfn.MAXIFS($N$5:$N$3004,$C$5:$C$3004,R293,$O$5:$O$3004,"CONCLUÍDA")))</f>
        <v/>
      </c>
      <c r="Z293" s="2">
        <f>IF(R293="","",IF(COUNTIFS($C$5:$C$3004,R293,$O$5:$O$3004,"EM ANDAMENTO",$N$5:$N$3004,"&gt;=-1")=0,"",_xlfn.MAXIFS($N$5:$N$3004,$C$5:$C$3004,R293,$O$5:$O$3004,"EM ANDAMENTO")))</f>
        <v/>
      </c>
      <c r="AA293" s="2">
        <f>IF(OR(R293="",S293="",U293&lt;&gt;"SIM",V293=0),"",IF(W293+X293=0,"",T293&amp;": "&amp;IF(W293=V293,"concluído",IF(W293=0,"em execução"&amp;IF(Z293&lt;&gt;""," ("&amp;IF(Z293=-1,"subsolo",IF(Z293=0,"térreo",Z293&amp;"º pav."))&amp;")",""),IF(Y293&lt;&gt;"","até "&amp;IF(Y293=-1,"subsolo",IF(Y293=0,"térreo",Y293&amp;"º pav.")),W293&amp;" de "&amp;V293&amp;" concluídas")&amp;IF(Z293="","",IF(OR(Y293="",Z293&gt;Y293),", executando "&amp;IF(Z293=-1,"subsolo",IF(Z293=0,"térreo",Z293&amp;"º pav."))," (restam serviços no "&amp;IF(Z293=-1,"subsolo",IF(Z293=0,"térreo",Z293&amp;"º pav."))&amp;")"))))))</f>
        <v/>
      </c>
    </row>
    <row r="294">
      <c r="B294" s="4" t="n">
        <v>31528975</v>
      </c>
      <c r="C294" s="4" t="inlineStr">
        <is>
          <t>ESTRUTURA</t>
        </is>
      </c>
      <c r="D294" s="4" t="inlineStr">
        <is>
          <t>Polimento</t>
        </is>
      </c>
      <c r="E294" s="4" t="inlineStr">
        <is>
          <t>6º PAV - PILOTIS</t>
        </is>
      </c>
      <c r="F294" s="118" t="n">
        <v>46414</v>
      </c>
      <c r="G294" s="118" t="n">
        <v>46414</v>
      </c>
      <c r="H294" s="118" t="n">
        <v>46289</v>
      </c>
      <c r="I294" s="4" t="n">
        <v>0</v>
      </c>
      <c r="J294" s="4" t="n">
        <v>0</v>
      </c>
      <c r="K294" s="4" t="n">
        <v>0</v>
      </c>
      <c r="M294" s="2">
        <f>IF(C294="","",IFERROR(INDEX($S$5:$S$304,MATCH(C294,$R$5:$R$304,0))&amp;"","?"))</f>
        <v/>
      </c>
      <c r="N294" s="2">
        <f>IF(E294="","",IF(LEFT(E294,7)="SUBSOLO",-1,IF(LEFT(E294,6)="TÉRREO",0,IFERROR(VALUE(LEFT(E294,FIND("º",SUBSTITUTE(E294,"°","º"))-1)),""))))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IF(R294="","",COUNTIF($C$5:$C$3004,R294))</f>
        <v/>
      </c>
      <c r="W294" s="2">
        <f>IF(R294="","",COUNTIFS($C$5:$C$3004,R294,$O$5:$O$3004,"CONCLUÍDA"))</f>
        <v/>
      </c>
      <c r="X294" s="2">
        <f>IF(R294="","",COUNTIFS($C$5:$C$3004,R294,$O$5:$O$3004,"EM ANDAMENTO"))</f>
        <v/>
      </c>
      <c r="Y294" s="2">
        <f>IF(R294="","",IF(COUNTIFS($C$5:$C$3004,R294,$O$5:$O$3004,"CONCLUÍDA",$N$5:$N$3004,"&gt;=-1")=0,"",_xlfn.MAXIFS($N$5:$N$3004,$C$5:$C$3004,R294,$O$5:$O$3004,"CONCLUÍDA")))</f>
        <v/>
      </c>
      <c r="Z294" s="2">
        <f>IF(R294="","",IF(COUNTIFS($C$5:$C$3004,R294,$O$5:$O$3004,"EM ANDAMENTO",$N$5:$N$3004,"&gt;=-1")=0,"",_xlfn.MAXIFS($N$5:$N$3004,$C$5:$C$3004,R294,$O$5:$O$3004,"EM ANDAMENTO")))</f>
        <v/>
      </c>
      <c r="AA294" s="2">
        <f>IF(OR(R294="",S294="",U294&lt;&gt;"SIM",V294=0),"",IF(W294+X294=0,"",T294&amp;": "&amp;IF(W294=V294,"concluído",IF(W294=0,"em execução"&amp;IF(Z294&lt;&gt;""," ("&amp;IF(Z294=-1,"subsolo",IF(Z294=0,"térreo",Z294&amp;"º pav."))&amp;")",""),IF(Y294&lt;&gt;"","até "&amp;IF(Y294=-1,"subsolo",IF(Y294=0,"térreo",Y294&amp;"º pav.")),W294&amp;" de "&amp;V294&amp;" concluídas")&amp;IF(Z294="","",IF(OR(Y294="",Z294&gt;Y294),", executando "&amp;IF(Z294=-1,"subsolo",IF(Z294=0,"térreo",Z294&amp;"º pav."))," (restam serviços no "&amp;IF(Z294=-1,"subsolo",IF(Z294=0,"térreo",Z294&amp;"º pav."))&amp;")"))))))</f>
        <v/>
      </c>
    </row>
    <row r="295">
      <c r="B295" s="4" t="n">
        <v>31873345</v>
      </c>
      <c r="C295" s="4" t="inlineStr">
        <is>
          <t>DISTRIBUIÇÃO HIDRÁULICA - INFRAS ENTERRADAS</t>
        </is>
      </c>
      <c r="D295" s="4" t="inlineStr">
        <is>
          <t>-</t>
        </is>
      </c>
      <c r="E295" s="4" t="inlineStr">
        <is>
          <t>SUBSOLO</t>
        </is>
      </c>
      <c r="F295" s="118" t="n">
        <v>46398</v>
      </c>
      <c r="G295" s="118" t="n">
        <v>46423</v>
      </c>
      <c r="H295" s="118" t="n">
        <v>46289</v>
      </c>
      <c r="I295" s="4" t="n">
        <v>0</v>
      </c>
      <c r="J295" s="4" t="n">
        <v>0</v>
      </c>
      <c r="K295" s="4" t="n">
        <v>0</v>
      </c>
      <c r="M295" s="2">
        <f>IF(C295="","",IFERROR(INDEX($S$5:$S$304,MATCH(C295,$R$5:$R$304,0))&amp;"","?"))</f>
        <v/>
      </c>
      <c r="N295" s="2">
        <f>IF(E295="","",IF(LEFT(E295,7)="SUBSOLO",-1,IF(LEFT(E295,6)="TÉRREO",0,IFERROR(VALUE(LEFT(E295,FIND("º",SUBSTITUTE(E295,"°","º"))-1)),""))))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IF(R295="","",COUNTIF($C$5:$C$3004,R295))</f>
        <v/>
      </c>
      <c r="W295" s="2">
        <f>IF(R295="","",COUNTIFS($C$5:$C$3004,R295,$O$5:$O$3004,"CONCLUÍDA"))</f>
        <v/>
      </c>
      <c r="X295" s="2">
        <f>IF(R295="","",COUNTIFS($C$5:$C$3004,R295,$O$5:$O$3004,"EM ANDAMENTO"))</f>
        <v/>
      </c>
      <c r="Y295" s="2">
        <f>IF(R295="","",IF(COUNTIFS($C$5:$C$3004,R295,$O$5:$O$3004,"CONCLUÍDA",$N$5:$N$3004,"&gt;=-1")=0,"",_xlfn.MAXIFS($N$5:$N$3004,$C$5:$C$3004,R295,$O$5:$O$3004,"CONCLUÍDA")))</f>
        <v/>
      </c>
      <c r="Z295" s="2">
        <f>IF(R295="","",IF(COUNTIFS($C$5:$C$3004,R295,$O$5:$O$3004,"EM ANDAMENTO",$N$5:$N$3004,"&gt;=-1")=0,"",_xlfn.MAXIFS($N$5:$N$3004,$C$5:$C$3004,R295,$O$5:$O$3004,"EM ANDAMENTO")))</f>
        <v/>
      </c>
      <c r="AA295" s="2">
        <f>IF(OR(R295="",S295="",U295&lt;&gt;"SIM",V295=0),"",IF(W295+X295=0,"",T295&amp;": "&amp;IF(W295=V295,"concluído",IF(W295=0,"em execução"&amp;IF(Z295&lt;&gt;""," ("&amp;IF(Z295=-1,"subsolo",IF(Z295=0,"térreo",Z295&amp;"º pav."))&amp;")",""),IF(Y295&lt;&gt;"","até "&amp;IF(Y295=-1,"subsolo",IF(Y295=0,"térreo",Y295&amp;"º pav.")),W295&amp;" de "&amp;V295&amp;" concluídas")&amp;IF(Z295="","",IF(OR(Y295="",Z295&gt;Y295),", executando "&amp;IF(Z295=-1,"subsolo",IF(Z295=0,"térreo",Z295&amp;"º pav."))," (restam serviços no "&amp;IF(Z295=-1,"subsolo",IF(Z295=0,"térreo",Z295&amp;"º pav."))&amp;")"))))))</f>
        <v/>
      </c>
    </row>
    <row r="296">
      <c r="B296" s="4" t="n">
        <v>30205756</v>
      </c>
      <c r="C296" s="4" t="inlineStr">
        <is>
          <t>ENTRADA DE ENERGIA</t>
        </is>
      </c>
      <c r="D296" s="4" t="inlineStr">
        <is>
          <t>-</t>
        </is>
      </c>
      <c r="E296" s="4" t="inlineStr">
        <is>
          <t>SUBSOLO</t>
        </is>
      </c>
      <c r="F296" s="118" t="n">
        <v>46405</v>
      </c>
      <c r="G296" s="118" t="n">
        <v>46423</v>
      </c>
      <c r="H296" s="118" t="n">
        <v>46289</v>
      </c>
      <c r="I296" s="4" t="n">
        <v>0</v>
      </c>
      <c r="J296" s="4" t="n">
        <v>0</v>
      </c>
      <c r="K296" s="4" t="n">
        <v>0</v>
      </c>
      <c r="M296" s="2">
        <f>IF(C296="","",IFERROR(INDEX($S$5:$S$304,MATCH(C296,$R$5:$R$304,0))&amp;"","?"))</f>
        <v/>
      </c>
      <c r="N296" s="2">
        <f>IF(E296="","",IF(LEFT(E296,7)="SUBSOLO",-1,IF(LEFT(E296,6)="TÉRREO",0,IFERROR(VALUE(LEFT(E296,FIND("º",SUBSTITUTE(E296,"°","º"))-1)),""))))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IF(R296="","",COUNTIF($C$5:$C$3004,R296))</f>
        <v/>
      </c>
      <c r="W296" s="2">
        <f>IF(R296="","",COUNTIFS($C$5:$C$3004,R296,$O$5:$O$3004,"CONCLUÍDA"))</f>
        <v/>
      </c>
      <c r="X296" s="2">
        <f>IF(R296="","",COUNTIFS($C$5:$C$3004,R296,$O$5:$O$3004,"EM ANDAMENTO"))</f>
        <v/>
      </c>
      <c r="Y296" s="2">
        <f>IF(R296="","",IF(COUNTIFS($C$5:$C$3004,R296,$O$5:$O$3004,"CONCLUÍDA",$N$5:$N$3004,"&gt;=-1")=0,"",_xlfn.MAXIFS($N$5:$N$3004,$C$5:$C$3004,R296,$O$5:$O$3004,"CONCLUÍDA")))</f>
        <v/>
      </c>
      <c r="Z296" s="2">
        <f>IF(R296="","",IF(COUNTIFS($C$5:$C$3004,R296,$O$5:$O$3004,"EM ANDAMENTO",$N$5:$N$3004,"&gt;=-1")=0,"",_xlfn.MAXIFS($N$5:$N$3004,$C$5:$C$3004,R296,$O$5:$O$3004,"EM ANDAMENTO")))</f>
        <v/>
      </c>
      <c r="AA296" s="2">
        <f>IF(OR(R296="",S296="",U296&lt;&gt;"SIM",V296=0),"",IF(W296+X296=0,"",T296&amp;": "&amp;IF(W296=V296,"concluído",IF(W296=0,"em execução"&amp;IF(Z296&lt;&gt;""," ("&amp;IF(Z296=-1,"subsolo",IF(Z296=0,"térreo",Z296&amp;"º pav."))&amp;")",""),IF(Y296&lt;&gt;"","até "&amp;IF(Y296=-1,"subsolo",IF(Y296=0,"térreo",Y296&amp;"º pav.")),W296&amp;" de "&amp;V296&amp;" concluídas")&amp;IF(Z296="","",IF(OR(Y296="",Z296&gt;Y296),", executando "&amp;IF(Z296=-1,"subsolo",IF(Z296=0,"térreo",Z296&amp;"º pav."))," (restam serviços no "&amp;IF(Z296=-1,"subsolo",IF(Z296=0,"térreo",Z296&amp;"º pav."))&amp;")"))))))</f>
        <v/>
      </c>
    </row>
    <row r="297">
      <c r="B297" s="4" t="n">
        <v>39887260</v>
      </c>
      <c r="C297" s="4" t="inlineStr">
        <is>
          <t>ESTRUTURA IGREJA</t>
        </is>
      </c>
      <c r="D297" s="4" t="inlineStr">
        <is>
          <t>-</t>
        </is>
      </c>
      <c r="E297" s="4" t="inlineStr">
        <is>
          <t>TÉRREO - GERAL</t>
        </is>
      </c>
      <c r="F297" s="118" t="n">
        <v>46405</v>
      </c>
      <c r="G297" s="118" t="n">
        <v>46420</v>
      </c>
      <c r="H297" s="118" t="n">
        <v>46289</v>
      </c>
      <c r="I297" s="4" t="n">
        <v>0</v>
      </c>
      <c r="J297" s="4" t="n">
        <v>0</v>
      </c>
      <c r="K297" s="4" t="n">
        <v>0</v>
      </c>
      <c r="M297" s="2">
        <f>IF(C297="","",IFERROR(INDEX($S$5:$S$304,MATCH(C297,$R$5:$R$304,0))&amp;"","?"))</f>
        <v/>
      </c>
      <c r="N297" s="2">
        <f>IF(E297="","",IF(LEFT(E297,7)="SUBSOLO",-1,IF(LEFT(E297,6)="TÉRREO",0,IFERROR(VALUE(LEFT(E297,FIND("º",SUBSTITUTE(E297,"°","º"))-1)),""))))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IF(R297="","",COUNTIF($C$5:$C$3004,R297))</f>
        <v/>
      </c>
      <c r="W297" s="2">
        <f>IF(R297="","",COUNTIFS($C$5:$C$3004,R297,$O$5:$O$3004,"CONCLUÍDA"))</f>
        <v/>
      </c>
      <c r="X297" s="2">
        <f>IF(R297="","",COUNTIFS($C$5:$C$3004,R297,$O$5:$O$3004,"EM ANDAMENTO"))</f>
        <v/>
      </c>
      <c r="Y297" s="2">
        <f>IF(R297="","",IF(COUNTIFS($C$5:$C$3004,R297,$O$5:$O$3004,"CONCLUÍDA",$N$5:$N$3004,"&gt;=-1")=0,"",_xlfn.MAXIFS($N$5:$N$3004,$C$5:$C$3004,R297,$O$5:$O$3004,"CONCLUÍDA")))</f>
        <v/>
      </c>
      <c r="Z297" s="2">
        <f>IF(R297="","",IF(COUNTIFS($C$5:$C$3004,R297,$O$5:$O$3004,"EM ANDAMENTO",$N$5:$N$3004,"&gt;=-1")=0,"",_xlfn.MAXIFS($N$5:$N$3004,$C$5:$C$3004,R297,$O$5:$O$3004,"EM ANDAMENTO")))</f>
        <v/>
      </c>
      <c r="AA297" s="2">
        <f>IF(OR(R297="",S297="",U297&lt;&gt;"SIM",V297=0),"",IF(W297+X297=0,"",T297&amp;": "&amp;IF(W297=V297,"concluído",IF(W297=0,"em execução"&amp;IF(Z297&lt;&gt;""," ("&amp;IF(Z297=-1,"subsolo",IF(Z297=0,"térreo",Z297&amp;"º pav."))&amp;")",""),IF(Y297&lt;&gt;"","até "&amp;IF(Y297=-1,"subsolo",IF(Y297=0,"térreo",Y297&amp;"º pav.")),W297&amp;" de "&amp;V297&amp;" concluídas")&amp;IF(Z297="","",IF(OR(Y297="",Z297&gt;Y297),", executando "&amp;IF(Z297=-1,"subsolo",IF(Z297=0,"térreo",Z297&amp;"º pav."))," (restam serviços no "&amp;IF(Z297=-1,"subsolo",IF(Z297=0,"térreo",Z297&amp;"º pav."))&amp;")"))))))</f>
        <v/>
      </c>
    </row>
    <row r="298">
      <c r="B298" s="4" t="n">
        <v>29940932</v>
      </c>
      <c r="C298" s="4" t="inlineStr">
        <is>
          <t>ESTRUTURA</t>
        </is>
      </c>
      <c r="D298" s="4" t="inlineStr">
        <is>
          <t>-</t>
        </is>
      </c>
      <c r="E298" s="4" t="inlineStr">
        <is>
          <t>7º PAV.</t>
        </is>
      </c>
      <c r="F298" s="118" t="n">
        <v>46415</v>
      </c>
      <c r="G298" s="118" t="n">
        <v>46430</v>
      </c>
      <c r="H298" s="118" t="n">
        <v>46289</v>
      </c>
      <c r="I298" s="4" t="n">
        <v>0</v>
      </c>
      <c r="J298" s="4" t="n">
        <v>0</v>
      </c>
      <c r="K298" s="4" t="n">
        <v>0</v>
      </c>
      <c r="M298" s="2">
        <f>IF(C298="","",IFERROR(INDEX($S$5:$S$304,MATCH(C298,$R$5:$R$304,0))&amp;"","?"))</f>
        <v/>
      </c>
      <c r="N298" s="2">
        <f>IF(E298="","",IF(LEFT(E298,7)="SUBSOLO",-1,IF(LEFT(E298,6)="TÉRREO",0,IFERROR(VALUE(LEFT(E298,FIND("º",SUBSTITUTE(E298,"°","º"))-1)),""))))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IF(R298="","",COUNTIF($C$5:$C$3004,R298))</f>
        <v/>
      </c>
      <c r="W298" s="2">
        <f>IF(R298="","",COUNTIFS($C$5:$C$3004,R298,$O$5:$O$3004,"CONCLUÍDA"))</f>
        <v/>
      </c>
      <c r="X298" s="2">
        <f>IF(R298="","",COUNTIFS($C$5:$C$3004,R298,$O$5:$O$3004,"EM ANDAMENTO"))</f>
        <v/>
      </c>
      <c r="Y298" s="2">
        <f>IF(R298="","",IF(COUNTIFS($C$5:$C$3004,R298,$O$5:$O$3004,"CONCLUÍDA",$N$5:$N$3004,"&gt;=-1")=0,"",_xlfn.MAXIFS($N$5:$N$3004,$C$5:$C$3004,R298,$O$5:$O$3004,"CONCLUÍDA")))</f>
        <v/>
      </c>
      <c r="Z298" s="2">
        <f>IF(R298="","",IF(COUNTIFS($C$5:$C$3004,R298,$O$5:$O$3004,"EM ANDAMENTO",$N$5:$N$3004,"&gt;=-1")=0,"",_xlfn.MAXIFS($N$5:$N$3004,$C$5:$C$3004,R298,$O$5:$O$3004,"EM ANDAMENTO")))</f>
        <v/>
      </c>
      <c r="AA298" s="2">
        <f>IF(OR(R298="",S298="",U298&lt;&gt;"SIM",V298=0),"",IF(W298+X298=0,"",T298&amp;": "&amp;IF(W298=V298,"concluído",IF(W298=0,"em execução"&amp;IF(Z298&lt;&gt;""," ("&amp;IF(Z298=-1,"subsolo",IF(Z298=0,"térreo",Z298&amp;"º pav."))&amp;")",""),IF(Y298&lt;&gt;"","até "&amp;IF(Y298=-1,"subsolo",IF(Y298=0,"térreo",Y298&amp;"º pav.")),W298&amp;" de "&amp;V298&amp;" concluídas")&amp;IF(Z298="","",IF(OR(Y298="",Z298&gt;Y298),", executando "&amp;IF(Z298=-1,"subsolo",IF(Z298=0,"térreo",Z298&amp;"º pav."))," (restam serviços no "&amp;IF(Z298=-1,"subsolo",IF(Z298=0,"térreo",Z298&amp;"º pav."))&amp;")"))))))</f>
        <v/>
      </c>
    </row>
    <row r="299">
      <c r="B299" s="4" t="n">
        <v>31528976</v>
      </c>
      <c r="C299" s="4" t="inlineStr">
        <is>
          <t>ESTRUTURA</t>
        </is>
      </c>
      <c r="D299" s="4" t="inlineStr">
        <is>
          <t>Forma</t>
        </is>
      </c>
      <c r="E299" s="4" t="inlineStr">
        <is>
          <t>7º PAV.</t>
        </is>
      </c>
      <c r="F299" s="118" t="n">
        <v>46415</v>
      </c>
      <c r="G299" s="118" t="n">
        <v>46423</v>
      </c>
      <c r="H299" s="118" t="n">
        <v>46289</v>
      </c>
      <c r="I299" s="4" t="n">
        <v>0</v>
      </c>
      <c r="J299" s="4" t="n">
        <v>0</v>
      </c>
      <c r="K299" s="4" t="n">
        <v>0</v>
      </c>
      <c r="M299" s="2">
        <f>IF(C299="","",IFERROR(INDEX($S$5:$S$304,MATCH(C299,$R$5:$R$304,0))&amp;"","?"))</f>
        <v/>
      </c>
      <c r="N299" s="2">
        <f>IF(E299="","",IF(LEFT(E299,7)="SUBSOLO",-1,IF(LEFT(E299,6)="TÉRREO",0,IFERROR(VALUE(LEFT(E299,FIND("º",SUBSTITUTE(E299,"°","º"))-1)),""))))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IF(R299="","",COUNTIF($C$5:$C$3004,R299))</f>
        <v/>
      </c>
      <c r="W299" s="2">
        <f>IF(R299="","",COUNTIFS($C$5:$C$3004,R299,$O$5:$O$3004,"CONCLUÍDA"))</f>
        <v/>
      </c>
      <c r="X299" s="2">
        <f>IF(R299="","",COUNTIFS($C$5:$C$3004,R299,$O$5:$O$3004,"EM ANDAMENTO"))</f>
        <v/>
      </c>
      <c r="Y299" s="2">
        <f>IF(R299="","",IF(COUNTIFS($C$5:$C$3004,R299,$O$5:$O$3004,"CONCLUÍDA",$N$5:$N$3004,"&gt;=-1")=0,"",_xlfn.MAXIFS($N$5:$N$3004,$C$5:$C$3004,R299,$O$5:$O$3004,"CONCLUÍDA")))</f>
        <v/>
      </c>
      <c r="Z299" s="2">
        <f>IF(R299="","",IF(COUNTIFS($C$5:$C$3004,R299,$O$5:$O$3004,"EM ANDAMENTO",$N$5:$N$3004,"&gt;=-1")=0,"",_xlfn.MAXIFS($N$5:$N$3004,$C$5:$C$3004,R299,$O$5:$O$3004,"EM ANDAMENTO")))</f>
        <v/>
      </c>
      <c r="AA299" s="2">
        <f>IF(OR(R299="",S299="",U299&lt;&gt;"SIM",V299=0),"",IF(W299+X299=0,"",T299&amp;": "&amp;IF(W299=V299,"concluído",IF(W299=0,"em execução"&amp;IF(Z299&lt;&gt;""," ("&amp;IF(Z299=-1,"subsolo",IF(Z299=0,"térreo",Z299&amp;"º pav."))&amp;")",""),IF(Y299&lt;&gt;"","até "&amp;IF(Y299=-1,"subsolo",IF(Y299=0,"térreo",Y299&amp;"º pav.")),W299&amp;" de "&amp;V299&amp;" concluídas")&amp;IF(Z299="","",IF(OR(Y299="",Z299&gt;Y299),", executando "&amp;IF(Z299=-1,"subsolo",IF(Z299=0,"térreo",Z299&amp;"º pav."))," (restam serviços no "&amp;IF(Z299=-1,"subsolo",IF(Z299=0,"térreo",Z299&amp;"º pav."))&amp;")"))))))</f>
        <v/>
      </c>
    </row>
    <row r="300">
      <c r="B300" s="4" t="n">
        <v>31528977</v>
      </c>
      <c r="C300" s="4" t="inlineStr">
        <is>
          <t>ESTRUTURA</t>
        </is>
      </c>
      <c r="D300" s="4" t="inlineStr">
        <is>
          <t>Armação</t>
        </is>
      </c>
      <c r="E300" s="4" t="inlineStr">
        <is>
          <t>7º PAV.</t>
        </is>
      </c>
      <c r="F300" s="118" t="n">
        <v>46426</v>
      </c>
      <c r="G300" s="118" t="n">
        <v>46429</v>
      </c>
      <c r="H300" s="118" t="n">
        <v>46289</v>
      </c>
      <c r="I300" s="4" t="n">
        <v>0</v>
      </c>
      <c r="J300" s="4" t="n">
        <v>0</v>
      </c>
      <c r="K300" s="4" t="n">
        <v>0</v>
      </c>
      <c r="M300" s="2">
        <f>IF(C300="","",IFERROR(INDEX($S$5:$S$304,MATCH(C300,$R$5:$R$304,0))&amp;"","?"))</f>
        <v/>
      </c>
      <c r="N300" s="2">
        <f>IF(E300="","",IF(LEFT(E300,7)="SUBSOLO",-1,IF(LEFT(E300,6)="TÉRREO",0,IFERROR(VALUE(LEFT(E300,FIND("º",SUBSTITUTE(E300,"°","º"))-1)),""))))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IF(R300="","",COUNTIF($C$5:$C$3004,R300))</f>
        <v/>
      </c>
      <c r="W300" s="2">
        <f>IF(R300="","",COUNTIFS($C$5:$C$3004,R300,$O$5:$O$3004,"CONCLUÍDA"))</f>
        <v/>
      </c>
      <c r="X300" s="2">
        <f>IF(R300="","",COUNTIFS($C$5:$C$3004,R300,$O$5:$O$3004,"EM ANDAMENTO"))</f>
        <v/>
      </c>
      <c r="Y300" s="2">
        <f>IF(R300="","",IF(COUNTIFS($C$5:$C$3004,R300,$O$5:$O$3004,"CONCLUÍDA",$N$5:$N$3004,"&gt;=-1")=0,"",_xlfn.MAXIFS($N$5:$N$3004,$C$5:$C$3004,R300,$O$5:$O$3004,"CONCLUÍDA")))</f>
        <v/>
      </c>
      <c r="Z300" s="2">
        <f>IF(R300="","",IF(COUNTIFS($C$5:$C$3004,R300,$O$5:$O$3004,"EM ANDAMENTO",$N$5:$N$3004,"&gt;=-1")=0,"",_xlfn.MAXIFS($N$5:$N$3004,$C$5:$C$3004,R300,$O$5:$O$3004,"EM ANDAMENTO")))</f>
        <v/>
      </c>
      <c r="AA300" s="2">
        <f>IF(OR(R300="",S300="",U300&lt;&gt;"SIM",V300=0),"",IF(W300+X300=0,"",T300&amp;": "&amp;IF(W300=V300,"concluído",IF(W300=0,"em execução"&amp;IF(Z300&lt;&gt;""," ("&amp;IF(Z300=-1,"subsolo",IF(Z300=0,"térreo",Z300&amp;"º pav."))&amp;")",""),IF(Y300&lt;&gt;"","até "&amp;IF(Y300=-1,"subsolo",IF(Y300=0,"térreo",Y300&amp;"º pav.")),W300&amp;" de "&amp;V300&amp;" concluídas")&amp;IF(Z300="","",IF(OR(Y300="",Z300&gt;Y300),", executando "&amp;IF(Z300=-1,"subsolo",IF(Z300=0,"térreo",Z300&amp;"º pav."))," (restam serviços no "&amp;IF(Z300=-1,"subsolo",IF(Z300=0,"térreo",Z300&amp;"º pav."))&amp;")"))))))</f>
        <v/>
      </c>
    </row>
    <row r="301">
      <c r="B301" s="4" t="n">
        <v>31528978</v>
      </c>
      <c r="C301" s="4" t="inlineStr">
        <is>
          <t>ESTRUTURA</t>
        </is>
      </c>
      <c r="D301" s="4" t="inlineStr">
        <is>
          <t>Concretagem</t>
        </is>
      </c>
      <c r="E301" s="4" t="inlineStr">
        <is>
          <t>7º PAV.</t>
        </is>
      </c>
      <c r="F301" s="118" t="n">
        <v>46430</v>
      </c>
      <c r="G301" s="118" t="n">
        <v>46430</v>
      </c>
      <c r="H301" s="118" t="n">
        <v>46289</v>
      </c>
      <c r="I301" s="4" t="n">
        <v>0</v>
      </c>
      <c r="J301" s="4" t="n">
        <v>0</v>
      </c>
      <c r="K301" s="4" t="n">
        <v>0</v>
      </c>
      <c r="M301" s="2">
        <f>IF(C301="","",IFERROR(INDEX($S$5:$S$304,MATCH(C301,$R$5:$R$304,0))&amp;"","?"))</f>
        <v/>
      </c>
      <c r="N301" s="2">
        <f>IF(E301="","",IF(LEFT(E301,7)="SUBSOLO",-1,IF(LEFT(E301,6)="TÉRREO",0,IFERROR(VALUE(LEFT(E301,FIND("º",SUBSTITUTE(E301,"°","º"))-1)),""))))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IF(R301="","",COUNTIF($C$5:$C$3004,R301))</f>
        <v/>
      </c>
      <c r="W301" s="2">
        <f>IF(R301="","",COUNTIFS($C$5:$C$3004,R301,$O$5:$O$3004,"CONCLUÍDA"))</f>
        <v/>
      </c>
      <c r="X301" s="2">
        <f>IF(R301="","",COUNTIFS($C$5:$C$3004,R301,$O$5:$O$3004,"EM ANDAMENTO"))</f>
        <v/>
      </c>
      <c r="Y301" s="2">
        <f>IF(R301="","",IF(COUNTIFS($C$5:$C$3004,R301,$O$5:$O$3004,"CONCLUÍDA",$N$5:$N$3004,"&gt;=-1")=0,"",_xlfn.MAXIFS($N$5:$N$3004,$C$5:$C$3004,R301,$O$5:$O$3004,"CONCLUÍDA")))</f>
        <v/>
      </c>
      <c r="Z301" s="2">
        <f>IF(R301="","",IF(COUNTIFS($C$5:$C$3004,R301,$O$5:$O$3004,"EM ANDAMENTO",$N$5:$N$3004,"&gt;=-1")=0,"",_xlfn.MAXIFS($N$5:$N$3004,$C$5:$C$3004,R301,$O$5:$O$3004,"EM ANDAMENTO")))</f>
        <v/>
      </c>
      <c r="AA301" s="2">
        <f>IF(OR(R301="",S301="",U301&lt;&gt;"SIM",V301=0),"",IF(W301+X301=0,"",T301&amp;": "&amp;IF(W301=V301,"concluído",IF(W301=0,"em execução"&amp;IF(Z301&lt;&gt;""," ("&amp;IF(Z301=-1,"subsolo",IF(Z301=0,"térreo",Z301&amp;"º pav."))&amp;")",""),IF(Y301&lt;&gt;"","até "&amp;IF(Y301=-1,"subsolo",IF(Y301=0,"térreo",Y301&amp;"º pav.")),W301&amp;" de "&amp;V301&amp;" concluídas")&amp;IF(Z301="","",IF(OR(Y301="",Z301&gt;Y301),", executando "&amp;IF(Z301=-1,"subsolo",IF(Z301=0,"térreo",Z301&amp;"º pav."))," (restam serviços no "&amp;IF(Z301=-1,"subsolo",IF(Z301=0,"térreo",Z301&amp;"º pav."))&amp;")"))))))</f>
        <v/>
      </c>
    </row>
    <row r="302">
      <c r="B302" s="4" t="n">
        <v>31528979</v>
      </c>
      <c r="C302" s="4" t="inlineStr">
        <is>
          <t>ESTRUTURA</t>
        </is>
      </c>
      <c r="D302" s="4" t="inlineStr">
        <is>
          <t>Polimento</t>
        </is>
      </c>
      <c r="E302" s="4" t="inlineStr">
        <is>
          <t>7º PAV.</t>
        </is>
      </c>
      <c r="F302" s="118" t="n">
        <v>46430</v>
      </c>
      <c r="G302" s="118" t="n">
        <v>46430</v>
      </c>
      <c r="H302" s="118" t="n">
        <v>46289</v>
      </c>
      <c r="I302" s="4" t="n">
        <v>0</v>
      </c>
      <c r="J302" s="4" t="n">
        <v>0</v>
      </c>
      <c r="K302" s="4" t="n">
        <v>0</v>
      </c>
      <c r="M302" s="2">
        <f>IF(C302="","",IFERROR(INDEX($S$5:$S$304,MATCH(C302,$R$5:$R$304,0))&amp;"","?"))</f>
        <v/>
      </c>
      <c r="N302" s="2">
        <f>IF(E302="","",IF(LEFT(E302,7)="SUBSOLO",-1,IF(LEFT(E302,6)="TÉRREO",0,IFERROR(VALUE(LEFT(E302,FIND("º",SUBSTITUTE(E302,"°","º"))-1)),""))))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IF(R302="","",COUNTIF($C$5:$C$3004,R302))</f>
        <v/>
      </c>
      <c r="W302" s="2">
        <f>IF(R302="","",COUNTIFS($C$5:$C$3004,R302,$O$5:$O$3004,"CONCLUÍDA"))</f>
        <v/>
      </c>
      <c r="X302" s="2">
        <f>IF(R302="","",COUNTIFS($C$5:$C$3004,R302,$O$5:$O$3004,"EM ANDAMENTO"))</f>
        <v/>
      </c>
      <c r="Y302" s="2">
        <f>IF(R302="","",IF(COUNTIFS($C$5:$C$3004,R302,$O$5:$O$3004,"CONCLUÍDA",$N$5:$N$3004,"&gt;=-1")=0,"",_xlfn.MAXIFS($N$5:$N$3004,$C$5:$C$3004,R302,$O$5:$O$3004,"CONCLUÍDA")))</f>
        <v/>
      </c>
      <c r="Z302" s="2">
        <f>IF(R302="","",IF(COUNTIFS($C$5:$C$3004,R302,$O$5:$O$3004,"EM ANDAMENTO",$N$5:$N$3004,"&gt;=-1")=0,"",_xlfn.MAXIFS($N$5:$N$3004,$C$5:$C$3004,R302,$O$5:$O$3004,"EM ANDAMENTO")))</f>
        <v/>
      </c>
      <c r="AA302" s="2">
        <f>IF(OR(R302="",S302="",U302&lt;&gt;"SIM",V302=0),"",IF(W302+X302=0,"",T302&amp;": "&amp;IF(W302=V302,"concluído",IF(W302=0,"em execução"&amp;IF(Z302&lt;&gt;""," ("&amp;IF(Z302=-1,"subsolo",IF(Z302=0,"térreo",Z302&amp;"º pav."))&amp;")",""),IF(Y302&lt;&gt;"","até "&amp;IF(Y302=-1,"subsolo",IF(Y302=0,"térreo",Y302&amp;"º pav.")),W302&amp;" de "&amp;V302&amp;" concluídas")&amp;IF(Z302="","",IF(OR(Y302="",Z302&gt;Y302),", executando "&amp;IF(Z302=-1,"subsolo",IF(Z302=0,"térreo",Z302&amp;"º pav."))," (restam serviços no "&amp;IF(Z302=-1,"subsolo",IF(Z302=0,"térreo",Z302&amp;"º pav."))&amp;")"))))))</f>
        <v/>
      </c>
    </row>
    <row r="303">
      <c r="B303" s="4" t="n">
        <v>30171493</v>
      </c>
      <c r="C303" s="4" t="inlineStr">
        <is>
          <t>INFRA ELÉTRICA - TETO</t>
        </is>
      </c>
      <c r="D303" s="4" t="inlineStr">
        <is>
          <t>-</t>
        </is>
      </c>
      <c r="E303" s="4" t="inlineStr">
        <is>
          <t>2º PAV - GARAGEM</t>
        </is>
      </c>
      <c r="F303" s="118" t="n">
        <v>46421</v>
      </c>
      <c r="G303" s="118" t="n">
        <v>46485</v>
      </c>
      <c r="H303" s="118" t="n">
        <v>46289</v>
      </c>
      <c r="I303" s="4" t="n">
        <v>0</v>
      </c>
      <c r="J303" s="4" t="n">
        <v>0</v>
      </c>
      <c r="K303" s="4" t="n">
        <v>0</v>
      </c>
      <c r="M303" s="2">
        <f>IF(C303="","",IFERROR(INDEX($S$5:$S$304,MATCH(C303,$R$5:$R$304,0))&amp;"","?"))</f>
        <v/>
      </c>
      <c r="N303" s="2">
        <f>IF(E303="","",IF(LEFT(E303,7)="SUBSOLO",-1,IF(LEFT(E303,6)="TÉRREO",0,IFERROR(VALUE(LEFT(E303,FIND("º",SUBSTITUTE(E303,"°","º"))-1)),""))))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IF(R303="","",COUNTIF($C$5:$C$3004,R303))</f>
        <v/>
      </c>
      <c r="W303" s="2">
        <f>IF(R303="","",COUNTIFS($C$5:$C$3004,R303,$O$5:$O$3004,"CONCLUÍDA"))</f>
        <v/>
      </c>
      <c r="X303" s="2">
        <f>IF(R303="","",COUNTIFS($C$5:$C$3004,R303,$O$5:$O$3004,"EM ANDAMENTO"))</f>
        <v/>
      </c>
      <c r="Y303" s="2">
        <f>IF(R303="","",IF(COUNTIFS($C$5:$C$3004,R303,$O$5:$O$3004,"CONCLUÍDA",$N$5:$N$3004,"&gt;=-1")=0,"",_xlfn.MAXIFS($N$5:$N$3004,$C$5:$C$3004,R303,$O$5:$O$3004,"CONCLUÍDA")))</f>
        <v/>
      </c>
      <c r="Z303" s="2">
        <f>IF(R303="","",IF(COUNTIFS($C$5:$C$3004,R303,$O$5:$O$3004,"EM ANDAMENTO",$N$5:$N$3004,"&gt;=-1")=0,"",_xlfn.MAXIFS($N$5:$N$3004,$C$5:$C$3004,R303,$O$5:$O$3004,"EM ANDAMENTO")))</f>
        <v/>
      </c>
      <c r="AA303" s="2">
        <f>IF(OR(R303="",S303="",U303&lt;&gt;"SIM",V303=0),"",IF(W303+X303=0,"",T303&amp;": "&amp;IF(W303=V303,"concluído",IF(W303=0,"em execução"&amp;IF(Z303&lt;&gt;""," ("&amp;IF(Z303=-1,"subsolo",IF(Z303=0,"térreo",Z303&amp;"º pav."))&amp;")",""),IF(Y303&lt;&gt;"","até "&amp;IF(Y303=-1,"subsolo",IF(Y303=0,"térreo",Y303&amp;"º pav.")),W303&amp;" de "&amp;V303&amp;" concluídas")&amp;IF(Z303="","",IF(OR(Y303="",Z303&gt;Y303),", executando "&amp;IF(Z303=-1,"subsolo",IF(Z303=0,"térreo",Z303&amp;"º pav."))," (restam serviços no "&amp;IF(Z303=-1,"subsolo",IF(Z303=0,"térreo",Z303&amp;"º pav."))&amp;")"))))))</f>
        <v/>
      </c>
    </row>
    <row r="304">
      <c r="B304" s="4" t="n">
        <v>39887261</v>
      </c>
      <c r="C304" s="4" t="inlineStr">
        <is>
          <t>ESTRUTURA IGREJA</t>
        </is>
      </c>
      <c r="D304" s="4" t="inlineStr">
        <is>
          <t>-</t>
        </is>
      </c>
      <c r="E304" s="4" t="inlineStr">
        <is>
          <t>2º PAV - GARAGEM</t>
        </is>
      </c>
      <c r="F304" s="118" t="n">
        <v>46421</v>
      </c>
      <c r="G304" s="118" t="n">
        <v>46436</v>
      </c>
      <c r="H304" s="118" t="n">
        <v>46289</v>
      </c>
      <c r="I304" s="4" t="n">
        <v>0</v>
      </c>
      <c r="J304" s="4" t="n">
        <v>0</v>
      </c>
      <c r="K304" s="4" t="n">
        <v>0</v>
      </c>
      <c r="M304" s="2">
        <f>IF(C304="","",IFERROR(INDEX($S$5:$S$304,MATCH(C304,$R$5:$R$304,0))&amp;"","?"))</f>
        <v/>
      </c>
      <c r="N304" s="2">
        <f>IF(E304="","",IF(LEFT(E304,7)="SUBSOLO",-1,IF(LEFT(E304,6)="TÉRREO",0,IFERROR(VALUE(LEFT(E304,FIND("º",SUBSTITUTE(E304,"°","º"))-1)),""))))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IF(R304="","",COUNTIF($C$5:$C$3004,R304))</f>
        <v/>
      </c>
      <c r="W304" s="2">
        <f>IF(R304="","",COUNTIFS($C$5:$C$3004,R304,$O$5:$O$3004,"CONCLUÍDA"))</f>
        <v/>
      </c>
      <c r="X304" s="2">
        <f>IF(R304="","",COUNTIFS($C$5:$C$3004,R304,$O$5:$O$3004,"EM ANDAMENTO"))</f>
        <v/>
      </c>
      <c r="Y304" s="2">
        <f>IF(R304="","",IF(COUNTIFS($C$5:$C$3004,R304,$O$5:$O$3004,"CONCLUÍDA",$N$5:$N$3004,"&gt;=-1")=0,"",_xlfn.MAXIFS($N$5:$N$3004,$C$5:$C$3004,R304,$O$5:$O$3004,"CONCLUÍDA")))</f>
        <v/>
      </c>
      <c r="Z304" s="2">
        <f>IF(R304="","",IF(COUNTIFS($C$5:$C$3004,R304,$O$5:$O$3004,"EM ANDAMENTO",$N$5:$N$3004,"&gt;=-1")=0,"",_xlfn.MAXIFS($N$5:$N$3004,$C$5:$C$3004,R304,$O$5:$O$3004,"EM ANDAMENTO")))</f>
        <v/>
      </c>
      <c r="AA304" s="2">
        <f>IF(OR(R304="",S304="",U304&lt;&gt;"SIM",V304=0),"",IF(W304+X304=0,"",T304&amp;": "&amp;IF(W304=V304,"concluído",IF(W304=0,"em execução"&amp;IF(Z304&lt;&gt;""," ("&amp;IF(Z304=-1,"subsolo",IF(Z304=0,"térreo",Z304&amp;"º pav."))&amp;")",""),IF(Y304&lt;&gt;"","até "&amp;IF(Y304=-1,"subsolo",IF(Y304=0,"térreo",Y304&amp;"º pav.")),W304&amp;" de "&amp;V304&amp;" concluídas")&amp;IF(Z304="","",IF(OR(Y304="",Z304&gt;Y304),", executando "&amp;IF(Z304=-1,"subsolo",IF(Z304=0,"térreo",Z304&amp;"º pav."))," (restam serviços no "&amp;IF(Z304=-1,"subsolo",IF(Z304=0,"térreo",Z304&amp;"º pav."))&amp;")"))))))</f>
        <v/>
      </c>
    </row>
    <row r="305">
      <c r="B305" s="4" t="n">
        <v>30171464</v>
      </c>
      <c r="C305" s="4" t="inlineStr">
        <is>
          <t>TRATAMENTO DE CONCRETO - TETO</t>
        </is>
      </c>
      <c r="D305" s="4" t="inlineStr">
        <is>
          <t>-</t>
        </is>
      </c>
      <c r="E305" s="4" t="inlineStr">
        <is>
          <t>3º PAV - GARAGEM</t>
        </is>
      </c>
      <c r="F305" s="118" t="n">
        <v>46421</v>
      </c>
      <c r="G305" s="118" t="n">
        <v>46450</v>
      </c>
      <c r="H305" s="118" t="n">
        <v>46289</v>
      </c>
      <c r="I305" s="4" t="n">
        <v>0</v>
      </c>
      <c r="J305" s="4" t="n">
        <v>0</v>
      </c>
      <c r="K305" s="4" t="n">
        <v>0</v>
      </c>
      <c r="M305" s="2">
        <f>IF(C305="","",IFERROR(INDEX($S$5:$S$304,MATCH(C305,$R$5:$R$304,0))&amp;"","?"))</f>
        <v/>
      </c>
      <c r="N305" s="2">
        <f>IF(E305="","",IF(LEFT(E305,7)="SUBSOLO",-1,IF(LEFT(E305,6)="TÉRREO",0,IFERROR(VALUE(LEFT(E305,FIND("º",SUBSTITUTE(E305,"°","º"))-1)),""))))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31873335</v>
      </c>
      <c r="C306" s="4" t="inlineStr">
        <is>
          <t>ESTRUTURA - PISO ARMADO</t>
        </is>
      </c>
      <c r="D306" s="4" t="inlineStr">
        <is>
          <t>-</t>
        </is>
      </c>
      <c r="E306" s="4" t="inlineStr">
        <is>
          <t>SUBSOLO</t>
        </is>
      </c>
      <c r="F306" s="118" t="n">
        <v>46426</v>
      </c>
      <c r="G306" s="118" t="n">
        <v>46457</v>
      </c>
      <c r="H306" s="118" t="n">
        <v>46289</v>
      </c>
      <c r="I306" s="4" t="n">
        <v>0</v>
      </c>
      <c r="J306" s="4" t="n">
        <v>0</v>
      </c>
      <c r="K306" s="4" t="n">
        <v>0</v>
      </c>
      <c r="M306" s="2">
        <f>IF(C306="","",IFERROR(INDEX($S$5:$S$304,MATCH(C306,$R$5:$R$304,0))&amp;"","?"))</f>
        <v/>
      </c>
      <c r="N306" s="2">
        <f>IF(E306="","",IF(LEFT(E306,7)="SUBSOLO",-1,IF(LEFT(E306,6)="TÉRREO",0,IFERROR(VALUE(LEFT(E306,FIND("º",SUBSTITUTE(E306,"°","º"))-1)),""))))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29940933</v>
      </c>
      <c r="C307" s="4" t="inlineStr">
        <is>
          <t>ESTRUTURA</t>
        </is>
      </c>
      <c r="D307" s="4" t="inlineStr">
        <is>
          <t>-</t>
        </is>
      </c>
      <c r="E307" s="4" t="inlineStr">
        <is>
          <t>8º PAV.</t>
        </is>
      </c>
      <c r="F307" s="118" t="n">
        <v>46433</v>
      </c>
      <c r="G307" s="118" t="n">
        <v>46444</v>
      </c>
      <c r="H307" s="118" t="n">
        <v>46289</v>
      </c>
      <c r="I307" s="4" t="n">
        <v>0</v>
      </c>
      <c r="J307" s="4" t="n">
        <v>0</v>
      </c>
      <c r="K307" s="4" t="n">
        <v>0</v>
      </c>
      <c r="M307" s="2">
        <f>IF(C307="","",IFERROR(INDEX($S$5:$S$304,MATCH(C307,$R$5:$R$304,0))&amp;"","?"))</f>
        <v/>
      </c>
      <c r="N307" s="2">
        <f>IF(E307="","",IF(LEFT(E307,7)="SUBSOLO",-1,IF(LEFT(E307,6)="TÉRREO",0,IFERROR(VALUE(LEFT(E307,FIND("º",SUBSTITUTE(E307,"°","º"))-1)),""))))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31528980</v>
      </c>
      <c r="C308" s="4" t="inlineStr">
        <is>
          <t>ESTRUTURA</t>
        </is>
      </c>
      <c r="D308" s="4" t="inlineStr">
        <is>
          <t>Forma</t>
        </is>
      </c>
      <c r="E308" s="4" t="inlineStr">
        <is>
          <t>8º PAV.</t>
        </is>
      </c>
      <c r="F308" s="118" t="n">
        <v>46433</v>
      </c>
      <c r="G308" s="118" t="n">
        <v>46440</v>
      </c>
      <c r="H308" s="118" t="n">
        <v>46289</v>
      </c>
      <c r="I308" s="4" t="n">
        <v>0</v>
      </c>
      <c r="J308" s="4" t="n">
        <v>0</v>
      </c>
      <c r="K308" s="4" t="n">
        <v>0</v>
      </c>
      <c r="M308" s="2">
        <f>IF(C308="","",IFERROR(INDEX($S$5:$S$304,MATCH(C308,$R$5:$R$304,0))&amp;"","?"))</f>
        <v/>
      </c>
      <c r="N308" s="2">
        <f>IF(E308="","",IF(LEFT(E308,7)="SUBSOLO",-1,IF(LEFT(E308,6)="TÉRREO",0,IFERROR(VALUE(LEFT(E308,FIND("º",SUBSTITUTE(E308,"°","º"))-1)),""))))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31528981</v>
      </c>
      <c r="C309" s="4" t="inlineStr">
        <is>
          <t>ESTRUTURA</t>
        </is>
      </c>
      <c r="D309" s="4" t="inlineStr">
        <is>
          <t>Armação</t>
        </is>
      </c>
      <c r="E309" s="4" t="inlineStr">
        <is>
          <t>8º PAV.</t>
        </is>
      </c>
      <c r="F309" s="118" t="n">
        <v>46441</v>
      </c>
      <c r="G309" s="118" t="n">
        <v>46443</v>
      </c>
      <c r="H309" s="118" t="n">
        <v>46289</v>
      </c>
      <c r="I309" s="4" t="n">
        <v>0</v>
      </c>
      <c r="J309" s="4" t="n">
        <v>0</v>
      </c>
      <c r="K309" s="4" t="n">
        <v>0</v>
      </c>
      <c r="M309" s="2">
        <f>IF(C309="","",IFERROR(INDEX($S$5:$S$304,MATCH(C309,$R$5:$R$304,0))&amp;"","?"))</f>
        <v/>
      </c>
      <c r="N309" s="2">
        <f>IF(E309="","",IF(LEFT(E309,7)="SUBSOLO",-1,IF(LEFT(E309,6)="TÉRREO",0,IFERROR(VALUE(LEFT(E309,FIND("º",SUBSTITUTE(E309,"°","º"))-1)),""))))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31528982</v>
      </c>
      <c r="C310" s="4" t="inlineStr">
        <is>
          <t>ESTRUTURA</t>
        </is>
      </c>
      <c r="D310" s="4" t="inlineStr">
        <is>
          <t>Concretagem</t>
        </is>
      </c>
      <c r="E310" s="4" t="inlineStr">
        <is>
          <t>8º PAV.</t>
        </is>
      </c>
      <c r="F310" s="118" t="n">
        <v>46444</v>
      </c>
      <c r="G310" s="118" t="n">
        <v>46444</v>
      </c>
      <c r="H310" s="118" t="n">
        <v>46289</v>
      </c>
      <c r="I310" s="4" t="n">
        <v>0</v>
      </c>
      <c r="J310" s="4" t="n">
        <v>0</v>
      </c>
      <c r="K310" s="4" t="n">
        <v>0</v>
      </c>
      <c r="M310" s="2">
        <f>IF(C310="","",IFERROR(INDEX($S$5:$S$304,MATCH(C310,$R$5:$R$304,0))&amp;"","?"))</f>
        <v/>
      </c>
      <c r="N310" s="2">
        <f>IF(E310="","",IF(LEFT(E310,7)="SUBSOLO",-1,IF(LEFT(E310,6)="TÉRREO",0,IFERROR(VALUE(LEFT(E310,FIND("º",SUBSTITUTE(E310,"°","º"))-1)),""))))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31528983</v>
      </c>
      <c r="C311" s="4" t="inlineStr">
        <is>
          <t>ESTRUTURA</t>
        </is>
      </c>
      <c r="D311" s="4" t="inlineStr">
        <is>
          <t>Polimento</t>
        </is>
      </c>
      <c r="E311" s="4" t="inlineStr">
        <is>
          <t>8º PAV.</t>
        </is>
      </c>
      <c r="F311" s="118" t="n">
        <v>46444</v>
      </c>
      <c r="G311" s="118" t="n">
        <v>46444</v>
      </c>
      <c r="H311" s="118" t="n">
        <v>46289</v>
      </c>
      <c r="I311" s="4" t="n">
        <v>0</v>
      </c>
      <c r="J311" s="4" t="n">
        <v>0</v>
      </c>
      <c r="K311" s="4" t="n">
        <v>0</v>
      </c>
      <c r="M311" s="2">
        <f>IF(C311="","",IFERROR(INDEX($S$5:$S$304,MATCH(C311,$R$5:$R$304,0))&amp;"","?"))</f>
        <v/>
      </c>
      <c r="N311" s="2">
        <f>IF(E311="","",IF(LEFT(E311,7)="SUBSOLO",-1,IF(LEFT(E311,6)="TÉRREO",0,IFERROR(VALUE(LEFT(E311,FIND("º",SUBSTITUTE(E311,"°","º"))-1)),""))))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39887262</v>
      </c>
      <c r="C312" s="4" t="inlineStr">
        <is>
          <t>ESTRUTURA IGREJA</t>
        </is>
      </c>
      <c r="D312" s="4" t="inlineStr">
        <is>
          <t>-</t>
        </is>
      </c>
      <c r="E312" s="4" t="inlineStr">
        <is>
          <t>3º PAV - GARAGEM</t>
        </is>
      </c>
      <c r="F312" s="118" t="n">
        <v>46437</v>
      </c>
      <c r="G312" s="118" t="n">
        <v>46456</v>
      </c>
      <c r="H312" s="118" t="n">
        <v>46289</v>
      </c>
      <c r="I312" s="4" t="n">
        <v>0</v>
      </c>
      <c r="J312" s="4" t="n">
        <v>0</v>
      </c>
      <c r="K312" s="4" t="n">
        <v>0</v>
      </c>
      <c r="M312" s="2">
        <f>IF(C312="","",IFERROR(INDEX($S$5:$S$304,MATCH(C312,$R$5:$R$304,0))&amp;"","?"))</f>
        <v/>
      </c>
      <c r="N312" s="2">
        <f>IF(E312="","",IF(LEFT(E312,7)="SUBSOLO",-1,IF(LEFT(E312,6)="TÉRREO",0,IFERROR(VALUE(LEFT(E312,FIND("º",SUBSTITUTE(E312,"°","º"))-1)),""))))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29940949</v>
      </c>
      <c r="C313" s="4" t="inlineStr">
        <is>
          <t>ESTRUTURA</t>
        </is>
      </c>
      <c r="D313" s="4" t="inlineStr">
        <is>
          <t>-</t>
        </is>
      </c>
      <c r="E313" s="4" t="inlineStr">
        <is>
          <t>9º PAV.</t>
        </is>
      </c>
      <c r="F313" s="118" t="n">
        <v>46447</v>
      </c>
      <c r="G313" s="118" t="n">
        <v>46458</v>
      </c>
      <c r="H313" s="118" t="n">
        <v>46289</v>
      </c>
      <c r="I313" s="4" t="n">
        <v>0</v>
      </c>
      <c r="J313" s="4" t="n">
        <v>0</v>
      </c>
      <c r="K313" s="4" t="n">
        <v>0</v>
      </c>
      <c r="M313" s="2">
        <f>IF(C313="","",IFERROR(INDEX($S$5:$S$304,MATCH(C313,$R$5:$R$304,0))&amp;"","?"))</f>
        <v/>
      </c>
      <c r="N313" s="2">
        <f>IF(E313="","",IF(LEFT(E313,7)="SUBSOLO",-1,IF(LEFT(E313,6)="TÉRREO",0,IFERROR(VALUE(LEFT(E313,FIND("º",SUBSTITUTE(E313,"°","º"))-1)),""))))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31528984</v>
      </c>
      <c r="C314" s="4" t="inlineStr">
        <is>
          <t>ESTRUTURA</t>
        </is>
      </c>
      <c r="D314" s="4" t="inlineStr">
        <is>
          <t>Forma</t>
        </is>
      </c>
      <c r="E314" s="4" t="inlineStr">
        <is>
          <t>9º PAV.</t>
        </is>
      </c>
      <c r="F314" s="118" t="n">
        <v>46447</v>
      </c>
      <c r="G314" s="118" t="n">
        <v>46450</v>
      </c>
      <c r="H314" s="118" t="n">
        <v>46289</v>
      </c>
      <c r="I314" s="4" t="n">
        <v>0</v>
      </c>
      <c r="J314" s="4" t="n">
        <v>0</v>
      </c>
      <c r="K314" s="4" t="n">
        <v>0</v>
      </c>
      <c r="M314" s="2">
        <f>IF(C314="","",IFERROR(INDEX($S$5:$S$304,MATCH(C314,$R$5:$R$304,0))&amp;"","?"))</f>
        <v/>
      </c>
      <c r="N314" s="2">
        <f>IF(E314="","",IF(LEFT(E314,7)="SUBSOLO",-1,IF(LEFT(E314,6)="TÉRREO",0,IFERROR(VALUE(LEFT(E314,FIND("º",SUBSTITUTE(E314,"°","º"))-1)),""))))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31528985</v>
      </c>
      <c r="C315" s="4" t="inlineStr">
        <is>
          <t>ESTRUTURA</t>
        </is>
      </c>
      <c r="D315" s="4" t="inlineStr">
        <is>
          <t>Armação</t>
        </is>
      </c>
      <c r="E315" s="4" t="inlineStr">
        <is>
          <t>9º PAV.</t>
        </is>
      </c>
      <c r="F315" s="118" t="n">
        <v>46451</v>
      </c>
      <c r="G315" s="118" t="n">
        <v>46457</v>
      </c>
      <c r="H315" s="118" t="n">
        <v>46289</v>
      </c>
      <c r="I315" s="4" t="n">
        <v>0</v>
      </c>
      <c r="J315" s="4" t="n">
        <v>0</v>
      </c>
      <c r="K315" s="4" t="n">
        <v>0</v>
      </c>
      <c r="M315" s="2">
        <f>IF(C315="","",IFERROR(INDEX($S$5:$S$304,MATCH(C315,$R$5:$R$304,0))&amp;"","?"))</f>
        <v/>
      </c>
      <c r="N315" s="2">
        <f>IF(E315="","",IF(LEFT(E315,7)="SUBSOLO",-1,IF(LEFT(E315,6)="TÉRREO",0,IFERROR(VALUE(LEFT(E315,FIND("º",SUBSTITUTE(E315,"°","º"))-1)),""))))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31528986</v>
      </c>
      <c r="C316" s="4" t="inlineStr">
        <is>
          <t>ESTRUTURA</t>
        </is>
      </c>
      <c r="D316" s="4" t="inlineStr">
        <is>
          <t>Concretagem</t>
        </is>
      </c>
      <c r="E316" s="4" t="inlineStr">
        <is>
          <t>9º PAV.</t>
        </is>
      </c>
      <c r="F316" s="118" t="n">
        <v>46458</v>
      </c>
      <c r="G316" s="118" t="n">
        <v>46458</v>
      </c>
      <c r="H316" s="118" t="n">
        <v>46289</v>
      </c>
      <c r="I316" s="4" t="n">
        <v>0</v>
      </c>
      <c r="J316" s="4" t="n">
        <v>0</v>
      </c>
      <c r="K316" s="4" t="n">
        <v>0</v>
      </c>
      <c r="M316" s="2">
        <f>IF(C316="","",IFERROR(INDEX($S$5:$S$304,MATCH(C316,$R$5:$R$304,0))&amp;"","?"))</f>
        <v/>
      </c>
      <c r="N316" s="2">
        <f>IF(E316="","",IF(LEFT(E316,7)="SUBSOLO",-1,IF(LEFT(E316,6)="TÉRREO",0,IFERROR(VALUE(LEFT(E316,FIND("º",SUBSTITUTE(E316,"°","º"))-1)),""))))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31528987</v>
      </c>
      <c r="C317" s="4" t="inlineStr">
        <is>
          <t>ESTRUTURA</t>
        </is>
      </c>
      <c r="D317" s="4" t="inlineStr">
        <is>
          <t>Polimento</t>
        </is>
      </c>
      <c r="E317" s="4" t="inlineStr">
        <is>
          <t>9º PAV.</t>
        </is>
      </c>
      <c r="F317" s="118" t="n">
        <v>46458</v>
      </c>
      <c r="G317" s="118" t="n">
        <v>46458</v>
      </c>
      <c r="H317" s="118" t="n">
        <v>46289</v>
      </c>
      <c r="I317" s="4" t="n">
        <v>0</v>
      </c>
      <c r="J317" s="4" t="n">
        <v>0</v>
      </c>
      <c r="K317" s="4" t="n">
        <v>0</v>
      </c>
      <c r="M317" s="2">
        <f>IF(C317="","",IFERROR(INDEX($S$5:$S$304,MATCH(C317,$R$5:$R$304,0))&amp;"","?"))</f>
        <v/>
      </c>
      <c r="N317" s="2">
        <f>IF(E317="","",IF(LEFT(E317,7)="SUBSOLO",-1,IF(LEFT(E317,6)="TÉRREO",0,IFERROR(VALUE(LEFT(E317,FIND("º",SUBSTITUTE(E317,"°","º"))-1)),""))))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30171436</v>
      </c>
      <c r="C318" s="4" t="inlineStr">
        <is>
          <t>TRATAMENTO DE CONCRETO - TETO</t>
        </is>
      </c>
      <c r="D318" s="4" t="inlineStr">
        <is>
          <t>-</t>
        </is>
      </c>
      <c r="E318" s="4" t="inlineStr">
        <is>
          <t>4º PAV - GARAGEM</t>
        </is>
      </c>
      <c r="F318" s="118" t="n">
        <v>46451</v>
      </c>
      <c r="G318" s="118" t="n">
        <v>46485</v>
      </c>
      <c r="H318" s="118" t="n">
        <v>46289</v>
      </c>
      <c r="I318" s="4" t="n">
        <v>0</v>
      </c>
      <c r="J318" s="4" t="n">
        <v>0</v>
      </c>
      <c r="K318" s="4" t="n">
        <v>0</v>
      </c>
      <c r="M318" s="2">
        <f>IF(C318="","",IFERROR(INDEX($S$5:$S$304,MATCH(C318,$R$5:$R$304,0))&amp;"","?"))</f>
        <v/>
      </c>
      <c r="N318" s="2">
        <f>IF(E318="","",IF(LEFT(E318,7)="SUBSOLO",-1,IF(LEFT(E318,6)="TÉRREO",0,IFERROR(VALUE(LEFT(E318,FIND("º",SUBSTITUTE(E318,"°","º"))-1)),""))))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39887263</v>
      </c>
      <c r="C319" s="4" t="inlineStr">
        <is>
          <t>ESTRUTURA IGREJA</t>
        </is>
      </c>
      <c r="D319" s="4" t="inlineStr">
        <is>
          <t>-</t>
        </is>
      </c>
      <c r="E319" s="4" t="inlineStr">
        <is>
          <t>4º PAV - GARAGEM</t>
        </is>
      </c>
      <c r="F319" s="118" t="n">
        <v>46457</v>
      </c>
      <c r="G319" s="118" t="n">
        <v>46475</v>
      </c>
      <c r="H319" s="118" t="n">
        <v>46289</v>
      </c>
      <c r="I319" s="4" t="n">
        <v>0</v>
      </c>
      <c r="J319" s="4" t="n">
        <v>0</v>
      </c>
      <c r="K319" s="4" t="n">
        <v>0</v>
      </c>
      <c r="M319" s="2">
        <f>IF(C319="","",IFERROR(INDEX($S$5:$S$304,MATCH(C319,$R$5:$R$304,0))&amp;"","?"))</f>
        <v/>
      </c>
      <c r="N319" s="2">
        <f>IF(E319="","",IF(LEFT(E319,7)="SUBSOLO",-1,IF(LEFT(E319,6)="TÉRREO",0,IFERROR(VALUE(LEFT(E319,FIND("º",SUBSTITUTE(E319,"°","º"))-1)),""))))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30205737</v>
      </c>
      <c r="C320" s="4" t="inlineStr">
        <is>
          <t>INFRA ELÉTRICA - TETO</t>
        </is>
      </c>
      <c r="D320" s="4" t="inlineStr">
        <is>
          <t>-</t>
        </is>
      </c>
      <c r="E320" s="4" t="inlineStr">
        <is>
          <t>SUBSOLO</t>
        </is>
      </c>
      <c r="F320" s="118" t="n">
        <v>46458</v>
      </c>
      <c r="G320" s="118" t="n">
        <v>46521</v>
      </c>
      <c r="H320" s="118" t="n">
        <v>46289</v>
      </c>
      <c r="I320" s="4" t="n">
        <v>0</v>
      </c>
      <c r="J320" s="4" t="n">
        <v>0</v>
      </c>
      <c r="K320" s="4" t="n">
        <v>0</v>
      </c>
      <c r="M320" s="2">
        <f>IF(C320="","",IFERROR(INDEX($S$5:$S$304,MATCH(C320,$R$5:$R$304,0))&amp;"","?"))</f>
        <v/>
      </c>
      <c r="N320" s="2">
        <f>IF(E320="","",IF(LEFT(E320,7)="SUBSOLO",-1,IF(LEFT(E320,6)="TÉRREO",0,IFERROR(VALUE(LEFT(E320,FIND("º",SUBSTITUTE(E320,"°","º"))-1)),""))))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35100286</v>
      </c>
      <c r="C321" s="4" t="inlineStr">
        <is>
          <t>FUNDAÇÃO - PROJEÇÃO IGREJA</t>
        </is>
      </c>
      <c r="D321" s="4" t="inlineStr">
        <is>
          <t>-</t>
        </is>
      </c>
      <c r="E321" s="4" t="inlineStr">
        <is>
          <t>SERVIÇOS INICIAIS</t>
        </is>
      </c>
      <c r="F321" s="118" t="n">
        <v>46461</v>
      </c>
      <c r="G321" s="118" t="n">
        <v>46471</v>
      </c>
      <c r="H321" s="118" t="n">
        <v>46289</v>
      </c>
      <c r="I321" s="4" t="n">
        <v>0</v>
      </c>
      <c r="J321" s="4" t="n">
        <v>0</v>
      </c>
      <c r="K321" s="4" t="n">
        <v>0</v>
      </c>
      <c r="M321" s="2">
        <f>IF(C321="","",IFERROR(INDEX($S$5:$S$304,MATCH(C321,$R$5:$R$304,0))&amp;"","?"))</f>
        <v/>
      </c>
      <c r="N321" s="2">
        <f>IF(E321="","",IF(LEFT(E321,7)="SUBSOLO",-1,IF(LEFT(E321,6)="TÉRREO",0,IFERROR(VALUE(LEFT(E321,FIND("º",SUBSTITUTE(E321,"°","º"))-1)),""))))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14351018</v>
      </c>
      <c r="C322" s="4" t="inlineStr">
        <is>
          <t>FUNDAÇÃO - PROJEÇÃO IGREJA</t>
        </is>
      </c>
      <c r="D322" s="4" t="inlineStr">
        <is>
          <t>P129 e PF4</t>
        </is>
      </c>
      <c r="E322" s="4" t="inlineStr">
        <is>
          <t>SERVIÇOS INICIAIS</t>
        </is>
      </c>
      <c r="F322" s="118" t="n">
        <v>46461</v>
      </c>
      <c r="G322" s="118" t="n">
        <v>46463</v>
      </c>
      <c r="H322" s="118" t="n">
        <v>46289</v>
      </c>
      <c r="I322" s="4" t="n">
        <v>0</v>
      </c>
      <c r="J322" s="4" t="n">
        <v>0</v>
      </c>
      <c r="K322" s="4" t="n">
        <v>0</v>
      </c>
      <c r="M322" s="2">
        <f>IF(C322="","",IFERROR(INDEX($S$5:$S$304,MATCH(C322,$R$5:$R$304,0))&amp;"","?"))</f>
        <v/>
      </c>
      <c r="N322" s="2">
        <f>IF(E322="","",IF(LEFT(E322,7)="SUBSOLO",-1,IF(LEFT(E322,6)="TÉRREO",0,IFERROR(VALUE(LEFT(E322,FIND("º",SUBSTITUTE(E322,"°","º"))-1)),""))))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14351019</v>
      </c>
      <c r="C323" s="4" t="inlineStr">
        <is>
          <t>FUNDAÇÃO - PROJEÇÃO IGREJA</t>
        </is>
      </c>
      <c r="D323" s="4" t="inlineStr">
        <is>
          <t>P109 e P119</t>
        </is>
      </c>
      <c r="E323" s="4" t="inlineStr">
        <is>
          <t>SERVIÇOS INICIAIS</t>
        </is>
      </c>
      <c r="F323" s="118" t="n">
        <v>46464</v>
      </c>
      <c r="G323" s="118" t="n">
        <v>46468</v>
      </c>
      <c r="H323" s="118" t="n">
        <v>46289</v>
      </c>
      <c r="I323" s="4" t="n">
        <v>0</v>
      </c>
      <c r="J323" s="4" t="n">
        <v>0</v>
      </c>
      <c r="K323" s="4" t="n">
        <v>0</v>
      </c>
      <c r="M323" s="2">
        <f>IF(C323="","",IFERROR(INDEX($S$5:$S$304,MATCH(C323,$R$5:$R$304,0))&amp;"","?"))</f>
        <v/>
      </c>
      <c r="N323" s="2">
        <f>IF(E323="","",IF(LEFT(E323,7)="SUBSOLO",-1,IF(LEFT(E323,6)="TÉRREO",0,IFERROR(VALUE(LEFT(E323,FIND("º",SUBSTITUTE(E323,"°","º"))-1)),""))))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14351020</v>
      </c>
      <c r="C324" s="4" t="inlineStr">
        <is>
          <t>FUNDAÇÃO - PROJEÇÃO IGREJA</t>
        </is>
      </c>
      <c r="D324" s="4" t="inlineStr">
        <is>
          <t>P123</t>
        </is>
      </c>
      <c r="E324" s="4" t="inlineStr">
        <is>
          <t>SERVIÇOS INICIAIS</t>
        </is>
      </c>
      <c r="F324" s="118" t="n">
        <v>46469</v>
      </c>
      <c r="G324" s="118" t="n">
        <v>46471</v>
      </c>
      <c r="H324" s="118" t="n">
        <v>46289</v>
      </c>
      <c r="I324" s="4" t="n">
        <v>0</v>
      </c>
      <c r="J324" s="4" t="n">
        <v>0</v>
      </c>
      <c r="K324" s="4" t="n">
        <v>0</v>
      </c>
      <c r="M324" s="2">
        <f>IF(C324="","",IFERROR(INDEX($S$5:$S$304,MATCH(C324,$R$5:$R$304,0))&amp;"","?"))</f>
        <v/>
      </c>
      <c r="N324" s="2">
        <f>IF(E324="","",IF(LEFT(E324,7)="SUBSOLO",-1,IF(LEFT(E324,6)="TÉRREO",0,IFERROR(VALUE(LEFT(E324,FIND("º",SUBSTITUTE(E324,"°","º"))-1)),""))))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29940950</v>
      </c>
      <c r="C325" s="4" t="inlineStr">
        <is>
          <t>ESTRUTURA</t>
        </is>
      </c>
      <c r="D325" s="4" t="inlineStr">
        <is>
          <t>-</t>
        </is>
      </c>
      <c r="E325" s="4" t="inlineStr">
        <is>
          <t>10º PAV.</t>
        </is>
      </c>
      <c r="F325" s="118" t="n">
        <v>46461</v>
      </c>
      <c r="G325" s="118" t="n">
        <v>46471</v>
      </c>
      <c r="H325" s="118" t="n">
        <v>46289</v>
      </c>
      <c r="I325" s="4" t="n">
        <v>0</v>
      </c>
      <c r="J325" s="4" t="n">
        <v>0</v>
      </c>
      <c r="K325" s="4" t="n">
        <v>0</v>
      </c>
      <c r="M325" s="2">
        <f>IF(C325="","",IFERROR(INDEX($S$5:$S$304,MATCH(C325,$R$5:$R$304,0))&amp;"","?"))</f>
        <v/>
      </c>
      <c r="N325" s="2">
        <f>IF(E325="","",IF(LEFT(E325,7)="SUBSOLO",-1,IF(LEFT(E325,6)="TÉRREO",0,IFERROR(VALUE(LEFT(E325,FIND("º",SUBSTITUTE(E325,"°","º"))-1)),""))))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31528992</v>
      </c>
      <c r="C326" s="4" t="inlineStr">
        <is>
          <t>ESTRUTURA</t>
        </is>
      </c>
      <c r="D326" s="4" t="inlineStr">
        <is>
          <t>Forma</t>
        </is>
      </c>
      <c r="E326" s="4" t="inlineStr">
        <is>
          <t>10º PAV.</t>
        </is>
      </c>
      <c r="F326" s="118" t="n">
        <v>46461</v>
      </c>
      <c r="G326" s="118" t="n">
        <v>46465</v>
      </c>
      <c r="H326" s="118" t="n">
        <v>46289</v>
      </c>
      <c r="I326" s="4" t="n">
        <v>0</v>
      </c>
      <c r="J326" s="4" t="n">
        <v>0</v>
      </c>
      <c r="K326" s="4" t="n">
        <v>0</v>
      </c>
      <c r="M326" s="2">
        <f>IF(C326="","",IFERROR(INDEX($S$5:$S$304,MATCH(C326,$R$5:$R$304,0))&amp;"","?"))</f>
        <v/>
      </c>
      <c r="N326" s="2">
        <f>IF(E326="","",IF(LEFT(E326,7)="SUBSOLO",-1,IF(LEFT(E326,6)="TÉRREO",0,IFERROR(VALUE(LEFT(E326,FIND("º",SUBSTITUTE(E326,"°","º"))-1)),""))))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31528993</v>
      </c>
      <c r="C327" s="4" t="inlineStr">
        <is>
          <t>ESTRUTURA</t>
        </is>
      </c>
      <c r="D327" s="4" t="inlineStr">
        <is>
          <t>Armação</t>
        </is>
      </c>
      <c r="E327" s="4" t="inlineStr">
        <is>
          <t>10º PAV.</t>
        </is>
      </c>
      <c r="F327" s="118" t="n">
        <v>46468</v>
      </c>
      <c r="G327" s="118" t="n">
        <v>46470</v>
      </c>
      <c r="H327" s="118" t="n">
        <v>46289</v>
      </c>
      <c r="I327" s="4" t="n">
        <v>0</v>
      </c>
      <c r="J327" s="4" t="n">
        <v>0</v>
      </c>
      <c r="K327" s="4" t="n">
        <v>0</v>
      </c>
      <c r="M327" s="2">
        <f>IF(C327="","",IFERROR(INDEX($S$5:$S$304,MATCH(C327,$R$5:$R$304,0))&amp;"","?"))</f>
        <v/>
      </c>
      <c r="N327" s="2">
        <f>IF(E327="","",IF(LEFT(E327,7)="SUBSOLO",-1,IF(LEFT(E327,6)="TÉRREO",0,IFERROR(VALUE(LEFT(E327,FIND("º",SUBSTITUTE(E327,"°","º"))-1)),""))))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31528994</v>
      </c>
      <c r="C328" s="4" t="inlineStr">
        <is>
          <t>ESTRUTURA</t>
        </is>
      </c>
      <c r="D328" s="4" t="inlineStr">
        <is>
          <t>Concretagem</t>
        </is>
      </c>
      <c r="E328" s="4" t="inlineStr">
        <is>
          <t>10º PAV.</t>
        </is>
      </c>
      <c r="F328" s="118" t="n">
        <v>46471</v>
      </c>
      <c r="G328" s="118" t="n">
        <v>46471</v>
      </c>
      <c r="H328" s="118" t="n">
        <v>46289</v>
      </c>
      <c r="I328" s="4" t="n">
        <v>0</v>
      </c>
      <c r="J328" s="4" t="n">
        <v>0</v>
      </c>
      <c r="K328" s="4" t="n">
        <v>0</v>
      </c>
      <c r="M328" s="2">
        <f>IF(C328="","",IFERROR(INDEX($S$5:$S$304,MATCH(C328,$R$5:$R$304,0))&amp;"","?"))</f>
        <v/>
      </c>
      <c r="N328" s="2">
        <f>IF(E328="","",IF(LEFT(E328,7)="SUBSOLO",-1,IF(LEFT(E328,6)="TÉRREO",0,IFERROR(VALUE(LEFT(E328,FIND("º",SUBSTITUTE(E328,"°","º"))-1)),""))))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31528995</v>
      </c>
      <c r="C329" s="4" t="inlineStr">
        <is>
          <t>ESTRUTURA</t>
        </is>
      </c>
      <c r="D329" s="4" t="inlineStr">
        <is>
          <t>Polimento</t>
        </is>
      </c>
      <c r="E329" s="4" t="inlineStr">
        <is>
          <t>10º PAV.</t>
        </is>
      </c>
      <c r="F329" s="118" t="n">
        <v>46471</v>
      </c>
      <c r="G329" s="118" t="n">
        <v>46471</v>
      </c>
      <c r="H329" s="118" t="n">
        <v>46289</v>
      </c>
      <c r="I329" s="4" t="n">
        <v>0</v>
      </c>
      <c r="J329" s="4" t="n">
        <v>0</v>
      </c>
      <c r="K329" s="4" t="n">
        <v>0</v>
      </c>
      <c r="M329" s="2">
        <f>IF(C329="","",IFERROR(INDEX($S$5:$S$304,MATCH(C329,$R$5:$R$304,0))&amp;"","?"))</f>
        <v/>
      </c>
      <c r="N329" s="2">
        <f>IF(E329="","",IF(LEFT(E329,7)="SUBSOLO",-1,IF(LEFT(E329,6)="TÉRREO",0,IFERROR(VALUE(LEFT(E329,FIND("º",SUBSTITUTE(E329,"°","º"))-1)),""))))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29981543</v>
      </c>
      <c r="C330" s="4" t="inlineStr">
        <is>
          <t>ALVENARIA</t>
        </is>
      </c>
      <c r="D330" s="4" t="inlineStr">
        <is>
          <t>-</t>
        </is>
      </c>
      <c r="E330" s="4" t="inlineStr">
        <is>
          <t>7º PAV.</t>
        </is>
      </c>
      <c r="F330" s="118" t="n">
        <v>46462</v>
      </c>
      <c r="G330" s="118" t="n">
        <v>46475</v>
      </c>
      <c r="H330" s="118" t="n">
        <v>46289</v>
      </c>
      <c r="I330" s="4" t="n">
        <v>0</v>
      </c>
      <c r="J330" s="4" t="n">
        <v>0</v>
      </c>
      <c r="K330" s="4" t="n">
        <v>0</v>
      </c>
      <c r="M330" s="2">
        <f>IF(C330="","",IFERROR(INDEX($S$5:$S$304,MATCH(C330,$R$5:$R$304,0))&amp;"","?"))</f>
        <v/>
      </c>
      <c r="N330" s="2">
        <f>IF(E330="","",IF(LEFT(E330,7)="SUBSOLO",-1,IF(LEFT(E330,6)="TÉRREO",0,IFERROR(VALUE(LEFT(E330,FIND("º",SUBSTITUTE(E330,"°","º"))-1)),""))))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46237348</v>
      </c>
      <c r="C331" s="4" t="inlineStr">
        <is>
          <t>BLOCOS E CINTAS - IGREJA</t>
        </is>
      </c>
      <c r="D331" s="4" t="inlineStr">
        <is>
          <t>-</t>
        </is>
      </c>
      <c r="E331" s="4" t="inlineStr">
        <is>
          <t>SERVIÇOS INICIAIS</t>
        </is>
      </c>
      <c r="F331" s="118" t="n">
        <v>46475</v>
      </c>
      <c r="G331" s="118" t="n">
        <v>46486</v>
      </c>
      <c r="H331" s="118" t="n">
        <v>46289</v>
      </c>
      <c r="I331" s="4" t="n">
        <v>0</v>
      </c>
      <c r="J331" s="4" t="n">
        <v>0</v>
      </c>
      <c r="K331" s="4" t="n">
        <v>0</v>
      </c>
      <c r="M331" s="2">
        <f>IF(C331="","",IFERROR(INDEX($S$5:$S$304,MATCH(C331,$R$5:$R$304,0))&amp;"","?"))</f>
        <v/>
      </c>
      <c r="N331" s="2">
        <f>IF(E331="","",IF(LEFT(E331,7)="SUBSOLO",-1,IF(LEFT(E331,6)="TÉRREO",0,IFERROR(VALUE(LEFT(E331,FIND("º",SUBSTITUTE(E331,"°","º"))-1)),""))))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29940951</v>
      </c>
      <c r="C332" s="4" t="inlineStr">
        <is>
          <t>ESTRUTURA</t>
        </is>
      </c>
      <c r="D332" s="4" t="inlineStr">
        <is>
          <t>-</t>
        </is>
      </c>
      <c r="E332" s="4" t="inlineStr">
        <is>
          <t>11º PAV.</t>
        </is>
      </c>
      <c r="F332" s="118" t="n">
        <v>46475</v>
      </c>
      <c r="G332" s="118" t="n">
        <v>46485</v>
      </c>
      <c r="H332" s="118" t="n">
        <v>46289</v>
      </c>
      <c r="I332" s="4" t="n">
        <v>0</v>
      </c>
      <c r="J332" s="4" t="n">
        <v>0</v>
      </c>
      <c r="K332" s="4" t="n">
        <v>0</v>
      </c>
      <c r="M332" s="2">
        <f>IF(C332="","",IFERROR(INDEX($S$5:$S$304,MATCH(C332,$R$5:$R$304,0))&amp;"","?"))</f>
        <v/>
      </c>
      <c r="N332" s="2">
        <f>IF(E332="","",IF(LEFT(E332,7)="SUBSOLO",-1,IF(LEFT(E332,6)="TÉRREO",0,IFERROR(VALUE(LEFT(E332,FIND("º",SUBSTITUTE(E332,"°","º"))-1)),""))))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31528988</v>
      </c>
      <c r="C333" s="4" t="inlineStr">
        <is>
          <t>ESTRUTURA</t>
        </is>
      </c>
      <c r="D333" s="4" t="inlineStr">
        <is>
          <t>Forma</t>
        </is>
      </c>
      <c r="E333" s="4" t="inlineStr">
        <is>
          <t>11º PAV.</t>
        </is>
      </c>
      <c r="F333" s="118" t="n">
        <v>46475</v>
      </c>
      <c r="G333" s="118" t="n">
        <v>46479</v>
      </c>
      <c r="H333" s="118" t="n">
        <v>46289</v>
      </c>
      <c r="I333" s="4" t="n">
        <v>0</v>
      </c>
      <c r="J333" s="4" t="n">
        <v>0</v>
      </c>
      <c r="K333" s="4" t="n">
        <v>0</v>
      </c>
      <c r="M333" s="2">
        <f>IF(C333="","",IFERROR(INDEX($S$5:$S$304,MATCH(C333,$R$5:$R$304,0))&amp;"","?"))</f>
        <v/>
      </c>
      <c r="N333" s="2">
        <f>IF(E333="","",IF(LEFT(E333,7)="SUBSOLO",-1,IF(LEFT(E333,6)="TÉRREO",0,IFERROR(VALUE(LEFT(E333,FIND("º",SUBSTITUTE(E333,"°","º"))-1)),""))))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31528989</v>
      </c>
      <c r="C334" s="4" t="inlineStr">
        <is>
          <t>ESTRUTURA</t>
        </is>
      </c>
      <c r="D334" s="4" t="inlineStr">
        <is>
          <t>Armação</t>
        </is>
      </c>
      <c r="E334" s="4" t="inlineStr">
        <is>
          <t>11º PAV.</t>
        </is>
      </c>
      <c r="F334" s="118" t="n">
        <v>46482</v>
      </c>
      <c r="G334" s="118" t="n">
        <v>46484</v>
      </c>
      <c r="H334" s="118" t="n">
        <v>46289</v>
      </c>
      <c r="I334" s="4" t="n">
        <v>0</v>
      </c>
      <c r="J334" s="4" t="n">
        <v>0</v>
      </c>
      <c r="K334" s="4" t="n">
        <v>0</v>
      </c>
      <c r="M334" s="2">
        <f>IF(C334="","",IFERROR(INDEX($S$5:$S$304,MATCH(C334,$R$5:$R$304,0))&amp;"","?"))</f>
        <v/>
      </c>
      <c r="N334" s="2">
        <f>IF(E334="","",IF(LEFT(E334,7)="SUBSOLO",-1,IF(LEFT(E334,6)="TÉRREO",0,IFERROR(VALUE(LEFT(E334,FIND("º",SUBSTITUTE(E334,"°","º"))-1)),""))))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31528990</v>
      </c>
      <c r="C335" s="4" t="inlineStr">
        <is>
          <t>ESTRUTURA</t>
        </is>
      </c>
      <c r="D335" s="4" t="inlineStr">
        <is>
          <t>Concretagem</t>
        </is>
      </c>
      <c r="E335" s="4" t="inlineStr">
        <is>
          <t>11º PAV.</t>
        </is>
      </c>
      <c r="F335" s="118" t="n">
        <v>46485</v>
      </c>
      <c r="G335" s="118" t="n">
        <v>46485</v>
      </c>
      <c r="H335" s="118" t="n">
        <v>46289</v>
      </c>
      <c r="I335" s="4" t="n">
        <v>0</v>
      </c>
      <c r="J335" s="4" t="n">
        <v>0</v>
      </c>
      <c r="K335" s="4" t="n">
        <v>0</v>
      </c>
      <c r="M335" s="2">
        <f>IF(C335="","",IFERROR(INDEX($S$5:$S$304,MATCH(C335,$R$5:$R$304,0))&amp;"","?"))</f>
        <v/>
      </c>
      <c r="N335" s="2">
        <f>IF(E335="","",IF(LEFT(E335,7)="SUBSOLO",-1,IF(LEFT(E335,6)="TÉRREO",0,IFERROR(VALUE(LEFT(E335,FIND("º",SUBSTITUTE(E335,"°","º"))-1)),""))))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31528991</v>
      </c>
      <c r="C336" s="4" t="inlineStr">
        <is>
          <t>ESTRUTURA</t>
        </is>
      </c>
      <c r="D336" s="4" t="inlineStr">
        <is>
          <t>Polimento</t>
        </is>
      </c>
      <c r="E336" s="4" t="inlineStr">
        <is>
          <t>11º PAV.</t>
        </is>
      </c>
      <c r="F336" s="118" t="n">
        <v>46485</v>
      </c>
      <c r="G336" s="118" t="n">
        <v>46485</v>
      </c>
      <c r="H336" s="118" t="n">
        <v>46289</v>
      </c>
      <c r="I336" s="4" t="n">
        <v>0</v>
      </c>
      <c r="J336" s="4" t="n">
        <v>0</v>
      </c>
      <c r="K336" s="4" t="n">
        <v>0</v>
      </c>
      <c r="M336" s="2">
        <f>IF(C336="","",IFERROR(INDEX($S$5:$S$304,MATCH(C336,$R$5:$R$304,0))&amp;"","?"))</f>
        <v/>
      </c>
      <c r="N336" s="2">
        <f>IF(E336="","",IF(LEFT(E336,7)="SUBSOLO",-1,IF(LEFT(E336,6)="TÉRREO",0,IFERROR(VALUE(LEFT(E336,FIND("º",SUBSTITUTE(E336,"°","º"))-1)),""))))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39887264</v>
      </c>
      <c r="C337" s="4" t="inlineStr">
        <is>
          <t>ESTRUTURA IGREJA</t>
        </is>
      </c>
      <c r="D337" s="4" t="inlineStr">
        <is>
          <t>-</t>
        </is>
      </c>
      <c r="E337" s="4" t="inlineStr">
        <is>
          <t>5º PAV - GARAGEM</t>
        </is>
      </c>
      <c r="F337" s="118" t="n">
        <v>46476</v>
      </c>
      <c r="G337" s="118" t="n">
        <v>46491</v>
      </c>
      <c r="H337" s="118" t="n">
        <v>46289</v>
      </c>
      <c r="I337" s="4" t="n">
        <v>0</v>
      </c>
      <c r="J337" s="4" t="n">
        <v>0</v>
      </c>
      <c r="K337" s="4" t="n">
        <v>0</v>
      </c>
      <c r="M337" s="2">
        <f>IF(C337="","",IFERROR(INDEX($S$5:$S$304,MATCH(C337,$R$5:$R$304,0))&amp;"","?"))</f>
        <v/>
      </c>
      <c r="N337" s="2">
        <f>IF(E337="","",IF(LEFT(E337,7)="SUBSOLO",-1,IF(LEFT(E337,6)="TÉRREO",0,IFERROR(VALUE(LEFT(E337,FIND("º",SUBSTITUTE(E337,"°","º"))-1)),""))))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29981555</v>
      </c>
      <c r="C338" s="4" t="inlineStr">
        <is>
          <t>PRUMADA DE INCÊNDIO</t>
        </is>
      </c>
      <c r="D338" s="4" t="inlineStr">
        <is>
          <t>-</t>
        </is>
      </c>
      <c r="E338" s="4" t="inlineStr">
        <is>
          <t>7º PAV.</t>
        </is>
      </c>
      <c r="F338" s="118" t="n">
        <v>46476</v>
      </c>
      <c r="G338" s="118" t="n">
        <v>46486</v>
      </c>
      <c r="H338" s="118" t="n">
        <v>46289</v>
      </c>
      <c r="I338" s="4" t="n">
        <v>0</v>
      </c>
      <c r="J338" s="4" t="n">
        <v>0</v>
      </c>
      <c r="K338" s="4" t="n">
        <v>0</v>
      </c>
      <c r="M338" s="2">
        <f>IF(C338="","",IFERROR(INDEX($S$5:$S$304,MATCH(C338,$R$5:$R$304,0))&amp;"","?"))</f>
        <v/>
      </c>
      <c r="N338" s="2">
        <f>IF(E338="","",IF(LEFT(E338,7)="SUBSOLO",-1,IF(LEFT(E338,6)="TÉRREO",0,IFERROR(VALUE(LEFT(E338,FIND("º",SUBSTITUTE(E338,"°","º"))-1)),""))))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29981506</v>
      </c>
      <c r="C339" s="4" t="inlineStr">
        <is>
          <t>ALVENARIA</t>
        </is>
      </c>
      <c r="D339" s="4" t="inlineStr">
        <is>
          <t>-</t>
        </is>
      </c>
      <c r="E339" s="4" t="inlineStr">
        <is>
          <t>8º PAV.</t>
        </is>
      </c>
      <c r="F339" s="118" t="n">
        <v>46476</v>
      </c>
      <c r="G339" s="118" t="n">
        <v>46486</v>
      </c>
      <c r="H339" s="118" t="n">
        <v>46289</v>
      </c>
      <c r="I339" s="4" t="n">
        <v>0</v>
      </c>
      <c r="J339" s="4" t="n">
        <v>0</v>
      </c>
      <c r="K339" s="4" t="n">
        <v>0</v>
      </c>
      <c r="M339" s="2">
        <f>IF(C339="","",IFERROR(INDEX($S$5:$S$304,MATCH(C339,$R$5:$R$304,0))&amp;"","?"))</f>
        <v/>
      </c>
      <c r="N339" s="2">
        <f>IF(E339="","",IF(LEFT(E339,7)="SUBSOLO",-1,IF(LEFT(E339,6)="TÉRREO",0,IFERROR(VALUE(LEFT(E339,FIND("º",SUBSTITUTE(E339,"°","º"))-1)),""))))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29981545</v>
      </c>
      <c r="C340" s="4" t="inlineStr">
        <is>
          <t>PRUMADA HIDROSSANITÁRIA</t>
        </is>
      </c>
      <c r="D340" s="4" t="inlineStr">
        <is>
          <t>-</t>
        </is>
      </c>
      <c r="E340" s="4" t="inlineStr">
        <is>
          <t>7º PAV.</t>
        </is>
      </c>
      <c r="F340" s="118" t="n">
        <v>46482</v>
      </c>
      <c r="G340" s="118" t="n">
        <v>46492</v>
      </c>
      <c r="H340" s="118" t="n">
        <v>46289</v>
      </c>
      <c r="I340" s="4" t="n">
        <v>0</v>
      </c>
      <c r="J340" s="4" t="n">
        <v>0</v>
      </c>
      <c r="K340" s="4" t="n">
        <v>0</v>
      </c>
      <c r="M340" s="2">
        <f>IF(C340="","",IFERROR(INDEX($S$5:$S$304,MATCH(C340,$R$5:$R$304,0))&amp;"","?"))</f>
        <v/>
      </c>
      <c r="N340" s="2">
        <f>IF(E340="","",IF(LEFT(E340,7)="SUBSOLO",-1,IF(LEFT(E340,6)="TÉRREO",0,IFERROR(VALUE(LEFT(E340,FIND("º",SUBSTITUTE(E340,"°","º"))-1)),""))))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29981544</v>
      </c>
      <c r="C341" s="4" t="inlineStr">
        <is>
          <t>ENCUNHAMENTO</t>
        </is>
      </c>
      <c r="D341" s="4" t="inlineStr">
        <is>
          <t>-</t>
        </is>
      </c>
      <c r="E341" s="4" t="inlineStr">
        <is>
          <t>7º PAV.</t>
        </is>
      </c>
      <c r="F341" s="118" t="n">
        <v>46484</v>
      </c>
      <c r="G341" s="118" t="n">
        <v>46496</v>
      </c>
      <c r="H341" s="118" t="n">
        <v>46289</v>
      </c>
      <c r="I341" s="4" t="n">
        <v>0</v>
      </c>
      <c r="J341" s="4" t="n">
        <v>0</v>
      </c>
      <c r="K341" s="4" t="n">
        <v>0</v>
      </c>
      <c r="M341" s="2">
        <f>IF(C341="","",IFERROR(INDEX($S$5:$S$304,MATCH(C341,$R$5:$R$304,0))&amp;"","?"))</f>
        <v/>
      </c>
      <c r="N341" s="2">
        <f>IF(E341="","",IF(LEFT(E341,7)="SUBSOLO",-1,IF(LEFT(E341,6)="TÉRREO",0,IFERROR(VALUE(LEFT(E341,FIND("º",SUBSTITUTE(E341,"°","º"))-1)),""))))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35594323</v>
      </c>
      <c r="C342" s="4" t="inlineStr">
        <is>
          <t>ALVENARIA - ISOLAMENTO DE CONTENÇÕES</t>
        </is>
      </c>
      <c r="D342" s="4" t="inlineStr">
        <is>
          <t>-</t>
        </is>
      </c>
      <c r="E342" s="4" t="inlineStr">
        <is>
          <t>SERVIÇOS INICIAIS</t>
        </is>
      </c>
      <c r="F342" s="118" t="n">
        <v>46486</v>
      </c>
      <c r="G342" s="118" t="n">
        <v>46518</v>
      </c>
      <c r="H342" s="118" t="n">
        <v>46289</v>
      </c>
      <c r="I342" s="4" t="n">
        <v>0</v>
      </c>
      <c r="J342" s="4" t="n">
        <v>0</v>
      </c>
      <c r="K342" s="4" t="n">
        <v>0</v>
      </c>
      <c r="M342" s="2">
        <f>IF(C342="","",IFERROR(INDEX($S$5:$S$304,MATCH(C342,$R$5:$R$304,0))&amp;"","?"))</f>
        <v/>
      </c>
      <c r="N342" s="2">
        <f>IF(E342="","",IF(LEFT(E342,7)="SUBSOLO",-1,IF(LEFT(E342,6)="TÉRREO",0,IFERROR(VALUE(LEFT(E342,FIND("º",SUBSTITUTE(E342,"°","º"))-1)),""))))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30171481</v>
      </c>
      <c r="C343" s="4" t="inlineStr">
        <is>
          <t>ALVENARIA</t>
        </is>
      </c>
      <c r="D343" s="4" t="inlineStr">
        <is>
          <t>-</t>
        </is>
      </c>
      <c r="E343" s="4" t="inlineStr">
        <is>
          <t>2º PAV - GARAGEM</t>
        </is>
      </c>
      <c r="F343" s="118" t="n">
        <v>46486</v>
      </c>
      <c r="G343" s="118" t="n">
        <v>46549</v>
      </c>
      <c r="H343" s="118" t="n">
        <v>46289</v>
      </c>
      <c r="I343" s="4" t="n">
        <v>0</v>
      </c>
      <c r="J343" s="4" t="n">
        <v>0</v>
      </c>
      <c r="K343" s="4" t="n">
        <v>0</v>
      </c>
      <c r="M343" s="2">
        <f>IF(C343="","",IFERROR(INDEX($S$5:$S$304,MATCH(C343,$R$5:$R$304,0))&amp;"","?"))</f>
        <v/>
      </c>
      <c r="N343" s="2">
        <f>IF(E343="","",IF(LEFT(E343,7)="SUBSOLO",-1,IF(LEFT(E343,6)="TÉRREO",0,IFERROR(VALUE(LEFT(E343,FIND("º",SUBSTITUTE(E343,"°","º"))-1)),""))))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30171465</v>
      </c>
      <c r="C344" s="4" t="inlineStr">
        <is>
          <t>INFRA ELÉTRICA - TETO</t>
        </is>
      </c>
      <c r="D344" s="4" t="inlineStr">
        <is>
          <t>-</t>
        </is>
      </c>
      <c r="E344" s="4" t="inlineStr">
        <is>
          <t>3º PAV - GARAGEM</t>
        </is>
      </c>
      <c r="F344" s="118" t="n">
        <v>46486</v>
      </c>
      <c r="G344" s="118" t="n">
        <v>46549</v>
      </c>
      <c r="H344" s="118" t="n">
        <v>46289</v>
      </c>
      <c r="I344" s="4" t="n">
        <v>0</v>
      </c>
      <c r="J344" s="4" t="n">
        <v>0</v>
      </c>
      <c r="K344" s="4" t="n">
        <v>0</v>
      </c>
      <c r="M344" s="2">
        <f>IF(C344="","",IFERROR(INDEX($S$5:$S$304,MATCH(C344,$R$5:$R$304,0))&amp;"","?"))</f>
        <v/>
      </c>
      <c r="N344" s="2">
        <f>IF(E344="","",IF(LEFT(E344,7)="SUBSOLO",-1,IF(LEFT(E344,6)="TÉRREO",0,IFERROR(VALUE(LEFT(E344,FIND("º",SUBSTITUTE(E344,"°","º"))-1)),""))))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30171408</v>
      </c>
      <c r="C345" s="4" t="inlineStr">
        <is>
          <t>TRATAMENTO DE CONCRETO - TETO</t>
        </is>
      </c>
      <c r="D345" s="4" t="inlineStr">
        <is>
          <t>-</t>
        </is>
      </c>
      <c r="E345" s="4" t="inlineStr">
        <is>
          <t>5º PAV - GARAGEM</t>
        </is>
      </c>
      <c r="F345" s="118" t="n">
        <v>46486</v>
      </c>
      <c r="G345" s="118" t="n">
        <v>46517</v>
      </c>
      <c r="H345" s="118" t="n">
        <v>46289</v>
      </c>
      <c r="I345" s="4" t="n">
        <v>0</v>
      </c>
      <c r="J345" s="4" t="n">
        <v>0</v>
      </c>
      <c r="K345" s="4" t="n">
        <v>0</v>
      </c>
      <c r="M345" s="2">
        <f>IF(C345="","",IFERROR(INDEX($S$5:$S$304,MATCH(C345,$R$5:$R$304,0))&amp;"","?"))</f>
        <v/>
      </c>
      <c r="N345" s="2">
        <f>IF(E345="","",IF(LEFT(E345,7)="SUBSOLO",-1,IF(LEFT(E345,6)="TÉRREO",0,IFERROR(VALUE(LEFT(E345,FIND("º",SUBSTITUTE(E345,"°","º"))-1)),""))))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29940952</v>
      </c>
      <c r="C346" s="4" t="inlineStr">
        <is>
          <t>ESTRUTURA</t>
        </is>
      </c>
      <c r="D346" s="4" t="inlineStr">
        <is>
          <t>-</t>
        </is>
      </c>
      <c r="E346" s="4" t="inlineStr">
        <is>
          <t>12º PAV.</t>
        </is>
      </c>
      <c r="F346" s="118" t="n">
        <v>46486</v>
      </c>
      <c r="G346" s="118" t="n">
        <v>46497</v>
      </c>
      <c r="H346" s="118" t="n">
        <v>46289</v>
      </c>
      <c r="I346" s="4" t="n">
        <v>0</v>
      </c>
      <c r="J346" s="4" t="n">
        <v>0</v>
      </c>
      <c r="K346" s="4" t="n">
        <v>0</v>
      </c>
      <c r="M346" s="2">
        <f>IF(C346="","",IFERROR(INDEX($S$5:$S$304,MATCH(C346,$R$5:$R$304,0))&amp;"","?"))</f>
        <v/>
      </c>
      <c r="N346" s="2">
        <f>IF(E346="","",IF(LEFT(E346,7)="SUBSOLO",-1,IF(LEFT(E346,6)="TÉRREO",0,IFERROR(VALUE(LEFT(E346,FIND("º",SUBSTITUTE(E346,"°","º"))-1)),""))))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31528996</v>
      </c>
      <c r="C347" s="4" t="inlineStr">
        <is>
          <t>ESTRUTURA</t>
        </is>
      </c>
      <c r="D347" s="4" t="inlineStr">
        <is>
          <t>Forma</t>
        </is>
      </c>
      <c r="E347" s="4" t="inlineStr">
        <is>
          <t>12º PAV.</t>
        </is>
      </c>
      <c r="F347" s="118" t="n">
        <v>46486</v>
      </c>
      <c r="G347" s="118" t="n">
        <v>46491</v>
      </c>
      <c r="H347" s="118" t="n">
        <v>46289</v>
      </c>
      <c r="I347" s="4" t="n">
        <v>0</v>
      </c>
      <c r="J347" s="4" t="n">
        <v>0</v>
      </c>
      <c r="K347" s="4" t="n">
        <v>0</v>
      </c>
      <c r="M347" s="2">
        <f>IF(C347="","",IFERROR(INDEX($S$5:$S$304,MATCH(C347,$R$5:$R$304,0))&amp;"","?"))</f>
        <v/>
      </c>
      <c r="N347" s="2">
        <f>IF(E347="","",IF(LEFT(E347,7)="SUBSOLO",-1,IF(LEFT(E347,6)="TÉRREO",0,IFERROR(VALUE(LEFT(E347,FIND("º",SUBSTITUTE(E347,"°","º"))-1)),""))))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31528997</v>
      </c>
      <c r="C348" s="4" t="inlineStr">
        <is>
          <t>ESTRUTURA</t>
        </is>
      </c>
      <c r="D348" s="4" t="inlineStr">
        <is>
          <t>Armação</t>
        </is>
      </c>
      <c r="E348" s="4" t="inlineStr">
        <is>
          <t>12º PAV.</t>
        </is>
      </c>
      <c r="F348" s="118" t="n">
        <v>46492</v>
      </c>
      <c r="G348" s="118" t="n">
        <v>46496</v>
      </c>
      <c r="H348" s="118" t="n">
        <v>46289</v>
      </c>
      <c r="I348" s="4" t="n">
        <v>0</v>
      </c>
      <c r="J348" s="4" t="n">
        <v>0</v>
      </c>
      <c r="K348" s="4" t="n">
        <v>0</v>
      </c>
      <c r="M348" s="2">
        <f>IF(C348="","",IFERROR(INDEX($S$5:$S$304,MATCH(C348,$R$5:$R$304,0))&amp;"","?"))</f>
        <v/>
      </c>
      <c r="N348" s="2">
        <f>IF(E348="","",IF(LEFT(E348,7)="SUBSOLO",-1,IF(LEFT(E348,6)="TÉRREO",0,IFERROR(VALUE(LEFT(E348,FIND("º",SUBSTITUTE(E348,"°","º"))-1)),""))))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31528998</v>
      </c>
      <c r="C349" s="4" t="inlineStr">
        <is>
          <t>ESTRUTURA</t>
        </is>
      </c>
      <c r="D349" s="4" t="inlineStr">
        <is>
          <t>Concretagem</t>
        </is>
      </c>
      <c r="E349" s="4" t="inlineStr">
        <is>
          <t>12º PAV.</t>
        </is>
      </c>
      <c r="F349" s="118" t="n">
        <v>46497</v>
      </c>
      <c r="G349" s="118" t="n">
        <v>46497</v>
      </c>
      <c r="H349" s="118" t="n">
        <v>46289</v>
      </c>
      <c r="I349" s="4" t="n">
        <v>0</v>
      </c>
      <c r="J349" s="4" t="n">
        <v>0</v>
      </c>
      <c r="K349" s="4" t="n">
        <v>0</v>
      </c>
      <c r="M349" s="2">
        <f>IF(C349="","",IFERROR(INDEX($S$5:$S$304,MATCH(C349,$R$5:$R$304,0))&amp;"","?"))</f>
        <v/>
      </c>
      <c r="N349" s="2">
        <f>IF(E349="","",IF(LEFT(E349,7)="SUBSOLO",-1,IF(LEFT(E349,6)="TÉRREO",0,IFERROR(VALUE(LEFT(E349,FIND("º",SUBSTITUTE(E349,"°","º"))-1)),""))))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31528999</v>
      </c>
      <c r="C350" s="4" t="inlineStr">
        <is>
          <t>ESTRUTURA</t>
        </is>
      </c>
      <c r="D350" s="4" t="inlineStr">
        <is>
          <t>Polimento</t>
        </is>
      </c>
      <c r="E350" s="4" t="inlineStr">
        <is>
          <t>12º PAV.</t>
        </is>
      </c>
      <c r="F350" s="118" t="n">
        <v>46497</v>
      </c>
      <c r="G350" s="118" t="n">
        <v>46497</v>
      </c>
      <c r="H350" s="118" t="n">
        <v>46289</v>
      </c>
      <c r="I350" s="4" t="n">
        <v>0</v>
      </c>
      <c r="J350" s="4" t="n">
        <v>0</v>
      </c>
      <c r="K350" s="4" t="n">
        <v>0</v>
      </c>
      <c r="M350" s="2">
        <f>IF(C350="","",IFERROR(INDEX($S$5:$S$304,MATCH(C350,$R$5:$R$304,0))&amp;"","?"))</f>
        <v/>
      </c>
      <c r="N350" s="2">
        <f>IF(E350="","",IF(LEFT(E350,7)="SUBSOLO",-1,IF(LEFT(E350,6)="TÉRREO",0,IFERROR(VALUE(LEFT(E350,FIND("º",SUBSTITUTE(E350,"°","º"))-1)),""))))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29981518</v>
      </c>
      <c r="C351" s="4" t="inlineStr">
        <is>
          <t>PRUMADA DE INCÊNDIO</t>
        </is>
      </c>
      <c r="D351" s="4" t="inlineStr">
        <is>
          <t>-</t>
        </is>
      </c>
      <c r="E351" s="4" t="inlineStr">
        <is>
          <t>8º PAV.</t>
        </is>
      </c>
      <c r="F351" s="118" t="n">
        <v>46489</v>
      </c>
      <c r="G351" s="118" t="n">
        <v>46500</v>
      </c>
      <c r="H351" s="118" t="n">
        <v>46289</v>
      </c>
      <c r="I351" s="4" t="n">
        <v>0</v>
      </c>
      <c r="J351" s="4" t="n">
        <v>0</v>
      </c>
      <c r="K351" s="4" t="n">
        <v>0</v>
      </c>
      <c r="M351" s="2">
        <f>IF(C351="","",IFERROR(INDEX($S$5:$S$304,MATCH(C351,$R$5:$R$304,0))&amp;"","?"))</f>
        <v/>
      </c>
      <c r="N351" s="2">
        <f>IF(E351="","",IF(LEFT(E351,7)="SUBSOLO",-1,IF(LEFT(E351,6)="TÉRREO",0,IFERROR(VALUE(LEFT(E351,FIND("º",SUBSTITUTE(E351,"°","º"))-1)),""))))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29981469</v>
      </c>
      <c r="C352" s="4" t="inlineStr">
        <is>
          <t>ALVENARIA</t>
        </is>
      </c>
      <c r="D352" s="4" t="inlineStr">
        <is>
          <t>-</t>
        </is>
      </c>
      <c r="E352" s="4" t="inlineStr">
        <is>
          <t>9º PAV.</t>
        </is>
      </c>
      <c r="F352" s="118" t="n">
        <v>46489</v>
      </c>
      <c r="G352" s="118" t="n">
        <v>46500</v>
      </c>
      <c r="H352" s="118" t="n">
        <v>46289</v>
      </c>
      <c r="I352" s="4" t="n">
        <v>0</v>
      </c>
      <c r="J352" s="4" t="n">
        <v>0</v>
      </c>
      <c r="K352" s="4" t="n">
        <v>0</v>
      </c>
      <c r="M352" s="2">
        <f>IF(C352="","",IFERROR(INDEX($S$5:$S$304,MATCH(C352,$R$5:$R$304,0))&amp;"","?"))</f>
        <v/>
      </c>
      <c r="N352" s="2">
        <f>IF(E352="","",IF(LEFT(E352,7)="SUBSOLO",-1,IF(LEFT(E352,6)="TÉRREO",0,IFERROR(VALUE(LEFT(E352,FIND("º",SUBSTITUTE(E352,"°","º"))-1)),""))))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39887265</v>
      </c>
      <c r="C353" s="4" t="inlineStr">
        <is>
          <t>ESTRUTURA IGREJA</t>
        </is>
      </c>
      <c r="D353" s="4" t="inlineStr">
        <is>
          <t>-</t>
        </is>
      </c>
      <c r="E353" s="4" t="inlineStr">
        <is>
          <t>6º PAV - PILOTIS</t>
        </is>
      </c>
      <c r="F353" s="118" t="n">
        <v>46492</v>
      </c>
      <c r="G353" s="118" t="n">
        <v>46510</v>
      </c>
      <c r="H353" s="118" t="n">
        <v>46289</v>
      </c>
      <c r="I353" s="4" t="n">
        <v>0</v>
      </c>
      <c r="J353" s="4" t="n">
        <v>0</v>
      </c>
      <c r="K353" s="4" t="n">
        <v>0</v>
      </c>
      <c r="M353" s="2">
        <f>IF(C353="","",IFERROR(INDEX($S$5:$S$304,MATCH(C353,$R$5:$R$304,0))&amp;"","?"))</f>
        <v/>
      </c>
      <c r="N353" s="2">
        <f>IF(E353="","",IF(LEFT(E353,7)="SUBSOLO",-1,IF(LEFT(E353,6)="TÉRREO",0,IFERROR(VALUE(LEFT(E353,FIND("º",SUBSTITUTE(E353,"°","º"))-1)),""))))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29981542</v>
      </c>
      <c r="C354" s="4" t="inlineStr">
        <is>
          <t>TALISCAMENTO</t>
        </is>
      </c>
      <c r="D354" s="4" t="inlineStr">
        <is>
          <t>-</t>
        </is>
      </c>
      <c r="E354" s="4" t="inlineStr">
        <is>
          <t>7º PAV.</t>
        </is>
      </c>
      <c r="F354" s="118" t="n">
        <v>46493</v>
      </c>
      <c r="G354" s="118" t="n">
        <v>46506</v>
      </c>
      <c r="H354" s="118" t="n">
        <v>46289</v>
      </c>
      <c r="I354" s="4" t="n">
        <v>0</v>
      </c>
      <c r="J354" s="4" t="n">
        <v>0</v>
      </c>
      <c r="K354" s="4" t="n">
        <v>0</v>
      </c>
      <c r="M354" s="2">
        <f>IF(C354="","",IFERROR(INDEX($S$5:$S$304,MATCH(C354,$R$5:$R$304,0))&amp;"","?"))</f>
        <v/>
      </c>
      <c r="N354" s="2">
        <f>IF(E354="","",IF(LEFT(E354,7)="SUBSOLO",-1,IF(LEFT(E354,6)="TÉRREO",0,IFERROR(VALUE(LEFT(E354,FIND("º",SUBSTITUTE(E354,"°","º"))-1)),""))))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29981508</v>
      </c>
      <c r="C355" s="4" t="inlineStr">
        <is>
          <t>PRUMADA HIDROSSANITÁRIA</t>
        </is>
      </c>
      <c r="D355" s="4" t="inlineStr">
        <is>
          <t>-</t>
        </is>
      </c>
      <c r="E355" s="4" t="inlineStr">
        <is>
          <t>8º PAV.</t>
        </is>
      </c>
      <c r="F355" s="118" t="n">
        <v>46493</v>
      </c>
      <c r="G355" s="118" t="n">
        <v>46506</v>
      </c>
      <c r="H355" s="118" t="n">
        <v>46289</v>
      </c>
      <c r="I355" s="4" t="n">
        <v>0</v>
      </c>
      <c r="J355" s="4" t="n">
        <v>0</v>
      </c>
      <c r="K355" s="4" t="n">
        <v>0</v>
      </c>
      <c r="M355" s="2">
        <f>IF(C355="","",IFERROR(INDEX($S$5:$S$304,MATCH(C355,$R$5:$R$304,0))&amp;"","?"))</f>
        <v/>
      </c>
      <c r="N355" s="2">
        <f>IF(E355="","",IF(LEFT(E355,7)="SUBSOLO",-1,IF(LEFT(E355,6)="TÉRREO",0,IFERROR(VALUE(LEFT(E355,FIND("º",SUBSTITUTE(E355,"°","º"))-1)),""))))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29981507</v>
      </c>
      <c r="C356" s="4" t="inlineStr">
        <is>
          <t>ENCUNHAMENTO</t>
        </is>
      </c>
      <c r="D356" s="4" t="inlineStr">
        <is>
          <t>-</t>
        </is>
      </c>
      <c r="E356" s="4" t="inlineStr">
        <is>
          <t>8º PAV.</t>
        </is>
      </c>
      <c r="F356" s="118" t="n">
        <v>46497</v>
      </c>
      <c r="G356" s="118" t="n">
        <v>46510</v>
      </c>
      <c r="H356" s="118" t="n">
        <v>46289</v>
      </c>
      <c r="I356" s="4" t="n">
        <v>0</v>
      </c>
      <c r="J356" s="4" t="n">
        <v>0</v>
      </c>
      <c r="K356" s="4" t="n">
        <v>0</v>
      </c>
      <c r="M356" s="2">
        <f>IF(C356="","",IFERROR(INDEX($S$5:$S$304,MATCH(C356,$R$5:$R$304,0))&amp;"","?"))</f>
        <v/>
      </c>
      <c r="N356" s="2">
        <f>IF(E356="","",IF(LEFT(E356,7)="SUBSOLO",-1,IF(LEFT(E356,6)="TÉRREO",0,IFERROR(VALUE(LEFT(E356,FIND("º",SUBSTITUTE(E356,"°","º"))-1)),""))))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29940953</v>
      </c>
      <c r="C357" s="4" t="inlineStr">
        <is>
          <t>ESTRUTURA</t>
        </is>
      </c>
      <c r="D357" s="4" t="inlineStr">
        <is>
          <t>-</t>
        </is>
      </c>
      <c r="E357" s="4" t="inlineStr">
        <is>
          <t>13º PAV.</t>
        </is>
      </c>
      <c r="F357" s="118" t="n">
        <v>46499</v>
      </c>
      <c r="G357" s="118" t="n">
        <v>46510</v>
      </c>
      <c r="H357" s="118" t="n">
        <v>46289</v>
      </c>
      <c r="I357" s="4" t="n">
        <v>0</v>
      </c>
      <c r="J357" s="4" t="n">
        <v>0</v>
      </c>
      <c r="K357" s="4" t="n">
        <v>0</v>
      </c>
      <c r="M357" s="2">
        <f>IF(C357="","",IFERROR(INDEX($S$5:$S$304,MATCH(C357,$R$5:$R$304,0))&amp;"","?"))</f>
        <v/>
      </c>
      <c r="N357" s="2">
        <f>IF(E357="","",IF(LEFT(E357,7)="SUBSOLO",-1,IF(LEFT(E357,6)="TÉRREO",0,IFERROR(VALUE(LEFT(E357,FIND("º",SUBSTITUTE(E357,"°","º"))-1)),""))))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31529000</v>
      </c>
      <c r="C358" s="4" t="inlineStr">
        <is>
          <t>ESTRUTURA</t>
        </is>
      </c>
      <c r="D358" s="4" t="inlineStr">
        <is>
          <t>Forma</t>
        </is>
      </c>
      <c r="E358" s="4" t="inlineStr">
        <is>
          <t>13º PAV.</t>
        </is>
      </c>
      <c r="F358" s="118" t="n">
        <v>46499</v>
      </c>
      <c r="G358" s="118" t="n">
        <v>46504</v>
      </c>
      <c r="H358" s="118" t="n">
        <v>46289</v>
      </c>
      <c r="I358" s="4" t="n">
        <v>0</v>
      </c>
      <c r="J358" s="4" t="n">
        <v>0</v>
      </c>
      <c r="K358" s="4" t="n">
        <v>0</v>
      </c>
      <c r="M358" s="2">
        <f>IF(C358="","",IFERROR(INDEX($S$5:$S$304,MATCH(C358,$R$5:$R$304,0))&amp;"","?"))</f>
        <v/>
      </c>
      <c r="N358" s="2">
        <f>IF(E358="","",IF(LEFT(E358,7)="SUBSOLO",-1,IF(LEFT(E358,6)="TÉRREO",0,IFERROR(VALUE(LEFT(E358,FIND("º",SUBSTITUTE(E358,"°","º"))-1)),""))))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31529001</v>
      </c>
      <c r="C359" s="4" t="inlineStr">
        <is>
          <t>ESTRUTURA</t>
        </is>
      </c>
      <c r="D359" s="4" t="inlineStr">
        <is>
          <t>Armação</t>
        </is>
      </c>
      <c r="E359" s="4" t="inlineStr">
        <is>
          <t>13º PAV.</t>
        </is>
      </c>
      <c r="F359" s="118" t="n">
        <v>46505</v>
      </c>
      <c r="G359" s="118" t="n">
        <v>46507</v>
      </c>
      <c r="H359" s="118" t="n">
        <v>46289</v>
      </c>
      <c r="I359" s="4" t="n">
        <v>0</v>
      </c>
      <c r="J359" s="4" t="n">
        <v>0</v>
      </c>
      <c r="K359" s="4" t="n">
        <v>0</v>
      </c>
      <c r="M359" s="2">
        <f>IF(C359="","",IFERROR(INDEX($S$5:$S$304,MATCH(C359,$R$5:$R$304,0))&amp;"","?"))</f>
        <v/>
      </c>
      <c r="N359" s="2">
        <f>IF(E359="","",IF(LEFT(E359,7)="SUBSOLO",-1,IF(LEFT(E359,6)="TÉRREO",0,IFERROR(VALUE(LEFT(E359,FIND("º",SUBSTITUTE(E359,"°","º"))-1)),""))))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31529002</v>
      </c>
      <c r="C360" s="4" t="inlineStr">
        <is>
          <t>ESTRUTURA</t>
        </is>
      </c>
      <c r="D360" s="4" t="inlineStr">
        <is>
          <t>Concretagem</t>
        </is>
      </c>
      <c r="E360" s="4" t="inlineStr">
        <is>
          <t>13º PAV.</t>
        </is>
      </c>
      <c r="F360" s="118" t="n">
        <v>46510</v>
      </c>
      <c r="G360" s="118" t="n">
        <v>46510</v>
      </c>
      <c r="H360" s="118" t="n">
        <v>46289</v>
      </c>
      <c r="I360" s="4" t="n">
        <v>0</v>
      </c>
      <c r="J360" s="4" t="n">
        <v>0</v>
      </c>
      <c r="K360" s="4" t="n">
        <v>0</v>
      </c>
      <c r="M360" s="2">
        <f>IF(C360="","",IFERROR(INDEX($S$5:$S$304,MATCH(C360,$R$5:$R$304,0))&amp;"","?"))</f>
        <v/>
      </c>
      <c r="N360" s="2">
        <f>IF(E360="","",IF(LEFT(E360,7)="SUBSOLO",-1,IF(LEFT(E360,6)="TÉRREO",0,IFERROR(VALUE(LEFT(E360,FIND("º",SUBSTITUTE(E360,"°","º"))-1)),""))))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31529003</v>
      </c>
      <c r="C361" s="4" t="inlineStr">
        <is>
          <t>ESTRUTURA</t>
        </is>
      </c>
      <c r="D361" s="4" t="inlineStr">
        <is>
          <t>Polimento</t>
        </is>
      </c>
      <c r="E361" s="4" t="inlineStr">
        <is>
          <t>13º PAV.</t>
        </is>
      </c>
      <c r="F361" s="118" t="n">
        <v>46510</v>
      </c>
      <c r="G361" s="118" t="n">
        <v>46510</v>
      </c>
      <c r="H361" s="118" t="n">
        <v>46289</v>
      </c>
      <c r="I361" s="4" t="n">
        <v>0</v>
      </c>
      <c r="J361" s="4" t="n">
        <v>0</v>
      </c>
      <c r="K361" s="4" t="n">
        <v>0</v>
      </c>
      <c r="M361" s="2">
        <f>IF(C361="","",IFERROR(INDEX($S$5:$S$304,MATCH(C361,$R$5:$R$304,0))&amp;"","?"))</f>
        <v/>
      </c>
      <c r="N361" s="2">
        <f>IF(E361="","",IF(LEFT(E361,7)="SUBSOLO",-1,IF(LEFT(E361,6)="TÉRREO",0,IFERROR(VALUE(LEFT(E361,FIND("º",SUBSTITUTE(E361,"°","º"))-1)),""))))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29981481</v>
      </c>
      <c r="C362" s="4" t="inlineStr">
        <is>
          <t>PRUMADA DE INCÊNDIO</t>
        </is>
      </c>
      <c r="D362" s="4" t="inlineStr">
        <is>
          <t>-</t>
        </is>
      </c>
      <c r="E362" s="4" t="inlineStr">
        <is>
          <t>9º PAV.</t>
        </is>
      </c>
      <c r="F362" s="118" t="n">
        <v>46503</v>
      </c>
      <c r="G362" s="118" t="n">
        <v>46513</v>
      </c>
      <c r="H362" s="118" t="n">
        <v>46289</v>
      </c>
      <c r="I362" s="4" t="n">
        <v>0</v>
      </c>
      <c r="J362" s="4" t="n">
        <v>0</v>
      </c>
      <c r="K362" s="4" t="n">
        <v>0</v>
      </c>
      <c r="M362" s="2">
        <f>IF(C362="","",IFERROR(INDEX($S$5:$S$304,MATCH(C362,$R$5:$R$304,0))&amp;"","?"))</f>
        <v/>
      </c>
      <c r="N362" s="2">
        <f>IF(E362="","",IF(LEFT(E362,7)="SUBSOLO",-1,IF(LEFT(E362,6)="TÉRREO",0,IFERROR(VALUE(LEFT(E362,FIND("º",SUBSTITUTE(E362,"°","º"))-1)),""))))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29981432</v>
      </c>
      <c r="C363" s="4" t="inlineStr">
        <is>
          <t>ALVENARIA</t>
        </is>
      </c>
      <c r="D363" s="4" t="inlineStr">
        <is>
          <t>-</t>
        </is>
      </c>
      <c r="E363" s="4" t="inlineStr">
        <is>
          <t>10º PAV.</t>
        </is>
      </c>
      <c r="F363" s="118" t="n">
        <v>46503</v>
      </c>
      <c r="G363" s="118" t="n">
        <v>46513</v>
      </c>
      <c r="H363" s="118" t="n">
        <v>46289</v>
      </c>
      <c r="I363" s="4" t="n">
        <v>0</v>
      </c>
      <c r="J363" s="4" t="n">
        <v>0</v>
      </c>
      <c r="K363" s="4" t="n">
        <v>0</v>
      </c>
      <c r="M363" s="2">
        <f>IF(C363="","",IFERROR(INDEX($S$5:$S$304,MATCH(C363,$R$5:$R$304,0))&amp;"","?"))</f>
        <v/>
      </c>
      <c r="N363" s="2">
        <f>IF(E363="","",IF(LEFT(E363,7)="SUBSOLO",-1,IF(LEFT(E363,6)="TÉRREO",0,IFERROR(VALUE(LEFT(E363,FIND("º",SUBSTITUTE(E363,"°","º"))-1)),""))))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29981556</v>
      </c>
      <c r="C364" s="4" t="inlineStr">
        <is>
          <t>DISTRIBUIÇÃO HIDROSSANITÁRIA</t>
        </is>
      </c>
      <c r="D364" s="4" t="inlineStr">
        <is>
          <t>-</t>
        </is>
      </c>
      <c r="E364" s="4" t="inlineStr">
        <is>
          <t>7º PAV.</t>
        </is>
      </c>
      <c r="F364" s="118" t="n">
        <v>46507</v>
      </c>
      <c r="G364" s="118" t="n">
        <v>46519</v>
      </c>
      <c r="H364" s="118" t="n">
        <v>46289</v>
      </c>
      <c r="I364" s="4" t="n">
        <v>0</v>
      </c>
      <c r="J364" s="4" t="n">
        <v>0</v>
      </c>
      <c r="K364" s="4" t="n">
        <v>0</v>
      </c>
      <c r="M364" s="2">
        <f>IF(C364="","",IFERROR(INDEX($S$5:$S$304,MATCH(C364,$R$5:$R$304,0))&amp;"","?"))</f>
        <v/>
      </c>
      <c r="N364" s="2">
        <f>IF(E364="","",IF(LEFT(E364,7)="SUBSOLO",-1,IF(LEFT(E364,6)="TÉRREO",0,IFERROR(VALUE(LEFT(E364,FIND("º",SUBSTITUTE(E364,"°","º"))-1)),""))))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29981525</v>
      </c>
      <c r="C365" s="4" t="inlineStr">
        <is>
          <t>DISTRIBUIÇÃO ELÉTRICA / QUADRO</t>
        </is>
      </c>
      <c r="D365" s="4" t="inlineStr">
        <is>
          <t>-</t>
        </is>
      </c>
      <c r="E365" s="4" t="inlineStr">
        <is>
          <t>7º PAV.</t>
        </is>
      </c>
      <c r="F365" s="118" t="n">
        <v>46507</v>
      </c>
      <c r="G365" s="118" t="n">
        <v>46519</v>
      </c>
      <c r="H365" s="118" t="n">
        <v>46289</v>
      </c>
      <c r="I365" s="4" t="n">
        <v>0</v>
      </c>
      <c r="J365" s="4" t="n">
        <v>0</v>
      </c>
      <c r="K365" s="4" t="n">
        <v>0</v>
      </c>
      <c r="M365" s="2">
        <f>IF(C365="","",IFERROR(INDEX($S$5:$S$304,MATCH(C365,$R$5:$R$304,0))&amp;"","?"))</f>
        <v/>
      </c>
      <c r="N365" s="2">
        <f>IF(E365="","",IF(LEFT(E365,7)="SUBSOLO",-1,IF(LEFT(E365,6)="TÉRREO",0,IFERROR(VALUE(LEFT(E365,FIND("º",SUBSTITUTE(E365,"°","º"))-1)),""))))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29981558</v>
      </c>
      <c r="C366" s="4" t="inlineStr">
        <is>
          <t>DISTRIBUIÇÃO DE GÁS</t>
        </is>
      </c>
      <c r="D366" s="4" t="inlineStr">
        <is>
          <t>-</t>
        </is>
      </c>
      <c r="E366" s="4" t="inlineStr">
        <is>
          <t>7º PAV.</t>
        </is>
      </c>
      <c r="F366" s="118" t="n">
        <v>46507</v>
      </c>
      <c r="G366" s="118" t="n">
        <v>46519</v>
      </c>
      <c r="H366" s="118" t="n">
        <v>46289</v>
      </c>
      <c r="I366" s="4" t="n">
        <v>0</v>
      </c>
      <c r="J366" s="4" t="n">
        <v>0</v>
      </c>
      <c r="K366" s="4" t="n">
        <v>0</v>
      </c>
      <c r="M366" s="2">
        <f>IF(C366="","",IFERROR(INDEX($S$5:$S$304,MATCH(C366,$R$5:$R$304,0))&amp;"","?"))</f>
        <v/>
      </c>
      <c r="N366" s="2">
        <f>IF(E366="","",IF(LEFT(E366,7)="SUBSOLO",-1,IF(LEFT(E366,6)="TÉRREO",0,IFERROR(VALUE(LEFT(E366,FIND("º",SUBSTITUTE(E366,"°","º"))-1)),""))))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29981505</v>
      </c>
      <c r="C367" s="4" t="inlineStr">
        <is>
          <t>TALISCAMENTO</t>
        </is>
      </c>
      <c r="D367" s="4" t="inlineStr">
        <is>
          <t>-</t>
        </is>
      </c>
      <c r="E367" s="4" t="inlineStr">
        <is>
          <t>8º PAV.</t>
        </is>
      </c>
      <c r="F367" s="118" t="n">
        <v>46507</v>
      </c>
      <c r="G367" s="118" t="n">
        <v>46519</v>
      </c>
      <c r="H367" s="118" t="n">
        <v>46289</v>
      </c>
      <c r="I367" s="4" t="n">
        <v>0</v>
      </c>
      <c r="J367" s="4" t="n">
        <v>0</v>
      </c>
      <c r="K367" s="4" t="n">
        <v>0</v>
      </c>
      <c r="M367" s="2">
        <f>IF(C367="","",IFERROR(INDEX($S$5:$S$304,MATCH(C367,$R$5:$R$304,0))&amp;"","?"))</f>
        <v/>
      </c>
      <c r="N367" s="2">
        <f>IF(E367="","",IF(LEFT(E367,7)="SUBSOLO",-1,IF(LEFT(E367,6)="TÉRREO",0,IFERROR(VALUE(LEFT(E367,FIND("º",SUBSTITUTE(E367,"°","º"))-1)),""))))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29981471</v>
      </c>
      <c r="C368" s="4" t="inlineStr">
        <is>
          <t>PRUMADA HIDROSSANITÁRIA</t>
        </is>
      </c>
      <c r="D368" s="4" t="inlineStr">
        <is>
          <t>-</t>
        </is>
      </c>
      <c r="E368" s="4" t="inlineStr">
        <is>
          <t>9º PAV.</t>
        </is>
      </c>
      <c r="F368" s="118" t="n">
        <v>46507</v>
      </c>
      <c r="G368" s="118" t="n">
        <v>46519</v>
      </c>
      <c r="H368" s="118" t="n">
        <v>46289</v>
      </c>
      <c r="I368" s="4" t="n">
        <v>0</v>
      </c>
      <c r="J368" s="4" t="n">
        <v>0</v>
      </c>
      <c r="K368" s="4" t="n">
        <v>0</v>
      </c>
      <c r="M368" s="2">
        <f>IF(C368="","",IFERROR(INDEX($S$5:$S$304,MATCH(C368,$R$5:$R$304,0))&amp;"","?"))</f>
        <v/>
      </c>
      <c r="N368" s="2">
        <f>IF(E368="","",IF(LEFT(E368,7)="SUBSOLO",-1,IF(LEFT(E368,6)="TÉRREO",0,IFERROR(VALUE(LEFT(E368,FIND("º",SUBSTITUTE(E368,"°","º"))-1)),""))))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29981470</v>
      </c>
      <c r="C369" s="4" t="inlineStr">
        <is>
          <t>ENCUNHAMENTO</t>
        </is>
      </c>
      <c r="D369" s="4" t="inlineStr">
        <is>
          <t>-</t>
        </is>
      </c>
      <c r="E369" s="4" t="inlineStr">
        <is>
          <t>9º PAV.</t>
        </is>
      </c>
      <c r="F369" s="118" t="n">
        <v>46511</v>
      </c>
      <c r="G369" s="118" t="n">
        <v>46521</v>
      </c>
      <c r="H369" s="118" t="n">
        <v>46289</v>
      </c>
      <c r="I369" s="4" t="n">
        <v>0</v>
      </c>
      <c r="J369" s="4" t="n">
        <v>0</v>
      </c>
      <c r="K369" s="4" t="n">
        <v>0</v>
      </c>
      <c r="M369" s="2">
        <f>IF(C369="","",IFERROR(INDEX($S$5:$S$304,MATCH(C369,$R$5:$R$304,0))&amp;"","?"))</f>
        <v/>
      </c>
      <c r="N369" s="2">
        <f>IF(E369="","",IF(LEFT(E369,7)="SUBSOLO",-1,IF(LEFT(E369,6)="TÉRREO",0,IFERROR(VALUE(LEFT(E369,FIND("º",SUBSTITUTE(E369,"°","º"))-1)),""))))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29940954</v>
      </c>
      <c r="C370" s="4" t="inlineStr">
        <is>
          <t>ESTRUTURA</t>
        </is>
      </c>
      <c r="D370" s="4" t="inlineStr">
        <is>
          <t>-</t>
        </is>
      </c>
      <c r="E370" s="4" t="inlineStr">
        <is>
          <t>14º PAV.</t>
        </is>
      </c>
      <c r="F370" s="118" t="n">
        <v>46511</v>
      </c>
      <c r="G370" s="118" t="n">
        <v>46520</v>
      </c>
      <c r="H370" s="118" t="n">
        <v>46289</v>
      </c>
      <c r="I370" s="4" t="n">
        <v>0</v>
      </c>
      <c r="J370" s="4" t="n">
        <v>0</v>
      </c>
      <c r="K370" s="4" t="n">
        <v>0</v>
      </c>
      <c r="M370" s="2">
        <f>IF(C370="","",IFERROR(INDEX($S$5:$S$304,MATCH(C370,$R$5:$R$304,0))&amp;"","?"))</f>
        <v/>
      </c>
      <c r="N370" s="2">
        <f>IF(E370="","",IF(LEFT(E370,7)="SUBSOLO",-1,IF(LEFT(E370,6)="TÉRREO",0,IFERROR(VALUE(LEFT(E370,FIND("º",SUBSTITUTE(E370,"°","º"))-1)),""))))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31529004</v>
      </c>
      <c r="C371" s="4" t="inlineStr">
        <is>
          <t>ESTRUTURA</t>
        </is>
      </c>
      <c r="D371" s="4" t="inlineStr">
        <is>
          <t>Forma</t>
        </is>
      </c>
      <c r="E371" s="4" t="inlineStr">
        <is>
          <t>14º PAV.</t>
        </is>
      </c>
      <c r="F371" s="118" t="n">
        <v>46511</v>
      </c>
      <c r="G371" s="118" t="n">
        <v>46514</v>
      </c>
      <c r="H371" s="118" t="n">
        <v>46289</v>
      </c>
      <c r="I371" s="4" t="n">
        <v>0</v>
      </c>
      <c r="J371" s="4" t="n">
        <v>0</v>
      </c>
      <c r="K371" s="4" t="n">
        <v>0</v>
      </c>
      <c r="M371" s="2">
        <f>IF(C371="","",IFERROR(INDEX($S$5:$S$304,MATCH(C371,$R$5:$R$304,0))&amp;"","?"))</f>
        <v/>
      </c>
      <c r="N371" s="2">
        <f>IF(E371="","",IF(LEFT(E371,7)="SUBSOLO",-1,IF(LEFT(E371,6)="TÉRREO",0,IFERROR(VALUE(LEFT(E371,FIND("º",SUBSTITUTE(E371,"°","º"))-1)),""))))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31529005</v>
      </c>
      <c r="C372" s="4" t="inlineStr">
        <is>
          <t>ESTRUTURA</t>
        </is>
      </c>
      <c r="D372" s="4" t="inlineStr">
        <is>
          <t>Armação</t>
        </is>
      </c>
      <c r="E372" s="4" t="inlineStr">
        <is>
          <t>14º PAV.</t>
        </is>
      </c>
      <c r="F372" s="118" t="n">
        <v>46517</v>
      </c>
      <c r="G372" s="118" t="n">
        <v>46519</v>
      </c>
      <c r="H372" s="118" t="n">
        <v>46289</v>
      </c>
      <c r="I372" s="4" t="n">
        <v>0</v>
      </c>
      <c r="J372" s="4" t="n">
        <v>0</v>
      </c>
      <c r="K372" s="4" t="n">
        <v>0</v>
      </c>
      <c r="M372" s="2">
        <f>IF(C372="","",IFERROR(INDEX($S$5:$S$304,MATCH(C372,$R$5:$R$304,0))&amp;"","?"))</f>
        <v/>
      </c>
      <c r="N372" s="2">
        <f>IF(E372="","",IF(LEFT(E372,7)="SUBSOLO",-1,IF(LEFT(E372,6)="TÉRREO",0,IFERROR(VALUE(LEFT(E372,FIND("º",SUBSTITUTE(E372,"°","º"))-1)),""))))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31529006</v>
      </c>
      <c r="C373" s="4" t="inlineStr">
        <is>
          <t>ESTRUTURA</t>
        </is>
      </c>
      <c r="D373" s="4" t="inlineStr">
        <is>
          <t>Concretagem</t>
        </is>
      </c>
      <c r="E373" s="4" t="inlineStr">
        <is>
          <t>14º PAV.</t>
        </is>
      </c>
      <c r="F373" s="118" t="n">
        <v>46520</v>
      </c>
      <c r="G373" s="118" t="n">
        <v>46520</v>
      </c>
      <c r="H373" s="118" t="n">
        <v>46289</v>
      </c>
      <c r="I373" s="4" t="n">
        <v>0</v>
      </c>
      <c r="J373" s="4" t="n">
        <v>0</v>
      </c>
      <c r="K373" s="4" t="n">
        <v>0</v>
      </c>
      <c r="M373" s="2">
        <f>IF(C373="","",IFERROR(INDEX($S$5:$S$304,MATCH(C373,$R$5:$R$304,0))&amp;"","?"))</f>
        <v/>
      </c>
      <c r="N373" s="2">
        <f>IF(E373="","",IF(LEFT(E373,7)="SUBSOLO",-1,IF(LEFT(E373,6)="TÉRREO",0,IFERROR(VALUE(LEFT(E373,FIND("º",SUBSTITUTE(E373,"°","º"))-1)),""))))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31529007</v>
      </c>
      <c r="C374" s="4" t="inlineStr">
        <is>
          <t>ESTRUTURA</t>
        </is>
      </c>
      <c r="D374" s="4" t="inlineStr">
        <is>
          <t>Polimento</t>
        </is>
      </c>
      <c r="E374" s="4" t="inlineStr">
        <is>
          <t>14º PAV.</t>
        </is>
      </c>
      <c r="F374" s="118" t="n">
        <v>46520</v>
      </c>
      <c r="G374" s="118" t="n">
        <v>46520</v>
      </c>
      <c r="H374" s="118" t="n">
        <v>46289</v>
      </c>
      <c r="I374" s="4" t="n">
        <v>0</v>
      </c>
      <c r="J374" s="4" t="n">
        <v>0</v>
      </c>
      <c r="K374" s="4" t="n">
        <v>0</v>
      </c>
      <c r="M374" s="2">
        <f>IF(C374="","",IFERROR(INDEX($S$5:$S$304,MATCH(C374,$R$5:$R$304,0))&amp;"","?"))</f>
        <v/>
      </c>
      <c r="N374" s="2">
        <f>IF(E374="","",IF(LEFT(E374,7)="SUBSOLO",-1,IF(LEFT(E374,6)="TÉRREO",0,IFERROR(VALUE(LEFT(E374,FIND("º",SUBSTITUTE(E374,"°","º"))-1)),""))))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29981444</v>
      </c>
      <c r="C375" s="4" t="inlineStr">
        <is>
          <t>PRUMADA DE INCÊNDIO</t>
        </is>
      </c>
      <c r="D375" s="4" t="inlineStr">
        <is>
          <t>-</t>
        </is>
      </c>
      <c r="E375" s="4" t="inlineStr">
        <is>
          <t>10º PAV.</t>
        </is>
      </c>
      <c r="F375" s="118" t="n">
        <v>46514</v>
      </c>
      <c r="G375" s="118" t="n">
        <v>46526</v>
      </c>
      <c r="H375" s="118" t="n">
        <v>46289</v>
      </c>
      <c r="I375" s="4" t="n">
        <v>0</v>
      </c>
      <c r="J375" s="4" t="n">
        <v>0</v>
      </c>
      <c r="K375" s="4" t="n">
        <v>0</v>
      </c>
      <c r="M375" s="2">
        <f>IF(C375="","",IFERROR(INDEX($S$5:$S$304,MATCH(C375,$R$5:$R$304,0))&amp;"","?"))</f>
        <v/>
      </c>
      <c r="N375" s="2">
        <f>IF(E375="","",IF(LEFT(E375,7)="SUBSOLO",-1,IF(LEFT(E375,6)="TÉRREO",0,IFERROR(VALUE(LEFT(E375,FIND("º",SUBSTITUTE(E375,"°","º"))-1)),""))))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29981395</v>
      </c>
      <c r="C376" s="4" t="inlineStr">
        <is>
          <t>ALVENARIA</t>
        </is>
      </c>
      <c r="D376" s="4" t="inlineStr">
        <is>
          <t>-</t>
        </is>
      </c>
      <c r="E376" s="4" t="inlineStr">
        <is>
          <t>11º PAV.</t>
        </is>
      </c>
      <c r="F376" s="118" t="n">
        <v>46514</v>
      </c>
      <c r="G376" s="118" t="n">
        <v>46526</v>
      </c>
      <c r="H376" s="118" t="n">
        <v>46289</v>
      </c>
      <c r="I376" s="4" t="n">
        <v>0</v>
      </c>
      <c r="J376" s="4" t="n">
        <v>0</v>
      </c>
      <c r="K376" s="4" t="n">
        <v>0</v>
      </c>
      <c r="M376" s="2">
        <f>IF(C376="","",IFERROR(INDEX($S$5:$S$304,MATCH(C376,$R$5:$R$304,0))&amp;"","?"))</f>
        <v/>
      </c>
      <c r="N376" s="2">
        <f>IF(E376="","",IF(LEFT(E376,7)="SUBSOLO",-1,IF(LEFT(E376,6)="TÉRREO",0,IFERROR(VALUE(LEFT(E376,FIND("º",SUBSTITUTE(E376,"°","º"))-1)),""))))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29981526</v>
      </c>
      <c r="C377" s="4" t="inlineStr">
        <is>
          <t>CONTRAMARCO</t>
        </is>
      </c>
      <c r="D377" s="4" t="inlineStr">
        <is>
          <t>-</t>
        </is>
      </c>
      <c r="E377" s="4" t="inlineStr">
        <is>
          <t>7º PAV.</t>
        </is>
      </c>
      <c r="F377" s="118" t="n">
        <v>46520</v>
      </c>
      <c r="G377" s="118" t="n">
        <v>46532</v>
      </c>
      <c r="H377" s="118" t="n">
        <v>46289</v>
      </c>
      <c r="I377" s="4" t="n">
        <v>0</v>
      </c>
      <c r="J377" s="4" t="n">
        <v>0</v>
      </c>
      <c r="K377" s="4" t="n">
        <v>0</v>
      </c>
      <c r="M377" s="2">
        <f>IF(C377="","",IFERROR(INDEX($S$5:$S$304,MATCH(C377,$R$5:$R$304,0))&amp;"","?"))</f>
        <v/>
      </c>
      <c r="N377" s="2">
        <f>IF(E377="","",IF(LEFT(E377,7)="SUBSOLO",-1,IF(LEFT(E377,6)="TÉRREO",0,IFERROR(VALUE(LEFT(E377,FIND("º",SUBSTITUTE(E377,"°","º"))-1)),""))))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29981519</v>
      </c>
      <c r="C378" s="4" t="inlineStr">
        <is>
          <t>DISTRIBUIÇÃO HIDROSSANITÁRIA</t>
        </is>
      </c>
      <c r="D378" s="4" t="inlineStr">
        <is>
          <t>-</t>
        </is>
      </c>
      <c r="E378" s="4" t="inlineStr">
        <is>
          <t>8º PAV.</t>
        </is>
      </c>
      <c r="F378" s="118" t="n">
        <v>46520</v>
      </c>
      <c r="G378" s="118" t="n">
        <v>46532</v>
      </c>
      <c r="H378" s="118" t="n">
        <v>46289</v>
      </c>
      <c r="I378" s="4" t="n">
        <v>0</v>
      </c>
      <c r="J378" s="4" t="n">
        <v>0</v>
      </c>
      <c r="K378" s="4" t="n">
        <v>0</v>
      </c>
      <c r="M378" s="2">
        <f>IF(C378="","",IFERROR(INDEX($S$5:$S$304,MATCH(C378,$R$5:$R$304,0))&amp;"","?"))</f>
        <v/>
      </c>
      <c r="N378" s="2">
        <f>IF(E378="","",IF(LEFT(E378,7)="SUBSOLO",-1,IF(LEFT(E378,6)="TÉRREO",0,IFERROR(VALUE(LEFT(E378,FIND("º",SUBSTITUTE(E378,"°","º"))-1)),""))))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29981488</v>
      </c>
      <c r="C379" s="4" t="inlineStr">
        <is>
          <t>DISTRIBUIÇÃO ELÉTRICA / QUADRO</t>
        </is>
      </c>
      <c r="D379" s="4" t="inlineStr">
        <is>
          <t>-</t>
        </is>
      </c>
      <c r="E379" s="4" t="inlineStr">
        <is>
          <t>8º PAV.</t>
        </is>
      </c>
      <c r="F379" s="118" t="n">
        <v>46520</v>
      </c>
      <c r="G379" s="118" t="n">
        <v>46532</v>
      </c>
      <c r="H379" s="118" t="n">
        <v>46289</v>
      </c>
      <c r="I379" s="4" t="n">
        <v>0</v>
      </c>
      <c r="J379" s="4" t="n">
        <v>0</v>
      </c>
      <c r="K379" s="4" t="n">
        <v>0</v>
      </c>
      <c r="M379" s="2">
        <f>IF(C379="","",IFERROR(INDEX($S$5:$S$304,MATCH(C379,$R$5:$R$304,0))&amp;"","?"))</f>
        <v/>
      </c>
      <c r="N379" s="2">
        <f>IF(E379="","",IF(LEFT(E379,7)="SUBSOLO",-1,IF(LEFT(E379,6)="TÉRREO",0,IFERROR(VALUE(LEFT(E379,FIND("º",SUBSTITUTE(E379,"°","º"))-1)),""))))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29981521</v>
      </c>
      <c r="C380" s="4" t="inlineStr">
        <is>
          <t>DISTRIBUIÇÃO DE GÁS</t>
        </is>
      </c>
      <c r="D380" s="4" t="inlineStr">
        <is>
          <t>-</t>
        </is>
      </c>
      <c r="E380" s="4" t="inlineStr">
        <is>
          <t>8º PAV.</t>
        </is>
      </c>
      <c r="F380" s="118" t="n">
        <v>46520</v>
      </c>
      <c r="G380" s="118" t="n">
        <v>46532</v>
      </c>
      <c r="H380" s="118" t="n">
        <v>46289</v>
      </c>
      <c r="I380" s="4" t="n">
        <v>0</v>
      </c>
      <c r="J380" s="4" t="n">
        <v>0</v>
      </c>
      <c r="K380" s="4" t="n">
        <v>0</v>
      </c>
      <c r="M380" s="2">
        <f>IF(C380="","",IFERROR(INDEX($S$5:$S$304,MATCH(C380,$R$5:$R$304,0))&amp;"","?"))</f>
        <v/>
      </c>
      <c r="N380" s="2">
        <f>IF(E380="","",IF(LEFT(E380,7)="SUBSOLO",-1,IF(LEFT(E380,6)="TÉRREO",0,IFERROR(VALUE(LEFT(E380,FIND("º",SUBSTITUTE(E380,"°","º"))-1)),""))))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29981468</v>
      </c>
      <c r="C381" s="4" t="inlineStr">
        <is>
          <t>TALISCAMENTO</t>
        </is>
      </c>
      <c r="D381" s="4" t="inlineStr">
        <is>
          <t>-</t>
        </is>
      </c>
      <c r="E381" s="4" t="inlineStr">
        <is>
          <t>9º PAV.</t>
        </is>
      </c>
      <c r="F381" s="118" t="n">
        <v>46520</v>
      </c>
      <c r="G381" s="118" t="n">
        <v>46532</v>
      </c>
      <c r="H381" s="118" t="n">
        <v>46289</v>
      </c>
      <c r="I381" s="4" t="n">
        <v>0</v>
      </c>
      <c r="J381" s="4" t="n">
        <v>0</v>
      </c>
      <c r="K381" s="4" t="n">
        <v>0</v>
      </c>
      <c r="M381" s="2">
        <f>IF(C381="","",IFERROR(INDEX($S$5:$S$304,MATCH(C381,$R$5:$R$304,0))&amp;"","?"))</f>
        <v/>
      </c>
      <c r="N381" s="2">
        <f>IF(E381="","",IF(LEFT(E381,7)="SUBSOLO",-1,IF(LEFT(E381,6)="TÉRREO",0,IFERROR(VALUE(LEFT(E381,FIND("º",SUBSTITUTE(E381,"°","º"))-1)),""))))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29981434</v>
      </c>
      <c r="C382" s="4" t="inlineStr">
        <is>
          <t>PRUMADA HIDROSSANITÁRIA</t>
        </is>
      </c>
      <c r="D382" s="4" t="inlineStr">
        <is>
          <t>-</t>
        </is>
      </c>
      <c r="E382" s="4" t="inlineStr">
        <is>
          <t>10º PAV.</t>
        </is>
      </c>
      <c r="F382" s="118" t="n">
        <v>46520</v>
      </c>
      <c r="G382" s="118" t="n">
        <v>46532</v>
      </c>
      <c r="H382" s="118" t="n">
        <v>46289</v>
      </c>
      <c r="I382" s="4" t="n">
        <v>0</v>
      </c>
      <c r="J382" s="4" t="n">
        <v>0</v>
      </c>
      <c r="K382" s="4" t="n">
        <v>0</v>
      </c>
      <c r="M382" s="2">
        <f>IF(C382="","",IFERROR(INDEX($S$5:$S$304,MATCH(C382,$R$5:$R$304,0))&amp;"","?"))</f>
        <v/>
      </c>
      <c r="N382" s="2">
        <f>IF(E382="","",IF(LEFT(E382,7)="SUBSOLO",-1,IF(LEFT(E382,6)="TÉRREO",0,IFERROR(VALUE(LEFT(E382,FIND("º",SUBSTITUTE(E382,"°","º"))-1)),""))))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29940955</v>
      </c>
      <c r="C383" s="4" t="inlineStr">
        <is>
          <t>ESTRUTURA</t>
        </is>
      </c>
      <c r="D383" s="4" t="inlineStr">
        <is>
          <t>-</t>
        </is>
      </c>
      <c r="E383" s="4" t="inlineStr">
        <is>
          <t>15º PAV.</t>
        </is>
      </c>
      <c r="F383" s="118" t="n">
        <v>46521</v>
      </c>
      <c r="G383" s="118" t="n">
        <v>46532</v>
      </c>
      <c r="H383" s="118" t="n">
        <v>46289</v>
      </c>
      <c r="I383" s="4" t="n">
        <v>0</v>
      </c>
      <c r="J383" s="4" t="n">
        <v>0</v>
      </c>
      <c r="K383" s="4" t="n">
        <v>0</v>
      </c>
      <c r="M383" s="2">
        <f>IF(C383="","",IFERROR(INDEX($S$5:$S$304,MATCH(C383,$R$5:$R$304,0))&amp;"","?"))</f>
        <v/>
      </c>
      <c r="N383" s="2">
        <f>IF(E383="","",IF(LEFT(E383,7)="SUBSOLO",-1,IF(LEFT(E383,6)="TÉRREO",0,IFERROR(VALUE(LEFT(E383,FIND("º",SUBSTITUTE(E383,"°","º"))-1)),""))))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31529008</v>
      </c>
      <c r="C384" s="4" t="inlineStr">
        <is>
          <t>ESTRUTURA</t>
        </is>
      </c>
      <c r="D384" s="4" t="inlineStr">
        <is>
          <t>Forma</t>
        </is>
      </c>
      <c r="E384" s="4" t="inlineStr">
        <is>
          <t>15º PAV.</t>
        </is>
      </c>
      <c r="F384" s="118" t="n">
        <v>46521</v>
      </c>
      <c r="G384" s="118" t="n">
        <v>46526</v>
      </c>
      <c r="H384" s="118" t="n">
        <v>46289</v>
      </c>
      <c r="I384" s="4" t="n">
        <v>0</v>
      </c>
      <c r="J384" s="4" t="n">
        <v>0</v>
      </c>
      <c r="K384" s="4" t="n">
        <v>0</v>
      </c>
      <c r="M384" s="2">
        <f>IF(C384="","",IFERROR(INDEX($S$5:$S$304,MATCH(C384,$R$5:$R$304,0))&amp;"","?"))</f>
        <v/>
      </c>
      <c r="N384" s="2">
        <f>IF(E384="","",IF(LEFT(E384,7)="SUBSOLO",-1,IF(LEFT(E384,6)="TÉRREO",0,IFERROR(VALUE(LEFT(E384,FIND("º",SUBSTITUTE(E384,"°","º"))-1)),""))))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31529009</v>
      </c>
      <c r="C385" s="4" t="inlineStr">
        <is>
          <t>ESTRUTURA</t>
        </is>
      </c>
      <c r="D385" s="4" t="inlineStr">
        <is>
          <t>Armação</t>
        </is>
      </c>
      <c r="E385" s="4" t="inlineStr">
        <is>
          <t>15º PAV.</t>
        </is>
      </c>
      <c r="F385" s="118" t="n">
        <v>46527</v>
      </c>
      <c r="G385" s="118" t="n">
        <v>46531</v>
      </c>
      <c r="H385" s="118" t="n">
        <v>46289</v>
      </c>
      <c r="I385" s="4" t="n">
        <v>0</v>
      </c>
      <c r="J385" s="4" t="n">
        <v>0</v>
      </c>
      <c r="K385" s="4" t="n">
        <v>0</v>
      </c>
      <c r="M385" s="2">
        <f>IF(C385="","",IFERROR(INDEX($S$5:$S$304,MATCH(C385,$R$5:$R$304,0))&amp;"","?"))</f>
        <v/>
      </c>
      <c r="N385" s="2">
        <f>IF(E385="","",IF(LEFT(E385,7)="SUBSOLO",-1,IF(LEFT(E385,6)="TÉRREO",0,IFERROR(VALUE(LEFT(E385,FIND("º",SUBSTITUTE(E385,"°","º"))-1)),""))))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31529010</v>
      </c>
      <c r="C386" s="4" t="inlineStr">
        <is>
          <t>ESTRUTURA</t>
        </is>
      </c>
      <c r="D386" s="4" t="inlineStr">
        <is>
          <t>Concretagem</t>
        </is>
      </c>
      <c r="E386" s="4" t="inlineStr">
        <is>
          <t>15º PAV.</t>
        </is>
      </c>
      <c r="F386" s="118" t="n">
        <v>46532</v>
      </c>
      <c r="G386" s="118" t="n">
        <v>46532</v>
      </c>
      <c r="H386" s="118" t="n">
        <v>46289</v>
      </c>
      <c r="I386" s="4" t="n">
        <v>0</v>
      </c>
      <c r="J386" s="4" t="n">
        <v>0</v>
      </c>
      <c r="K386" s="4" t="n">
        <v>0</v>
      </c>
      <c r="M386" s="2">
        <f>IF(C386="","",IFERROR(INDEX($S$5:$S$304,MATCH(C386,$R$5:$R$304,0))&amp;"","?"))</f>
        <v/>
      </c>
      <c r="N386" s="2">
        <f>IF(E386="","",IF(LEFT(E386,7)="SUBSOLO",-1,IF(LEFT(E386,6)="TÉRREO",0,IFERROR(VALUE(LEFT(E386,FIND("º",SUBSTITUTE(E386,"°","º"))-1)),""))))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31529011</v>
      </c>
      <c r="C387" s="4" t="inlineStr">
        <is>
          <t>ESTRUTURA</t>
        </is>
      </c>
      <c r="D387" s="4" t="inlineStr">
        <is>
          <t>Polimento</t>
        </is>
      </c>
      <c r="E387" s="4" t="inlineStr">
        <is>
          <t>15º PAV.</t>
        </is>
      </c>
      <c r="F387" s="118" t="n">
        <v>46532</v>
      </c>
      <c r="G387" s="118" t="n">
        <v>46532</v>
      </c>
      <c r="H387" s="118" t="n">
        <v>46289</v>
      </c>
      <c r="I387" s="4" t="n">
        <v>0</v>
      </c>
      <c r="J387" s="4" t="n">
        <v>0</v>
      </c>
      <c r="K387" s="4" t="n">
        <v>0</v>
      </c>
      <c r="M387" s="2">
        <f>IF(C387="","",IFERROR(INDEX($S$5:$S$304,MATCH(C387,$R$5:$R$304,0))&amp;"","?"))</f>
        <v/>
      </c>
      <c r="N387" s="2">
        <f>IF(E387="","",IF(LEFT(E387,7)="SUBSOLO",-1,IF(LEFT(E387,6)="TÉRREO",0,IFERROR(VALUE(LEFT(E387,FIND("º",SUBSTITUTE(E387,"°","º"))-1)),""))))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30205725</v>
      </c>
      <c r="C388" s="4" t="inlineStr">
        <is>
          <t>ALVENARIA</t>
        </is>
      </c>
      <c r="D388" s="4" t="inlineStr">
        <is>
          <t>-</t>
        </is>
      </c>
      <c r="E388" s="4" t="inlineStr">
        <is>
          <t>SUBSOLO</t>
        </is>
      </c>
      <c r="F388" s="118" t="n">
        <v>46524</v>
      </c>
      <c r="G388" s="118" t="n">
        <v>46554</v>
      </c>
      <c r="H388" s="118" t="n">
        <v>46289</v>
      </c>
      <c r="I388" s="4" t="n">
        <v>0</v>
      </c>
      <c r="J388" s="4" t="n">
        <v>0</v>
      </c>
      <c r="K388" s="4" t="n">
        <v>0</v>
      </c>
      <c r="M388" s="2">
        <f>IF(C388="","",IFERROR(INDEX($S$5:$S$304,MATCH(C388,$R$5:$R$304,0))&amp;"","?"))</f>
        <v/>
      </c>
      <c r="N388" s="2">
        <f>IF(E388="","",IF(LEFT(E388,7)="SUBSOLO",-1,IF(LEFT(E388,6)="TÉRREO",0,IFERROR(VALUE(LEFT(E388,FIND("º",SUBSTITUTE(E388,"°","º"))-1)),""))))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29981433</v>
      </c>
      <c r="C389" s="4" t="inlineStr">
        <is>
          <t>ENCUNHAMENTO</t>
        </is>
      </c>
      <c r="D389" s="4" t="inlineStr">
        <is>
          <t>-</t>
        </is>
      </c>
      <c r="E389" s="4" t="inlineStr">
        <is>
          <t>10º PAV.</t>
        </is>
      </c>
      <c r="F389" s="118" t="n">
        <v>46524</v>
      </c>
      <c r="G389" s="118" t="n">
        <v>46535</v>
      </c>
      <c r="H389" s="118" t="n">
        <v>46289</v>
      </c>
      <c r="I389" s="4" t="n">
        <v>0</v>
      </c>
      <c r="J389" s="4" t="n">
        <v>0</v>
      </c>
      <c r="K389" s="4" t="n">
        <v>0</v>
      </c>
      <c r="M389" s="2">
        <f>IF(C389="","",IFERROR(INDEX($S$5:$S$304,MATCH(C389,$R$5:$R$304,0))&amp;"","?"))</f>
        <v/>
      </c>
      <c r="N389" s="2">
        <f>IF(E389="","",IF(LEFT(E389,7)="SUBSOLO",-1,IF(LEFT(E389,6)="TÉRREO",0,IFERROR(VALUE(LEFT(E389,FIND("º",SUBSTITUTE(E389,"°","º"))-1)),""))))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29981407</v>
      </c>
      <c r="C390" s="4" t="inlineStr">
        <is>
          <t>PRUMADA DE INCÊNDIO</t>
        </is>
      </c>
      <c r="D390" s="4" t="inlineStr">
        <is>
          <t>-</t>
        </is>
      </c>
      <c r="E390" s="4" t="inlineStr">
        <is>
          <t>11º PAV.</t>
        </is>
      </c>
      <c r="F390" s="118" t="n">
        <v>46527</v>
      </c>
      <c r="G390" s="118" t="n">
        <v>46540</v>
      </c>
      <c r="H390" s="118" t="n">
        <v>46289</v>
      </c>
      <c r="I390" s="4" t="n">
        <v>0</v>
      </c>
      <c r="J390" s="4" t="n">
        <v>0</v>
      </c>
      <c r="K390" s="4" t="n">
        <v>0</v>
      </c>
      <c r="M390" s="2">
        <f>IF(C390="","",IFERROR(INDEX($S$5:$S$304,MATCH(C390,$R$5:$R$304,0))&amp;"","?"))</f>
        <v/>
      </c>
      <c r="N390" s="2">
        <f>IF(E390="","",IF(LEFT(E390,7)="SUBSOLO",-1,IF(LEFT(E390,6)="TÉRREO",0,IFERROR(VALUE(LEFT(E390,FIND("º",SUBSTITUTE(E390,"°","º"))-1)),""))))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29981358</v>
      </c>
      <c r="C391" s="4" t="inlineStr">
        <is>
          <t>ALVENARIA</t>
        </is>
      </c>
      <c r="D391" s="4" t="inlineStr">
        <is>
          <t>-</t>
        </is>
      </c>
      <c r="E391" s="4" t="inlineStr">
        <is>
          <t>12º PAV.</t>
        </is>
      </c>
      <c r="F391" s="118" t="n">
        <v>46527</v>
      </c>
      <c r="G391" s="118" t="n">
        <v>46540</v>
      </c>
      <c r="H391" s="118" t="n">
        <v>46289</v>
      </c>
      <c r="I391" s="4" t="n">
        <v>0</v>
      </c>
      <c r="J391" s="4" t="n">
        <v>0</v>
      </c>
      <c r="K391" s="4" t="n">
        <v>0</v>
      </c>
      <c r="M391" s="2">
        <f>IF(C391="","",IFERROR(INDEX($S$5:$S$304,MATCH(C391,$R$5:$R$304,0))&amp;"","?"))</f>
        <v/>
      </c>
      <c r="N391" s="2">
        <f>IF(E391="","",IF(LEFT(E391,7)="SUBSOLO",-1,IF(LEFT(E391,6)="TÉRREO",0,IFERROR(VALUE(LEFT(E391,FIND("º",SUBSTITUTE(E391,"°","º"))-1)),""))))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29981523</v>
      </c>
      <c r="C392" s="4" t="inlineStr">
        <is>
          <t>REBOCO INTERNO</t>
        </is>
      </c>
      <c r="D392" s="4" t="inlineStr">
        <is>
          <t>-</t>
        </is>
      </c>
      <c r="E392" s="4" t="inlineStr">
        <is>
          <t>7º PAV.</t>
        </is>
      </c>
      <c r="F392" s="118" t="n">
        <v>46533</v>
      </c>
      <c r="G392" s="118" t="n">
        <v>46546</v>
      </c>
      <c r="H392" s="118" t="n">
        <v>46289</v>
      </c>
      <c r="I392" s="4" t="n">
        <v>0</v>
      </c>
      <c r="J392" s="4" t="n">
        <v>0</v>
      </c>
      <c r="K392" s="4" t="n">
        <v>0</v>
      </c>
      <c r="M392" s="2">
        <f>IF(C392="","",IFERROR(INDEX($S$5:$S$304,MATCH(C392,$R$5:$R$304,0))&amp;"","?"))</f>
        <v/>
      </c>
      <c r="N392" s="2">
        <f>IF(E392="","",IF(LEFT(E392,7)="SUBSOLO",-1,IF(LEFT(E392,6)="TÉRREO",0,IFERROR(VALUE(LEFT(E392,FIND("º",SUBSTITUTE(E392,"°","º"))-1)),""))))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29981489</v>
      </c>
      <c r="C393" s="4" t="inlineStr">
        <is>
          <t>CONTRAMARCO</t>
        </is>
      </c>
      <c r="D393" s="4" t="inlineStr">
        <is>
          <t>-</t>
        </is>
      </c>
      <c r="E393" s="4" t="inlineStr">
        <is>
          <t>8º PAV.</t>
        </is>
      </c>
      <c r="F393" s="118" t="n">
        <v>46533</v>
      </c>
      <c r="G393" s="118" t="n">
        <v>46546</v>
      </c>
      <c r="H393" s="118" t="n">
        <v>46289</v>
      </c>
      <c r="I393" s="4" t="n">
        <v>0</v>
      </c>
      <c r="J393" s="4" t="n">
        <v>0</v>
      </c>
      <c r="K393" s="4" t="n">
        <v>0</v>
      </c>
      <c r="M393" s="2">
        <f>IF(C393="","",IFERROR(INDEX($S$5:$S$304,MATCH(C393,$R$5:$R$304,0))&amp;"","?"))</f>
        <v/>
      </c>
      <c r="N393" s="2">
        <f>IF(E393="","",IF(LEFT(E393,7)="SUBSOLO",-1,IF(LEFT(E393,6)="TÉRREO",0,IFERROR(VALUE(LEFT(E393,FIND("º",SUBSTITUTE(E393,"°","º"))-1)),""))))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29981482</v>
      </c>
      <c r="C394" s="4" t="inlineStr">
        <is>
          <t>DISTRIBUIÇÃO HIDROSSANITÁRIA</t>
        </is>
      </c>
      <c r="D394" s="4" t="inlineStr">
        <is>
          <t>-</t>
        </is>
      </c>
      <c r="E394" s="4" t="inlineStr">
        <is>
          <t>9º PAV.</t>
        </is>
      </c>
      <c r="F394" s="118" t="n">
        <v>46533</v>
      </c>
      <c r="G394" s="118" t="n">
        <v>46546</v>
      </c>
      <c r="H394" s="118" t="n">
        <v>46289</v>
      </c>
      <c r="I394" s="4" t="n">
        <v>0</v>
      </c>
      <c r="J394" s="4" t="n">
        <v>0</v>
      </c>
      <c r="K394" s="4" t="n">
        <v>0</v>
      </c>
      <c r="M394" s="2">
        <f>IF(C394="","",IFERROR(INDEX($S$5:$S$304,MATCH(C394,$R$5:$R$304,0))&amp;"","?"))</f>
        <v/>
      </c>
      <c r="N394" s="2">
        <f>IF(E394="","",IF(LEFT(E394,7)="SUBSOLO",-1,IF(LEFT(E394,6)="TÉRREO",0,IFERROR(VALUE(LEFT(E394,FIND("º",SUBSTITUTE(E394,"°","º"))-1)),""))))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29981451</v>
      </c>
      <c r="C395" s="4" t="inlineStr">
        <is>
          <t>DISTRIBUIÇÃO ELÉTRICA / QUADRO</t>
        </is>
      </c>
      <c r="D395" s="4" t="inlineStr">
        <is>
          <t>-</t>
        </is>
      </c>
      <c r="E395" s="4" t="inlineStr">
        <is>
          <t>9º PAV.</t>
        </is>
      </c>
      <c r="F395" s="118" t="n">
        <v>46533</v>
      </c>
      <c r="G395" s="118" t="n">
        <v>46546</v>
      </c>
      <c r="H395" s="118" t="n">
        <v>46289</v>
      </c>
      <c r="I395" s="4" t="n">
        <v>0</v>
      </c>
      <c r="J395" s="4" t="n">
        <v>0</v>
      </c>
      <c r="K395" s="4" t="n">
        <v>0</v>
      </c>
      <c r="M395" s="2">
        <f>IF(C395="","",IFERROR(INDEX($S$5:$S$304,MATCH(C395,$R$5:$R$304,0))&amp;"","?"))</f>
        <v/>
      </c>
      <c r="N395" s="2">
        <f>IF(E395="","",IF(LEFT(E395,7)="SUBSOLO",-1,IF(LEFT(E395,6)="TÉRREO",0,IFERROR(VALUE(LEFT(E395,FIND("º",SUBSTITUTE(E395,"°","º"))-1)),""))))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29981484</v>
      </c>
      <c r="C396" s="4" t="inlineStr">
        <is>
          <t>DISTRIBUIÇÃO DE GÁS</t>
        </is>
      </c>
      <c r="D396" s="4" t="inlineStr">
        <is>
          <t>-</t>
        </is>
      </c>
      <c r="E396" s="4" t="inlineStr">
        <is>
          <t>9º PAV.</t>
        </is>
      </c>
      <c r="F396" s="118" t="n">
        <v>46533</v>
      </c>
      <c r="G396" s="118" t="n">
        <v>46546</v>
      </c>
      <c r="H396" s="118" t="n">
        <v>46289</v>
      </c>
      <c r="I396" s="4" t="n">
        <v>0</v>
      </c>
      <c r="J396" s="4" t="n">
        <v>0</v>
      </c>
      <c r="K396" s="4" t="n">
        <v>0</v>
      </c>
      <c r="M396" s="2">
        <f>IF(C396="","",IFERROR(INDEX($S$5:$S$304,MATCH(C396,$R$5:$R$304,0))&amp;"","?"))</f>
        <v/>
      </c>
      <c r="N396" s="2">
        <f>IF(E396="","",IF(LEFT(E396,7)="SUBSOLO",-1,IF(LEFT(E396,6)="TÉRREO",0,IFERROR(VALUE(LEFT(E396,FIND("º",SUBSTITUTE(E396,"°","º"))-1)),""))))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29981431</v>
      </c>
      <c r="C397" s="4" t="inlineStr">
        <is>
          <t>TALISCAMENTO</t>
        </is>
      </c>
      <c r="D397" s="4" t="inlineStr">
        <is>
          <t>-</t>
        </is>
      </c>
      <c r="E397" s="4" t="inlineStr">
        <is>
          <t>10º PAV.</t>
        </is>
      </c>
      <c r="F397" s="118" t="n">
        <v>46533</v>
      </c>
      <c r="G397" s="118" t="n">
        <v>46546</v>
      </c>
      <c r="H397" s="118" t="n">
        <v>46289</v>
      </c>
      <c r="I397" s="4" t="n">
        <v>0</v>
      </c>
      <c r="J397" s="4" t="n">
        <v>0</v>
      </c>
      <c r="K397" s="4" t="n">
        <v>0</v>
      </c>
      <c r="M397" s="2">
        <f>IF(C397="","",IFERROR(INDEX($S$5:$S$304,MATCH(C397,$R$5:$R$304,0))&amp;"","?"))</f>
        <v/>
      </c>
      <c r="N397" s="2">
        <f>IF(E397="","",IF(LEFT(E397,7)="SUBSOLO",-1,IF(LEFT(E397,6)="TÉRREO",0,IFERROR(VALUE(LEFT(E397,FIND("º",SUBSTITUTE(E397,"°","º"))-1)),""))))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29981397</v>
      </c>
      <c r="C398" s="4" t="inlineStr">
        <is>
          <t>PRUMADA HIDROSSANITÁRIA</t>
        </is>
      </c>
      <c r="D398" s="4" t="inlineStr">
        <is>
          <t>-</t>
        </is>
      </c>
      <c r="E398" s="4" t="inlineStr">
        <is>
          <t>11º PAV.</t>
        </is>
      </c>
      <c r="F398" s="118" t="n">
        <v>46533</v>
      </c>
      <c r="G398" s="118" t="n">
        <v>46546</v>
      </c>
      <c r="H398" s="118" t="n">
        <v>46289</v>
      </c>
      <c r="I398" s="4" t="n">
        <v>0</v>
      </c>
      <c r="J398" s="4" t="n">
        <v>0</v>
      </c>
      <c r="K398" s="4" t="n">
        <v>0</v>
      </c>
      <c r="M398" s="2">
        <f>IF(C398="","",IFERROR(INDEX($S$5:$S$304,MATCH(C398,$R$5:$R$304,0))&amp;"","?"))</f>
        <v/>
      </c>
      <c r="N398" s="2">
        <f>IF(E398="","",IF(LEFT(E398,7)="SUBSOLO",-1,IF(LEFT(E398,6)="TÉRREO",0,IFERROR(VALUE(LEFT(E398,FIND("º",SUBSTITUTE(E398,"°","º"))-1)),""))))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29940956</v>
      </c>
      <c r="C399" s="4" t="inlineStr">
        <is>
          <t>ESTRUTURA</t>
        </is>
      </c>
      <c r="D399" s="4" t="inlineStr">
        <is>
          <t>-</t>
        </is>
      </c>
      <c r="E399" s="4" t="inlineStr">
        <is>
          <t>16º PAV.</t>
        </is>
      </c>
      <c r="F399" s="118" t="n">
        <v>46533</v>
      </c>
      <c r="G399" s="118" t="n">
        <v>46545</v>
      </c>
      <c r="H399" s="118" t="n">
        <v>46289</v>
      </c>
      <c r="I399" s="4" t="n">
        <v>0</v>
      </c>
      <c r="J399" s="4" t="n">
        <v>0</v>
      </c>
      <c r="K399" s="4" t="n">
        <v>0</v>
      </c>
      <c r="M399" s="2">
        <f>IF(C399="","",IFERROR(INDEX($S$5:$S$304,MATCH(C399,$R$5:$R$304,0))&amp;"","?"))</f>
        <v/>
      </c>
      <c r="N399" s="2">
        <f>IF(E399="","",IF(LEFT(E399,7)="SUBSOLO",-1,IF(LEFT(E399,6)="TÉRREO",0,IFERROR(VALUE(LEFT(E399,FIND("º",SUBSTITUTE(E399,"°","º"))-1)),""))))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31529012</v>
      </c>
      <c r="C400" s="4" t="inlineStr">
        <is>
          <t>ESTRUTURA</t>
        </is>
      </c>
      <c r="D400" s="4" t="inlineStr">
        <is>
          <t>Forma</t>
        </is>
      </c>
      <c r="E400" s="4" t="inlineStr">
        <is>
          <t>16º PAV.</t>
        </is>
      </c>
      <c r="F400" s="118" t="n">
        <v>46533</v>
      </c>
      <c r="G400" s="118" t="n">
        <v>46539</v>
      </c>
      <c r="H400" s="118" t="n">
        <v>46289</v>
      </c>
      <c r="I400" s="4" t="n">
        <v>0</v>
      </c>
      <c r="J400" s="4" t="n">
        <v>0</v>
      </c>
      <c r="K400" s="4" t="n">
        <v>0</v>
      </c>
      <c r="M400" s="2">
        <f>IF(C400="","",IFERROR(INDEX($S$5:$S$304,MATCH(C400,$R$5:$R$304,0))&amp;"","?"))</f>
        <v/>
      </c>
      <c r="N400" s="2">
        <f>IF(E400="","",IF(LEFT(E400,7)="SUBSOLO",-1,IF(LEFT(E400,6)="TÉRREO",0,IFERROR(VALUE(LEFT(E400,FIND("º",SUBSTITUTE(E400,"°","º"))-1)),""))))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31529013</v>
      </c>
      <c r="C401" s="4" t="inlineStr">
        <is>
          <t>ESTRUTURA</t>
        </is>
      </c>
      <c r="D401" s="4" t="inlineStr">
        <is>
          <t>Armação</t>
        </is>
      </c>
      <c r="E401" s="4" t="inlineStr">
        <is>
          <t>16º PAV.</t>
        </is>
      </c>
      <c r="F401" s="118" t="n">
        <v>46540</v>
      </c>
      <c r="G401" s="118" t="n">
        <v>46542</v>
      </c>
      <c r="H401" s="118" t="n">
        <v>46289</v>
      </c>
      <c r="I401" s="4" t="n">
        <v>0</v>
      </c>
      <c r="J401" s="4" t="n">
        <v>0</v>
      </c>
      <c r="K401" s="4" t="n">
        <v>0</v>
      </c>
      <c r="M401" s="2">
        <f>IF(C401="","",IFERROR(INDEX($S$5:$S$304,MATCH(C401,$R$5:$R$304,0))&amp;"","?"))</f>
        <v/>
      </c>
      <c r="N401" s="2">
        <f>IF(E401="","",IF(LEFT(E401,7)="SUBSOLO",-1,IF(LEFT(E401,6)="TÉRREO",0,IFERROR(VALUE(LEFT(E401,FIND("º",SUBSTITUTE(E401,"°","º"))-1)),""))))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31529014</v>
      </c>
      <c r="C402" s="4" t="inlineStr">
        <is>
          <t>ESTRUTURA</t>
        </is>
      </c>
      <c r="D402" s="4" t="inlineStr">
        <is>
          <t>Concretagem</t>
        </is>
      </c>
      <c r="E402" s="4" t="inlineStr">
        <is>
          <t>16º PAV.</t>
        </is>
      </c>
      <c r="F402" s="118" t="n">
        <v>46545</v>
      </c>
      <c r="G402" s="118" t="n">
        <v>46545</v>
      </c>
      <c r="H402" s="118" t="n">
        <v>46289</v>
      </c>
      <c r="I402" s="4" t="n">
        <v>0</v>
      </c>
      <c r="J402" s="4" t="n">
        <v>0</v>
      </c>
      <c r="K402" s="4" t="n">
        <v>0</v>
      </c>
      <c r="M402" s="2">
        <f>IF(C402="","",IFERROR(INDEX($S$5:$S$304,MATCH(C402,$R$5:$R$304,0))&amp;"","?"))</f>
        <v/>
      </c>
      <c r="N402" s="2">
        <f>IF(E402="","",IF(LEFT(E402,7)="SUBSOLO",-1,IF(LEFT(E402,6)="TÉRREO",0,IFERROR(VALUE(LEFT(E402,FIND("º",SUBSTITUTE(E402,"°","º"))-1)),""))))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31529015</v>
      </c>
      <c r="C403" s="4" t="inlineStr">
        <is>
          <t>ESTRUTURA</t>
        </is>
      </c>
      <c r="D403" s="4" t="inlineStr">
        <is>
          <t>Polimento</t>
        </is>
      </c>
      <c r="E403" s="4" t="inlineStr">
        <is>
          <t>16º PAV.</t>
        </is>
      </c>
      <c r="F403" s="118" t="n">
        <v>46545</v>
      </c>
      <c r="G403" s="118" t="n">
        <v>46545</v>
      </c>
      <c r="H403" s="118" t="n">
        <v>46289</v>
      </c>
      <c r="I403" s="4" t="n">
        <v>0</v>
      </c>
      <c r="J403" s="4" t="n">
        <v>0</v>
      </c>
      <c r="K403" s="4" t="n">
        <v>0</v>
      </c>
      <c r="M403" s="2">
        <f>IF(C403="","",IFERROR(INDEX($S$5:$S$304,MATCH(C403,$R$5:$R$304,0))&amp;"","?"))</f>
        <v/>
      </c>
      <c r="N403" s="2">
        <f>IF(E403="","",IF(LEFT(E403,7)="SUBSOLO",-1,IF(LEFT(E403,6)="TÉRREO",0,IFERROR(VALUE(LEFT(E403,FIND("º",SUBSTITUTE(E403,"°","º"))-1)),""))))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30171653</v>
      </c>
      <c r="C404" s="4" t="inlineStr">
        <is>
          <t>REBOCO INTERNO</t>
        </is>
      </c>
      <c r="D404" s="4" t="inlineStr">
        <is>
          <t>-</t>
        </is>
      </c>
      <c r="E404" s="4" t="inlineStr">
        <is>
          <t>CX DE ESCADA DE INCÊND.</t>
        </is>
      </c>
      <c r="F404" s="118" t="n">
        <v>46535</v>
      </c>
      <c r="G404" s="118" t="n">
        <v>46862</v>
      </c>
      <c r="H404" s="118" t="n">
        <v>46289</v>
      </c>
      <c r="I404" s="4" t="n">
        <v>0</v>
      </c>
      <c r="J404" s="4" t="n">
        <v>0</v>
      </c>
      <c r="K404" s="4" t="n">
        <v>0</v>
      </c>
      <c r="M404" s="2">
        <f>IF(C404="","",IFERROR(INDEX($S$5:$S$304,MATCH(C404,$R$5:$R$304,0))&amp;"","?"))</f>
        <v/>
      </c>
      <c r="N404" s="2">
        <f>IF(E404="","",IF(LEFT(E404,7)="SUBSOLO",-1,IF(LEFT(E404,6)="TÉRREO",0,IFERROR(VALUE(LEFT(E404,FIND("º",SUBSTITUTE(E404,"°","º"))-1)),""))))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30171496</v>
      </c>
      <c r="C405" s="4" t="inlineStr">
        <is>
          <t>REBOCO INTERNO</t>
        </is>
      </c>
      <c r="D405" s="4" t="inlineStr">
        <is>
          <t>-</t>
        </is>
      </c>
      <c r="E405" s="4" t="inlineStr">
        <is>
          <t>HALL - APTOS</t>
        </is>
      </c>
      <c r="F405" s="118" t="n">
        <v>46535</v>
      </c>
      <c r="G405" s="118" t="n">
        <v>46862</v>
      </c>
      <c r="H405" s="118" t="n">
        <v>46289</v>
      </c>
      <c r="I405" s="4" t="n">
        <v>0</v>
      </c>
      <c r="J405" s="4" t="n">
        <v>0</v>
      </c>
      <c r="K405" s="4" t="n">
        <v>0</v>
      </c>
      <c r="M405" s="2">
        <f>IF(C405="","",IFERROR(INDEX($S$5:$S$304,MATCH(C405,$R$5:$R$304,0))&amp;"","?"))</f>
        <v/>
      </c>
      <c r="N405" s="2">
        <f>IF(E405="","",IF(LEFT(E405,7)="SUBSOLO",-1,IF(LEFT(E405,6)="TÉRREO",0,IFERROR(VALUE(LEFT(E405,FIND("º",SUBSTITUTE(E405,"°","º"))-1)),""))))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29981396</v>
      </c>
      <c r="C406" s="4" t="inlineStr">
        <is>
          <t>ENCUNHAMENTO</t>
        </is>
      </c>
      <c r="D406" s="4" t="inlineStr">
        <is>
          <t>-</t>
        </is>
      </c>
      <c r="E406" s="4" t="inlineStr">
        <is>
          <t>11º PAV.</t>
        </is>
      </c>
      <c r="F406" s="118" t="n">
        <v>46538</v>
      </c>
      <c r="G406" s="118" t="n">
        <v>46548</v>
      </c>
      <c r="H406" s="118" t="n">
        <v>46289</v>
      </c>
      <c r="I406" s="4" t="n">
        <v>0</v>
      </c>
      <c r="J406" s="4" t="n">
        <v>0</v>
      </c>
      <c r="K406" s="4" t="n">
        <v>0</v>
      </c>
      <c r="M406" s="2">
        <f>IF(C406="","",IFERROR(INDEX($S$5:$S$304,MATCH(C406,$R$5:$R$304,0))&amp;"","?"))</f>
        <v/>
      </c>
      <c r="N406" s="2">
        <f>IF(E406="","",IF(LEFT(E406,7)="SUBSOLO",-1,IF(LEFT(E406,6)="TÉRREO",0,IFERROR(VALUE(LEFT(E406,FIND("º",SUBSTITUTE(E406,"°","º"))-1)),""))))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29981370</v>
      </c>
      <c r="C407" s="4" t="inlineStr">
        <is>
          <t>PRUMADA DE INCÊNDIO</t>
        </is>
      </c>
      <c r="D407" s="4" t="inlineStr">
        <is>
          <t>-</t>
        </is>
      </c>
      <c r="E407" s="4" t="inlineStr">
        <is>
          <t>12º PAV.</t>
        </is>
      </c>
      <c r="F407" s="118" t="n">
        <v>46541</v>
      </c>
      <c r="G407" s="118" t="n">
        <v>46553</v>
      </c>
      <c r="H407" s="118" t="n">
        <v>46289</v>
      </c>
      <c r="I407" s="4" t="n">
        <v>0</v>
      </c>
      <c r="J407" s="4" t="n">
        <v>0</v>
      </c>
      <c r="K407" s="4" t="n">
        <v>0</v>
      </c>
      <c r="M407" s="2">
        <f>IF(C407="","",IFERROR(INDEX($S$5:$S$304,MATCH(C407,$R$5:$R$304,0))&amp;"","?"))</f>
        <v/>
      </c>
      <c r="N407" s="2">
        <f>IF(E407="","",IF(LEFT(E407,7)="SUBSOLO",-1,IF(LEFT(E407,6)="TÉRREO",0,IFERROR(VALUE(LEFT(E407,FIND("º",SUBSTITUTE(E407,"°","º"))-1)),""))))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29981321</v>
      </c>
      <c r="C408" s="4" t="inlineStr">
        <is>
          <t>ALVENARIA</t>
        </is>
      </c>
      <c r="D408" s="4" t="inlineStr">
        <is>
          <t>-</t>
        </is>
      </c>
      <c r="E408" s="4" t="inlineStr">
        <is>
          <t>13º PAV.</t>
        </is>
      </c>
      <c r="F408" s="118" t="n">
        <v>46541</v>
      </c>
      <c r="G408" s="118" t="n">
        <v>46553</v>
      </c>
      <c r="H408" s="118" t="n">
        <v>46289</v>
      </c>
      <c r="I408" s="4" t="n">
        <v>0</v>
      </c>
      <c r="J408" s="4" t="n">
        <v>0</v>
      </c>
      <c r="K408" s="4" t="n">
        <v>0</v>
      </c>
      <c r="M408" s="2">
        <f>IF(C408="","",IFERROR(INDEX($S$5:$S$304,MATCH(C408,$R$5:$R$304,0))&amp;"","?"))</f>
        <v/>
      </c>
      <c r="N408" s="2">
        <f>IF(E408="","",IF(LEFT(E408,7)="SUBSOLO",-1,IF(LEFT(E408,6)="TÉRREO",0,IFERROR(VALUE(LEFT(E408,FIND("º",SUBSTITUTE(E408,"°","º"))-1)),""))))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29940957</v>
      </c>
      <c r="C409" s="4" t="inlineStr">
        <is>
          <t>ESTRUTURA</t>
        </is>
      </c>
      <c r="D409" s="4" t="inlineStr">
        <is>
          <t>-</t>
        </is>
      </c>
      <c r="E409" s="4" t="inlineStr">
        <is>
          <t>17º PAV.</t>
        </is>
      </c>
      <c r="F409" s="118" t="n">
        <v>46546</v>
      </c>
      <c r="G409" s="118" t="n">
        <v>46555</v>
      </c>
      <c r="H409" s="118" t="n">
        <v>46289</v>
      </c>
      <c r="I409" s="4" t="n">
        <v>0</v>
      </c>
      <c r="J409" s="4" t="n">
        <v>0</v>
      </c>
      <c r="K409" s="4" t="n">
        <v>0</v>
      </c>
      <c r="M409" s="2">
        <f>IF(C409="","",IFERROR(INDEX($S$5:$S$304,MATCH(C409,$R$5:$R$304,0))&amp;"","?"))</f>
        <v/>
      </c>
      <c r="N409" s="2">
        <f>IF(E409="","",IF(LEFT(E409,7)="SUBSOLO",-1,IF(LEFT(E409,6)="TÉRREO",0,IFERROR(VALUE(LEFT(E409,FIND("º",SUBSTITUTE(E409,"°","º"))-1)),""))))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31529016</v>
      </c>
      <c r="C410" s="4" t="inlineStr">
        <is>
          <t>ESTRUTURA</t>
        </is>
      </c>
      <c r="D410" s="4" t="inlineStr">
        <is>
          <t>Forma</t>
        </is>
      </c>
      <c r="E410" s="4" t="inlineStr">
        <is>
          <t>17º PAV.</t>
        </is>
      </c>
      <c r="F410" s="118" t="n">
        <v>46546</v>
      </c>
      <c r="G410" s="118" t="n">
        <v>46549</v>
      </c>
      <c r="H410" s="118" t="n">
        <v>46289</v>
      </c>
      <c r="I410" s="4" t="n">
        <v>0</v>
      </c>
      <c r="J410" s="4" t="n">
        <v>0</v>
      </c>
      <c r="K410" s="4" t="n">
        <v>0</v>
      </c>
      <c r="M410" s="2">
        <f>IF(C410="","",IFERROR(INDEX($S$5:$S$304,MATCH(C410,$R$5:$R$304,0))&amp;"","?"))</f>
        <v/>
      </c>
      <c r="N410" s="2">
        <f>IF(E410="","",IF(LEFT(E410,7)="SUBSOLO",-1,IF(LEFT(E410,6)="TÉRREO",0,IFERROR(VALUE(LEFT(E410,FIND("º",SUBSTITUTE(E410,"°","º"))-1)),""))))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31529017</v>
      </c>
      <c r="C411" s="4" t="inlineStr">
        <is>
          <t>ESTRUTURA</t>
        </is>
      </c>
      <c r="D411" s="4" t="inlineStr">
        <is>
          <t>Armação</t>
        </is>
      </c>
      <c r="E411" s="4" t="inlineStr">
        <is>
          <t>17º PAV.</t>
        </is>
      </c>
      <c r="F411" s="118" t="n">
        <v>46552</v>
      </c>
      <c r="G411" s="118" t="n">
        <v>46554</v>
      </c>
      <c r="H411" s="118" t="n">
        <v>46289</v>
      </c>
      <c r="I411" s="4" t="n">
        <v>0</v>
      </c>
      <c r="J411" s="4" t="n">
        <v>0</v>
      </c>
      <c r="K411" s="4" t="n">
        <v>0</v>
      </c>
      <c r="M411" s="2">
        <f>IF(C411="","",IFERROR(INDEX($S$5:$S$304,MATCH(C411,$R$5:$R$304,0))&amp;"","?"))</f>
        <v/>
      </c>
      <c r="N411" s="2">
        <f>IF(E411="","",IF(LEFT(E411,7)="SUBSOLO",-1,IF(LEFT(E411,6)="TÉRREO",0,IFERROR(VALUE(LEFT(E411,FIND("º",SUBSTITUTE(E411,"°","º"))-1)),""))))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31529018</v>
      </c>
      <c r="C412" s="4" t="inlineStr">
        <is>
          <t>ESTRUTURA</t>
        </is>
      </c>
      <c r="D412" s="4" t="inlineStr">
        <is>
          <t>Concretagem</t>
        </is>
      </c>
      <c r="E412" s="4" t="inlineStr">
        <is>
          <t>17º PAV.</t>
        </is>
      </c>
      <c r="F412" s="118" t="n">
        <v>46555</v>
      </c>
      <c r="G412" s="118" t="n">
        <v>46555</v>
      </c>
      <c r="H412" s="118" t="n">
        <v>46289</v>
      </c>
      <c r="I412" s="4" t="n">
        <v>0</v>
      </c>
      <c r="J412" s="4" t="n">
        <v>0</v>
      </c>
      <c r="K412" s="4" t="n">
        <v>0</v>
      </c>
      <c r="M412" s="2">
        <f>IF(C412="","",IFERROR(INDEX($S$5:$S$304,MATCH(C412,$R$5:$R$304,0))&amp;"","?"))</f>
        <v/>
      </c>
      <c r="N412" s="2">
        <f>IF(E412="","",IF(LEFT(E412,7)="SUBSOLO",-1,IF(LEFT(E412,6)="TÉRREO",0,IFERROR(VALUE(LEFT(E412,FIND("º",SUBSTITUTE(E412,"°","º"))-1)),""))))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31529019</v>
      </c>
      <c r="C413" s="4" t="inlineStr">
        <is>
          <t>ESTRUTURA</t>
        </is>
      </c>
      <c r="D413" s="4" t="inlineStr">
        <is>
          <t>Polimento</t>
        </is>
      </c>
      <c r="E413" s="4" t="inlineStr">
        <is>
          <t>17º PAV.</t>
        </is>
      </c>
      <c r="F413" s="118" t="n">
        <v>46555</v>
      </c>
      <c r="G413" s="118" t="n">
        <v>46555</v>
      </c>
      <c r="H413" s="118" t="n">
        <v>46289</v>
      </c>
      <c r="I413" s="4" t="n">
        <v>0</v>
      </c>
      <c r="J413" s="4" t="n">
        <v>0</v>
      </c>
      <c r="K413" s="4" t="n">
        <v>0</v>
      </c>
      <c r="M413" s="2">
        <f>IF(C413="","",IFERROR(INDEX($S$5:$S$304,MATCH(C413,$R$5:$R$304,0))&amp;"","?"))</f>
        <v/>
      </c>
      <c r="N413" s="2">
        <f>IF(E413="","",IF(LEFT(E413,7)="SUBSOLO",-1,IF(LEFT(E413,6)="TÉRREO",0,IFERROR(VALUE(LEFT(E413,FIND("º",SUBSTITUTE(E413,"°","º"))-1)),""))))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29981524</v>
      </c>
      <c r="C414" s="4" t="inlineStr">
        <is>
          <t>SHAFT INTERNO INST. HIDRAÚLICAS</t>
        </is>
      </c>
      <c r="D414" s="4" t="inlineStr">
        <is>
          <t>-</t>
        </is>
      </c>
      <c r="E414" s="4" t="inlineStr">
        <is>
          <t>7º PAV.</t>
        </is>
      </c>
      <c r="F414" s="118" t="n">
        <v>46547</v>
      </c>
      <c r="G414" s="118" t="n">
        <v>46559</v>
      </c>
      <c r="H414" s="118" t="n">
        <v>46289</v>
      </c>
      <c r="I414" s="4" t="n">
        <v>0</v>
      </c>
      <c r="J414" s="4" t="n">
        <v>0</v>
      </c>
      <c r="K414" s="4" t="n">
        <v>0</v>
      </c>
      <c r="M414" s="2">
        <f>IF(C414="","",IFERROR(INDEX($S$5:$S$304,MATCH(C414,$R$5:$R$304,0))&amp;"","?"))</f>
        <v/>
      </c>
      <c r="N414" s="2">
        <f>IF(E414="","",IF(LEFT(E414,7)="SUBSOLO",-1,IF(LEFT(E414,6)="TÉRREO",0,IFERROR(VALUE(LEFT(E414,FIND("º",SUBSTITUTE(E414,"°","º"))-1)),""))))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29981557</v>
      </c>
      <c r="C415" s="4" t="inlineStr">
        <is>
          <t>PRUMADA ELÉTRICA - INFRA</t>
        </is>
      </c>
      <c r="D415" s="4" t="inlineStr">
        <is>
          <t>-</t>
        </is>
      </c>
      <c r="E415" s="4" t="inlineStr">
        <is>
          <t>7º PAV.</t>
        </is>
      </c>
      <c r="F415" s="118" t="n">
        <v>46547</v>
      </c>
      <c r="G415" s="118" t="n">
        <v>46559</v>
      </c>
      <c r="H415" s="118" t="n">
        <v>46289</v>
      </c>
      <c r="I415" s="4" t="n">
        <v>0</v>
      </c>
      <c r="J415" s="4" t="n">
        <v>0</v>
      </c>
      <c r="K415" s="4" t="n">
        <v>0</v>
      </c>
      <c r="M415" s="2">
        <f>IF(C415="","",IFERROR(INDEX($S$5:$S$304,MATCH(C415,$R$5:$R$304,0))&amp;"","?"))</f>
        <v/>
      </c>
      <c r="N415" s="2">
        <f>IF(E415="","",IF(LEFT(E415,7)="SUBSOLO",-1,IF(LEFT(E415,6)="TÉRREO",0,IFERROR(VALUE(LEFT(E415,FIND("º",SUBSTITUTE(E415,"°","º"))-1)),""))))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29981486</v>
      </c>
      <c r="C416" s="4" t="inlineStr">
        <is>
          <t>REBOCO INTERNO</t>
        </is>
      </c>
      <c r="D416" s="4" t="inlineStr">
        <is>
          <t>-</t>
        </is>
      </c>
      <c r="E416" s="4" t="inlineStr">
        <is>
          <t>8º PAV.</t>
        </is>
      </c>
      <c r="F416" s="118" t="n">
        <v>46547</v>
      </c>
      <c r="G416" s="118" t="n">
        <v>46559</v>
      </c>
      <c r="H416" s="118" t="n">
        <v>46289</v>
      </c>
      <c r="I416" s="4" t="n">
        <v>0</v>
      </c>
      <c r="J416" s="4" t="n">
        <v>0</v>
      </c>
      <c r="K416" s="4" t="n">
        <v>0</v>
      </c>
      <c r="M416" s="2">
        <f>IF(C416="","",IFERROR(INDEX($S$5:$S$304,MATCH(C416,$R$5:$R$304,0))&amp;"","?"))</f>
        <v/>
      </c>
      <c r="N416" s="2">
        <f>IF(E416="","",IF(LEFT(E416,7)="SUBSOLO",-1,IF(LEFT(E416,6)="TÉRREO",0,IFERROR(VALUE(LEFT(E416,FIND("º",SUBSTITUTE(E416,"°","º"))-1)),""))))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29981452</v>
      </c>
      <c r="C417" s="4" t="inlineStr">
        <is>
          <t>CONTRAMARCO</t>
        </is>
      </c>
      <c r="D417" s="4" t="inlineStr">
        <is>
          <t>-</t>
        </is>
      </c>
      <c r="E417" s="4" t="inlineStr">
        <is>
          <t>9º PAV.</t>
        </is>
      </c>
      <c r="F417" s="118" t="n">
        <v>46547</v>
      </c>
      <c r="G417" s="118" t="n">
        <v>46559</v>
      </c>
      <c r="H417" s="118" t="n">
        <v>46289</v>
      </c>
      <c r="I417" s="4" t="n">
        <v>0</v>
      </c>
      <c r="J417" s="4" t="n">
        <v>0</v>
      </c>
      <c r="K417" s="4" t="n">
        <v>0</v>
      </c>
      <c r="M417" s="2">
        <f>IF(C417="","",IFERROR(INDEX($S$5:$S$304,MATCH(C417,$R$5:$R$304,0))&amp;"","?"))</f>
        <v/>
      </c>
      <c r="N417" s="2">
        <f>IF(E417="","",IF(LEFT(E417,7)="SUBSOLO",-1,IF(LEFT(E417,6)="TÉRREO",0,IFERROR(VALUE(LEFT(E417,FIND("º",SUBSTITUTE(E417,"°","º"))-1)),""))))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29981445</v>
      </c>
      <c r="C418" s="4" t="inlineStr">
        <is>
          <t>DISTRIBUIÇÃO HIDROSSANITÁRIA</t>
        </is>
      </c>
      <c r="D418" s="4" t="inlineStr">
        <is>
          <t>-</t>
        </is>
      </c>
      <c r="E418" s="4" t="inlineStr">
        <is>
          <t>10º PAV.</t>
        </is>
      </c>
      <c r="F418" s="118" t="n">
        <v>46547</v>
      </c>
      <c r="G418" s="118" t="n">
        <v>46559</v>
      </c>
      <c r="H418" s="118" t="n">
        <v>46289</v>
      </c>
      <c r="I418" s="4" t="n">
        <v>0</v>
      </c>
      <c r="J418" s="4" t="n">
        <v>0</v>
      </c>
      <c r="K418" s="4" t="n">
        <v>0</v>
      </c>
      <c r="M418" s="2">
        <f>IF(C418="","",IFERROR(INDEX($S$5:$S$304,MATCH(C418,$R$5:$R$304,0))&amp;"","?"))</f>
        <v/>
      </c>
      <c r="N418" s="2">
        <f>IF(E418="","",IF(LEFT(E418,7)="SUBSOLO",-1,IF(LEFT(E418,6)="TÉRREO",0,IFERROR(VALUE(LEFT(E418,FIND("º",SUBSTITUTE(E418,"°","º"))-1)),""))))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29981414</v>
      </c>
      <c r="C419" s="4" t="inlineStr">
        <is>
          <t>DISTRIBUIÇÃO ELÉTRICA / QUADRO</t>
        </is>
      </c>
      <c r="D419" s="4" t="inlineStr">
        <is>
          <t>-</t>
        </is>
      </c>
      <c r="E419" s="4" t="inlineStr">
        <is>
          <t>10º PAV.</t>
        </is>
      </c>
      <c r="F419" s="118" t="n">
        <v>46547</v>
      </c>
      <c r="G419" s="118" t="n">
        <v>46559</v>
      </c>
      <c r="H419" s="118" t="n">
        <v>46289</v>
      </c>
      <c r="I419" s="4" t="n">
        <v>0</v>
      </c>
      <c r="J419" s="4" t="n">
        <v>0</v>
      </c>
      <c r="K419" s="4" t="n">
        <v>0</v>
      </c>
      <c r="M419" s="2">
        <f>IF(C419="","",IFERROR(INDEX($S$5:$S$304,MATCH(C419,$R$5:$R$304,0))&amp;"","?"))</f>
        <v/>
      </c>
      <c r="N419" s="2">
        <f>IF(E419="","",IF(LEFT(E419,7)="SUBSOLO",-1,IF(LEFT(E419,6)="TÉRREO",0,IFERROR(VALUE(LEFT(E419,FIND("º",SUBSTITUTE(E419,"°","º"))-1)),""))))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29981447</v>
      </c>
      <c r="C420" s="4" t="inlineStr">
        <is>
          <t>DISTRIBUIÇÃO DE GÁS</t>
        </is>
      </c>
      <c r="D420" s="4" t="inlineStr">
        <is>
          <t>-</t>
        </is>
      </c>
      <c r="E420" s="4" t="inlineStr">
        <is>
          <t>10º PAV.</t>
        </is>
      </c>
      <c r="F420" s="118" t="n">
        <v>46547</v>
      </c>
      <c r="G420" s="118" t="n">
        <v>46559</v>
      </c>
      <c r="H420" s="118" t="n">
        <v>46289</v>
      </c>
      <c r="I420" s="4" t="n">
        <v>0</v>
      </c>
      <c r="J420" s="4" t="n">
        <v>0</v>
      </c>
      <c r="K420" s="4" t="n">
        <v>0</v>
      </c>
      <c r="M420" s="2">
        <f>IF(C420="","",IFERROR(INDEX($S$5:$S$304,MATCH(C420,$R$5:$R$304,0))&amp;"","?"))</f>
        <v/>
      </c>
      <c r="N420" s="2">
        <f>IF(E420="","",IF(LEFT(E420,7)="SUBSOLO",-1,IF(LEFT(E420,6)="TÉRREO",0,IFERROR(VALUE(LEFT(E420,FIND("º",SUBSTITUTE(E420,"°","º"))-1)),""))))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29981394</v>
      </c>
      <c r="C421" s="4" t="inlineStr">
        <is>
          <t>TALISCAMENTO</t>
        </is>
      </c>
      <c r="D421" s="4" t="inlineStr">
        <is>
          <t>-</t>
        </is>
      </c>
      <c r="E421" s="4" t="inlineStr">
        <is>
          <t>11º PAV.</t>
        </is>
      </c>
      <c r="F421" s="118" t="n">
        <v>46547</v>
      </c>
      <c r="G421" s="118" t="n">
        <v>46559</v>
      </c>
      <c r="H421" s="118" t="n">
        <v>46289</v>
      </c>
      <c r="I421" s="4" t="n">
        <v>0</v>
      </c>
      <c r="J421" s="4" t="n">
        <v>0</v>
      </c>
      <c r="K421" s="4" t="n">
        <v>0</v>
      </c>
      <c r="M421" s="2">
        <f>IF(C421="","",IFERROR(INDEX($S$5:$S$304,MATCH(C421,$R$5:$R$304,0))&amp;"","?"))</f>
        <v/>
      </c>
      <c r="N421" s="2">
        <f>IF(E421="","",IF(LEFT(E421,7)="SUBSOLO",-1,IF(LEFT(E421,6)="TÉRREO",0,IFERROR(VALUE(LEFT(E421,FIND("º",SUBSTITUTE(E421,"°","º"))-1)),""))))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29981360</v>
      </c>
      <c r="C422" s="4" t="inlineStr">
        <is>
          <t>PRUMADA HIDROSSANITÁRIA</t>
        </is>
      </c>
      <c r="D422" s="4" t="inlineStr">
        <is>
          <t>-</t>
        </is>
      </c>
      <c r="E422" s="4" t="inlineStr">
        <is>
          <t>12º PAV.</t>
        </is>
      </c>
      <c r="F422" s="118" t="n">
        <v>46547</v>
      </c>
      <c r="G422" s="118" t="n">
        <v>46559</v>
      </c>
      <c r="H422" s="118" t="n">
        <v>46289</v>
      </c>
      <c r="I422" s="4" t="n">
        <v>0</v>
      </c>
      <c r="J422" s="4" t="n">
        <v>0</v>
      </c>
      <c r="K422" s="4" t="n">
        <v>0</v>
      </c>
      <c r="M422" s="2">
        <f>IF(C422="","",IFERROR(INDEX($S$5:$S$304,MATCH(C422,$R$5:$R$304,0))&amp;"","?"))</f>
        <v/>
      </c>
      <c r="N422" s="2">
        <f>IF(E422="","",IF(LEFT(E422,7)="SUBSOLO",-1,IF(LEFT(E422,6)="TÉRREO",0,IFERROR(VALUE(LEFT(E422,FIND("º",SUBSTITUTE(E422,"°","º"))-1)),""))))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29981359</v>
      </c>
      <c r="C423" s="4" t="inlineStr">
        <is>
          <t>ENCUNHAMENTO</t>
        </is>
      </c>
      <c r="D423" s="4" t="inlineStr">
        <is>
          <t>-</t>
        </is>
      </c>
      <c r="E423" s="4" t="inlineStr">
        <is>
          <t>12º PAV.</t>
        </is>
      </c>
      <c r="F423" s="118" t="n">
        <v>46549</v>
      </c>
      <c r="G423" s="118" t="n">
        <v>46561</v>
      </c>
      <c r="H423" s="118" t="n">
        <v>46289</v>
      </c>
      <c r="I423" s="4" t="n">
        <v>0</v>
      </c>
      <c r="J423" s="4" t="n">
        <v>0</v>
      </c>
      <c r="K423" s="4" t="n">
        <v>0</v>
      </c>
      <c r="M423" s="2">
        <f>IF(C423="","",IFERROR(INDEX($S$5:$S$304,MATCH(C423,$R$5:$R$304,0))&amp;"","?"))</f>
        <v/>
      </c>
      <c r="N423" s="2">
        <f>IF(E423="","",IF(LEFT(E423,7)="SUBSOLO",-1,IF(LEFT(E423,6)="TÉRREO",0,IFERROR(VALUE(LEFT(E423,FIND("º",SUBSTITUTE(E423,"°","º"))-1)),""))))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30171482</v>
      </c>
      <c r="C424" s="4" t="inlineStr">
        <is>
          <t>TALISCAMENTO</t>
        </is>
      </c>
      <c r="D424" s="4" t="inlineStr">
        <is>
          <t>-</t>
        </is>
      </c>
      <c r="E424" s="4" t="inlineStr">
        <is>
          <t>2º PAV - GARAGEM</t>
        </is>
      </c>
      <c r="F424" s="118" t="n">
        <v>46552</v>
      </c>
      <c r="G424" s="118" t="n">
        <v>46563</v>
      </c>
      <c r="H424" s="118" t="n">
        <v>46289</v>
      </c>
      <c r="I424" s="4" t="n">
        <v>0</v>
      </c>
      <c r="J424" s="4" t="n">
        <v>0</v>
      </c>
      <c r="K424" s="4" t="n">
        <v>0</v>
      </c>
      <c r="M424" s="2">
        <f>IF(C424="","",IFERROR(INDEX($S$5:$S$304,MATCH(C424,$R$5:$R$304,0))&amp;"","?"))</f>
        <v/>
      </c>
      <c r="N424" s="2">
        <f>IF(E424="","",IF(LEFT(E424,7)="SUBSOLO",-1,IF(LEFT(E424,6)="TÉRREO",0,IFERROR(VALUE(LEFT(E424,FIND("º",SUBSTITUTE(E424,"°","º"))-1)),""))))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30171488</v>
      </c>
      <c r="C425" s="4" t="inlineStr">
        <is>
          <t>CHUMBAMENTO DE PCF</t>
        </is>
      </c>
      <c r="D425" s="4" t="inlineStr">
        <is>
          <t>-</t>
        </is>
      </c>
      <c r="E425" s="4" t="inlineStr">
        <is>
          <t>2º PAV - GARAGEM</t>
        </is>
      </c>
      <c r="F425" s="118" t="n">
        <v>46552</v>
      </c>
      <c r="G425" s="118" t="n">
        <v>46563</v>
      </c>
      <c r="H425" s="118" t="n">
        <v>46289</v>
      </c>
      <c r="I425" s="4" t="n">
        <v>0</v>
      </c>
      <c r="J425" s="4" t="n">
        <v>0</v>
      </c>
      <c r="K425" s="4" t="n">
        <v>0</v>
      </c>
      <c r="M425" s="2">
        <f>IF(C425="","",IFERROR(INDEX($S$5:$S$304,MATCH(C425,$R$5:$R$304,0))&amp;"","?"))</f>
        <v/>
      </c>
      <c r="N425" s="2">
        <f>IF(E425="","",IF(LEFT(E425,7)="SUBSOLO",-1,IF(LEFT(E425,6)="TÉRREO",0,IFERROR(VALUE(LEFT(E425,FIND("º",SUBSTITUTE(E425,"°","º"))-1)),""))))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30171453</v>
      </c>
      <c r="C426" s="4" t="inlineStr">
        <is>
          <t>ALVENARIA</t>
        </is>
      </c>
      <c r="D426" s="4" t="inlineStr">
        <is>
          <t>-</t>
        </is>
      </c>
      <c r="E426" s="4" t="inlineStr">
        <is>
          <t>3º PAV - GARAGEM</t>
        </is>
      </c>
      <c r="F426" s="118" t="n">
        <v>46552</v>
      </c>
      <c r="G426" s="118" t="n">
        <v>46611</v>
      </c>
      <c r="H426" s="118" t="n">
        <v>46289</v>
      </c>
      <c r="I426" s="4" t="n">
        <v>0</v>
      </c>
      <c r="J426" s="4" t="n">
        <v>0</v>
      </c>
      <c r="K426" s="4" t="n">
        <v>0</v>
      </c>
      <c r="M426" s="2">
        <f>IF(C426="","",IFERROR(INDEX($S$5:$S$304,MATCH(C426,$R$5:$R$304,0))&amp;"","?"))</f>
        <v/>
      </c>
      <c r="N426" s="2">
        <f>IF(E426="","",IF(LEFT(E426,7)="SUBSOLO",-1,IF(LEFT(E426,6)="TÉRREO",0,IFERROR(VALUE(LEFT(E426,FIND("º",SUBSTITUTE(E426,"°","º"))-1)),""))))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30171437</v>
      </c>
      <c r="C427" s="4" t="inlineStr">
        <is>
          <t>INFRA ELÉTRICA - TETO</t>
        </is>
      </c>
      <c r="D427" s="4" t="inlineStr">
        <is>
          <t>-</t>
        </is>
      </c>
      <c r="E427" s="4" t="inlineStr">
        <is>
          <t>4º PAV - GARAGEM</t>
        </is>
      </c>
      <c r="F427" s="118" t="n">
        <v>46552</v>
      </c>
      <c r="G427" s="118" t="n">
        <v>46611</v>
      </c>
      <c r="H427" s="118" t="n">
        <v>46289</v>
      </c>
      <c r="I427" s="4" t="n">
        <v>0</v>
      </c>
      <c r="J427" s="4" t="n">
        <v>0</v>
      </c>
      <c r="K427" s="4" t="n">
        <v>0</v>
      </c>
      <c r="M427" s="2">
        <f>IF(C427="","",IFERROR(INDEX($S$5:$S$304,MATCH(C427,$R$5:$R$304,0))&amp;"","?"))</f>
        <v/>
      </c>
      <c r="N427" s="2">
        <f>IF(E427="","",IF(LEFT(E427,7)="SUBSOLO",-1,IF(LEFT(E427,6)="TÉRREO",0,IFERROR(VALUE(LEFT(E427,FIND("º",SUBSTITUTE(E427,"°","º"))-1)),""))))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29981333</v>
      </c>
      <c r="C428" s="4" t="inlineStr">
        <is>
          <t>PRUMADA DE INCÊNDIO</t>
        </is>
      </c>
      <c r="D428" s="4" t="inlineStr">
        <is>
          <t>-</t>
        </is>
      </c>
      <c r="E428" s="4" t="inlineStr">
        <is>
          <t>13º PAV.</t>
        </is>
      </c>
      <c r="F428" s="118" t="n">
        <v>46554</v>
      </c>
      <c r="G428" s="118" t="n">
        <v>46566</v>
      </c>
      <c r="H428" s="118" t="n">
        <v>46289</v>
      </c>
      <c r="I428" s="4" t="n">
        <v>0</v>
      </c>
      <c r="J428" s="4" t="n">
        <v>0</v>
      </c>
      <c r="K428" s="4" t="n">
        <v>0</v>
      </c>
      <c r="M428" s="2">
        <f>IF(C428="","",IFERROR(INDEX($S$5:$S$304,MATCH(C428,$R$5:$R$304,0))&amp;"","?"))</f>
        <v/>
      </c>
      <c r="N428" s="2">
        <f>IF(E428="","",IF(LEFT(E428,7)="SUBSOLO",-1,IF(LEFT(E428,6)="TÉRREO",0,IFERROR(VALUE(LEFT(E428,FIND("º",SUBSTITUTE(E428,"°","º"))-1)),""))))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29981284</v>
      </c>
      <c r="C429" s="4" t="inlineStr">
        <is>
          <t>ALVENARIA</t>
        </is>
      </c>
      <c r="D429" s="4" t="inlineStr">
        <is>
          <t>-</t>
        </is>
      </c>
      <c r="E429" s="4" t="inlineStr">
        <is>
          <t>14º PAV.</t>
        </is>
      </c>
      <c r="F429" s="118" t="n">
        <v>46554</v>
      </c>
      <c r="G429" s="118" t="n">
        <v>46566</v>
      </c>
      <c r="H429" s="118" t="n">
        <v>46289</v>
      </c>
      <c r="I429" s="4" t="n">
        <v>0</v>
      </c>
      <c r="J429" s="4" t="n">
        <v>0</v>
      </c>
      <c r="K429" s="4" t="n">
        <v>0</v>
      </c>
      <c r="M429" s="2">
        <f>IF(C429="","",IFERROR(INDEX($S$5:$S$304,MATCH(C429,$R$5:$R$304,0))&amp;"","?"))</f>
        <v/>
      </c>
      <c r="N429" s="2">
        <f>IF(E429="","",IF(LEFT(E429,7)="SUBSOLO",-1,IF(LEFT(E429,6)="TÉRREO",0,IFERROR(VALUE(LEFT(E429,FIND("º",SUBSTITUTE(E429,"°","º"))-1)),""))))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30205726</v>
      </c>
      <c r="C430" s="4" t="inlineStr">
        <is>
          <t>TALISCAMENTO</t>
        </is>
      </c>
      <c r="D430" s="4" t="inlineStr">
        <is>
          <t>-</t>
        </is>
      </c>
      <c r="E430" s="4" t="inlineStr">
        <is>
          <t>SUBSOLO</t>
        </is>
      </c>
      <c r="F430" s="118" t="n">
        <v>46555</v>
      </c>
      <c r="G430" s="118" t="n">
        <v>46568</v>
      </c>
      <c r="H430" s="118" t="n">
        <v>46289</v>
      </c>
      <c r="I430" s="4" t="n">
        <v>0</v>
      </c>
      <c r="J430" s="4" t="n">
        <v>0</v>
      </c>
      <c r="K430" s="4" t="n">
        <v>0</v>
      </c>
      <c r="M430" s="2">
        <f>IF(C430="","",IFERROR(INDEX($S$5:$S$304,MATCH(C430,$R$5:$R$304,0))&amp;"","?"))</f>
        <v/>
      </c>
      <c r="N430" s="2">
        <f>IF(E430="","",IF(LEFT(E430,7)="SUBSOLO",-1,IF(LEFT(E430,6)="TÉRREO",0,IFERROR(VALUE(LEFT(E430,FIND("º",SUBSTITUTE(E430,"°","º"))-1)),""))))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30205732</v>
      </c>
      <c r="C431" s="4" t="inlineStr">
        <is>
          <t>CHUMBAMENTO DE PCF</t>
        </is>
      </c>
      <c r="D431" s="4" t="inlineStr">
        <is>
          <t>-</t>
        </is>
      </c>
      <c r="E431" s="4" t="inlineStr">
        <is>
          <t>SUBSOLO</t>
        </is>
      </c>
      <c r="F431" s="118" t="n">
        <v>46555</v>
      </c>
      <c r="G431" s="118" t="n">
        <v>46568</v>
      </c>
      <c r="H431" s="118" t="n">
        <v>46289</v>
      </c>
      <c r="I431" s="4" t="n">
        <v>0</v>
      </c>
      <c r="J431" s="4" t="n">
        <v>0</v>
      </c>
      <c r="K431" s="4" t="n">
        <v>0</v>
      </c>
      <c r="M431" s="2">
        <f>IF(C431="","",IFERROR(INDEX($S$5:$S$304,MATCH(C431,$R$5:$R$304,0))&amp;"","?"))</f>
        <v/>
      </c>
      <c r="N431" s="2">
        <f>IF(E431="","",IF(LEFT(E431,7)="SUBSOLO",-1,IF(LEFT(E431,6)="TÉRREO",0,IFERROR(VALUE(LEFT(E431,FIND("º",SUBSTITUTE(E431,"°","º"))-1)),""))))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30205683</v>
      </c>
      <c r="C432" s="4" t="inlineStr">
        <is>
          <t>ALVENARIA</t>
        </is>
      </c>
      <c r="D432" s="4" t="inlineStr">
        <is>
          <t>-</t>
        </is>
      </c>
      <c r="E432" s="4" t="inlineStr">
        <is>
          <t>TÉRREO - LOJA 1</t>
        </is>
      </c>
      <c r="F432" s="118" t="n">
        <v>46555</v>
      </c>
      <c r="G432" s="118" t="n">
        <v>46568</v>
      </c>
      <c r="H432" s="118" t="n">
        <v>46289</v>
      </c>
      <c r="I432" s="4" t="n">
        <v>0</v>
      </c>
      <c r="J432" s="4" t="n">
        <v>0</v>
      </c>
      <c r="K432" s="4" t="n">
        <v>0</v>
      </c>
      <c r="M432" s="2">
        <f>IF(C432="","",IFERROR(INDEX($S$5:$S$304,MATCH(C432,$R$5:$R$304,0))&amp;"","?"))</f>
        <v/>
      </c>
      <c r="N432" s="2">
        <f>IF(E432="","",IF(LEFT(E432,7)="SUBSOLO",-1,IF(LEFT(E432,6)="TÉRREO",0,IFERROR(VALUE(LEFT(E432,FIND("º",SUBSTITUTE(E432,"°","º"))-1)),""))))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29940958</v>
      </c>
      <c r="C433" s="4" t="inlineStr">
        <is>
          <t>ESTRUTURA</t>
        </is>
      </c>
      <c r="D433" s="4" t="inlineStr">
        <is>
          <t>-</t>
        </is>
      </c>
      <c r="E433" s="4" t="inlineStr">
        <is>
          <t>18º PAV.</t>
        </is>
      </c>
      <c r="F433" s="118" t="n">
        <v>46556</v>
      </c>
      <c r="G433" s="118" t="n">
        <v>46568</v>
      </c>
      <c r="H433" s="118" t="n">
        <v>46289</v>
      </c>
      <c r="I433" s="4" t="n">
        <v>0</v>
      </c>
      <c r="J433" s="4" t="n">
        <v>0</v>
      </c>
      <c r="K433" s="4" t="n">
        <v>0</v>
      </c>
      <c r="M433" s="2">
        <f>IF(C433="","",IFERROR(INDEX($S$5:$S$304,MATCH(C433,$R$5:$R$304,0))&amp;"","?"))</f>
        <v/>
      </c>
      <c r="N433" s="2">
        <f>IF(E433="","",IF(LEFT(E433,7)="SUBSOLO",-1,IF(LEFT(E433,6)="TÉRREO",0,IFERROR(VALUE(LEFT(E433,FIND("º",SUBSTITUTE(E433,"°","º"))-1)),""))))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31529020</v>
      </c>
      <c r="C434" s="4" t="inlineStr">
        <is>
          <t>ESTRUTURA</t>
        </is>
      </c>
      <c r="D434" s="4" t="inlineStr">
        <is>
          <t>Forma</t>
        </is>
      </c>
      <c r="E434" s="4" t="inlineStr">
        <is>
          <t>18º PAV.</t>
        </is>
      </c>
      <c r="F434" s="118" t="n">
        <v>46556</v>
      </c>
      <c r="G434" s="118" t="n">
        <v>46562</v>
      </c>
      <c r="H434" s="118" t="n">
        <v>46289</v>
      </c>
      <c r="I434" s="4" t="n">
        <v>0</v>
      </c>
      <c r="J434" s="4" t="n">
        <v>0</v>
      </c>
      <c r="K434" s="4" t="n">
        <v>0</v>
      </c>
      <c r="M434" s="2">
        <f>IF(C434="","",IFERROR(INDEX($S$5:$S$304,MATCH(C434,$R$5:$R$304,0))&amp;"","?"))</f>
        <v/>
      </c>
      <c r="N434" s="2">
        <f>IF(E434="","",IF(LEFT(E434,7)="SUBSOLO",-1,IF(LEFT(E434,6)="TÉRREO",0,IFERROR(VALUE(LEFT(E434,FIND("º",SUBSTITUTE(E434,"°","º"))-1)),""))))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31529021</v>
      </c>
      <c r="C435" s="4" t="inlineStr">
        <is>
          <t>ESTRUTURA</t>
        </is>
      </c>
      <c r="D435" s="4" t="inlineStr">
        <is>
          <t>Armação</t>
        </is>
      </c>
      <c r="E435" s="4" t="inlineStr">
        <is>
          <t>18º PAV.</t>
        </is>
      </c>
      <c r="F435" s="118" t="n">
        <v>46563</v>
      </c>
      <c r="G435" s="118" t="n">
        <v>46567</v>
      </c>
      <c r="H435" s="118" t="n">
        <v>46289</v>
      </c>
      <c r="I435" s="4" t="n">
        <v>0</v>
      </c>
      <c r="J435" s="4" t="n">
        <v>0</v>
      </c>
      <c r="K435" s="4" t="n">
        <v>0</v>
      </c>
      <c r="M435" s="2">
        <f>IF(C435="","",IFERROR(INDEX($S$5:$S$304,MATCH(C435,$R$5:$R$304,0))&amp;"","?"))</f>
        <v/>
      </c>
      <c r="N435" s="2">
        <f>IF(E435="","",IF(LEFT(E435,7)="SUBSOLO",-1,IF(LEFT(E435,6)="TÉRREO",0,IFERROR(VALUE(LEFT(E435,FIND("º",SUBSTITUTE(E435,"°","º"))-1)),""))))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31529022</v>
      </c>
      <c r="C436" s="4" t="inlineStr">
        <is>
          <t>ESTRUTURA</t>
        </is>
      </c>
      <c r="D436" s="4" t="inlineStr">
        <is>
          <t>Concretagem</t>
        </is>
      </c>
      <c r="E436" s="4" t="inlineStr">
        <is>
          <t>18º PAV.</t>
        </is>
      </c>
      <c r="F436" s="118" t="n">
        <v>46568</v>
      </c>
      <c r="G436" s="118" t="n">
        <v>46568</v>
      </c>
      <c r="H436" s="118" t="n">
        <v>46289</v>
      </c>
      <c r="I436" s="4" t="n">
        <v>0</v>
      </c>
      <c r="J436" s="4" t="n">
        <v>0</v>
      </c>
      <c r="K436" s="4" t="n">
        <v>0</v>
      </c>
      <c r="M436" s="2">
        <f>IF(C436="","",IFERROR(INDEX($S$5:$S$304,MATCH(C436,$R$5:$R$304,0))&amp;"","?"))</f>
        <v/>
      </c>
      <c r="N436" s="2">
        <f>IF(E436="","",IF(LEFT(E436,7)="SUBSOLO",-1,IF(LEFT(E436,6)="TÉRREO",0,IFERROR(VALUE(LEFT(E436,FIND("º",SUBSTITUTE(E436,"°","º"))-1)),""))))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31529023</v>
      </c>
      <c r="C437" s="4" t="inlineStr">
        <is>
          <t>ESTRUTURA</t>
        </is>
      </c>
      <c r="D437" s="4" t="inlineStr">
        <is>
          <t>Polimento</t>
        </is>
      </c>
      <c r="E437" s="4" t="inlineStr">
        <is>
          <t>18º PAV.</t>
        </is>
      </c>
      <c r="F437" s="118" t="n">
        <v>46568</v>
      </c>
      <c r="G437" s="118" t="n">
        <v>46568</v>
      </c>
      <c r="H437" s="118" t="n">
        <v>46289</v>
      </c>
      <c r="I437" s="4" t="n">
        <v>0</v>
      </c>
      <c r="J437" s="4" t="n">
        <v>0</v>
      </c>
      <c r="K437" s="4" t="n">
        <v>0</v>
      </c>
      <c r="M437" s="2">
        <f>IF(C437="","",IFERROR(INDEX($S$5:$S$304,MATCH(C437,$R$5:$R$304,0))&amp;"","?"))</f>
        <v/>
      </c>
      <c r="N437" s="2">
        <f>IF(E437="","",IF(LEFT(E437,7)="SUBSOLO",-1,IF(LEFT(E437,6)="TÉRREO",0,IFERROR(VALUE(LEFT(E437,FIND("º",SUBSTITUTE(E437,"°","º"))-1)),""))))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30171483</v>
      </c>
      <c r="C438" s="4" t="inlineStr">
        <is>
          <t>ENCUNHAMENTO</t>
        </is>
      </c>
      <c r="D438" s="4" t="inlineStr">
        <is>
          <t>-</t>
        </is>
      </c>
      <c r="E438" s="4" t="inlineStr">
        <is>
          <t>2º PAV - GARAGEM</t>
        </is>
      </c>
      <c r="F438" s="118" t="n">
        <v>46560</v>
      </c>
      <c r="G438" s="118" t="n">
        <v>46573</v>
      </c>
      <c r="H438" s="118" t="n">
        <v>46289</v>
      </c>
      <c r="I438" s="4" t="n">
        <v>0</v>
      </c>
      <c r="J438" s="4" t="n">
        <v>0</v>
      </c>
      <c r="K438" s="4" t="n">
        <v>0</v>
      </c>
      <c r="M438" s="2">
        <f>IF(C438="","",IFERROR(INDEX($S$5:$S$304,MATCH(C438,$R$5:$R$304,0))&amp;"","?"))</f>
        <v/>
      </c>
      <c r="N438" s="2">
        <f>IF(E438="","",IF(LEFT(E438,7)="SUBSOLO",-1,IF(LEFT(E438,6)="TÉRREO",0,IFERROR(VALUE(LEFT(E438,FIND("º",SUBSTITUTE(E438,"°","º"))-1)),""))))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29981547</v>
      </c>
      <c r="C439" s="4" t="inlineStr">
        <is>
          <t>CONTRAPISO</t>
        </is>
      </c>
      <c r="D439" s="4" t="inlineStr">
        <is>
          <t>-</t>
        </is>
      </c>
      <c r="E439" s="4" t="inlineStr">
        <is>
          <t>7º PAV.</t>
        </is>
      </c>
      <c r="F439" s="118" t="n">
        <v>46560</v>
      </c>
      <c r="G439" s="118" t="n">
        <v>46570</v>
      </c>
      <c r="H439" s="118" t="n">
        <v>46289</v>
      </c>
      <c r="I439" s="4" t="n">
        <v>0</v>
      </c>
      <c r="J439" s="4" t="n">
        <v>0</v>
      </c>
      <c r="K439" s="4" t="n">
        <v>0</v>
      </c>
      <c r="M439" s="2">
        <f>IF(C439="","",IFERROR(INDEX($S$5:$S$304,MATCH(C439,$R$5:$R$304,0))&amp;"","?"))</f>
        <v/>
      </c>
      <c r="N439" s="2">
        <f>IF(E439="","",IF(LEFT(E439,7)="SUBSOLO",-1,IF(LEFT(E439,6)="TÉRREO",0,IFERROR(VALUE(LEFT(E439,FIND("º",SUBSTITUTE(E439,"°","º"))-1)),""))))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29981487</v>
      </c>
      <c r="C440" s="4" t="inlineStr">
        <is>
          <t>SHAFT INTERNO INST. HIDRAÚLICAS</t>
        </is>
      </c>
      <c r="D440" s="4" t="inlineStr">
        <is>
          <t>-</t>
        </is>
      </c>
      <c r="E440" s="4" t="inlineStr">
        <is>
          <t>8º PAV.</t>
        </is>
      </c>
      <c r="F440" s="118" t="n">
        <v>46560</v>
      </c>
      <c r="G440" s="118" t="n">
        <v>46570</v>
      </c>
      <c r="H440" s="118" t="n">
        <v>46289</v>
      </c>
      <c r="I440" s="4" t="n">
        <v>0</v>
      </c>
      <c r="J440" s="4" t="n">
        <v>0</v>
      </c>
      <c r="K440" s="4" t="n">
        <v>0</v>
      </c>
      <c r="M440" s="2">
        <f>IF(C440="","",IFERROR(INDEX($S$5:$S$304,MATCH(C440,$R$5:$R$304,0))&amp;"","?"))</f>
        <v/>
      </c>
      <c r="N440" s="2">
        <f>IF(E440="","",IF(LEFT(E440,7)="SUBSOLO",-1,IF(LEFT(E440,6)="TÉRREO",0,IFERROR(VALUE(LEFT(E440,FIND("º",SUBSTITUTE(E440,"°","º"))-1)),""))))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29981520</v>
      </c>
      <c r="C441" s="4" t="inlineStr">
        <is>
          <t>PRUMADA ELÉTRICA - INFRA</t>
        </is>
      </c>
      <c r="D441" s="4" t="inlineStr">
        <is>
          <t>-</t>
        </is>
      </c>
      <c r="E441" s="4" t="inlineStr">
        <is>
          <t>8º PAV.</t>
        </is>
      </c>
      <c r="F441" s="118" t="n">
        <v>46560</v>
      </c>
      <c r="G441" s="118" t="n">
        <v>46570</v>
      </c>
      <c r="H441" s="118" t="n">
        <v>46289</v>
      </c>
      <c r="I441" s="4" t="n">
        <v>0</v>
      </c>
      <c r="J441" s="4" t="n">
        <v>0</v>
      </c>
      <c r="K441" s="4" t="n">
        <v>0</v>
      </c>
      <c r="M441" s="2">
        <f>IF(C441="","",IFERROR(INDEX($S$5:$S$304,MATCH(C441,$R$5:$R$304,0))&amp;"","?"))</f>
        <v/>
      </c>
      <c r="N441" s="2">
        <f>IF(E441="","",IF(LEFT(E441,7)="SUBSOLO",-1,IF(LEFT(E441,6)="TÉRREO",0,IFERROR(VALUE(LEFT(E441,FIND("º",SUBSTITUTE(E441,"°","º"))-1)),""))))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29981449</v>
      </c>
      <c r="C442" s="4" t="inlineStr">
        <is>
          <t>REBOCO INTERNO</t>
        </is>
      </c>
      <c r="D442" s="4" t="inlineStr">
        <is>
          <t>-</t>
        </is>
      </c>
      <c r="E442" s="4" t="inlineStr">
        <is>
          <t>9º PAV.</t>
        </is>
      </c>
      <c r="F442" s="118" t="n">
        <v>46560</v>
      </c>
      <c r="G442" s="118" t="n">
        <v>46570</v>
      </c>
      <c r="H442" s="118" t="n">
        <v>46289</v>
      </c>
      <c r="I442" s="4" t="n">
        <v>0</v>
      </c>
      <c r="J442" s="4" t="n">
        <v>0</v>
      </c>
      <c r="K442" s="4" t="n">
        <v>0</v>
      </c>
      <c r="M442" s="2">
        <f>IF(C442="","",IFERROR(INDEX($S$5:$S$304,MATCH(C442,$R$5:$R$304,0))&amp;"","?"))</f>
        <v/>
      </c>
      <c r="N442" s="2">
        <f>IF(E442="","",IF(LEFT(E442,7)="SUBSOLO",-1,IF(LEFT(E442,6)="TÉRREO",0,IFERROR(VALUE(LEFT(E442,FIND("º",SUBSTITUTE(E442,"°","º"))-1)),""))))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29981415</v>
      </c>
      <c r="C443" s="4" t="inlineStr">
        <is>
          <t>CONTRAMARCO</t>
        </is>
      </c>
      <c r="D443" s="4" t="inlineStr">
        <is>
          <t>-</t>
        </is>
      </c>
      <c r="E443" s="4" t="inlineStr">
        <is>
          <t>10º PAV.</t>
        </is>
      </c>
      <c r="F443" s="118" t="n">
        <v>46560</v>
      </c>
      <c r="G443" s="118" t="n">
        <v>46570</v>
      </c>
      <c r="H443" s="118" t="n">
        <v>46289</v>
      </c>
      <c r="I443" s="4" t="n">
        <v>0</v>
      </c>
      <c r="J443" s="4" t="n">
        <v>0</v>
      </c>
      <c r="K443" s="4" t="n">
        <v>0</v>
      </c>
      <c r="M443" s="2">
        <f>IF(C443="","",IFERROR(INDEX($S$5:$S$304,MATCH(C443,$R$5:$R$304,0))&amp;"","?"))</f>
        <v/>
      </c>
      <c r="N443" s="2">
        <f>IF(E443="","",IF(LEFT(E443,7)="SUBSOLO",-1,IF(LEFT(E443,6)="TÉRREO",0,IFERROR(VALUE(LEFT(E443,FIND("º",SUBSTITUTE(E443,"°","º"))-1)),""))))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29981408</v>
      </c>
      <c r="C444" s="4" t="inlineStr">
        <is>
          <t>DISTRIBUIÇÃO HIDROSSANITÁRIA</t>
        </is>
      </c>
      <c r="D444" s="4" t="inlineStr">
        <is>
          <t>-</t>
        </is>
      </c>
      <c r="E444" s="4" t="inlineStr">
        <is>
          <t>11º PAV.</t>
        </is>
      </c>
      <c r="F444" s="118" t="n">
        <v>46560</v>
      </c>
      <c r="G444" s="118" t="n">
        <v>46570</v>
      </c>
      <c r="H444" s="118" t="n">
        <v>46289</v>
      </c>
      <c r="I444" s="4" t="n">
        <v>0</v>
      </c>
      <c r="J444" s="4" t="n">
        <v>0</v>
      </c>
      <c r="K444" s="4" t="n">
        <v>0</v>
      </c>
      <c r="M444" s="2">
        <f>IF(C444="","",IFERROR(INDEX($S$5:$S$304,MATCH(C444,$R$5:$R$304,0))&amp;"","?"))</f>
        <v/>
      </c>
      <c r="N444" s="2">
        <f>IF(E444="","",IF(LEFT(E444,7)="SUBSOLO",-1,IF(LEFT(E444,6)="TÉRREO",0,IFERROR(VALUE(LEFT(E444,FIND("º",SUBSTITUTE(E444,"°","º"))-1)),""))))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29981377</v>
      </c>
      <c r="C445" s="4" t="inlineStr">
        <is>
          <t>DISTRIBUIÇÃO ELÉTRICA / QUADRO</t>
        </is>
      </c>
      <c r="D445" s="4" t="inlineStr">
        <is>
          <t>-</t>
        </is>
      </c>
      <c r="E445" s="4" t="inlineStr">
        <is>
          <t>11º PAV.</t>
        </is>
      </c>
      <c r="F445" s="118" t="n">
        <v>46560</v>
      </c>
      <c r="G445" s="118" t="n">
        <v>46570</v>
      </c>
      <c r="H445" s="118" t="n">
        <v>46289</v>
      </c>
      <c r="I445" s="4" t="n">
        <v>0</v>
      </c>
      <c r="J445" s="4" t="n">
        <v>0</v>
      </c>
      <c r="K445" s="4" t="n">
        <v>0</v>
      </c>
      <c r="M445" s="2">
        <f>IF(C445="","",IFERROR(INDEX($S$5:$S$304,MATCH(C445,$R$5:$R$304,0))&amp;"","?"))</f>
        <v/>
      </c>
      <c r="N445" s="2">
        <f>IF(E445="","",IF(LEFT(E445,7)="SUBSOLO",-1,IF(LEFT(E445,6)="TÉRREO",0,IFERROR(VALUE(LEFT(E445,FIND("º",SUBSTITUTE(E445,"°","º"))-1)),""))))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29981410</v>
      </c>
      <c r="C446" s="4" t="inlineStr">
        <is>
          <t>DISTRIBUIÇÃO DE GÁS</t>
        </is>
      </c>
      <c r="D446" s="4" t="inlineStr">
        <is>
          <t>-</t>
        </is>
      </c>
      <c r="E446" s="4" t="inlineStr">
        <is>
          <t>11º PAV.</t>
        </is>
      </c>
      <c r="F446" s="118" t="n">
        <v>46560</v>
      </c>
      <c r="G446" s="118" t="n">
        <v>46570</v>
      </c>
      <c r="H446" s="118" t="n">
        <v>46289</v>
      </c>
      <c r="I446" s="4" t="n">
        <v>0</v>
      </c>
      <c r="J446" s="4" t="n">
        <v>0</v>
      </c>
      <c r="K446" s="4" t="n">
        <v>0</v>
      </c>
      <c r="M446" s="2">
        <f>IF(C446="","",IFERROR(INDEX($S$5:$S$304,MATCH(C446,$R$5:$R$304,0))&amp;"","?"))</f>
        <v/>
      </c>
      <c r="N446" s="2">
        <f>IF(E446="","",IF(LEFT(E446,7)="SUBSOLO",-1,IF(LEFT(E446,6)="TÉRREO",0,IFERROR(VALUE(LEFT(E446,FIND("º",SUBSTITUTE(E446,"°","º"))-1)),""))))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29981357</v>
      </c>
      <c r="C447" s="4" t="inlineStr">
        <is>
          <t>TALISCAMENTO</t>
        </is>
      </c>
      <c r="D447" s="4" t="inlineStr">
        <is>
          <t>-</t>
        </is>
      </c>
      <c r="E447" s="4" t="inlineStr">
        <is>
          <t>12º PAV.</t>
        </is>
      </c>
      <c r="F447" s="118" t="n">
        <v>46560</v>
      </c>
      <c r="G447" s="118" t="n">
        <v>46570</v>
      </c>
      <c r="H447" s="118" t="n">
        <v>46289</v>
      </c>
      <c r="I447" s="4" t="n">
        <v>0</v>
      </c>
      <c r="J447" s="4" t="n">
        <v>0</v>
      </c>
      <c r="K447" s="4" t="n">
        <v>0</v>
      </c>
      <c r="M447" s="2">
        <f>IF(C447="","",IFERROR(INDEX($S$5:$S$304,MATCH(C447,$R$5:$R$304,0))&amp;"","?"))</f>
        <v/>
      </c>
      <c r="N447" s="2">
        <f>IF(E447="","",IF(LEFT(E447,7)="SUBSOLO",-1,IF(LEFT(E447,6)="TÉRREO",0,IFERROR(VALUE(LEFT(E447,FIND("º",SUBSTITUTE(E447,"°","º"))-1)),""))))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29981323</v>
      </c>
      <c r="C448" s="4" t="inlineStr">
        <is>
          <t>PRUMADA HIDROSSANITÁRIA</t>
        </is>
      </c>
      <c r="D448" s="4" t="inlineStr">
        <is>
          <t>-</t>
        </is>
      </c>
      <c r="E448" s="4" t="inlineStr">
        <is>
          <t>13º PAV.</t>
        </is>
      </c>
      <c r="F448" s="118" t="n">
        <v>46560</v>
      </c>
      <c r="G448" s="118" t="n">
        <v>46570</v>
      </c>
      <c r="H448" s="118" t="n">
        <v>46289</v>
      </c>
      <c r="I448" s="4" t="n">
        <v>0</v>
      </c>
      <c r="J448" s="4" t="n">
        <v>0</v>
      </c>
      <c r="K448" s="4" t="n">
        <v>0</v>
      </c>
      <c r="M448" s="2">
        <f>IF(C448="","",IFERROR(INDEX($S$5:$S$304,MATCH(C448,$R$5:$R$304,0))&amp;"","?"))</f>
        <v/>
      </c>
      <c r="N448" s="2">
        <f>IF(E448="","",IF(LEFT(E448,7)="SUBSOLO",-1,IF(LEFT(E448,6)="TÉRREO",0,IFERROR(VALUE(LEFT(E448,FIND("º",SUBSTITUTE(E448,"°","º"))-1)),""))))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29981322</v>
      </c>
      <c r="C449" s="4" t="inlineStr">
        <is>
          <t>ENCUNHAMENTO</t>
        </is>
      </c>
      <c r="D449" s="4" t="inlineStr">
        <is>
          <t>-</t>
        </is>
      </c>
      <c r="E449" s="4" t="inlineStr">
        <is>
          <t>13º PAV.</t>
        </is>
      </c>
      <c r="F449" s="118" t="n">
        <v>46562</v>
      </c>
      <c r="G449" s="118" t="n">
        <v>46574</v>
      </c>
      <c r="H449" s="118" t="n">
        <v>46289</v>
      </c>
      <c r="I449" s="4" t="n">
        <v>0</v>
      </c>
      <c r="J449" s="4" t="n">
        <v>0</v>
      </c>
      <c r="K449" s="4" t="n">
        <v>0</v>
      </c>
      <c r="M449" s="2">
        <f>IF(C449="","",IFERROR(INDEX($S$5:$S$304,MATCH(C449,$R$5:$R$304,0))&amp;"","?"))</f>
        <v/>
      </c>
      <c r="N449" s="2">
        <f>IF(E449="","",IF(LEFT(E449,7)="SUBSOLO",-1,IF(LEFT(E449,6)="TÉRREO",0,IFERROR(VALUE(LEFT(E449,FIND("º",SUBSTITUTE(E449,"°","º"))-1)),""))))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30205727</v>
      </c>
      <c r="C450" s="4" t="inlineStr">
        <is>
          <t>ENCUNHAMENTO</t>
        </is>
      </c>
      <c r="D450" s="4" t="inlineStr">
        <is>
          <t>-</t>
        </is>
      </c>
      <c r="E450" s="4" t="inlineStr">
        <is>
          <t>SUBSOLO</t>
        </is>
      </c>
      <c r="F450" s="118" t="n">
        <v>46563</v>
      </c>
      <c r="G450" s="118" t="n">
        <v>46576</v>
      </c>
      <c r="H450" s="118" t="n">
        <v>46289</v>
      </c>
      <c r="I450" s="4" t="n">
        <v>0</v>
      </c>
      <c r="J450" s="4" t="n">
        <v>0</v>
      </c>
      <c r="K450" s="4" t="n">
        <v>0</v>
      </c>
      <c r="M450" s="2">
        <f>IF(C450="","",IFERROR(INDEX($S$5:$S$304,MATCH(C450,$R$5:$R$304,0))&amp;"","?"))</f>
        <v/>
      </c>
      <c r="N450" s="2">
        <f>IF(E450="","",IF(LEFT(E450,7)="SUBSOLO",-1,IF(LEFT(E450,6)="TÉRREO",0,IFERROR(VALUE(LEFT(E450,FIND("º",SUBSTITUTE(E450,"°","º"))-1)),""))))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30171491</v>
      </c>
      <c r="C451" s="4" t="inlineStr">
        <is>
          <t>DISTRIBUIÇÃO ELÉTRICA / QUADRO</t>
        </is>
      </c>
      <c r="D451" s="4" t="inlineStr">
        <is>
          <t>-</t>
        </is>
      </c>
      <c r="E451" s="4" t="inlineStr">
        <is>
          <t>2º PAV - GARAGEM</t>
        </is>
      </c>
      <c r="F451" s="118" t="n">
        <v>46566</v>
      </c>
      <c r="G451" s="118" t="n">
        <v>46605</v>
      </c>
      <c r="H451" s="118" t="n">
        <v>46289</v>
      </c>
      <c r="I451" s="4" t="n">
        <v>0</v>
      </c>
      <c r="J451" s="4" t="n">
        <v>0</v>
      </c>
      <c r="K451" s="4" t="n">
        <v>0</v>
      </c>
      <c r="M451" s="2">
        <f>IF(C451="","",IFERROR(INDEX($S$5:$S$304,MATCH(C451,$R$5:$R$304,0))&amp;"","?"))</f>
        <v/>
      </c>
      <c r="N451" s="2">
        <f>IF(E451="","",IF(LEFT(E451,7)="SUBSOLO",-1,IF(LEFT(E451,6)="TÉRREO",0,IFERROR(VALUE(LEFT(E451,FIND("º",SUBSTITUTE(E451,"°","º"))-1)),""))))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30171476</v>
      </c>
      <c r="C452" s="4" t="inlineStr">
        <is>
          <t>DISTRIBUIÇÃO HIDRÁULICA</t>
        </is>
      </c>
      <c r="D452" s="4" t="inlineStr">
        <is>
          <t>-</t>
        </is>
      </c>
      <c r="E452" s="4" t="inlineStr">
        <is>
          <t>2º PAV - GARAGEM</t>
        </is>
      </c>
      <c r="F452" s="118" t="n">
        <v>46566</v>
      </c>
      <c r="G452" s="118" t="n">
        <v>46605</v>
      </c>
      <c r="H452" s="118" t="n">
        <v>46289</v>
      </c>
      <c r="I452" s="4" t="n">
        <v>0</v>
      </c>
      <c r="J452" s="4" t="n">
        <v>0</v>
      </c>
      <c r="K452" s="4" t="n">
        <v>0</v>
      </c>
      <c r="M452" s="2">
        <f>IF(C452="","",IFERROR(INDEX($S$5:$S$304,MATCH(C452,$R$5:$R$304,0))&amp;"","?"))</f>
        <v/>
      </c>
      <c r="N452" s="2">
        <f>IF(E452="","",IF(LEFT(E452,7)="SUBSOLO",-1,IF(LEFT(E452,6)="TÉRREO",0,IFERROR(VALUE(LEFT(E452,FIND("º",SUBSTITUTE(E452,"°","º"))-1)),""))))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29981296</v>
      </c>
      <c r="C453" s="4" t="inlineStr">
        <is>
          <t>PRUMADA DE INCÊNDIO</t>
        </is>
      </c>
      <c r="D453" s="4" t="inlineStr">
        <is>
          <t>-</t>
        </is>
      </c>
      <c r="E453" s="4" t="inlineStr">
        <is>
          <t>14º PAV.</t>
        </is>
      </c>
      <c r="F453" s="118" t="n">
        <v>46567</v>
      </c>
      <c r="G453" s="118" t="n">
        <v>46577</v>
      </c>
      <c r="H453" s="118" t="n">
        <v>46289</v>
      </c>
      <c r="I453" s="4" t="n">
        <v>0</v>
      </c>
      <c r="J453" s="4" t="n">
        <v>0</v>
      </c>
      <c r="K453" s="4" t="n">
        <v>0</v>
      </c>
      <c r="M453" s="2">
        <f>IF(C453="","",IFERROR(INDEX($S$5:$S$304,MATCH(C453,$R$5:$R$304,0))&amp;"","?"))</f>
        <v/>
      </c>
      <c r="N453" s="2">
        <f>IF(E453="","",IF(LEFT(E453,7)="SUBSOLO",-1,IF(LEFT(E453,6)="TÉRREO",0,IFERROR(VALUE(LEFT(E453,FIND("º",SUBSTITUTE(E453,"°","º"))-1)),""))))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29981247</v>
      </c>
      <c r="C454" s="4" t="inlineStr">
        <is>
          <t>ALVENARIA</t>
        </is>
      </c>
      <c r="D454" s="4" t="inlineStr">
        <is>
          <t>-</t>
        </is>
      </c>
      <c r="E454" s="4" t="inlineStr">
        <is>
          <t>15º PAV.</t>
        </is>
      </c>
      <c r="F454" s="118" t="n">
        <v>46567</v>
      </c>
      <c r="G454" s="118" t="n">
        <v>46577</v>
      </c>
      <c r="H454" s="118" t="n">
        <v>46289</v>
      </c>
      <c r="I454" s="4" t="n">
        <v>0</v>
      </c>
      <c r="J454" s="4" t="n">
        <v>0</v>
      </c>
      <c r="K454" s="4" t="n">
        <v>0</v>
      </c>
      <c r="M454" s="2">
        <f>IF(C454="","",IFERROR(INDEX($S$5:$S$304,MATCH(C454,$R$5:$R$304,0))&amp;"","?"))</f>
        <v/>
      </c>
      <c r="N454" s="2">
        <f>IF(E454="","",IF(LEFT(E454,7)="SUBSOLO",-1,IF(LEFT(E454,6)="TÉRREO",0,IFERROR(VALUE(LEFT(E454,FIND("º",SUBSTITUTE(E454,"°","º"))-1)),""))))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30205735</v>
      </c>
      <c r="C455" s="4" t="inlineStr">
        <is>
          <t>DISTRIBUIÇÃO ELÉTRICA / QUADRO</t>
        </is>
      </c>
      <c r="D455" s="4" t="inlineStr">
        <is>
          <t>-</t>
        </is>
      </c>
      <c r="E455" s="4" t="inlineStr">
        <is>
          <t>SUBSOLO</t>
        </is>
      </c>
      <c r="F455" s="118" t="n">
        <v>46569</v>
      </c>
      <c r="G455" s="118" t="n">
        <v>46630</v>
      </c>
      <c r="H455" s="118" t="n">
        <v>46289</v>
      </c>
      <c r="I455" s="4" t="n">
        <v>0</v>
      </c>
      <c r="J455" s="4" t="n">
        <v>0</v>
      </c>
      <c r="K455" s="4" t="n">
        <v>0</v>
      </c>
      <c r="M455" s="2">
        <f>IF(C455="","",IFERROR(INDEX($S$5:$S$304,MATCH(C455,$R$5:$R$304,0))&amp;"","?"))</f>
        <v/>
      </c>
      <c r="N455" s="2">
        <f>IF(E455="","",IF(LEFT(E455,7)="SUBSOLO",-1,IF(LEFT(E455,6)="TÉRREO",0,IFERROR(VALUE(LEFT(E455,FIND("º",SUBSTITUTE(E455,"°","º"))-1)),""))))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30205720</v>
      </c>
      <c r="C456" s="4" t="inlineStr">
        <is>
          <t>DISTRIBUIÇÃO HIDRÁULICA</t>
        </is>
      </c>
      <c r="D456" s="4" t="inlineStr">
        <is>
          <t>-</t>
        </is>
      </c>
      <c r="E456" s="4" t="inlineStr">
        <is>
          <t>SUBSOLO</t>
        </is>
      </c>
      <c r="F456" s="118" t="n">
        <v>46569</v>
      </c>
      <c r="G456" s="118" t="n">
        <v>46598</v>
      </c>
      <c r="H456" s="118" t="n">
        <v>46289</v>
      </c>
      <c r="I456" s="4" t="n">
        <v>0</v>
      </c>
      <c r="J456" s="4" t="n">
        <v>0</v>
      </c>
      <c r="K456" s="4" t="n">
        <v>0</v>
      </c>
      <c r="M456" s="2">
        <f>IF(C456="","",IFERROR(INDEX($S$5:$S$304,MATCH(C456,$R$5:$R$304,0))&amp;"","?"))</f>
        <v/>
      </c>
      <c r="N456" s="2">
        <f>IF(E456="","",IF(LEFT(E456,7)="SUBSOLO",-1,IF(LEFT(E456,6)="TÉRREO",0,IFERROR(VALUE(LEFT(E456,FIND("º",SUBSTITUTE(E456,"°","º"))-1)),""))))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30205685</v>
      </c>
      <c r="C457" s="4" t="inlineStr">
        <is>
          <t>PRUMADA HIDROSSANITÁRIA</t>
        </is>
      </c>
      <c r="D457" s="4" t="inlineStr">
        <is>
          <t>-</t>
        </is>
      </c>
      <c r="E457" s="4" t="inlineStr">
        <is>
          <t>TÉRREO - LOJA 1</t>
        </is>
      </c>
      <c r="F457" s="118" t="n">
        <v>46569</v>
      </c>
      <c r="G457" s="118" t="n">
        <v>46582</v>
      </c>
      <c r="H457" s="118" t="n">
        <v>46289</v>
      </c>
      <c r="I457" s="4" t="n">
        <v>0</v>
      </c>
      <c r="J457" s="4" t="n">
        <v>0</v>
      </c>
      <c r="K457" s="4" t="n">
        <v>0</v>
      </c>
      <c r="M457" s="2">
        <f>IF(C457="","",IFERROR(INDEX($S$5:$S$304,MATCH(C457,$R$5:$R$304,0))&amp;"","?"))</f>
        <v/>
      </c>
      <c r="N457" s="2">
        <f>IF(E457="","",IF(LEFT(E457,7)="SUBSOLO",-1,IF(LEFT(E457,6)="TÉRREO",0,IFERROR(VALUE(LEFT(E457,FIND("º",SUBSTITUTE(E457,"°","º"))-1)),""))))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30205684</v>
      </c>
      <c r="C458" s="4" t="inlineStr">
        <is>
          <t>PRUMADA DE INCÊNDIO</t>
        </is>
      </c>
      <c r="D458" s="4" t="inlineStr">
        <is>
          <t>-</t>
        </is>
      </c>
      <c r="E458" s="4" t="inlineStr">
        <is>
          <t>TÉRREO - LOJA 1</t>
        </is>
      </c>
      <c r="F458" s="118" t="n">
        <v>46569</v>
      </c>
      <c r="G458" s="118" t="n">
        <v>46582</v>
      </c>
      <c r="H458" s="118" t="n">
        <v>46289</v>
      </c>
      <c r="I458" s="4" t="n">
        <v>0</v>
      </c>
      <c r="J458" s="4" t="n">
        <v>0</v>
      </c>
      <c r="K458" s="4" t="n">
        <v>0</v>
      </c>
      <c r="M458" s="2">
        <f>IF(C458="","",IFERROR(INDEX($S$5:$S$304,MATCH(C458,$R$5:$R$304,0))&amp;"","?"))</f>
        <v/>
      </c>
      <c r="N458" s="2">
        <f>IF(E458="","",IF(LEFT(E458,7)="SUBSOLO",-1,IF(LEFT(E458,6)="TÉRREO",0,IFERROR(VALUE(LEFT(E458,FIND("º",SUBSTITUTE(E458,"°","º"))-1)),""))))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30205686</v>
      </c>
      <c r="C459" s="4" t="inlineStr">
        <is>
          <t>ENCUNHAMENTO</t>
        </is>
      </c>
      <c r="D459" s="4" t="inlineStr">
        <is>
          <t>-</t>
        </is>
      </c>
      <c r="E459" s="4" t="inlineStr">
        <is>
          <t>TÉRREO - LOJA 1</t>
        </is>
      </c>
      <c r="F459" s="118" t="n">
        <v>46569</v>
      </c>
      <c r="G459" s="118" t="n">
        <v>46582</v>
      </c>
      <c r="H459" s="118" t="n">
        <v>46289</v>
      </c>
      <c r="I459" s="4" t="n">
        <v>0</v>
      </c>
      <c r="J459" s="4" t="n">
        <v>0</v>
      </c>
      <c r="K459" s="4" t="n">
        <v>0</v>
      </c>
      <c r="M459" s="2">
        <f>IF(C459="","",IFERROR(INDEX($S$5:$S$304,MATCH(C459,$R$5:$R$304,0))&amp;"","?"))</f>
        <v/>
      </c>
      <c r="N459" s="2">
        <f>IF(E459="","",IF(LEFT(E459,7)="SUBSOLO",-1,IF(LEFT(E459,6)="TÉRREO",0,IFERROR(VALUE(LEFT(E459,FIND("º",SUBSTITUTE(E459,"°","º"))-1)),""))))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30205656</v>
      </c>
      <c r="C460" s="4" t="inlineStr">
        <is>
          <t>ALVENARIA</t>
        </is>
      </c>
      <c r="D460" s="4" t="inlineStr">
        <is>
          <t>-</t>
        </is>
      </c>
      <c r="E460" s="4" t="inlineStr">
        <is>
          <t>TÉRREO - LOJA 2</t>
        </is>
      </c>
      <c r="F460" s="118" t="n">
        <v>46569</v>
      </c>
      <c r="G460" s="118" t="n">
        <v>46582</v>
      </c>
      <c r="H460" s="118" t="n">
        <v>46289</v>
      </c>
      <c r="I460" s="4" t="n">
        <v>0</v>
      </c>
      <c r="J460" s="4" t="n">
        <v>0</v>
      </c>
      <c r="K460" s="4" t="n">
        <v>0</v>
      </c>
      <c r="M460" s="2">
        <f>IF(C460="","",IFERROR(INDEX($S$5:$S$304,MATCH(C460,$R$5:$R$304,0))&amp;"","?"))</f>
        <v/>
      </c>
      <c r="N460" s="2">
        <f>IF(E460="","",IF(LEFT(E460,7)="SUBSOLO",-1,IF(LEFT(E460,6)="TÉRREO",0,IFERROR(VALUE(LEFT(E460,FIND("º",SUBSTITUTE(E460,"°","º"))-1)),""))))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29940959</v>
      </c>
      <c r="C461" s="4" t="inlineStr">
        <is>
          <t>ESTRUTURA</t>
        </is>
      </c>
      <c r="D461" s="4" t="inlineStr">
        <is>
          <t>-</t>
        </is>
      </c>
      <c r="E461" s="4" t="inlineStr">
        <is>
          <t>19º PAV.</t>
        </is>
      </c>
      <c r="F461" s="118" t="n">
        <v>46569</v>
      </c>
      <c r="G461" s="118" t="n">
        <v>46580</v>
      </c>
      <c r="H461" s="118" t="n">
        <v>46289</v>
      </c>
      <c r="I461" s="4" t="n">
        <v>0</v>
      </c>
      <c r="J461" s="4" t="n">
        <v>0</v>
      </c>
      <c r="K461" s="4" t="n">
        <v>0</v>
      </c>
      <c r="M461" s="2">
        <f>IF(C461="","",IFERROR(INDEX($S$5:$S$304,MATCH(C461,$R$5:$R$304,0))&amp;"","?"))</f>
        <v/>
      </c>
      <c r="N461" s="2">
        <f>IF(E461="","",IF(LEFT(E461,7)="SUBSOLO",-1,IF(LEFT(E461,6)="TÉRREO",0,IFERROR(VALUE(LEFT(E461,FIND("º",SUBSTITUTE(E461,"°","º"))-1)),""))))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31529024</v>
      </c>
      <c r="C462" s="4" t="inlineStr">
        <is>
          <t>ESTRUTURA</t>
        </is>
      </c>
      <c r="D462" s="4" t="inlineStr">
        <is>
          <t>Forma</t>
        </is>
      </c>
      <c r="E462" s="4" t="inlineStr">
        <is>
          <t>19º PAV.</t>
        </is>
      </c>
      <c r="F462" s="118" t="n">
        <v>46569</v>
      </c>
      <c r="G462" s="118" t="n">
        <v>46574</v>
      </c>
      <c r="H462" s="118" t="n">
        <v>46289</v>
      </c>
      <c r="I462" s="4" t="n">
        <v>0</v>
      </c>
      <c r="J462" s="4" t="n">
        <v>0</v>
      </c>
      <c r="K462" s="4" t="n">
        <v>0</v>
      </c>
      <c r="M462" s="2">
        <f>IF(C462="","",IFERROR(INDEX($S$5:$S$304,MATCH(C462,$R$5:$R$304,0))&amp;"","?"))</f>
        <v/>
      </c>
      <c r="N462" s="2">
        <f>IF(E462="","",IF(LEFT(E462,7)="SUBSOLO",-1,IF(LEFT(E462,6)="TÉRREO",0,IFERROR(VALUE(LEFT(E462,FIND("º",SUBSTITUTE(E462,"°","º"))-1)),""))))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31529025</v>
      </c>
      <c r="C463" s="4" t="inlineStr">
        <is>
          <t>ESTRUTURA</t>
        </is>
      </c>
      <c r="D463" s="4" t="inlineStr">
        <is>
          <t>Armação</t>
        </is>
      </c>
      <c r="E463" s="4" t="inlineStr">
        <is>
          <t>19º PAV.</t>
        </is>
      </c>
      <c r="F463" s="118" t="n">
        <v>46575</v>
      </c>
      <c r="G463" s="118" t="n">
        <v>46577</v>
      </c>
      <c r="H463" s="118" t="n">
        <v>46289</v>
      </c>
      <c r="I463" s="4" t="n">
        <v>0</v>
      </c>
      <c r="J463" s="4" t="n">
        <v>0</v>
      </c>
      <c r="K463" s="4" t="n">
        <v>0</v>
      </c>
      <c r="M463" s="2">
        <f>IF(C463="","",IFERROR(INDEX($S$5:$S$304,MATCH(C463,$R$5:$R$304,0))&amp;"","?"))</f>
        <v/>
      </c>
      <c r="N463" s="2">
        <f>IF(E463="","",IF(LEFT(E463,7)="SUBSOLO",-1,IF(LEFT(E463,6)="TÉRREO",0,IFERROR(VALUE(LEFT(E463,FIND("º",SUBSTITUTE(E463,"°","º"))-1)),""))))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31529026</v>
      </c>
      <c r="C464" s="4" t="inlineStr">
        <is>
          <t>ESTRUTURA</t>
        </is>
      </c>
      <c r="D464" s="4" t="inlineStr">
        <is>
          <t>Concretagem</t>
        </is>
      </c>
      <c r="E464" s="4" t="inlineStr">
        <is>
          <t>19º PAV.</t>
        </is>
      </c>
      <c r="F464" s="118" t="n">
        <v>46580</v>
      </c>
      <c r="G464" s="118" t="n">
        <v>46580</v>
      </c>
      <c r="H464" s="118" t="n">
        <v>46289</v>
      </c>
      <c r="I464" s="4" t="n">
        <v>0</v>
      </c>
      <c r="J464" s="4" t="n">
        <v>0</v>
      </c>
      <c r="K464" s="4" t="n">
        <v>0</v>
      </c>
      <c r="M464" s="2">
        <f>IF(C464="","",IFERROR(INDEX($S$5:$S$304,MATCH(C464,$R$5:$R$304,0))&amp;"","?"))</f>
        <v/>
      </c>
      <c r="N464" s="2">
        <f>IF(E464="","",IF(LEFT(E464,7)="SUBSOLO",-1,IF(LEFT(E464,6)="TÉRREO",0,IFERROR(VALUE(LEFT(E464,FIND("º",SUBSTITUTE(E464,"°","º"))-1)),""))))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31529027</v>
      </c>
      <c r="C465" s="4" t="inlineStr">
        <is>
          <t>ESTRUTURA</t>
        </is>
      </c>
      <c r="D465" s="4" t="inlineStr">
        <is>
          <t>Polimento</t>
        </is>
      </c>
      <c r="E465" s="4" t="inlineStr">
        <is>
          <t>19º PAV.</t>
        </is>
      </c>
      <c r="F465" s="118" t="n">
        <v>46580</v>
      </c>
      <c r="G465" s="118" t="n">
        <v>46580</v>
      </c>
      <c r="H465" s="118" t="n">
        <v>46289</v>
      </c>
      <c r="I465" s="4" t="n">
        <v>0</v>
      </c>
      <c r="J465" s="4" t="n">
        <v>0</v>
      </c>
      <c r="K465" s="4" t="n">
        <v>0</v>
      </c>
      <c r="M465" s="2">
        <f>IF(C465="","",IFERROR(INDEX($S$5:$S$304,MATCH(C465,$R$5:$R$304,0))&amp;"","?"))</f>
        <v/>
      </c>
      <c r="N465" s="2">
        <f>IF(E465="","",IF(LEFT(E465,7)="SUBSOLO",-1,IF(LEFT(E465,6)="TÉRREO",0,IFERROR(VALUE(LEFT(E465,FIND("º",SUBSTITUTE(E465,"°","º"))-1)),""))))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30171502</v>
      </c>
      <c r="C466" s="4" t="inlineStr">
        <is>
          <t>CONTRAPISO</t>
        </is>
      </c>
      <c r="D466" s="4" t="inlineStr">
        <is>
          <t>-</t>
        </is>
      </c>
      <c r="E466" s="4" t="inlineStr">
        <is>
          <t>HALL - APTOS</t>
        </is>
      </c>
      <c r="F466" s="118" t="n">
        <v>46573</v>
      </c>
      <c r="G466" s="118" t="n">
        <v>46905</v>
      </c>
      <c r="H466" s="118" t="n">
        <v>46289</v>
      </c>
      <c r="I466" s="4" t="n">
        <v>0</v>
      </c>
      <c r="J466" s="4" t="n">
        <v>0</v>
      </c>
      <c r="K466" s="4" t="n">
        <v>0</v>
      </c>
      <c r="M466" s="2">
        <f>IF(C466="","",IFERROR(INDEX($S$5:$S$304,MATCH(C466,$R$5:$R$304,0))&amp;"","?"))</f>
        <v/>
      </c>
      <c r="N466" s="2">
        <f>IF(E466="","",IF(LEFT(E466,7)="SUBSOLO",-1,IF(LEFT(E466,6)="TÉRREO",0,IFERROR(VALUE(LEFT(E466,FIND("º",SUBSTITUTE(E466,"°","º"))-1)),""))))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32749850</v>
      </c>
      <c r="C467" s="4" t="inlineStr">
        <is>
          <t>DRYWALL 1º FACE</t>
        </is>
      </c>
      <c r="D467" s="4" t="inlineStr">
        <is>
          <t>-</t>
        </is>
      </c>
      <c r="E467" s="4" t="inlineStr">
        <is>
          <t>7º PAV.</t>
        </is>
      </c>
      <c r="F467" s="118" t="n">
        <v>46573</v>
      </c>
      <c r="G467" s="118" t="n">
        <v>46583</v>
      </c>
      <c r="H467" s="118" t="n">
        <v>46289</v>
      </c>
      <c r="I467" s="4" t="n">
        <v>0</v>
      </c>
      <c r="J467" s="4" t="n">
        <v>0</v>
      </c>
      <c r="K467" s="4" t="n">
        <v>0</v>
      </c>
      <c r="M467" s="2">
        <f>IF(C467="","",IFERROR(INDEX($S$5:$S$304,MATCH(C467,$R$5:$R$304,0))&amp;"","?"))</f>
        <v/>
      </c>
      <c r="N467" s="2">
        <f>IF(E467="","",IF(LEFT(E467,7)="SUBSOLO",-1,IF(LEFT(E467,6)="TÉRREO",0,IFERROR(VALUE(LEFT(E467,FIND("º",SUBSTITUTE(E467,"°","º"))-1)),""))))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29981510</v>
      </c>
      <c r="C468" s="4" t="inlineStr">
        <is>
          <t>CONTRAPISO</t>
        </is>
      </c>
      <c r="D468" s="4" t="inlineStr">
        <is>
          <t>-</t>
        </is>
      </c>
      <c r="E468" s="4" t="inlineStr">
        <is>
          <t>8º PAV.</t>
        </is>
      </c>
      <c r="F468" s="118" t="n">
        <v>46573</v>
      </c>
      <c r="G468" s="118" t="n">
        <v>46583</v>
      </c>
      <c r="H468" s="118" t="n">
        <v>46289</v>
      </c>
      <c r="I468" s="4" t="n">
        <v>0</v>
      </c>
      <c r="J468" s="4" t="n">
        <v>0</v>
      </c>
      <c r="K468" s="4" t="n">
        <v>0</v>
      </c>
      <c r="M468" s="2">
        <f>IF(C468="","",IFERROR(INDEX($S$5:$S$304,MATCH(C468,$R$5:$R$304,0))&amp;"","?"))</f>
        <v/>
      </c>
      <c r="N468" s="2">
        <f>IF(E468="","",IF(LEFT(E468,7)="SUBSOLO",-1,IF(LEFT(E468,6)="TÉRREO",0,IFERROR(VALUE(LEFT(E468,FIND("º",SUBSTITUTE(E468,"°","º"))-1)),""))))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29981450</v>
      </c>
      <c r="C469" s="4" t="inlineStr">
        <is>
          <t>SHAFT INTERNO INST. HIDRAÚLICAS</t>
        </is>
      </c>
      <c r="D469" s="4" t="inlineStr">
        <is>
          <t>-</t>
        </is>
      </c>
      <c r="E469" s="4" t="inlineStr">
        <is>
          <t>9º PAV.</t>
        </is>
      </c>
      <c r="F469" s="118" t="n">
        <v>46573</v>
      </c>
      <c r="G469" s="118" t="n">
        <v>46583</v>
      </c>
      <c r="H469" s="118" t="n">
        <v>46289</v>
      </c>
      <c r="I469" s="4" t="n">
        <v>0</v>
      </c>
      <c r="J469" s="4" t="n">
        <v>0</v>
      </c>
      <c r="K469" s="4" t="n">
        <v>0</v>
      </c>
      <c r="M469" s="2">
        <f>IF(C469="","",IFERROR(INDEX($S$5:$S$304,MATCH(C469,$R$5:$R$304,0))&amp;"","?"))</f>
        <v/>
      </c>
      <c r="N469" s="2">
        <f>IF(E469="","",IF(LEFT(E469,7)="SUBSOLO",-1,IF(LEFT(E469,6)="TÉRREO",0,IFERROR(VALUE(LEFT(E469,FIND("º",SUBSTITUTE(E469,"°","º"))-1)),""))))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29981483</v>
      </c>
      <c r="C470" s="4" t="inlineStr">
        <is>
          <t>PRUMADA ELÉTRICA - INFRA</t>
        </is>
      </c>
      <c r="D470" s="4" t="inlineStr">
        <is>
          <t>-</t>
        </is>
      </c>
      <c r="E470" s="4" t="inlineStr">
        <is>
          <t>9º PAV.</t>
        </is>
      </c>
      <c r="F470" s="118" t="n">
        <v>46573</v>
      </c>
      <c r="G470" s="118" t="n">
        <v>46583</v>
      </c>
      <c r="H470" s="118" t="n">
        <v>46289</v>
      </c>
      <c r="I470" s="4" t="n">
        <v>0</v>
      </c>
      <c r="J470" s="4" t="n">
        <v>0</v>
      </c>
      <c r="K470" s="4" t="n">
        <v>0</v>
      </c>
      <c r="M470" s="2">
        <f>IF(C470="","",IFERROR(INDEX($S$5:$S$304,MATCH(C470,$R$5:$R$304,0))&amp;"","?"))</f>
        <v/>
      </c>
      <c r="N470" s="2">
        <f>IF(E470="","",IF(LEFT(E470,7)="SUBSOLO",-1,IF(LEFT(E470,6)="TÉRREO",0,IFERROR(VALUE(LEFT(E470,FIND("º",SUBSTITUTE(E470,"°","º"))-1)),""))))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29981412</v>
      </c>
      <c r="C471" s="4" t="inlineStr">
        <is>
          <t>REBOCO INTERNO</t>
        </is>
      </c>
      <c r="D471" s="4" t="inlineStr">
        <is>
          <t>-</t>
        </is>
      </c>
      <c r="E471" s="4" t="inlineStr">
        <is>
          <t>10º PAV.</t>
        </is>
      </c>
      <c r="F471" s="118" t="n">
        <v>46573</v>
      </c>
      <c r="G471" s="118" t="n">
        <v>46583</v>
      </c>
      <c r="H471" s="118" t="n">
        <v>46289</v>
      </c>
      <c r="I471" s="4" t="n">
        <v>0</v>
      </c>
      <c r="J471" s="4" t="n">
        <v>0</v>
      </c>
      <c r="K471" s="4" t="n">
        <v>0</v>
      </c>
      <c r="M471" s="2">
        <f>IF(C471="","",IFERROR(INDEX($S$5:$S$304,MATCH(C471,$R$5:$R$304,0))&amp;"","?"))</f>
        <v/>
      </c>
      <c r="N471" s="2">
        <f>IF(E471="","",IF(LEFT(E471,7)="SUBSOLO",-1,IF(LEFT(E471,6)="TÉRREO",0,IFERROR(VALUE(LEFT(E471,FIND("º",SUBSTITUTE(E471,"°","º"))-1)),""))))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29981378</v>
      </c>
      <c r="C472" s="4" t="inlineStr">
        <is>
          <t>CONTRAMARCO</t>
        </is>
      </c>
      <c r="D472" s="4" t="inlineStr">
        <is>
          <t>-</t>
        </is>
      </c>
      <c r="E472" s="4" t="inlineStr">
        <is>
          <t>11º PAV.</t>
        </is>
      </c>
      <c r="F472" s="118" t="n">
        <v>46573</v>
      </c>
      <c r="G472" s="118" t="n">
        <v>46583</v>
      </c>
      <c r="H472" s="118" t="n">
        <v>46289</v>
      </c>
      <c r="I472" s="4" t="n">
        <v>0</v>
      </c>
      <c r="J472" s="4" t="n">
        <v>0</v>
      </c>
      <c r="K472" s="4" t="n">
        <v>0</v>
      </c>
      <c r="M472" s="2">
        <f>IF(C472="","",IFERROR(INDEX($S$5:$S$304,MATCH(C472,$R$5:$R$304,0))&amp;"","?"))</f>
        <v/>
      </c>
      <c r="N472" s="2">
        <f>IF(E472="","",IF(LEFT(E472,7)="SUBSOLO",-1,IF(LEFT(E472,6)="TÉRREO",0,IFERROR(VALUE(LEFT(E472,FIND("º",SUBSTITUTE(E472,"°","º"))-1)),""))))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29981371</v>
      </c>
      <c r="C473" s="4" t="inlineStr">
        <is>
          <t>DISTRIBUIÇÃO HIDROSSANITÁRIA</t>
        </is>
      </c>
      <c r="D473" s="4" t="inlineStr">
        <is>
          <t>-</t>
        </is>
      </c>
      <c r="E473" s="4" t="inlineStr">
        <is>
          <t>12º PAV.</t>
        </is>
      </c>
      <c r="F473" s="118" t="n">
        <v>46573</v>
      </c>
      <c r="G473" s="118" t="n">
        <v>46583</v>
      </c>
      <c r="H473" s="118" t="n">
        <v>46289</v>
      </c>
      <c r="I473" s="4" t="n">
        <v>0</v>
      </c>
      <c r="J473" s="4" t="n">
        <v>0</v>
      </c>
      <c r="K473" s="4" t="n">
        <v>0</v>
      </c>
      <c r="M473" s="2">
        <f>IF(C473="","",IFERROR(INDEX($S$5:$S$304,MATCH(C473,$R$5:$R$304,0))&amp;"","?"))</f>
        <v/>
      </c>
      <c r="N473" s="2">
        <f>IF(E473="","",IF(LEFT(E473,7)="SUBSOLO",-1,IF(LEFT(E473,6)="TÉRREO",0,IFERROR(VALUE(LEFT(E473,FIND("º",SUBSTITUTE(E473,"°","º"))-1)),""))))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29981340</v>
      </c>
      <c r="C474" s="4" t="inlineStr">
        <is>
          <t>DISTRIBUIÇÃO ELÉTRICA / QUADRO</t>
        </is>
      </c>
      <c r="D474" s="4" t="inlineStr">
        <is>
          <t>-</t>
        </is>
      </c>
      <c r="E474" s="4" t="inlineStr">
        <is>
          <t>12º PAV.</t>
        </is>
      </c>
      <c r="F474" s="118" t="n">
        <v>46573</v>
      </c>
      <c r="G474" s="118" t="n">
        <v>46583</v>
      </c>
      <c r="H474" s="118" t="n">
        <v>46289</v>
      </c>
      <c r="I474" s="4" t="n">
        <v>0</v>
      </c>
      <c r="J474" s="4" t="n">
        <v>0</v>
      </c>
      <c r="K474" s="4" t="n">
        <v>0</v>
      </c>
      <c r="M474" s="2">
        <f>IF(C474="","",IFERROR(INDEX($S$5:$S$304,MATCH(C474,$R$5:$R$304,0))&amp;"","?"))</f>
        <v/>
      </c>
      <c r="N474" s="2">
        <f>IF(E474="","",IF(LEFT(E474,7)="SUBSOLO",-1,IF(LEFT(E474,6)="TÉRREO",0,IFERROR(VALUE(LEFT(E474,FIND("º",SUBSTITUTE(E474,"°","º"))-1)),""))))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29981373</v>
      </c>
      <c r="C475" s="4" t="inlineStr">
        <is>
          <t>DISTRIBUIÇÃO DE GÁS</t>
        </is>
      </c>
      <c r="D475" s="4" t="inlineStr">
        <is>
          <t>-</t>
        </is>
      </c>
      <c r="E475" s="4" t="inlineStr">
        <is>
          <t>12º PAV.</t>
        </is>
      </c>
      <c r="F475" s="118" t="n">
        <v>46573</v>
      </c>
      <c r="G475" s="118" t="n">
        <v>46583</v>
      </c>
      <c r="H475" s="118" t="n">
        <v>46289</v>
      </c>
      <c r="I475" s="4" t="n">
        <v>0</v>
      </c>
      <c r="J475" s="4" t="n">
        <v>0</v>
      </c>
      <c r="K475" s="4" t="n">
        <v>0</v>
      </c>
      <c r="M475" s="2">
        <f>IF(C475="","",IFERROR(INDEX($S$5:$S$304,MATCH(C475,$R$5:$R$304,0))&amp;"","?"))</f>
        <v/>
      </c>
      <c r="N475" s="2">
        <f>IF(E475="","",IF(LEFT(E475,7)="SUBSOLO",-1,IF(LEFT(E475,6)="TÉRREO",0,IFERROR(VALUE(LEFT(E475,FIND("º",SUBSTITUTE(E475,"°","º"))-1)),""))))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29981320</v>
      </c>
      <c r="C476" s="4" t="inlineStr">
        <is>
          <t>TALISCAMENTO</t>
        </is>
      </c>
      <c r="D476" s="4" t="inlineStr">
        <is>
          <t>-</t>
        </is>
      </c>
      <c r="E476" s="4" t="inlineStr">
        <is>
          <t>13º PAV.</t>
        </is>
      </c>
      <c r="F476" s="118" t="n">
        <v>46573</v>
      </c>
      <c r="G476" s="118" t="n">
        <v>46583</v>
      </c>
      <c r="H476" s="118" t="n">
        <v>46289</v>
      </c>
      <c r="I476" s="4" t="n">
        <v>0</v>
      </c>
      <c r="J476" s="4" t="n">
        <v>0</v>
      </c>
      <c r="K476" s="4" t="n">
        <v>0</v>
      </c>
      <c r="M476" s="2">
        <f>IF(C476="","",IFERROR(INDEX($S$5:$S$304,MATCH(C476,$R$5:$R$304,0))&amp;"","?"))</f>
        <v/>
      </c>
      <c r="N476" s="2">
        <f>IF(E476="","",IF(LEFT(E476,7)="SUBSOLO",-1,IF(LEFT(E476,6)="TÉRREO",0,IFERROR(VALUE(LEFT(E476,FIND("º",SUBSTITUTE(E476,"°","º"))-1)),""))))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29981286</v>
      </c>
      <c r="C477" s="4" t="inlineStr">
        <is>
          <t>PRUMADA HIDROSSANITÁRIA</t>
        </is>
      </c>
      <c r="D477" s="4" t="inlineStr">
        <is>
          <t>-</t>
        </is>
      </c>
      <c r="E477" s="4" t="inlineStr">
        <is>
          <t>14º PAV.</t>
        </is>
      </c>
      <c r="F477" s="118" t="n">
        <v>46573</v>
      </c>
      <c r="G477" s="118" t="n">
        <v>46583</v>
      </c>
      <c r="H477" s="118" t="n">
        <v>46289</v>
      </c>
      <c r="I477" s="4" t="n">
        <v>0</v>
      </c>
      <c r="J477" s="4" t="n">
        <v>0</v>
      </c>
      <c r="K477" s="4" t="n">
        <v>0</v>
      </c>
      <c r="M477" s="2">
        <f>IF(C477="","",IFERROR(INDEX($S$5:$S$304,MATCH(C477,$R$5:$R$304,0))&amp;"","?"))</f>
        <v/>
      </c>
      <c r="N477" s="2">
        <f>IF(E477="","",IF(LEFT(E477,7)="SUBSOLO",-1,IF(LEFT(E477,6)="TÉRREO",0,IFERROR(VALUE(LEFT(E477,FIND("º",SUBSTITUTE(E477,"°","º"))-1)),""))))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29981285</v>
      </c>
      <c r="C478" s="4" t="inlineStr">
        <is>
          <t>ENCUNHAMENTO</t>
        </is>
      </c>
      <c r="D478" s="4" t="inlineStr">
        <is>
          <t>-</t>
        </is>
      </c>
      <c r="E478" s="4" t="inlineStr">
        <is>
          <t>14º PAV.</t>
        </is>
      </c>
      <c r="F478" s="118" t="n">
        <v>46575</v>
      </c>
      <c r="G478" s="118" t="n">
        <v>46587</v>
      </c>
      <c r="H478" s="118" t="n">
        <v>46289</v>
      </c>
      <c r="I478" s="4" t="n">
        <v>0</v>
      </c>
      <c r="J478" s="4" t="n">
        <v>0</v>
      </c>
      <c r="K478" s="4" t="n">
        <v>0</v>
      </c>
      <c r="M478" s="2">
        <f>IF(C478="","",IFERROR(INDEX($S$5:$S$304,MATCH(C478,$R$5:$R$304,0))&amp;"","?"))</f>
        <v/>
      </c>
      <c r="N478" s="2">
        <f>IF(E478="","",IF(LEFT(E478,7)="SUBSOLO",-1,IF(LEFT(E478,6)="TÉRREO",0,IFERROR(VALUE(LEFT(E478,FIND("º",SUBSTITUTE(E478,"°","º"))-1)),""))))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29981259</v>
      </c>
      <c r="C479" s="4" t="inlineStr">
        <is>
          <t>PRUMADA DE INCÊNDIO</t>
        </is>
      </c>
      <c r="D479" s="4" t="inlineStr">
        <is>
          <t>-</t>
        </is>
      </c>
      <c r="E479" s="4" t="inlineStr">
        <is>
          <t>15º PAV.</t>
        </is>
      </c>
      <c r="F479" s="118" t="n">
        <v>46580</v>
      </c>
      <c r="G479" s="118" t="n">
        <v>46590</v>
      </c>
      <c r="H479" s="118" t="n">
        <v>46289</v>
      </c>
      <c r="I479" s="4" t="n">
        <v>0</v>
      </c>
      <c r="J479" s="4" t="n">
        <v>0</v>
      </c>
      <c r="K479" s="4" t="n">
        <v>0</v>
      </c>
      <c r="M479" s="2">
        <f>IF(C479="","",IFERROR(INDEX($S$5:$S$304,MATCH(C479,$R$5:$R$304,0))&amp;"","?"))</f>
        <v/>
      </c>
      <c r="N479" s="2">
        <f>IF(E479="","",IF(LEFT(E479,7)="SUBSOLO",-1,IF(LEFT(E479,6)="TÉRREO",0,IFERROR(VALUE(LEFT(E479,FIND("º",SUBSTITUTE(E479,"°","º"))-1)),""))))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29981210</v>
      </c>
      <c r="C480" s="4" t="inlineStr">
        <is>
          <t>ALVENARIA</t>
        </is>
      </c>
      <c r="D480" s="4" t="inlineStr">
        <is>
          <t>-</t>
        </is>
      </c>
      <c r="E480" s="4" t="inlineStr">
        <is>
          <t>16º PAV.</t>
        </is>
      </c>
      <c r="F480" s="118" t="n">
        <v>46580</v>
      </c>
      <c r="G480" s="118" t="n">
        <v>46590</v>
      </c>
      <c r="H480" s="118" t="n">
        <v>46289</v>
      </c>
      <c r="I480" s="4" t="n">
        <v>0</v>
      </c>
      <c r="J480" s="4" t="n">
        <v>0</v>
      </c>
      <c r="K480" s="4" t="n">
        <v>0</v>
      </c>
      <c r="M480" s="2">
        <f>IF(C480="","",IFERROR(INDEX($S$5:$S$304,MATCH(C480,$R$5:$R$304,0))&amp;"","?"))</f>
        <v/>
      </c>
      <c r="N480" s="2">
        <f>IF(E480="","",IF(LEFT(E480,7)="SUBSOLO",-1,IF(LEFT(E480,6)="TÉRREO",0,IFERROR(VALUE(LEFT(E480,FIND("º",SUBSTITUTE(E480,"°","º"))-1)),""))))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29940960</v>
      </c>
      <c r="C481" s="4" t="inlineStr">
        <is>
          <t>ESTRUTURA</t>
        </is>
      </c>
      <c r="D481" s="4" t="inlineStr">
        <is>
          <t>-</t>
        </is>
      </c>
      <c r="E481" s="4" t="inlineStr">
        <is>
          <t>20º PAV.</t>
        </is>
      </c>
      <c r="F481" s="118" t="n">
        <v>46581</v>
      </c>
      <c r="G481" s="118" t="n">
        <v>46590</v>
      </c>
      <c r="H481" s="118" t="n">
        <v>46289</v>
      </c>
      <c r="I481" s="4" t="n">
        <v>0</v>
      </c>
      <c r="J481" s="4" t="n">
        <v>0</v>
      </c>
      <c r="K481" s="4" t="n">
        <v>0</v>
      </c>
      <c r="M481" s="2">
        <f>IF(C481="","",IFERROR(INDEX($S$5:$S$304,MATCH(C481,$R$5:$R$304,0))&amp;"","?"))</f>
        <v/>
      </c>
      <c r="N481" s="2">
        <f>IF(E481="","",IF(LEFT(E481,7)="SUBSOLO",-1,IF(LEFT(E481,6)="TÉRREO",0,IFERROR(VALUE(LEFT(E481,FIND("º",SUBSTITUTE(E481,"°","º"))-1)),""))))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31529028</v>
      </c>
      <c r="C482" s="4" t="inlineStr">
        <is>
          <t>ESTRUTURA</t>
        </is>
      </c>
      <c r="D482" s="4" t="inlineStr">
        <is>
          <t>Forma</t>
        </is>
      </c>
      <c r="E482" s="4" t="inlineStr">
        <is>
          <t>20º PAV.</t>
        </is>
      </c>
      <c r="F482" s="118" t="n">
        <v>46581</v>
      </c>
      <c r="G482" s="118" t="n">
        <v>46584</v>
      </c>
      <c r="H482" s="118" t="n">
        <v>46289</v>
      </c>
      <c r="I482" s="4" t="n">
        <v>0</v>
      </c>
      <c r="J482" s="4" t="n">
        <v>0</v>
      </c>
      <c r="K482" s="4" t="n">
        <v>0</v>
      </c>
      <c r="M482" s="2">
        <f>IF(C482="","",IFERROR(INDEX($S$5:$S$304,MATCH(C482,$R$5:$R$304,0))&amp;"","?"))</f>
        <v/>
      </c>
      <c r="N482" s="2">
        <f>IF(E482="","",IF(LEFT(E482,7)="SUBSOLO",-1,IF(LEFT(E482,6)="TÉRREO",0,IFERROR(VALUE(LEFT(E482,FIND("º",SUBSTITUTE(E482,"°","º"))-1)),""))))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31529029</v>
      </c>
      <c r="C483" s="4" t="inlineStr">
        <is>
          <t>ESTRUTURA</t>
        </is>
      </c>
      <c r="D483" s="4" t="inlineStr">
        <is>
          <t>Armação</t>
        </is>
      </c>
      <c r="E483" s="4" t="inlineStr">
        <is>
          <t>20º PAV.</t>
        </is>
      </c>
      <c r="F483" s="118" t="n">
        <v>46587</v>
      </c>
      <c r="G483" s="118" t="n">
        <v>46589</v>
      </c>
      <c r="H483" s="118" t="n">
        <v>46289</v>
      </c>
      <c r="I483" s="4" t="n">
        <v>0</v>
      </c>
      <c r="J483" s="4" t="n">
        <v>0</v>
      </c>
      <c r="K483" s="4" t="n">
        <v>0</v>
      </c>
      <c r="M483" s="2">
        <f>IF(C483="","",IFERROR(INDEX($S$5:$S$304,MATCH(C483,$R$5:$R$304,0))&amp;"","?"))</f>
        <v/>
      </c>
      <c r="N483" s="2">
        <f>IF(E483="","",IF(LEFT(E483,7)="SUBSOLO",-1,IF(LEFT(E483,6)="TÉRREO",0,IFERROR(VALUE(LEFT(E483,FIND("º",SUBSTITUTE(E483,"°","º"))-1)),""))))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31529030</v>
      </c>
      <c r="C484" s="4" t="inlineStr">
        <is>
          <t>ESTRUTURA</t>
        </is>
      </c>
      <c r="D484" s="4" t="inlineStr">
        <is>
          <t>Concretagem</t>
        </is>
      </c>
      <c r="E484" s="4" t="inlineStr">
        <is>
          <t>20º PAV.</t>
        </is>
      </c>
      <c r="F484" s="118" t="n">
        <v>46590</v>
      </c>
      <c r="G484" s="118" t="n">
        <v>46590</v>
      </c>
      <c r="H484" s="118" t="n">
        <v>46289</v>
      </c>
      <c r="I484" s="4" t="n">
        <v>0</v>
      </c>
      <c r="J484" s="4" t="n">
        <v>0</v>
      </c>
      <c r="K484" s="4" t="n">
        <v>0</v>
      </c>
      <c r="M484" s="2">
        <f>IF(C484="","",IFERROR(INDEX($S$5:$S$304,MATCH(C484,$R$5:$R$304,0))&amp;"","?"))</f>
        <v/>
      </c>
      <c r="N484" s="2">
        <f>IF(E484="","",IF(LEFT(E484,7)="SUBSOLO",-1,IF(LEFT(E484,6)="TÉRREO",0,IFERROR(VALUE(LEFT(E484,FIND("º",SUBSTITUTE(E484,"°","º"))-1)),""))))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31529031</v>
      </c>
      <c r="C485" s="4" t="inlineStr">
        <is>
          <t>ESTRUTURA</t>
        </is>
      </c>
      <c r="D485" s="4" t="inlineStr">
        <is>
          <t>Polimento</t>
        </is>
      </c>
      <c r="E485" s="4" t="inlineStr">
        <is>
          <t>20º PAV.</t>
        </is>
      </c>
      <c r="F485" s="118" t="n">
        <v>46590</v>
      </c>
      <c r="G485" s="118" t="n">
        <v>46590</v>
      </c>
      <c r="H485" s="118" t="n">
        <v>46289</v>
      </c>
      <c r="I485" s="4" t="n">
        <v>0</v>
      </c>
      <c r="J485" s="4" t="n">
        <v>0</v>
      </c>
      <c r="K485" s="4" t="n">
        <v>0</v>
      </c>
      <c r="M485" s="2">
        <f>IF(C485="","",IFERROR(INDEX($S$5:$S$304,MATCH(C485,$R$5:$R$304,0))&amp;"","?"))</f>
        <v/>
      </c>
      <c r="N485" s="2">
        <f>IF(E485="","",IF(LEFT(E485,7)="SUBSOLO",-1,IF(LEFT(E485,6)="TÉRREO",0,IFERROR(VALUE(LEFT(E485,FIND("º",SUBSTITUTE(E485,"°","º"))-1)),""))))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30205691</v>
      </c>
      <c r="C486" s="4" t="inlineStr">
        <is>
          <t>TALISCAMENTO</t>
        </is>
      </c>
      <c r="D486" s="4" t="inlineStr">
        <is>
          <t>-</t>
        </is>
      </c>
      <c r="E486" s="4" t="inlineStr">
        <is>
          <t>TÉRREO - LOJA 1</t>
        </is>
      </c>
      <c r="F486" s="118" t="n">
        <v>46583</v>
      </c>
      <c r="G486" s="118" t="n">
        <v>46596</v>
      </c>
      <c r="H486" s="118" t="n">
        <v>46289</v>
      </c>
      <c r="I486" s="4" t="n">
        <v>0</v>
      </c>
      <c r="J486" s="4" t="n">
        <v>0</v>
      </c>
      <c r="K486" s="4" t="n">
        <v>0</v>
      </c>
      <c r="M486" s="2">
        <f>IF(C486="","",IFERROR(INDEX($S$5:$S$304,MATCH(C486,$R$5:$R$304,0))&amp;"","?"))</f>
        <v/>
      </c>
      <c r="N486" s="2">
        <f>IF(E486="","",IF(LEFT(E486,7)="SUBSOLO",-1,IF(LEFT(E486,6)="TÉRREO",0,IFERROR(VALUE(LEFT(E486,FIND("º",SUBSTITUTE(E486,"°","º"))-1)),""))))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30205658</v>
      </c>
      <c r="C487" s="4" t="inlineStr">
        <is>
          <t>PRUMADA HIDROSSANITÁRIA</t>
        </is>
      </c>
      <c r="D487" s="4" t="inlineStr">
        <is>
          <t>-</t>
        </is>
      </c>
      <c r="E487" s="4" t="inlineStr">
        <is>
          <t>TÉRREO - LOJA 2</t>
        </is>
      </c>
      <c r="F487" s="118" t="n">
        <v>46583</v>
      </c>
      <c r="G487" s="118" t="n">
        <v>46596</v>
      </c>
      <c r="H487" s="118" t="n">
        <v>46289</v>
      </c>
      <c r="I487" s="4" t="n">
        <v>0</v>
      </c>
      <c r="J487" s="4" t="n">
        <v>0</v>
      </c>
      <c r="K487" s="4" t="n">
        <v>0</v>
      </c>
      <c r="M487" s="2">
        <f>IF(C487="","",IFERROR(INDEX($S$5:$S$304,MATCH(C487,$R$5:$R$304,0))&amp;"","?"))</f>
        <v/>
      </c>
      <c r="N487" s="2">
        <f>IF(E487="","",IF(LEFT(E487,7)="SUBSOLO",-1,IF(LEFT(E487,6)="TÉRREO",0,IFERROR(VALUE(LEFT(E487,FIND("º",SUBSTITUTE(E487,"°","º"))-1)),""))))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30205657</v>
      </c>
      <c r="C488" s="4" t="inlineStr">
        <is>
          <t>PRUMADA DE INCÊNDIO</t>
        </is>
      </c>
      <c r="D488" s="4" t="inlineStr">
        <is>
          <t>-</t>
        </is>
      </c>
      <c r="E488" s="4" t="inlineStr">
        <is>
          <t>TÉRREO - LOJA 2</t>
        </is>
      </c>
      <c r="F488" s="118" t="n">
        <v>46583</v>
      </c>
      <c r="G488" s="118" t="n">
        <v>46596</v>
      </c>
      <c r="H488" s="118" t="n">
        <v>46289</v>
      </c>
      <c r="I488" s="4" t="n">
        <v>0</v>
      </c>
      <c r="J488" s="4" t="n">
        <v>0</v>
      </c>
      <c r="K488" s="4" t="n">
        <v>0</v>
      </c>
      <c r="M488" s="2">
        <f>IF(C488="","",IFERROR(INDEX($S$5:$S$304,MATCH(C488,$R$5:$R$304,0))&amp;"","?"))</f>
        <v/>
      </c>
      <c r="N488" s="2">
        <f>IF(E488="","",IF(LEFT(E488,7)="SUBSOLO",-1,IF(LEFT(E488,6)="TÉRREO",0,IFERROR(VALUE(LEFT(E488,FIND("º",SUBSTITUTE(E488,"°","º"))-1)),""))))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30205659</v>
      </c>
      <c r="C489" s="4" t="inlineStr">
        <is>
          <t>ENCUNHAMENTO</t>
        </is>
      </c>
      <c r="D489" s="4" t="inlineStr">
        <is>
          <t>-</t>
        </is>
      </c>
      <c r="E489" s="4" t="inlineStr">
        <is>
          <t>TÉRREO - LOJA 2</t>
        </is>
      </c>
      <c r="F489" s="118" t="n">
        <v>46583</v>
      </c>
      <c r="G489" s="118" t="n">
        <v>46596</v>
      </c>
      <c r="H489" s="118" t="n">
        <v>46289</v>
      </c>
      <c r="I489" s="4" t="n">
        <v>0</v>
      </c>
      <c r="J489" s="4" t="n">
        <v>0</v>
      </c>
      <c r="K489" s="4" t="n">
        <v>0</v>
      </c>
      <c r="M489" s="2">
        <f>IF(C489="","",IFERROR(INDEX($S$5:$S$304,MATCH(C489,$R$5:$R$304,0))&amp;"","?"))</f>
        <v/>
      </c>
      <c r="N489" s="2">
        <f>IF(E489="","",IF(LEFT(E489,7)="SUBSOLO",-1,IF(LEFT(E489,6)="TÉRREO",0,IFERROR(VALUE(LEFT(E489,FIND("º",SUBSTITUTE(E489,"°","º"))-1)),""))))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30205629</v>
      </c>
      <c r="C490" s="4" t="inlineStr">
        <is>
          <t>ALVENARIA</t>
        </is>
      </c>
      <c r="D490" s="4" t="inlineStr">
        <is>
          <t>-</t>
        </is>
      </c>
      <c r="E490" s="4" t="inlineStr">
        <is>
          <t>TÉRREO - LOJA 3</t>
        </is>
      </c>
      <c r="F490" s="118" t="n">
        <v>46583</v>
      </c>
      <c r="G490" s="118" t="n">
        <v>46596</v>
      </c>
      <c r="H490" s="118" t="n">
        <v>46289</v>
      </c>
      <c r="I490" s="4" t="n">
        <v>0</v>
      </c>
      <c r="J490" s="4" t="n">
        <v>0</v>
      </c>
      <c r="K490" s="4" t="n">
        <v>0</v>
      </c>
      <c r="M490" s="2">
        <f>IF(C490="","",IFERROR(INDEX($S$5:$S$304,MATCH(C490,$R$5:$R$304,0))&amp;"","?"))</f>
        <v/>
      </c>
      <c r="N490" s="2">
        <f>IF(E490="","",IF(LEFT(E490,7)="SUBSOLO",-1,IF(LEFT(E490,6)="TÉRREO",0,IFERROR(VALUE(LEFT(E490,FIND("º",SUBSTITUTE(E490,"°","º"))-1)),""))))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32750355</v>
      </c>
      <c r="C491" s="4" t="inlineStr">
        <is>
          <t>DISTRIBUIÇÃO DE GÁS - DRYWALL</t>
        </is>
      </c>
      <c r="D491" s="4" t="inlineStr">
        <is>
          <t>-</t>
        </is>
      </c>
      <c r="E491" s="4" t="inlineStr">
        <is>
          <t>7º PAV.</t>
        </is>
      </c>
      <c r="F491" s="118" t="n">
        <v>46584</v>
      </c>
      <c r="G491" s="118" t="n">
        <v>46596</v>
      </c>
      <c r="H491" s="118" t="n">
        <v>46289</v>
      </c>
      <c r="I491" s="4" t="n">
        <v>0</v>
      </c>
      <c r="J491" s="4" t="n">
        <v>0</v>
      </c>
      <c r="K491" s="4" t="n">
        <v>0</v>
      </c>
      <c r="M491" s="2">
        <f>IF(C491="","",IFERROR(INDEX($S$5:$S$304,MATCH(C491,$R$5:$R$304,0))&amp;"","?"))</f>
        <v/>
      </c>
      <c r="N491" s="2">
        <f>IF(E491="","",IF(LEFT(E491,7)="SUBSOLO",-1,IF(LEFT(E491,6)="TÉRREO",0,IFERROR(VALUE(LEFT(E491,FIND("º",SUBSTITUTE(E491,"°","º"))-1)),""))))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32750381</v>
      </c>
      <c r="C492" s="4" t="inlineStr">
        <is>
          <t>DISTRIBUIÇÃO ELÉTRICA/QUADRO - DRYWALL</t>
        </is>
      </c>
      <c r="D492" s="4" t="inlineStr">
        <is>
          <t>-</t>
        </is>
      </c>
      <c r="E492" s="4" t="inlineStr">
        <is>
          <t>7º PAV.</t>
        </is>
      </c>
      <c r="F492" s="118" t="n">
        <v>46584</v>
      </c>
      <c r="G492" s="118" t="n">
        <v>46596</v>
      </c>
      <c r="H492" s="118" t="n">
        <v>46289</v>
      </c>
      <c r="I492" s="4" t="n">
        <v>0</v>
      </c>
      <c r="J492" s="4" t="n">
        <v>0</v>
      </c>
      <c r="K492" s="4" t="n">
        <v>0</v>
      </c>
      <c r="M492" s="2">
        <f>IF(C492="","",IFERROR(INDEX($S$5:$S$304,MATCH(C492,$R$5:$R$304,0))&amp;"","?"))</f>
        <v/>
      </c>
      <c r="N492" s="2">
        <f>IF(E492="","",IF(LEFT(E492,7)="SUBSOLO",-1,IF(LEFT(E492,6)="TÉRREO",0,IFERROR(VALUE(LEFT(E492,FIND("º",SUBSTITUTE(E492,"°","º"))-1)),""))))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32750407</v>
      </c>
      <c r="C493" s="4" t="inlineStr">
        <is>
          <t>DISTRIBUIÇÃO HIDRÁULICA - DRYWALL</t>
        </is>
      </c>
      <c r="D493" s="4" t="inlineStr">
        <is>
          <t>-</t>
        </is>
      </c>
      <c r="E493" s="4" t="inlineStr">
        <is>
          <t>7º PAV.</t>
        </is>
      </c>
      <c r="F493" s="118" t="n">
        <v>46584</v>
      </c>
      <c r="G493" s="118" t="n">
        <v>46596</v>
      </c>
      <c r="H493" s="118" t="n">
        <v>46289</v>
      </c>
      <c r="I493" s="4" t="n">
        <v>0</v>
      </c>
      <c r="J493" s="4" t="n">
        <v>0</v>
      </c>
      <c r="K493" s="4" t="n">
        <v>0</v>
      </c>
      <c r="M493" s="2">
        <f>IF(C493="","",IFERROR(INDEX($S$5:$S$304,MATCH(C493,$R$5:$R$304,0))&amp;"","?"))</f>
        <v/>
      </c>
      <c r="N493" s="2">
        <f>IF(E493="","",IF(LEFT(E493,7)="SUBSOLO",-1,IF(LEFT(E493,6)="TÉRREO",0,IFERROR(VALUE(LEFT(E493,FIND("º",SUBSTITUTE(E493,"°","º"))-1)),""))))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33896825</v>
      </c>
      <c r="C494" s="4" t="inlineStr">
        <is>
          <t>INFRAESTRUTURA - AR CONDICIONADO</t>
        </is>
      </c>
      <c r="D494" s="4" t="inlineStr">
        <is>
          <t>-</t>
        </is>
      </c>
      <c r="E494" s="4" t="inlineStr">
        <is>
          <t>7º PAV.</t>
        </is>
      </c>
      <c r="F494" s="118" t="n">
        <v>46584</v>
      </c>
      <c r="G494" s="118" t="n">
        <v>46596</v>
      </c>
      <c r="H494" s="118" t="n">
        <v>46289</v>
      </c>
      <c r="I494" s="4" t="n">
        <v>0</v>
      </c>
      <c r="J494" s="4" t="n">
        <v>0</v>
      </c>
      <c r="K494" s="4" t="n">
        <v>0</v>
      </c>
      <c r="M494" s="2">
        <f>IF(C494="","",IFERROR(INDEX($S$5:$S$304,MATCH(C494,$R$5:$R$304,0))&amp;"","?"))</f>
        <v/>
      </c>
      <c r="N494" s="2">
        <f>IF(E494="","",IF(LEFT(E494,7)="SUBSOLO",-1,IF(LEFT(E494,6)="TÉRREO",0,IFERROR(VALUE(LEFT(E494,FIND("º",SUBSTITUTE(E494,"°","º"))-1)),""))))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32749851</v>
      </c>
      <c r="C495" s="4" t="inlineStr">
        <is>
          <t>DRYWALL 1º FACE</t>
        </is>
      </c>
      <c r="D495" s="4" t="inlineStr">
        <is>
          <t>-</t>
        </is>
      </c>
      <c r="E495" s="4" t="inlineStr">
        <is>
          <t>8º PAV.</t>
        </is>
      </c>
      <c r="F495" s="118" t="n">
        <v>46584</v>
      </c>
      <c r="G495" s="118" t="n">
        <v>46596</v>
      </c>
      <c r="H495" s="118" t="n">
        <v>46289</v>
      </c>
      <c r="I495" s="4" t="n">
        <v>0</v>
      </c>
      <c r="J495" s="4" t="n">
        <v>0</v>
      </c>
      <c r="K495" s="4" t="n">
        <v>0</v>
      </c>
      <c r="M495" s="2">
        <f>IF(C495="","",IFERROR(INDEX($S$5:$S$304,MATCH(C495,$R$5:$R$304,0))&amp;"","?"))</f>
        <v/>
      </c>
      <c r="N495" s="2">
        <f>IF(E495="","",IF(LEFT(E495,7)="SUBSOLO",-1,IF(LEFT(E495,6)="TÉRREO",0,IFERROR(VALUE(LEFT(E495,FIND("º",SUBSTITUTE(E495,"°","º"))-1)),""))))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29981473</v>
      </c>
      <c r="C496" s="4" t="inlineStr">
        <is>
          <t>CONTRAPISO</t>
        </is>
      </c>
      <c r="D496" s="4" t="inlineStr">
        <is>
          <t>-</t>
        </is>
      </c>
      <c r="E496" s="4" t="inlineStr">
        <is>
          <t>9º PAV.</t>
        </is>
      </c>
      <c r="F496" s="118" t="n">
        <v>46584</v>
      </c>
      <c r="G496" s="118" t="n">
        <v>46596</v>
      </c>
      <c r="H496" s="118" t="n">
        <v>46289</v>
      </c>
      <c r="I496" s="4" t="n">
        <v>0</v>
      </c>
      <c r="J496" s="4" t="n">
        <v>0</v>
      </c>
      <c r="K496" s="4" t="n">
        <v>0</v>
      </c>
      <c r="M496" s="2">
        <f>IF(C496="","",IFERROR(INDEX($S$5:$S$304,MATCH(C496,$R$5:$R$304,0))&amp;"","?"))</f>
        <v/>
      </c>
      <c r="N496" s="2">
        <f>IF(E496="","",IF(LEFT(E496,7)="SUBSOLO",-1,IF(LEFT(E496,6)="TÉRREO",0,IFERROR(VALUE(LEFT(E496,FIND("º",SUBSTITUTE(E496,"°","º"))-1)),""))))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29981413</v>
      </c>
      <c r="C497" s="4" t="inlineStr">
        <is>
          <t>SHAFT INTERNO INST. HIDRAÚLICAS</t>
        </is>
      </c>
      <c r="D497" s="4" t="inlineStr">
        <is>
          <t>-</t>
        </is>
      </c>
      <c r="E497" s="4" t="inlineStr">
        <is>
          <t>10º PAV.</t>
        </is>
      </c>
      <c r="F497" s="118" t="n">
        <v>46584</v>
      </c>
      <c r="G497" s="118" t="n">
        <v>46596</v>
      </c>
      <c r="H497" s="118" t="n">
        <v>46289</v>
      </c>
      <c r="I497" s="4" t="n">
        <v>0</v>
      </c>
      <c r="J497" s="4" t="n">
        <v>0</v>
      </c>
      <c r="K497" s="4" t="n">
        <v>0</v>
      </c>
      <c r="M497" s="2">
        <f>IF(C497="","",IFERROR(INDEX($S$5:$S$304,MATCH(C497,$R$5:$R$304,0))&amp;"","?"))</f>
        <v/>
      </c>
      <c r="N497" s="2">
        <f>IF(E497="","",IF(LEFT(E497,7)="SUBSOLO",-1,IF(LEFT(E497,6)="TÉRREO",0,IFERROR(VALUE(LEFT(E497,FIND("º",SUBSTITUTE(E497,"°","º"))-1)),""))))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29981446</v>
      </c>
      <c r="C498" s="4" t="inlineStr">
        <is>
          <t>PRUMADA ELÉTRICA - INFRA</t>
        </is>
      </c>
      <c r="D498" s="4" t="inlineStr">
        <is>
          <t>-</t>
        </is>
      </c>
      <c r="E498" s="4" t="inlineStr">
        <is>
          <t>10º PAV.</t>
        </is>
      </c>
      <c r="F498" s="118" t="n">
        <v>46584</v>
      </c>
      <c r="G498" s="118" t="n">
        <v>46596</v>
      </c>
      <c r="H498" s="118" t="n">
        <v>46289</v>
      </c>
      <c r="I498" s="4" t="n">
        <v>0</v>
      </c>
      <c r="J498" s="4" t="n">
        <v>0</v>
      </c>
      <c r="K498" s="4" t="n">
        <v>0</v>
      </c>
      <c r="M498" s="2">
        <f>IF(C498="","",IFERROR(INDEX($S$5:$S$304,MATCH(C498,$R$5:$R$304,0))&amp;"","?"))</f>
        <v/>
      </c>
      <c r="N498" s="2">
        <f>IF(E498="","",IF(LEFT(E498,7)="SUBSOLO",-1,IF(LEFT(E498,6)="TÉRREO",0,IFERROR(VALUE(LEFT(E498,FIND("º",SUBSTITUTE(E498,"°","º"))-1)),""))))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29981375</v>
      </c>
      <c r="C499" s="4" t="inlineStr">
        <is>
          <t>REBOCO INTERNO</t>
        </is>
      </c>
      <c r="D499" s="4" t="inlineStr">
        <is>
          <t>-</t>
        </is>
      </c>
      <c r="E499" s="4" t="inlineStr">
        <is>
          <t>11º PAV.</t>
        </is>
      </c>
      <c r="F499" s="118" t="n">
        <v>46584</v>
      </c>
      <c r="G499" s="118" t="n">
        <v>46596</v>
      </c>
      <c r="H499" s="118" t="n">
        <v>46289</v>
      </c>
      <c r="I499" s="4" t="n">
        <v>0</v>
      </c>
      <c r="J499" s="4" t="n">
        <v>0</v>
      </c>
      <c r="K499" s="4" t="n">
        <v>0</v>
      </c>
      <c r="M499" s="2">
        <f>IF(C499="","",IFERROR(INDEX($S$5:$S$304,MATCH(C499,$R$5:$R$304,0))&amp;"","?"))</f>
        <v/>
      </c>
      <c r="N499" s="2">
        <f>IF(E499="","",IF(LEFT(E499,7)="SUBSOLO",-1,IF(LEFT(E499,6)="TÉRREO",0,IFERROR(VALUE(LEFT(E499,FIND("º",SUBSTITUTE(E499,"°","º"))-1)),""))))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29981341</v>
      </c>
      <c r="C500" s="4" t="inlineStr">
        <is>
          <t>CONTRAMARCO</t>
        </is>
      </c>
      <c r="D500" s="4" t="inlineStr">
        <is>
          <t>-</t>
        </is>
      </c>
      <c r="E500" s="4" t="inlineStr">
        <is>
          <t>12º PAV.</t>
        </is>
      </c>
      <c r="F500" s="118" t="n">
        <v>46584</v>
      </c>
      <c r="G500" s="118" t="n">
        <v>46596</v>
      </c>
      <c r="H500" s="118" t="n">
        <v>46289</v>
      </c>
      <c r="I500" s="4" t="n">
        <v>0</v>
      </c>
      <c r="J500" s="4" t="n">
        <v>0</v>
      </c>
      <c r="K500" s="4" t="n">
        <v>0</v>
      </c>
      <c r="M500" s="2">
        <f>IF(C500="","",IFERROR(INDEX($S$5:$S$304,MATCH(C500,$R$5:$R$304,0))&amp;"","?"))</f>
        <v/>
      </c>
      <c r="N500" s="2">
        <f>IF(E500="","",IF(LEFT(E500,7)="SUBSOLO",-1,IF(LEFT(E500,6)="TÉRREO",0,IFERROR(VALUE(LEFT(E500,FIND("º",SUBSTITUTE(E500,"°","º"))-1)),""))))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29981334</v>
      </c>
      <c r="C501" s="4" t="inlineStr">
        <is>
          <t>DISTRIBUIÇÃO HIDROSSANITÁRIA</t>
        </is>
      </c>
      <c r="D501" s="4" t="inlineStr">
        <is>
          <t>-</t>
        </is>
      </c>
      <c r="E501" s="4" t="inlineStr">
        <is>
          <t>13º PAV.</t>
        </is>
      </c>
      <c r="F501" s="118" t="n">
        <v>46584</v>
      </c>
      <c r="G501" s="118" t="n">
        <v>46596</v>
      </c>
      <c r="H501" s="118" t="n">
        <v>46289</v>
      </c>
      <c r="I501" s="4" t="n">
        <v>0</v>
      </c>
      <c r="J501" s="4" t="n">
        <v>0</v>
      </c>
      <c r="K501" s="4" t="n">
        <v>0</v>
      </c>
      <c r="M501" s="2">
        <f>IF(C501="","",IFERROR(INDEX($S$5:$S$304,MATCH(C501,$R$5:$R$304,0))&amp;"","?"))</f>
        <v/>
      </c>
      <c r="N501" s="2">
        <f>IF(E501="","",IF(LEFT(E501,7)="SUBSOLO",-1,IF(LEFT(E501,6)="TÉRREO",0,IFERROR(VALUE(LEFT(E501,FIND("º",SUBSTITUTE(E501,"°","º"))-1)),""))))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29981303</v>
      </c>
      <c r="C502" s="4" t="inlineStr">
        <is>
          <t>DISTRIBUIÇÃO ELÉTRICA / QUADRO</t>
        </is>
      </c>
      <c r="D502" s="4" t="inlineStr">
        <is>
          <t>-</t>
        </is>
      </c>
      <c r="E502" s="4" t="inlineStr">
        <is>
          <t>13º PAV.</t>
        </is>
      </c>
      <c r="F502" s="118" t="n">
        <v>46584</v>
      </c>
      <c r="G502" s="118" t="n">
        <v>46596</v>
      </c>
      <c r="H502" s="118" t="n">
        <v>46289</v>
      </c>
      <c r="I502" s="4" t="n">
        <v>0</v>
      </c>
      <c r="J502" s="4" t="n">
        <v>0</v>
      </c>
      <c r="K502" s="4" t="n">
        <v>0</v>
      </c>
      <c r="M502" s="2">
        <f>IF(C502="","",IFERROR(INDEX($S$5:$S$304,MATCH(C502,$R$5:$R$304,0))&amp;"","?"))</f>
        <v/>
      </c>
      <c r="N502" s="2">
        <f>IF(E502="","",IF(LEFT(E502,7)="SUBSOLO",-1,IF(LEFT(E502,6)="TÉRREO",0,IFERROR(VALUE(LEFT(E502,FIND("º",SUBSTITUTE(E502,"°","º"))-1)),""))))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29981336</v>
      </c>
      <c r="C503" s="4" t="inlineStr">
        <is>
          <t>DISTRIBUIÇÃO DE GÁS</t>
        </is>
      </c>
      <c r="D503" s="4" t="inlineStr">
        <is>
          <t>-</t>
        </is>
      </c>
      <c r="E503" s="4" t="inlineStr">
        <is>
          <t>13º PAV.</t>
        </is>
      </c>
      <c r="F503" s="118" t="n">
        <v>46584</v>
      </c>
      <c r="G503" s="118" t="n">
        <v>46596</v>
      </c>
      <c r="H503" s="118" t="n">
        <v>46289</v>
      </c>
      <c r="I503" s="4" t="n">
        <v>0</v>
      </c>
      <c r="J503" s="4" t="n">
        <v>0</v>
      </c>
      <c r="K503" s="4" t="n">
        <v>0</v>
      </c>
      <c r="M503" s="2">
        <f>IF(C503="","",IFERROR(INDEX($S$5:$S$304,MATCH(C503,$R$5:$R$304,0))&amp;"","?"))</f>
        <v/>
      </c>
      <c r="N503" s="2">
        <f>IF(E503="","",IF(LEFT(E503,7)="SUBSOLO",-1,IF(LEFT(E503,6)="TÉRREO",0,IFERROR(VALUE(LEFT(E503,FIND("º",SUBSTITUTE(E503,"°","º"))-1)),""))))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29981283</v>
      </c>
      <c r="C504" s="4" t="inlineStr">
        <is>
          <t>TALISCAMENTO</t>
        </is>
      </c>
      <c r="D504" s="4" t="inlineStr">
        <is>
          <t>-</t>
        </is>
      </c>
      <c r="E504" s="4" t="inlineStr">
        <is>
          <t>14º PAV.</t>
        </is>
      </c>
      <c r="F504" s="118" t="n">
        <v>46584</v>
      </c>
      <c r="G504" s="118" t="n">
        <v>46596</v>
      </c>
      <c r="H504" s="118" t="n">
        <v>46289</v>
      </c>
      <c r="I504" s="4" t="n">
        <v>0</v>
      </c>
      <c r="J504" s="4" t="n">
        <v>0</v>
      </c>
      <c r="K504" s="4" t="n">
        <v>0</v>
      </c>
      <c r="M504" s="2">
        <f>IF(C504="","",IFERROR(INDEX($S$5:$S$304,MATCH(C504,$R$5:$R$304,0))&amp;"","?"))</f>
        <v/>
      </c>
      <c r="N504" s="2">
        <f>IF(E504="","",IF(LEFT(E504,7)="SUBSOLO",-1,IF(LEFT(E504,6)="TÉRREO",0,IFERROR(VALUE(LEFT(E504,FIND("º",SUBSTITUTE(E504,"°","º"))-1)),""))))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29981249</v>
      </c>
      <c r="C505" s="4" t="inlineStr">
        <is>
          <t>PRUMADA HIDROSSANITÁRIA</t>
        </is>
      </c>
      <c r="D505" s="4" t="inlineStr">
        <is>
          <t>-</t>
        </is>
      </c>
      <c r="E505" s="4" t="inlineStr">
        <is>
          <t>15º PAV.</t>
        </is>
      </c>
      <c r="F505" s="118" t="n">
        <v>46584</v>
      </c>
      <c r="G505" s="118" t="n">
        <v>46596</v>
      </c>
      <c r="H505" s="118" t="n">
        <v>46289</v>
      </c>
      <c r="I505" s="4" t="n">
        <v>0</v>
      </c>
      <c r="J505" s="4" t="n">
        <v>0</v>
      </c>
      <c r="K505" s="4" t="n">
        <v>0</v>
      </c>
      <c r="M505" s="2">
        <f>IF(C505="","",IFERROR(INDEX($S$5:$S$304,MATCH(C505,$R$5:$R$304,0))&amp;"","?"))</f>
        <v/>
      </c>
      <c r="N505" s="2">
        <f>IF(E505="","",IF(LEFT(E505,7)="SUBSOLO",-1,IF(LEFT(E505,6)="TÉRREO",0,IFERROR(VALUE(LEFT(E505,FIND("º",SUBSTITUTE(E505,"°","º"))-1)),""))))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29981248</v>
      </c>
      <c r="C506" s="4" t="inlineStr">
        <is>
          <t>ENCUNHAMENTO</t>
        </is>
      </c>
      <c r="D506" s="4" t="inlineStr">
        <is>
          <t>-</t>
        </is>
      </c>
      <c r="E506" s="4" t="inlineStr">
        <is>
          <t>15º PAV.</t>
        </is>
      </c>
      <c r="F506" s="118" t="n">
        <v>46588</v>
      </c>
      <c r="G506" s="118" t="n">
        <v>46598</v>
      </c>
      <c r="H506" s="118" t="n">
        <v>46289</v>
      </c>
      <c r="I506" s="4" t="n">
        <v>0</v>
      </c>
      <c r="J506" s="4" t="n">
        <v>0</v>
      </c>
      <c r="K506" s="4" t="n">
        <v>0</v>
      </c>
      <c r="M506" s="2">
        <f>IF(C506="","",IFERROR(INDEX($S$5:$S$304,MATCH(C506,$R$5:$R$304,0))&amp;"","?"))</f>
        <v/>
      </c>
      <c r="N506" s="2">
        <f>IF(E506="","",IF(LEFT(E506,7)="SUBSOLO",-1,IF(LEFT(E506,6)="TÉRREO",0,IFERROR(VALUE(LEFT(E506,FIND("º",SUBSTITUTE(E506,"°","º"))-1)),""))))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29981222</v>
      </c>
      <c r="C507" s="4" t="inlineStr">
        <is>
          <t>PRUMADA DE INCÊNDIO</t>
        </is>
      </c>
      <c r="D507" s="4" t="inlineStr">
        <is>
          <t>-</t>
        </is>
      </c>
      <c r="E507" s="4" t="inlineStr">
        <is>
          <t>16º PAV.</t>
        </is>
      </c>
      <c r="F507" s="118" t="n">
        <v>46591</v>
      </c>
      <c r="G507" s="118" t="n">
        <v>46603</v>
      </c>
      <c r="H507" s="118" t="n">
        <v>46289</v>
      </c>
      <c r="I507" s="4" t="n">
        <v>0</v>
      </c>
      <c r="J507" s="4" t="n">
        <v>0</v>
      </c>
      <c r="K507" s="4" t="n">
        <v>0</v>
      </c>
      <c r="M507" s="2">
        <f>IF(C507="","",IFERROR(INDEX($S$5:$S$304,MATCH(C507,$R$5:$R$304,0))&amp;"","?"))</f>
        <v/>
      </c>
      <c r="N507" s="2">
        <f>IF(E507="","",IF(LEFT(E507,7)="SUBSOLO",-1,IF(LEFT(E507,6)="TÉRREO",0,IFERROR(VALUE(LEFT(E507,FIND("º",SUBSTITUTE(E507,"°","º"))-1)),""))))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29981173</v>
      </c>
      <c r="C508" s="4" t="inlineStr">
        <is>
          <t>ALVENARIA</t>
        </is>
      </c>
      <c r="D508" s="4" t="inlineStr">
        <is>
          <t>-</t>
        </is>
      </c>
      <c r="E508" s="4" t="inlineStr">
        <is>
          <t>17º PAV.</t>
        </is>
      </c>
      <c r="F508" s="118" t="n">
        <v>46591</v>
      </c>
      <c r="G508" s="118" t="n">
        <v>46603</v>
      </c>
      <c r="H508" s="118" t="n">
        <v>46289</v>
      </c>
      <c r="I508" s="4" t="n">
        <v>0</v>
      </c>
      <c r="J508" s="4" t="n">
        <v>0</v>
      </c>
      <c r="K508" s="4" t="n">
        <v>0</v>
      </c>
      <c r="M508" s="2">
        <f>IF(C508="","",IFERROR(INDEX($S$5:$S$304,MATCH(C508,$R$5:$R$304,0))&amp;"","?"))</f>
        <v/>
      </c>
      <c r="N508" s="2">
        <f>IF(E508="","",IF(LEFT(E508,7)="SUBSOLO",-1,IF(LEFT(E508,6)="TÉRREO",0,IFERROR(VALUE(LEFT(E508,FIND("º",SUBSTITUTE(E508,"°","º"))-1)),""))))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29940961</v>
      </c>
      <c r="C509" s="4" t="inlineStr">
        <is>
          <t>ESTRUTURA</t>
        </is>
      </c>
      <c r="D509" s="4" t="inlineStr">
        <is>
          <t>-</t>
        </is>
      </c>
      <c r="E509" s="4" t="inlineStr">
        <is>
          <t>21º PAV.</t>
        </is>
      </c>
      <c r="F509" s="118" t="n">
        <v>46591</v>
      </c>
      <c r="G509" s="118" t="n">
        <v>46603</v>
      </c>
      <c r="H509" s="118" t="n">
        <v>46289</v>
      </c>
      <c r="I509" s="4" t="n">
        <v>0</v>
      </c>
      <c r="J509" s="4" t="n">
        <v>0</v>
      </c>
      <c r="K509" s="4" t="n">
        <v>0</v>
      </c>
      <c r="M509" s="2">
        <f>IF(C509="","",IFERROR(INDEX($S$5:$S$304,MATCH(C509,$R$5:$R$304,0))&amp;"","?"))</f>
        <v/>
      </c>
      <c r="N509" s="2">
        <f>IF(E509="","",IF(LEFT(E509,7)="SUBSOLO",-1,IF(LEFT(E509,6)="TÉRREO",0,IFERROR(VALUE(LEFT(E509,FIND("º",SUBSTITUTE(E509,"°","º"))-1)),""))))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31529032</v>
      </c>
      <c r="C510" s="4" t="inlineStr">
        <is>
          <t>ESTRUTURA</t>
        </is>
      </c>
      <c r="D510" s="4" t="inlineStr">
        <is>
          <t>Forma</t>
        </is>
      </c>
      <c r="E510" s="4" t="inlineStr">
        <is>
          <t>21º PAV.</t>
        </is>
      </c>
      <c r="F510" s="118" t="n">
        <v>46591</v>
      </c>
      <c r="G510" s="118" t="n">
        <v>46597</v>
      </c>
      <c r="H510" s="118" t="n">
        <v>46289</v>
      </c>
      <c r="I510" s="4" t="n">
        <v>0</v>
      </c>
      <c r="J510" s="4" t="n">
        <v>0</v>
      </c>
      <c r="K510" s="4" t="n">
        <v>0</v>
      </c>
      <c r="M510" s="2">
        <f>IF(C510="","",IFERROR(INDEX($S$5:$S$304,MATCH(C510,$R$5:$R$304,0))&amp;"","?"))</f>
        <v/>
      </c>
      <c r="N510" s="2">
        <f>IF(E510="","",IF(LEFT(E510,7)="SUBSOLO",-1,IF(LEFT(E510,6)="TÉRREO",0,IFERROR(VALUE(LEFT(E510,FIND("º",SUBSTITUTE(E510,"°","º"))-1)),""))))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31529033</v>
      </c>
      <c r="C511" s="4" t="inlineStr">
        <is>
          <t>ESTRUTURA</t>
        </is>
      </c>
      <c r="D511" s="4" t="inlineStr">
        <is>
          <t>Armação</t>
        </is>
      </c>
      <c r="E511" s="4" t="inlineStr">
        <is>
          <t>21º PAV.</t>
        </is>
      </c>
      <c r="F511" s="118" t="n">
        <v>46598</v>
      </c>
      <c r="G511" s="118" t="n">
        <v>46602</v>
      </c>
      <c r="H511" s="118" t="n">
        <v>46289</v>
      </c>
      <c r="I511" s="4" t="n">
        <v>0</v>
      </c>
      <c r="J511" s="4" t="n">
        <v>0</v>
      </c>
      <c r="K511" s="4" t="n">
        <v>0</v>
      </c>
      <c r="M511" s="2">
        <f>IF(C511="","",IFERROR(INDEX($S$5:$S$304,MATCH(C511,$R$5:$R$304,0))&amp;"","?"))</f>
        <v/>
      </c>
      <c r="N511" s="2">
        <f>IF(E511="","",IF(LEFT(E511,7)="SUBSOLO",-1,IF(LEFT(E511,6)="TÉRREO",0,IFERROR(VALUE(LEFT(E511,FIND("º",SUBSTITUTE(E511,"°","º"))-1)),""))))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31529034</v>
      </c>
      <c r="C512" s="4" t="inlineStr">
        <is>
          <t>ESTRUTURA</t>
        </is>
      </c>
      <c r="D512" s="4" t="inlineStr">
        <is>
          <t>Concretagem</t>
        </is>
      </c>
      <c r="E512" s="4" t="inlineStr">
        <is>
          <t>21º PAV.</t>
        </is>
      </c>
      <c r="F512" s="118" t="n">
        <v>46603</v>
      </c>
      <c r="G512" s="118" t="n">
        <v>46603</v>
      </c>
      <c r="H512" s="118" t="n">
        <v>46289</v>
      </c>
      <c r="I512" s="4" t="n">
        <v>0</v>
      </c>
      <c r="J512" s="4" t="n">
        <v>0</v>
      </c>
      <c r="K512" s="4" t="n">
        <v>0</v>
      </c>
      <c r="M512" s="2">
        <f>IF(C512="","",IFERROR(INDEX($S$5:$S$304,MATCH(C512,$R$5:$R$304,0))&amp;"","?"))</f>
        <v/>
      </c>
      <c r="N512" s="2">
        <f>IF(E512="","",IF(LEFT(E512,7)="SUBSOLO",-1,IF(LEFT(E512,6)="TÉRREO",0,IFERROR(VALUE(LEFT(E512,FIND("º",SUBSTITUTE(E512,"°","º"))-1)),""))))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31529035</v>
      </c>
      <c r="C513" s="4" t="inlineStr">
        <is>
          <t>ESTRUTURA</t>
        </is>
      </c>
      <c r="D513" s="4" t="inlineStr">
        <is>
          <t>Polimento</t>
        </is>
      </c>
      <c r="E513" s="4" t="inlineStr">
        <is>
          <t>21º PAV.</t>
        </is>
      </c>
      <c r="F513" s="118" t="n">
        <v>46603</v>
      </c>
      <c r="G513" s="118" t="n">
        <v>46603</v>
      </c>
      <c r="H513" s="118" t="n">
        <v>46289</v>
      </c>
      <c r="I513" s="4" t="n">
        <v>0</v>
      </c>
      <c r="J513" s="4" t="n">
        <v>0</v>
      </c>
      <c r="K513" s="4" t="n">
        <v>0</v>
      </c>
      <c r="M513" s="2">
        <f>IF(C513="","",IFERROR(INDEX($S$5:$S$304,MATCH(C513,$R$5:$R$304,0))&amp;"","?"))</f>
        <v/>
      </c>
      <c r="N513" s="2">
        <f>IF(E513="","",IF(LEFT(E513,7)="SUBSOLO",-1,IF(LEFT(E513,6)="TÉRREO",0,IFERROR(VALUE(LEFT(E513,FIND("º",SUBSTITUTE(E513,"°","º"))-1)),""))))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30205692</v>
      </c>
      <c r="C514" s="4" t="inlineStr">
        <is>
          <t>DISTRIBUIÇÃO ELÉTRICA / QUADRO</t>
        </is>
      </c>
      <c r="D514" s="4" t="inlineStr">
        <is>
          <t>-</t>
        </is>
      </c>
      <c r="E514" s="4" t="inlineStr">
        <is>
          <t>TÉRREO - LOJA 1</t>
        </is>
      </c>
      <c r="F514" s="118" t="n">
        <v>46597</v>
      </c>
      <c r="G514" s="118" t="n">
        <v>46605</v>
      </c>
      <c r="H514" s="118" t="n">
        <v>46289</v>
      </c>
      <c r="I514" s="4" t="n">
        <v>0</v>
      </c>
      <c r="J514" s="4" t="n">
        <v>0</v>
      </c>
      <c r="K514" s="4" t="n">
        <v>0</v>
      </c>
      <c r="M514" s="2">
        <f>IF(C514="","",IFERROR(INDEX($S$5:$S$304,MATCH(C514,$R$5:$R$304,0))&amp;"","?"))</f>
        <v/>
      </c>
      <c r="N514" s="2">
        <f>IF(E514="","",IF(LEFT(E514,7)="SUBSOLO",-1,IF(LEFT(E514,6)="TÉRREO",0,IFERROR(VALUE(LEFT(E514,FIND("º",SUBSTITUTE(E514,"°","º"))-1)),""))))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30205693</v>
      </c>
      <c r="C515" s="4" t="inlineStr">
        <is>
          <t>DISTRIBUIÇÃO HIDRÁULICA</t>
        </is>
      </c>
      <c r="D515" s="4" t="inlineStr">
        <is>
          <t>-</t>
        </is>
      </c>
      <c r="E515" s="4" t="inlineStr">
        <is>
          <t>TÉRREO - LOJA 1</t>
        </is>
      </c>
      <c r="F515" s="118" t="n">
        <v>46597</v>
      </c>
      <c r="G515" s="118" t="n">
        <v>46610</v>
      </c>
      <c r="H515" s="118" t="n">
        <v>46289</v>
      </c>
      <c r="I515" s="4" t="n">
        <v>0</v>
      </c>
      <c r="J515" s="4" t="n">
        <v>0</v>
      </c>
      <c r="K515" s="4" t="n">
        <v>0</v>
      </c>
      <c r="M515" s="2">
        <f>IF(C515="","",IFERROR(INDEX($S$5:$S$304,MATCH(C515,$R$5:$R$304,0))&amp;"","?"))</f>
        <v/>
      </c>
      <c r="N515" s="2">
        <f>IF(E515="","",IF(LEFT(E515,7)="SUBSOLO",-1,IF(LEFT(E515,6)="TÉRREO",0,IFERROR(VALUE(LEFT(E515,FIND("º",SUBSTITUTE(E515,"°","º"))-1)),""))))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30205664</v>
      </c>
      <c r="C516" s="4" t="inlineStr">
        <is>
          <t>TALISCAMENTO</t>
        </is>
      </c>
      <c r="D516" s="4" t="inlineStr">
        <is>
          <t>-</t>
        </is>
      </c>
      <c r="E516" s="4" t="inlineStr">
        <is>
          <t>TÉRREO - LOJA 2</t>
        </is>
      </c>
      <c r="F516" s="118" t="n">
        <v>46597</v>
      </c>
      <c r="G516" s="118" t="n">
        <v>46610</v>
      </c>
      <c r="H516" s="118" t="n">
        <v>46289</v>
      </c>
      <c r="I516" s="4" t="n">
        <v>0</v>
      </c>
      <c r="J516" s="4" t="n">
        <v>0</v>
      </c>
      <c r="K516" s="4" t="n">
        <v>0</v>
      </c>
      <c r="M516" s="2">
        <f>IF(C516="","",IFERROR(INDEX($S$5:$S$304,MATCH(C516,$R$5:$R$304,0))&amp;"","?"))</f>
        <v/>
      </c>
      <c r="N516" s="2">
        <f>IF(E516="","",IF(LEFT(E516,7)="SUBSOLO",-1,IF(LEFT(E516,6)="TÉRREO",0,IFERROR(VALUE(LEFT(E516,FIND("º",SUBSTITUTE(E516,"°","º"))-1)),""))))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30205631</v>
      </c>
      <c r="C517" s="4" t="inlineStr">
        <is>
          <t>PRUMADA HIDROSSANITÁRIA</t>
        </is>
      </c>
      <c r="D517" s="4" t="inlineStr">
        <is>
          <t>-</t>
        </is>
      </c>
      <c r="E517" s="4" t="inlineStr">
        <is>
          <t>TÉRREO - LOJA 3</t>
        </is>
      </c>
      <c r="F517" s="118" t="n">
        <v>46597</v>
      </c>
      <c r="G517" s="118" t="n">
        <v>46610</v>
      </c>
      <c r="H517" s="118" t="n">
        <v>46289</v>
      </c>
      <c r="I517" s="4" t="n">
        <v>0</v>
      </c>
      <c r="J517" s="4" t="n">
        <v>0</v>
      </c>
      <c r="K517" s="4" t="n">
        <v>0</v>
      </c>
      <c r="M517" s="2">
        <f>IF(C517="","",IFERROR(INDEX($S$5:$S$304,MATCH(C517,$R$5:$R$304,0))&amp;"","?"))</f>
        <v/>
      </c>
      <c r="N517" s="2">
        <f>IF(E517="","",IF(LEFT(E517,7)="SUBSOLO",-1,IF(LEFT(E517,6)="TÉRREO",0,IFERROR(VALUE(LEFT(E517,FIND("º",SUBSTITUTE(E517,"°","º"))-1)),""))))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30205630</v>
      </c>
      <c r="C518" s="4" t="inlineStr">
        <is>
          <t>PRUMADA DE INCÊNDIO</t>
        </is>
      </c>
      <c r="D518" s="4" t="inlineStr">
        <is>
          <t>-</t>
        </is>
      </c>
      <c r="E518" s="4" t="inlineStr">
        <is>
          <t>TÉRREO - LOJA 3</t>
        </is>
      </c>
      <c r="F518" s="118" t="n">
        <v>46597</v>
      </c>
      <c r="G518" s="118" t="n">
        <v>46610</v>
      </c>
      <c r="H518" s="118" t="n">
        <v>46289</v>
      </c>
      <c r="I518" s="4" t="n">
        <v>0</v>
      </c>
      <c r="J518" s="4" t="n">
        <v>0</v>
      </c>
      <c r="K518" s="4" t="n">
        <v>0</v>
      </c>
      <c r="M518" s="2">
        <f>IF(C518="","",IFERROR(INDEX($S$5:$S$304,MATCH(C518,$R$5:$R$304,0))&amp;"","?"))</f>
        <v/>
      </c>
      <c r="N518" s="2">
        <f>IF(E518="","",IF(LEFT(E518,7)="SUBSOLO",-1,IF(LEFT(E518,6)="TÉRREO",0,IFERROR(VALUE(LEFT(E518,FIND("º",SUBSTITUTE(E518,"°","º"))-1)),""))))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30205632</v>
      </c>
      <c r="C519" s="4" t="inlineStr">
        <is>
          <t>ENCUNHAMENTO</t>
        </is>
      </c>
      <c r="D519" s="4" t="inlineStr">
        <is>
          <t>-</t>
        </is>
      </c>
      <c r="E519" s="4" t="inlineStr">
        <is>
          <t>TÉRREO - LOJA 3</t>
        </is>
      </c>
      <c r="F519" s="118" t="n">
        <v>46597</v>
      </c>
      <c r="G519" s="118" t="n">
        <v>46610</v>
      </c>
      <c r="H519" s="118" t="n">
        <v>46289</v>
      </c>
      <c r="I519" s="4" t="n">
        <v>0</v>
      </c>
      <c r="J519" s="4" t="n">
        <v>0</v>
      </c>
      <c r="K519" s="4" t="n">
        <v>0</v>
      </c>
      <c r="M519" s="2">
        <f>IF(C519="","",IFERROR(INDEX($S$5:$S$304,MATCH(C519,$R$5:$R$304,0))&amp;"","?"))</f>
        <v/>
      </c>
      <c r="N519" s="2">
        <f>IF(E519="","",IF(LEFT(E519,7)="SUBSOLO",-1,IF(LEFT(E519,6)="TÉRREO",0,IFERROR(VALUE(LEFT(E519,FIND("º",SUBSTITUTE(E519,"°","º"))-1)),""))))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30205602</v>
      </c>
      <c r="C520" s="4" t="inlineStr">
        <is>
          <t>ALVENARIA</t>
        </is>
      </c>
      <c r="D520" s="4" t="inlineStr">
        <is>
          <t>-</t>
        </is>
      </c>
      <c r="E520" s="4" t="inlineStr">
        <is>
          <t>TÉRREO - LOJA 4</t>
        </is>
      </c>
      <c r="F520" s="118" t="n">
        <v>46597</v>
      </c>
      <c r="G520" s="118" t="n">
        <v>46610</v>
      </c>
      <c r="H520" s="118" t="n">
        <v>46289</v>
      </c>
      <c r="I520" s="4" t="n">
        <v>0</v>
      </c>
      <c r="J520" s="4" t="n">
        <v>0</v>
      </c>
      <c r="K520" s="4" t="n">
        <v>0</v>
      </c>
      <c r="M520" s="2">
        <f>IF(C520="","",IFERROR(INDEX($S$5:$S$304,MATCH(C520,$R$5:$R$304,0))&amp;"","?"))</f>
        <v/>
      </c>
      <c r="N520" s="2">
        <f>IF(E520="","",IF(LEFT(E520,7)="SUBSOLO",-1,IF(LEFT(E520,6)="TÉRREO",0,IFERROR(VALUE(LEFT(E520,FIND("º",SUBSTITUTE(E520,"°","º"))-1)),""))))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32750433</v>
      </c>
      <c r="C521" s="4" t="inlineStr">
        <is>
          <t>DRYWALL 2º FACE</t>
        </is>
      </c>
      <c r="D521" s="4" t="inlineStr">
        <is>
          <t>-</t>
        </is>
      </c>
      <c r="E521" s="4" t="inlineStr">
        <is>
          <t>7º PAV.</t>
        </is>
      </c>
      <c r="F521" s="118" t="n">
        <v>46597</v>
      </c>
      <c r="G521" s="118" t="n">
        <v>46609</v>
      </c>
      <c r="H521" s="118" t="n">
        <v>46289</v>
      </c>
      <c r="I521" s="4" t="n">
        <v>0</v>
      </c>
      <c r="J521" s="4" t="n">
        <v>0</v>
      </c>
      <c r="K521" s="4" t="n">
        <v>0</v>
      </c>
      <c r="M521" s="2">
        <f>IF(C521="","",IFERROR(INDEX($S$5:$S$304,MATCH(C521,$R$5:$R$304,0))&amp;"","?"))</f>
        <v/>
      </c>
      <c r="N521" s="2">
        <f>IF(E521="","",IF(LEFT(E521,7)="SUBSOLO",-1,IF(LEFT(E521,6)="TÉRREO",0,IFERROR(VALUE(LEFT(E521,FIND("º",SUBSTITUTE(E521,"°","º"))-1)),""))))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32750356</v>
      </c>
      <c r="C522" s="4" t="inlineStr">
        <is>
          <t>DISTRIBUIÇÃO DE GÁS - DRYWALL</t>
        </is>
      </c>
      <c r="D522" s="4" t="inlineStr">
        <is>
          <t>-</t>
        </is>
      </c>
      <c r="E522" s="4" t="inlineStr">
        <is>
          <t>8º PAV.</t>
        </is>
      </c>
      <c r="F522" s="118" t="n">
        <v>46597</v>
      </c>
      <c r="G522" s="118" t="n">
        <v>46609</v>
      </c>
      <c r="H522" s="118" t="n">
        <v>46289</v>
      </c>
      <c r="I522" s="4" t="n">
        <v>0</v>
      </c>
      <c r="J522" s="4" t="n">
        <v>0</v>
      </c>
      <c r="K522" s="4" t="n">
        <v>0</v>
      </c>
      <c r="M522" s="2">
        <f>IF(C522="","",IFERROR(INDEX($S$5:$S$304,MATCH(C522,$R$5:$R$304,0))&amp;"","?"))</f>
        <v/>
      </c>
      <c r="N522" s="2">
        <f>IF(E522="","",IF(LEFT(E522,7)="SUBSOLO",-1,IF(LEFT(E522,6)="TÉRREO",0,IFERROR(VALUE(LEFT(E522,FIND("º",SUBSTITUTE(E522,"°","º"))-1)),""))))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32750382</v>
      </c>
      <c r="C523" s="4" t="inlineStr">
        <is>
          <t>DISTRIBUIÇÃO ELÉTRICA/QUADRO - DRYWALL</t>
        </is>
      </c>
      <c r="D523" s="4" t="inlineStr">
        <is>
          <t>-</t>
        </is>
      </c>
      <c r="E523" s="4" t="inlineStr">
        <is>
          <t>8º PAV.</t>
        </is>
      </c>
      <c r="F523" s="118" t="n">
        <v>46597</v>
      </c>
      <c r="G523" s="118" t="n">
        <v>46609</v>
      </c>
      <c r="H523" s="118" t="n">
        <v>46289</v>
      </c>
      <c r="I523" s="4" t="n">
        <v>0</v>
      </c>
      <c r="J523" s="4" t="n">
        <v>0</v>
      </c>
      <c r="K523" s="4" t="n">
        <v>0</v>
      </c>
      <c r="M523" s="2">
        <f>IF(C523="","",IFERROR(INDEX($S$5:$S$304,MATCH(C523,$R$5:$R$304,0))&amp;"","?"))</f>
        <v/>
      </c>
      <c r="N523" s="2">
        <f>IF(E523="","",IF(LEFT(E523,7)="SUBSOLO",-1,IF(LEFT(E523,6)="TÉRREO",0,IFERROR(VALUE(LEFT(E523,FIND("º",SUBSTITUTE(E523,"°","º"))-1)),""))))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32750408</v>
      </c>
      <c r="C524" s="4" t="inlineStr">
        <is>
          <t>DISTRIBUIÇÃO HIDRÁULICA - DRYWALL</t>
        </is>
      </c>
      <c r="D524" s="4" t="inlineStr">
        <is>
          <t>-</t>
        </is>
      </c>
      <c r="E524" s="4" t="inlineStr">
        <is>
          <t>8º PAV.</t>
        </is>
      </c>
      <c r="F524" s="118" t="n">
        <v>46597</v>
      </c>
      <c r="G524" s="118" t="n">
        <v>46609</v>
      </c>
      <c r="H524" s="118" t="n">
        <v>46289</v>
      </c>
      <c r="I524" s="4" t="n">
        <v>0</v>
      </c>
      <c r="J524" s="4" t="n">
        <v>0</v>
      </c>
      <c r="K524" s="4" t="n">
        <v>0</v>
      </c>
      <c r="M524" s="2">
        <f>IF(C524="","",IFERROR(INDEX($S$5:$S$304,MATCH(C524,$R$5:$R$304,0))&amp;"","?"))</f>
        <v/>
      </c>
      <c r="N524" s="2">
        <f>IF(E524="","",IF(LEFT(E524,7)="SUBSOLO",-1,IF(LEFT(E524,6)="TÉRREO",0,IFERROR(VALUE(LEFT(E524,FIND("º",SUBSTITUTE(E524,"°","º"))-1)),""))))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33896826</v>
      </c>
      <c r="C525" s="4" t="inlineStr">
        <is>
          <t>INFRAESTRUTURA - AR CONDICIONADO</t>
        </is>
      </c>
      <c r="D525" s="4" t="inlineStr">
        <is>
          <t>-</t>
        </is>
      </c>
      <c r="E525" s="4" t="inlineStr">
        <is>
          <t>8º PAV.</t>
        </is>
      </c>
      <c r="F525" s="118" t="n">
        <v>46597</v>
      </c>
      <c r="G525" s="118" t="n">
        <v>46609</v>
      </c>
      <c r="H525" s="118" t="n">
        <v>46289</v>
      </c>
      <c r="I525" s="4" t="n">
        <v>0</v>
      </c>
      <c r="J525" s="4" t="n">
        <v>0</v>
      </c>
      <c r="K525" s="4" t="n">
        <v>0</v>
      </c>
      <c r="M525" s="2">
        <f>IF(C525="","",IFERROR(INDEX($S$5:$S$304,MATCH(C525,$R$5:$R$304,0))&amp;"","?"))</f>
        <v/>
      </c>
      <c r="N525" s="2">
        <f>IF(E525="","",IF(LEFT(E525,7)="SUBSOLO",-1,IF(LEFT(E525,6)="TÉRREO",0,IFERROR(VALUE(LEFT(E525,FIND("º",SUBSTITUTE(E525,"°","º"))-1)),""))))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32749852</v>
      </c>
      <c r="C526" s="4" t="inlineStr">
        <is>
          <t>DRYWALL 1º FACE</t>
        </is>
      </c>
      <c r="D526" s="4" t="inlineStr">
        <is>
          <t>-</t>
        </is>
      </c>
      <c r="E526" s="4" t="inlineStr">
        <is>
          <t>9º PAV.</t>
        </is>
      </c>
      <c r="F526" s="118" t="n">
        <v>46597</v>
      </c>
      <c r="G526" s="118" t="n">
        <v>46609</v>
      </c>
      <c r="H526" s="118" t="n">
        <v>46289</v>
      </c>
      <c r="I526" s="4" t="n">
        <v>0</v>
      </c>
      <c r="J526" s="4" t="n">
        <v>0</v>
      </c>
      <c r="K526" s="4" t="n">
        <v>0</v>
      </c>
      <c r="M526" s="2">
        <f>IF(C526="","",IFERROR(INDEX($S$5:$S$304,MATCH(C526,$R$5:$R$304,0))&amp;"","?"))</f>
        <v/>
      </c>
      <c r="N526" s="2">
        <f>IF(E526="","",IF(LEFT(E526,7)="SUBSOLO",-1,IF(LEFT(E526,6)="TÉRREO",0,IFERROR(VALUE(LEFT(E526,FIND("º",SUBSTITUTE(E526,"°","º"))-1)),""))))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29981436</v>
      </c>
      <c r="C527" s="4" t="inlineStr">
        <is>
          <t>CONTRAPISO</t>
        </is>
      </c>
      <c r="D527" s="4" t="inlineStr">
        <is>
          <t>-</t>
        </is>
      </c>
      <c r="E527" s="4" t="inlineStr">
        <is>
          <t>10º PAV.</t>
        </is>
      </c>
      <c r="F527" s="118" t="n">
        <v>46597</v>
      </c>
      <c r="G527" s="118" t="n">
        <v>46609</v>
      </c>
      <c r="H527" s="118" t="n">
        <v>46289</v>
      </c>
      <c r="I527" s="4" t="n">
        <v>0</v>
      </c>
      <c r="J527" s="4" t="n">
        <v>0</v>
      </c>
      <c r="K527" s="4" t="n">
        <v>0</v>
      </c>
      <c r="M527" s="2">
        <f>IF(C527="","",IFERROR(INDEX($S$5:$S$304,MATCH(C527,$R$5:$R$304,0))&amp;"","?"))</f>
        <v/>
      </c>
      <c r="N527" s="2">
        <f>IF(E527="","",IF(LEFT(E527,7)="SUBSOLO",-1,IF(LEFT(E527,6)="TÉRREO",0,IFERROR(VALUE(LEFT(E527,FIND("º",SUBSTITUTE(E527,"°","º"))-1)),""))))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29981376</v>
      </c>
      <c r="C528" s="4" t="inlineStr">
        <is>
          <t>SHAFT INTERNO INST. HIDRAÚLICAS</t>
        </is>
      </c>
      <c r="D528" s="4" t="inlineStr">
        <is>
          <t>-</t>
        </is>
      </c>
      <c r="E528" s="4" t="inlineStr">
        <is>
          <t>11º PAV.</t>
        </is>
      </c>
      <c r="F528" s="118" t="n">
        <v>46597</v>
      </c>
      <c r="G528" s="118" t="n">
        <v>46609</v>
      </c>
      <c r="H528" s="118" t="n">
        <v>46289</v>
      </c>
      <c r="I528" s="4" t="n">
        <v>0</v>
      </c>
      <c r="J528" s="4" t="n">
        <v>0</v>
      </c>
      <c r="K528" s="4" t="n">
        <v>0</v>
      </c>
      <c r="M528" s="2">
        <f>IF(C528="","",IFERROR(INDEX($S$5:$S$304,MATCH(C528,$R$5:$R$304,0))&amp;"","?"))</f>
        <v/>
      </c>
      <c r="N528" s="2">
        <f>IF(E528="","",IF(LEFT(E528,7)="SUBSOLO",-1,IF(LEFT(E528,6)="TÉRREO",0,IFERROR(VALUE(LEFT(E528,FIND("º",SUBSTITUTE(E528,"°","º"))-1)),""))))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29981409</v>
      </c>
      <c r="C529" s="4" t="inlineStr">
        <is>
          <t>PRUMADA ELÉTRICA - INFRA</t>
        </is>
      </c>
      <c r="D529" s="4" t="inlineStr">
        <is>
          <t>-</t>
        </is>
      </c>
      <c r="E529" s="4" t="inlineStr">
        <is>
          <t>11º PAV.</t>
        </is>
      </c>
      <c r="F529" s="118" t="n">
        <v>46597</v>
      </c>
      <c r="G529" s="118" t="n">
        <v>46609</v>
      </c>
      <c r="H529" s="118" t="n">
        <v>46289</v>
      </c>
      <c r="I529" s="4" t="n">
        <v>0</v>
      </c>
      <c r="J529" s="4" t="n">
        <v>0</v>
      </c>
      <c r="K529" s="4" t="n">
        <v>0</v>
      </c>
      <c r="M529" s="2">
        <f>IF(C529="","",IFERROR(INDEX($S$5:$S$304,MATCH(C529,$R$5:$R$304,0))&amp;"","?"))</f>
        <v/>
      </c>
      <c r="N529" s="2">
        <f>IF(E529="","",IF(LEFT(E529,7)="SUBSOLO",-1,IF(LEFT(E529,6)="TÉRREO",0,IFERROR(VALUE(LEFT(E529,FIND("º",SUBSTITUTE(E529,"°","º"))-1)),""))))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29981338</v>
      </c>
      <c r="C530" s="4" t="inlineStr">
        <is>
          <t>REBOCO INTERNO</t>
        </is>
      </c>
      <c r="D530" s="4" t="inlineStr">
        <is>
          <t>-</t>
        </is>
      </c>
      <c r="E530" s="4" t="inlineStr">
        <is>
          <t>12º PAV.</t>
        </is>
      </c>
      <c r="F530" s="118" t="n">
        <v>46597</v>
      </c>
      <c r="G530" s="118" t="n">
        <v>46609</v>
      </c>
      <c r="H530" s="118" t="n">
        <v>46289</v>
      </c>
      <c r="I530" s="4" t="n">
        <v>0</v>
      </c>
      <c r="J530" s="4" t="n">
        <v>0</v>
      </c>
      <c r="K530" s="4" t="n">
        <v>0</v>
      </c>
      <c r="M530" s="2">
        <f>IF(C530="","",IFERROR(INDEX($S$5:$S$304,MATCH(C530,$R$5:$R$304,0))&amp;"","?"))</f>
        <v/>
      </c>
      <c r="N530" s="2">
        <f>IF(E530="","",IF(LEFT(E530,7)="SUBSOLO",-1,IF(LEFT(E530,6)="TÉRREO",0,IFERROR(VALUE(LEFT(E530,FIND("º",SUBSTITUTE(E530,"°","º"))-1)),""))))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29981304</v>
      </c>
      <c r="C531" s="4" t="inlineStr">
        <is>
          <t>CONTRAMARCO</t>
        </is>
      </c>
      <c r="D531" s="4" t="inlineStr">
        <is>
          <t>-</t>
        </is>
      </c>
      <c r="E531" s="4" t="inlineStr">
        <is>
          <t>13º PAV.</t>
        </is>
      </c>
      <c r="F531" s="118" t="n">
        <v>46597</v>
      </c>
      <c r="G531" s="118" t="n">
        <v>46609</v>
      </c>
      <c r="H531" s="118" t="n">
        <v>46289</v>
      </c>
      <c r="I531" s="4" t="n">
        <v>0</v>
      </c>
      <c r="J531" s="4" t="n">
        <v>0</v>
      </c>
      <c r="K531" s="4" t="n">
        <v>0</v>
      </c>
      <c r="M531" s="2">
        <f>IF(C531="","",IFERROR(INDEX($S$5:$S$304,MATCH(C531,$R$5:$R$304,0))&amp;"","?"))</f>
        <v/>
      </c>
      <c r="N531" s="2">
        <f>IF(E531="","",IF(LEFT(E531,7)="SUBSOLO",-1,IF(LEFT(E531,6)="TÉRREO",0,IFERROR(VALUE(LEFT(E531,FIND("º",SUBSTITUTE(E531,"°","º"))-1)),""))))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29981297</v>
      </c>
      <c r="C532" s="4" t="inlineStr">
        <is>
          <t>DISTRIBUIÇÃO HIDROSSANITÁRIA</t>
        </is>
      </c>
      <c r="D532" s="4" t="inlineStr">
        <is>
          <t>-</t>
        </is>
      </c>
      <c r="E532" s="4" t="inlineStr">
        <is>
          <t>14º PAV.</t>
        </is>
      </c>
      <c r="F532" s="118" t="n">
        <v>46597</v>
      </c>
      <c r="G532" s="118" t="n">
        <v>46609</v>
      </c>
      <c r="H532" s="118" t="n">
        <v>46289</v>
      </c>
      <c r="I532" s="4" t="n">
        <v>0</v>
      </c>
      <c r="J532" s="4" t="n">
        <v>0</v>
      </c>
      <c r="K532" s="4" t="n">
        <v>0</v>
      </c>
      <c r="M532" s="2">
        <f>IF(C532="","",IFERROR(INDEX($S$5:$S$304,MATCH(C532,$R$5:$R$304,0))&amp;"","?"))</f>
        <v/>
      </c>
      <c r="N532" s="2">
        <f>IF(E532="","",IF(LEFT(E532,7)="SUBSOLO",-1,IF(LEFT(E532,6)="TÉRREO",0,IFERROR(VALUE(LEFT(E532,FIND("º",SUBSTITUTE(E532,"°","º"))-1)),""))))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29981266</v>
      </c>
      <c r="C533" s="4" t="inlineStr">
        <is>
          <t>DISTRIBUIÇÃO ELÉTRICA / QUADRO</t>
        </is>
      </c>
      <c r="D533" s="4" t="inlineStr">
        <is>
          <t>-</t>
        </is>
      </c>
      <c r="E533" s="4" t="inlineStr">
        <is>
          <t>14º PAV.</t>
        </is>
      </c>
      <c r="F533" s="118" t="n">
        <v>46597</v>
      </c>
      <c r="G533" s="118" t="n">
        <v>46609</v>
      </c>
      <c r="H533" s="118" t="n">
        <v>46289</v>
      </c>
      <c r="I533" s="4" t="n">
        <v>0</v>
      </c>
      <c r="J533" s="4" t="n">
        <v>0</v>
      </c>
      <c r="K533" s="4" t="n">
        <v>0</v>
      </c>
      <c r="M533" s="2">
        <f>IF(C533="","",IFERROR(INDEX($S$5:$S$304,MATCH(C533,$R$5:$R$304,0))&amp;"","?"))</f>
        <v/>
      </c>
      <c r="N533" s="2">
        <f>IF(E533="","",IF(LEFT(E533,7)="SUBSOLO",-1,IF(LEFT(E533,6)="TÉRREO",0,IFERROR(VALUE(LEFT(E533,FIND("º",SUBSTITUTE(E533,"°","º"))-1)),""))))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29981299</v>
      </c>
      <c r="C534" s="4" t="inlineStr">
        <is>
          <t>DISTRIBUIÇÃO DE GÁS</t>
        </is>
      </c>
      <c r="D534" s="4" t="inlineStr">
        <is>
          <t>-</t>
        </is>
      </c>
      <c r="E534" s="4" t="inlineStr">
        <is>
          <t>14º PAV.</t>
        </is>
      </c>
      <c r="F534" s="118" t="n">
        <v>46597</v>
      </c>
      <c r="G534" s="118" t="n">
        <v>46609</v>
      </c>
      <c r="H534" s="118" t="n">
        <v>46289</v>
      </c>
      <c r="I534" s="4" t="n">
        <v>0</v>
      </c>
      <c r="J534" s="4" t="n">
        <v>0</v>
      </c>
      <c r="K534" s="4" t="n">
        <v>0</v>
      </c>
      <c r="M534" s="2">
        <f>IF(C534="","",IFERROR(INDEX($S$5:$S$304,MATCH(C534,$R$5:$R$304,0))&amp;"","?"))</f>
        <v/>
      </c>
      <c r="N534" s="2">
        <f>IF(E534="","",IF(LEFT(E534,7)="SUBSOLO",-1,IF(LEFT(E534,6)="TÉRREO",0,IFERROR(VALUE(LEFT(E534,FIND("º",SUBSTITUTE(E534,"°","º"))-1)),""))))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29981246</v>
      </c>
      <c r="C535" s="4" t="inlineStr">
        <is>
          <t>TALISCAMENTO</t>
        </is>
      </c>
      <c r="D535" s="4" t="inlineStr">
        <is>
          <t>-</t>
        </is>
      </c>
      <c r="E535" s="4" t="inlineStr">
        <is>
          <t>15º PAV.</t>
        </is>
      </c>
      <c r="F535" s="118" t="n">
        <v>46597</v>
      </c>
      <c r="G535" s="118" t="n">
        <v>46609</v>
      </c>
      <c r="H535" s="118" t="n">
        <v>46289</v>
      </c>
      <c r="I535" s="4" t="n">
        <v>0</v>
      </c>
      <c r="J535" s="4" t="n">
        <v>0</v>
      </c>
      <c r="K535" s="4" t="n">
        <v>0</v>
      </c>
      <c r="M535" s="2">
        <f>IF(C535="","",IFERROR(INDEX($S$5:$S$304,MATCH(C535,$R$5:$R$304,0))&amp;"","?"))</f>
        <v/>
      </c>
      <c r="N535" s="2">
        <f>IF(E535="","",IF(LEFT(E535,7)="SUBSOLO",-1,IF(LEFT(E535,6)="TÉRREO",0,IFERROR(VALUE(LEFT(E535,FIND("º",SUBSTITUTE(E535,"°","º"))-1)),""))))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29981212</v>
      </c>
      <c r="C536" s="4" t="inlineStr">
        <is>
          <t>PRUMADA HIDROSSANITÁRIA</t>
        </is>
      </c>
      <c r="D536" s="4" t="inlineStr">
        <is>
          <t>-</t>
        </is>
      </c>
      <c r="E536" s="4" t="inlineStr">
        <is>
          <t>16º PAV.</t>
        </is>
      </c>
      <c r="F536" s="118" t="n">
        <v>46597</v>
      </c>
      <c r="G536" s="118" t="n">
        <v>46609</v>
      </c>
      <c r="H536" s="118" t="n">
        <v>46289</v>
      </c>
      <c r="I536" s="4" t="n">
        <v>0</v>
      </c>
      <c r="J536" s="4" t="n">
        <v>0</v>
      </c>
      <c r="K536" s="4" t="n">
        <v>0</v>
      </c>
      <c r="M536" s="2">
        <f>IF(C536="","",IFERROR(INDEX($S$5:$S$304,MATCH(C536,$R$5:$R$304,0))&amp;"","?"))</f>
        <v/>
      </c>
      <c r="N536" s="2">
        <f>IF(E536="","",IF(LEFT(E536,7)="SUBSOLO",-1,IF(LEFT(E536,6)="TÉRREO",0,IFERROR(VALUE(LEFT(E536,FIND("º",SUBSTITUTE(E536,"°","º"))-1)),""))))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30205721</v>
      </c>
      <c r="C537" s="4" t="inlineStr">
        <is>
          <t>SERRALHERIA</t>
        </is>
      </c>
      <c r="D537" s="4" t="inlineStr">
        <is>
          <t>-</t>
        </is>
      </c>
      <c r="E537" s="4" t="inlineStr">
        <is>
          <t>SUBSOLO</t>
        </is>
      </c>
      <c r="F537" s="118" t="n">
        <v>46601</v>
      </c>
      <c r="G537" s="118" t="n">
        <v>46612</v>
      </c>
      <c r="H537" s="118" t="n">
        <v>46289</v>
      </c>
      <c r="I537" s="4" t="n">
        <v>0</v>
      </c>
      <c r="J537" s="4" t="n">
        <v>0</v>
      </c>
      <c r="K537" s="4" t="n">
        <v>0</v>
      </c>
      <c r="M537" s="2">
        <f>IF(C537="","",IFERROR(INDEX($S$5:$S$304,MATCH(C537,$R$5:$R$304,0))&amp;"","?"))</f>
        <v/>
      </c>
      <c r="N537" s="2">
        <f>IF(E537="","",IF(LEFT(E537,7)="SUBSOLO",-1,IF(LEFT(E537,6)="TÉRREO",0,IFERROR(VALUE(LEFT(E537,FIND("º",SUBSTITUTE(E537,"°","º"))-1)),""))))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29981211</v>
      </c>
      <c r="C538" s="4" t="inlineStr">
        <is>
          <t>ENCUNHAMENTO</t>
        </is>
      </c>
      <c r="D538" s="4" t="inlineStr">
        <is>
          <t>-</t>
        </is>
      </c>
      <c r="E538" s="4" t="inlineStr">
        <is>
          <t>16º PAV.</t>
        </is>
      </c>
      <c r="F538" s="118" t="n">
        <v>46601</v>
      </c>
      <c r="G538" s="118" t="n">
        <v>46611</v>
      </c>
      <c r="H538" s="118" t="n">
        <v>46289</v>
      </c>
      <c r="I538" s="4" t="n">
        <v>0</v>
      </c>
      <c r="J538" s="4" t="n">
        <v>0</v>
      </c>
      <c r="K538" s="4" t="n">
        <v>0</v>
      </c>
      <c r="M538" s="2">
        <f>IF(C538="","",IFERROR(INDEX($S$5:$S$304,MATCH(C538,$R$5:$R$304,0))&amp;"","?"))</f>
        <v/>
      </c>
      <c r="N538" s="2">
        <f>IF(E538="","",IF(LEFT(E538,7)="SUBSOLO",-1,IF(LEFT(E538,6)="TÉRREO",0,IFERROR(VALUE(LEFT(E538,FIND("º",SUBSTITUTE(E538,"°","º"))-1)),""))))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29981185</v>
      </c>
      <c r="C539" s="4" t="inlineStr">
        <is>
          <t>PRUMADA DE INCÊNDIO</t>
        </is>
      </c>
      <c r="D539" s="4" t="inlineStr">
        <is>
          <t>-</t>
        </is>
      </c>
      <c r="E539" s="4" t="inlineStr">
        <is>
          <t>17º PAV.</t>
        </is>
      </c>
      <c r="F539" s="118" t="n">
        <v>46604</v>
      </c>
      <c r="G539" s="118" t="n">
        <v>46616</v>
      </c>
      <c r="H539" s="118" t="n">
        <v>46289</v>
      </c>
      <c r="I539" s="4" t="n">
        <v>0</v>
      </c>
      <c r="J539" s="4" t="n">
        <v>0</v>
      </c>
      <c r="K539" s="4" t="n">
        <v>0</v>
      </c>
      <c r="M539" s="2">
        <f>IF(C539="","",IFERROR(INDEX($S$5:$S$304,MATCH(C539,$R$5:$R$304,0))&amp;"","?"))</f>
        <v/>
      </c>
      <c r="N539" s="2">
        <f>IF(E539="","",IF(LEFT(E539,7)="SUBSOLO",-1,IF(LEFT(E539,6)="TÉRREO",0,IFERROR(VALUE(LEFT(E539,FIND("º",SUBSTITUTE(E539,"°","º"))-1)),""))))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29981136</v>
      </c>
      <c r="C540" s="4" t="inlineStr">
        <is>
          <t>ALVENARIA</t>
        </is>
      </c>
      <c r="D540" s="4" t="inlineStr">
        <is>
          <t>-</t>
        </is>
      </c>
      <c r="E540" s="4" t="inlineStr">
        <is>
          <t>18º PAV.</t>
        </is>
      </c>
      <c r="F540" s="118" t="n">
        <v>46604</v>
      </c>
      <c r="G540" s="118" t="n">
        <v>46616</v>
      </c>
      <c r="H540" s="118" t="n">
        <v>46289</v>
      </c>
      <c r="I540" s="4" t="n">
        <v>0</v>
      </c>
      <c r="J540" s="4" t="n">
        <v>0</v>
      </c>
      <c r="K540" s="4" t="n">
        <v>0</v>
      </c>
      <c r="M540" s="2">
        <f>IF(C540="","",IFERROR(INDEX($S$5:$S$304,MATCH(C540,$R$5:$R$304,0))&amp;"","?"))</f>
        <v/>
      </c>
      <c r="N540" s="2">
        <f>IF(E540="","",IF(LEFT(E540,7)="SUBSOLO",-1,IF(LEFT(E540,6)="TÉRREO",0,IFERROR(VALUE(LEFT(E540,FIND("º",SUBSTITUTE(E540,"°","º"))-1)),""))))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29940962</v>
      </c>
      <c r="C541" s="4" t="inlineStr">
        <is>
          <t>ESTRUTURA</t>
        </is>
      </c>
      <c r="D541" s="4" t="inlineStr">
        <is>
          <t>-</t>
        </is>
      </c>
      <c r="E541" s="4" t="inlineStr">
        <is>
          <t>22º PAV.</t>
        </is>
      </c>
      <c r="F541" s="118" t="n">
        <v>46604</v>
      </c>
      <c r="G541" s="118" t="n">
        <v>46615</v>
      </c>
      <c r="H541" s="118" t="n">
        <v>46289</v>
      </c>
      <c r="I541" s="4" t="n">
        <v>0</v>
      </c>
      <c r="J541" s="4" t="n">
        <v>0</v>
      </c>
      <c r="K541" s="4" t="n">
        <v>0</v>
      </c>
      <c r="M541" s="2">
        <f>IF(C541="","",IFERROR(INDEX($S$5:$S$304,MATCH(C541,$R$5:$R$304,0))&amp;"","?"))</f>
        <v/>
      </c>
      <c r="N541" s="2">
        <f>IF(E541="","",IF(LEFT(E541,7)="SUBSOLO",-1,IF(LEFT(E541,6)="TÉRREO",0,IFERROR(VALUE(LEFT(E541,FIND("º",SUBSTITUTE(E541,"°","º"))-1)),""))))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31529036</v>
      </c>
      <c r="C542" s="4" t="inlineStr">
        <is>
          <t>ESTRUTURA</t>
        </is>
      </c>
      <c r="D542" s="4" t="inlineStr">
        <is>
          <t>Forma</t>
        </is>
      </c>
      <c r="E542" s="4" t="inlineStr">
        <is>
          <t>22º PAV.</t>
        </is>
      </c>
      <c r="F542" s="118" t="n">
        <v>46604</v>
      </c>
      <c r="G542" s="118" t="n">
        <v>46609</v>
      </c>
      <c r="H542" s="118" t="n">
        <v>46289</v>
      </c>
      <c r="I542" s="4" t="n">
        <v>0</v>
      </c>
      <c r="J542" s="4" t="n">
        <v>0</v>
      </c>
      <c r="K542" s="4" t="n">
        <v>0</v>
      </c>
      <c r="M542" s="2">
        <f>IF(C542="","",IFERROR(INDEX($S$5:$S$304,MATCH(C542,$R$5:$R$304,0))&amp;"","?"))</f>
        <v/>
      </c>
      <c r="N542" s="2">
        <f>IF(E542="","",IF(LEFT(E542,7)="SUBSOLO",-1,IF(LEFT(E542,6)="TÉRREO",0,IFERROR(VALUE(LEFT(E542,FIND("º",SUBSTITUTE(E542,"°","º"))-1)),""))))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31529037</v>
      </c>
      <c r="C543" s="4" t="inlineStr">
        <is>
          <t>ESTRUTURA</t>
        </is>
      </c>
      <c r="D543" s="4" t="inlineStr">
        <is>
          <t>Armação</t>
        </is>
      </c>
      <c r="E543" s="4" t="inlineStr">
        <is>
          <t>22º PAV.</t>
        </is>
      </c>
      <c r="F543" s="118" t="n">
        <v>46610</v>
      </c>
      <c r="G543" s="118" t="n">
        <v>46612</v>
      </c>
      <c r="H543" s="118" t="n">
        <v>46289</v>
      </c>
      <c r="I543" s="4" t="n">
        <v>0</v>
      </c>
      <c r="J543" s="4" t="n">
        <v>0</v>
      </c>
      <c r="K543" s="4" t="n">
        <v>0</v>
      </c>
      <c r="M543" s="2">
        <f>IF(C543="","",IFERROR(INDEX($S$5:$S$304,MATCH(C543,$R$5:$R$304,0))&amp;"","?"))</f>
        <v/>
      </c>
      <c r="N543" s="2">
        <f>IF(E543="","",IF(LEFT(E543,7)="SUBSOLO",-1,IF(LEFT(E543,6)="TÉRREO",0,IFERROR(VALUE(LEFT(E543,FIND("º",SUBSTITUTE(E543,"°","º"))-1)),""))))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31529038</v>
      </c>
      <c r="C544" s="4" t="inlineStr">
        <is>
          <t>ESTRUTURA</t>
        </is>
      </c>
      <c r="D544" s="4" t="inlineStr">
        <is>
          <t>Concretagem</t>
        </is>
      </c>
      <c r="E544" s="4" t="inlineStr">
        <is>
          <t>22º PAV.</t>
        </is>
      </c>
      <c r="F544" s="118" t="n">
        <v>46615</v>
      </c>
      <c r="G544" s="118" t="n">
        <v>46615</v>
      </c>
      <c r="H544" s="118" t="n">
        <v>46289</v>
      </c>
      <c r="I544" s="4" t="n">
        <v>0</v>
      </c>
      <c r="J544" s="4" t="n">
        <v>0</v>
      </c>
      <c r="K544" s="4" t="n">
        <v>0</v>
      </c>
      <c r="M544" s="2">
        <f>IF(C544="","",IFERROR(INDEX($S$5:$S$304,MATCH(C544,$R$5:$R$304,0))&amp;"","?"))</f>
        <v/>
      </c>
      <c r="N544" s="2">
        <f>IF(E544="","",IF(LEFT(E544,7)="SUBSOLO",-1,IF(LEFT(E544,6)="TÉRREO",0,IFERROR(VALUE(LEFT(E544,FIND("º",SUBSTITUTE(E544,"°","º"))-1)),""))))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31529039</v>
      </c>
      <c r="C545" s="4" t="inlineStr">
        <is>
          <t>ESTRUTURA</t>
        </is>
      </c>
      <c r="D545" s="4" t="inlineStr">
        <is>
          <t>Polimento</t>
        </is>
      </c>
      <c r="E545" s="4" t="inlineStr">
        <is>
          <t>22º PAV.</t>
        </is>
      </c>
      <c r="F545" s="118" t="n">
        <v>46615</v>
      </c>
      <c r="G545" s="118" t="n">
        <v>46615</v>
      </c>
      <c r="H545" s="118" t="n">
        <v>46289</v>
      </c>
      <c r="I545" s="4" t="n">
        <v>0</v>
      </c>
      <c r="J545" s="4" t="n">
        <v>0</v>
      </c>
      <c r="K545" s="4" t="n">
        <v>0</v>
      </c>
      <c r="M545" s="2">
        <f>IF(C545="","",IFERROR(INDEX($S$5:$S$304,MATCH(C545,$R$5:$R$304,0))&amp;"","?"))</f>
        <v/>
      </c>
      <c r="N545" s="2">
        <f>IF(E545="","",IF(LEFT(E545,7)="SUBSOLO",-1,IF(LEFT(E545,6)="TÉRREO",0,IFERROR(VALUE(LEFT(E545,FIND("º",SUBSTITUTE(E545,"°","º"))-1)),""))))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30171477</v>
      </c>
      <c r="C546" s="4" t="inlineStr">
        <is>
          <t>SERRALHERIA</t>
        </is>
      </c>
      <c r="D546" s="4" t="inlineStr">
        <is>
          <t>-</t>
        </is>
      </c>
      <c r="E546" s="4" t="inlineStr">
        <is>
          <t>2º PAV - GARAGEM</t>
        </is>
      </c>
      <c r="F546" s="118" t="n">
        <v>46608</v>
      </c>
      <c r="G546" s="118" t="n">
        <v>46619</v>
      </c>
      <c r="H546" s="118" t="n">
        <v>46289</v>
      </c>
      <c r="I546" s="4" t="n">
        <v>0</v>
      </c>
      <c r="J546" s="4" t="n">
        <v>0</v>
      </c>
      <c r="K546" s="4" t="n">
        <v>0</v>
      </c>
      <c r="M546" s="2">
        <f>IF(C546="","",IFERROR(INDEX($S$5:$S$304,MATCH(C546,$R$5:$R$304,0))&amp;"","?"))</f>
        <v/>
      </c>
      <c r="N546" s="2">
        <f>IF(E546="","",IF(LEFT(E546,7)="SUBSOLO",-1,IF(LEFT(E546,6)="TÉRREO",0,IFERROR(VALUE(LEFT(E546,FIND("º",SUBSTITUTE(E546,"°","º"))-1)),""))))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30171478</v>
      </c>
      <c r="C547" s="4" t="inlineStr">
        <is>
          <t>REBOCO INTERNO</t>
        </is>
      </c>
      <c r="D547" s="4" t="inlineStr">
        <is>
          <t>-</t>
        </is>
      </c>
      <c r="E547" s="4" t="inlineStr">
        <is>
          <t>2º PAV - GARAGEM</t>
        </is>
      </c>
      <c r="F547" s="118" t="n">
        <v>46608</v>
      </c>
      <c r="G547" s="118" t="n">
        <v>46668</v>
      </c>
      <c r="H547" s="118" t="n">
        <v>46289</v>
      </c>
      <c r="I547" s="4" t="n">
        <v>0</v>
      </c>
      <c r="J547" s="4" t="n">
        <v>0</v>
      </c>
      <c r="K547" s="4" t="n">
        <v>0</v>
      </c>
      <c r="M547" s="2">
        <f>IF(C547="","",IFERROR(INDEX($S$5:$S$304,MATCH(C547,$R$5:$R$304,0))&amp;"","?"))</f>
        <v/>
      </c>
      <c r="N547" s="2">
        <f>IF(E547="","",IF(LEFT(E547,7)="SUBSOLO",-1,IF(LEFT(E547,6)="TÉRREO",0,IFERROR(VALUE(LEFT(E547,FIND("º",SUBSTITUTE(E547,"°","º"))-1)),""))))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29981546</v>
      </c>
      <c r="C548" s="4" t="inlineStr">
        <is>
          <t>IMPERMEABILIZAÇÃO</t>
        </is>
      </c>
      <c r="D548" s="4" t="inlineStr">
        <is>
          <t>-</t>
        </is>
      </c>
      <c r="E548" s="4" t="inlineStr">
        <is>
          <t>7º PAV.</t>
        </is>
      </c>
      <c r="F548" s="118" t="n">
        <v>46610</v>
      </c>
      <c r="G548" s="118" t="n">
        <v>46622</v>
      </c>
      <c r="H548" s="118" t="n">
        <v>46289</v>
      </c>
      <c r="I548" s="4" t="n">
        <v>0</v>
      </c>
      <c r="J548" s="4" t="n">
        <v>0</v>
      </c>
      <c r="K548" s="4" t="n">
        <v>0</v>
      </c>
      <c r="M548" s="2">
        <f>IF(C548="","",IFERROR(INDEX($S$5:$S$304,MATCH(C548,$R$5:$R$304,0))&amp;"","?"))</f>
        <v/>
      </c>
      <c r="N548" s="2">
        <f>IF(E548="","",IF(LEFT(E548,7)="SUBSOLO",-1,IF(LEFT(E548,6)="TÉRREO",0,IFERROR(VALUE(LEFT(E548,FIND("º",SUBSTITUTE(E548,"°","º"))-1)),""))))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32750434</v>
      </c>
      <c r="C549" s="4" t="inlineStr">
        <is>
          <t>DRYWALL 2º FACE</t>
        </is>
      </c>
      <c r="D549" s="4" t="inlineStr">
        <is>
          <t>-</t>
        </is>
      </c>
      <c r="E549" s="4" t="inlineStr">
        <is>
          <t>8º PAV.</t>
        </is>
      </c>
      <c r="F549" s="118" t="n">
        <v>46610</v>
      </c>
      <c r="G549" s="118" t="n">
        <v>46622</v>
      </c>
      <c r="H549" s="118" t="n">
        <v>46289</v>
      </c>
      <c r="I549" s="4" t="n">
        <v>0</v>
      </c>
      <c r="J549" s="4" t="n">
        <v>0</v>
      </c>
      <c r="K549" s="4" t="n">
        <v>0</v>
      </c>
      <c r="M549" s="2">
        <f>IF(C549="","",IFERROR(INDEX($S$5:$S$304,MATCH(C549,$R$5:$R$304,0))&amp;"","?"))</f>
        <v/>
      </c>
      <c r="N549" s="2">
        <f>IF(E549="","",IF(LEFT(E549,7)="SUBSOLO",-1,IF(LEFT(E549,6)="TÉRREO",0,IFERROR(VALUE(LEFT(E549,FIND("º",SUBSTITUTE(E549,"°","º"))-1)),""))))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32750357</v>
      </c>
      <c r="C550" s="4" t="inlineStr">
        <is>
          <t>DISTRIBUIÇÃO DE GÁS - DRYWALL</t>
        </is>
      </c>
      <c r="D550" s="4" t="inlineStr">
        <is>
          <t>-</t>
        </is>
      </c>
      <c r="E550" s="4" t="inlineStr">
        <is>
          <t>9º PAV.</t>
        </is>
      </c>
      <c r="F550" s="118" t="n">
        <v>46610</v>
      </c>
      <c r="G550" s="118" t="n">
        <v>46622</v>
      </c>
      <c r="H550" s="118" t="n">
        <v>46289</v>
      </c>
      <c r="I550" s="4" t="n">
        <v>0</v>
      </c>
      <c r="J550" s="4" t="n">
        <v>0</v>
      </c>
      <c r="K550" s="4" t="n">
        <v>0</v>
      </c>
      <c r="M550" s="2">
        <f>IF(C550="","",IFERROR(INDEX($S$5:$S$304,MATCH(C550,$R$5:$R$304,0))&amp;"","?"))</f>
        <v/>
      </c>
      <c r="N550" s="2">
        <f>IF(E550="","",IF(LEFT(E550,7)="SUBSOLO",-1,IF(LEFT(E550,6)="TÉRREO",0,IFERROR(VALUE(LEFT(E550,FIND("º",SUBSTITUTE(E550,"°","º"))-1)),""))))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32750383</v>
      </c>
      <c r="C551" s="4" t="inlineStr">
        <is>
          <t>DISTRIBUIÇÃO ELÉTRICA/QUADRO - DRYWALL</t>
        </is>
      </c>
      <c r="D551" s="4" t="inlineStr">
        <is>
          <t>-</t>
        </is>
      </c>
      <c r="E551" s="4" t="inlineStr">
        <is>
          <t>9º PAV.</t>
        </is>
      </c>
      <c r="F551" s="118" t="n">
        <v>46610</v>
      </c>
      <c r="G551" s="118" t="n">
        <v>46622</v>
      </c>
      <c r="H551" s="118" t="n">
        <v>46289</v>
      </c>
      <c r="I551" s="4" t="n">
        <v>0</v>
      </c>
      <c r="J551" s="4" t="n">
        <v>0</v>
      </c>
      <c r="K551" s="4" t="n">
        <v>0</v>
      </c>
      <c r="M551" s="2">
        <f>IF(C551="","",IFERROR(INDEX($S$5:$S$304,MATCH(C551,$R$5:$R$304,0))&amp;"","?"))</f>
        <v/>
      </c>
      <c r="N551" s="2">
        <f>IF(E551="","",IF(LEFT(E551,7)="SUBSOLO",-1,IF(LEFT(E551,6)="TÉRREO",0,IFERROR(VALUE(LEFT(E551,FIND("º",SUBSTITUTE(E551,"°","º"))-1)),""))))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32750409</v>
      </c>
      <c r="C552" s="4" t="inlineStr">
        <is>
          <t>DISTRIBUIÇÃO HIDRÁULICA - DRYWALL</t>
        </is>
      </c>
      <c r="D552" s="4" t="inlineStr">
        <is>
          <t>-</t>
        </is>
      </c>
      <c r="E552" s="4" t="inlineStr">
        <is>
          <t>9º PAV.</t>
        </is>
      </c>
      <c r="F552" s="118" t="n">
        <v>46610</v>
      </c>
      <c r="G552" s="118" t="n">
        <v>46622</v>
      </c>
      <c r="H552" s="118" t="n">
        <v>46289</v>
      </c>
      <c r="I552" s="4" t="n">
        <v>0</v>
      </c>
      <c r="J552" s="4" t="n">
        <v>0</v>
      </c>
      <c r="K552" s="4" t="n">
        <v>0</v>
      </c>
      <c r="M552" s="2">
        <f>IF(C552="","",IFERROR(INDEX($S$5:$S$304,MATCH(C552,$R$5:$R$304,0))&amp;"","?"))</f>
        <v/>
      </c>
      <c r="N552" s="2">
        <f>IF(E552="","",IF(LEFT(E552,7)="SUBSOLO",-1,IF(LEFT(E552,6)="TÉRREO",0,IFERROR(VALUE(LEFT(E552,FIND("º",SUBSTITUTE(E552,"°","º"))-1)),""))))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33896827</v>
      </c>
      <c r="C553" s="4" t="inlineStr">
        <is>
          <t>INFRAESTRUTURA - AR CONDICIONADO</t>
        </is>
      </c>
      <c r="D553" s="4" t="inlineStr">
        <is>
          <t>-</t>
        </is>
      </c>
      <c r="E553" s="4" t="inlineStr">
        <is>
          <t>9º PAV.</t>
        </is>
      </c>
      <c r="F553" s="118" t="n">
        <v>46610</v>
      </c>
      <c r="G553" s="118" t="n">
        <v>46622</v>
      </c>
      <c r="H553" s="118" t="n">
        <v>46289</v>
      </c>
      <c r="I553" s="4" t="n">
        <v>0</v>
      </c>
      <c r="J553" s="4" t="n">
        <v>0</v>
      </c>
      <c r="K553" s="4" t="n">
        <v>0</v>
      </c>
      <c r="M553" s="2">
        <f>IF(C553="","",IFERROR(INDEX($S$5:$S$304,MATCH(C553,$R$5:$R$304,0))&amp;"","?"))</f>
        <v/>
      </c>
      <c r="N553" s="2">
        <f>IF(E553="","",IF(LEFT(E553,7)="SUBSOLO",-1,IF(LEFT(E553,6)="TÉRREO",0,IFERROR(VALUE(LEFT(E553,FIND("º",SUBSTITUTE(E553,"°","º"))-1)),""))))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32749853</v>
      </c>
      <c r="C554" s="4" t="inlineStr">
        <is>
          <t>DRYWALL 1º FACE</t>
        </is>
      </c>
      <c r="D554" s="4" t="inlineStr">
        <is>
          <t>-</t>
        </is>
      </c>
      <c r="E554" s="4" t="inlineStr">
        <is>
          <t>10º PAV.</t>
        </is>
      </c>
      <c r="F554" s="118" t="n">
        <v>46610</v>
      </c>
      <c r="G554" s="118" t="n">
        <v>46622</v>
      </c>
      <c r="H554" s="118" t="n">
        <v>46289</v>
      </c>
      <c r="I554" s="4" t="n">
        <v>0</v>
      </c>
      <c r="J554" s="4" t="n">
        <v>0</v>
      </c>
      <c r="K554" s="4" t="n">
        <v>0</v>
      </c>
      <c r="M554" s="2">
        <f>IF(C554="","",IFERROR(INDEX($S$5:$S$304,MATCH(C554,$R$5:$R$304,0))&amp;"","?"))</f>
        <v/>
      </c>
      <c r="N554" s="2">
        <f>IF(E554="","",IF(LEFT(E554,7)="SUBSOLO",-1,IF(LEFT(E554,6)="TÉRREO",0,IFERROR(VALUE(LEFT(E554,FIND("º",SUBSTITUTE(E554,"°","º"))-1)),""))))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29981399</v>
      </c>
      <c r="C555" s="4" t="inlineStr">
        <is>
          <t>CONTRAPISO</t>
        </is>
      </c>
      <c r="D555" s="4" t="inlineStr">
        <is>
          <t>-</t>
        </is>
      </c>
      <c r="E555" s="4" t="inlineStr">
        <is>
          <t>11º PAV.</t>
        </is>
      </c>
      <c r="F555" s="118" t="n">
        <v>46610</v>
      </c>
      <c r="G555" s="118" t="n">
        <v>46622</v>
      </c>
      <c r="H555" s="118" t="n">
        <v>46289</v>
      </c>
      <c r="I555" s="4" t="n">
        <v>0</v>
      </c>
      <c r="J555" s="4" t="n">
        <v>0</v>
      </c>
      <c r="K555" s="4" t="n">
        <v>0</v>
      </c>
      <c r="M555" s="2">
        <f>IF(C555="","",IFERROR(INDEX($S$5:$S$304,MATCH(C555,$R$5:$R$304,0))&amp;"","?"))</f>
        <v/>
      </c>
      <c r="N555" s="2">
        <f>IF(E555="","",IF(LEFT(E555,7)="SUBSOLO",-1,IF(LEFT(E555,6)="TÉRREO",0,IFERROR(VALUE(LEFT(E555,FIND("º",SUBSTITUTE(E555,"°","º"))-1)),""))))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29981339</v>
      </c>
      <c r="C556" s="4" t="inlineStr">
        <is>
          <t>SHAFT INTERNO INST. HIDRAÚLICAS</t>
        </is>
      </c>
      <c r="D556" s="4" t="inlineStr">
        <is>
          <t>-</t>
        </is>
      </c>
      <c r="E556" s="4" t="inlineStr">
        <is>
          <t>12º PAV.</t>
        </is>
      </c>
      <c r="F556" s="118" t="n">
        <v>46610</v>
      </c>
      <c r="G556" s="118" t="n">
        <v>46622</v>
      </c>
      <c r="H556" s="118" t="n">
        <v>46289</v>
      </c>
      <c r="I556" s="4" t="n">
        <v>0</v>
      </c>
      <c r="J556" s="4" t="n">
        <v>0</v>
      </c>
      <c r="K556" s="4" t="n">
        <v>0</v>
      </c>
      <c r="M556" s="2">
        <f>IF(C556="","",IFERROR(INDEX($S$5:$S$304,MATCH(C556,$R$5:$R$304,0))&amp;"","?"))</f>
        <v/>
      </c>
      <c r="N556" s="2">
        <f>IF(E556="","",IF(LEFT(E556,7)="SUBSOLO",-1,IF(LEFT(E556,6)="TÉRREO",0,IFERROR(VALUE(LEFT(E556,FIND("º",SUBSTITUTE(E556,"°","º"))-1)),""))))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29981372</v>
      </c>
      <c r="C557" s="4" t="inlineStr">
        <is>
          <t>PRUMADA ELÉTRICA - INFRA</t>
        </is>
      </c>
      <c r="D557" s="4" t="inlineStr">
        <is>
          <t>-</t>
        </is>
      </c>
      <c r="E557" s="4" t="inlineStr">
        <is>
          <t>12º PAV.</t>
        </is>
      </c>
      <c r="F557" s="118" t="n">
        <v>46610</v>
      </c>
      <c r="G557" s="118" t="n">
        <v>46622</v>
      </c>
      <c r="H557" s="118" t="n">
        <v>46289</v>
      </c>
      <c r="I557" s="4" t="n">
        <v>0</v>
      </c>
      <c r="J557" s="4" t="n">
        <v>0</v>
      </c>
      <c r="K557" s="4" t="n">
        <v>0</v>
      </c>
      <c r="M557" s="2">
        <f>IF(C557="","",IFERROR(INDEX($S$5:$S$304,MATCH(C557,$R$5:$R$304,0))&amp;"","?"))</f>
        <v/>
      </c>
      <c r="N557" s="2">
        <f>IF(E557="","",IF(LEFT(E557,7)="SUBSOLO",-1,IF(LEFT(E557,6)="TÉRREO",0,IFERROR(VALUE(LEFT(E557,FIND("º",SUBSTITUTE(E557,"°","º"))-1)),""))))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29981301</v>
      </c>
      <c r="C558" s="4" t="inlineStr">
        <is>
          <t>REBOCO INTERNO</t>
        </is>
      </c>
      <c r="D558" s="4" t="inlineStr">
        <is>
          <t>-</t>
        </is>
      </c>
      <c r="E558" s="4" t="inlineStr">
        <is>
          <t>13º PAV.</t>
        </is>
      </c>
      <c r="F558" s="118" t="n">
        <v>46610</v>
      </c>
      <c r="G558" s="118" t="n">
        <v>46622</v>
      </c>
      <c r="H558" s="118" t="n">
        <v>46289</v>
      </c>
      <c r="I558" s="4" t="n">
        <v>0</v>
      </c>
      <c r="J558" s="4" t="n">
        <v>0</v>
      </c>
      <c r="K558" s="4" t="n">
        <v>0</v>
      </c>
      <c r="M558" s="2">
        <f>IF(C558="","",IFERROR(INDEX($S$5:$S$304,MATCH(C558,$R$5:$R$304,0))&amp;"","?"))</f>
        <v/>
      </c>
      <c r="N558" s="2">
        <f>IF(E558="","",IF(LEFT(E558,7)="SUBSOLO",-1,IF(LEFT(E558,6)="TÉRREO",0,IFERROR(VALUE(LEFT(E558,FIND("º",SUBSTITUTE(E558,"°","º"))-1)),""))))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29981267</v>
      </c>
      <c r="C559" s="4" t="inlineStr">
        <is>
          <t>CONTRAMARCO</t>
        </is>
      </c>
      <c r="D559" s="4" t="inlineStr">
        <is>
          <t>-</t>
        </is>
      </c>
      <c r="E559" s="4" t="inlineStr">
        <is>
          <t>14º PAV.</t>
        </is>
      </c>
      <c r="F559" s="118" t="n">
        <v>46610</v>
      </c>
      <c r="G559" s="118" t="n">
        <v>46622</v>
      </c>
      <c r="H559" s="118" t="n">
        <v>46289</v>
      </c>
      <c r="I559" s="4" t="n">
        <v>0</v>
      </c>
      <c r="J559" s="4" t="n">
        <v>0</v>
      </c>
      <c r="K559" s="4" t="n">
        <v>0</v>
      </c>
      <c r="M559" s="2">
        <f>IF(C559="","",IFERROR(INDEX($S$5:$S$304,MATCH(C559,$R$5:$R$304,0))&amp;"","?"))</f>
        <v/>
      </c>
      <c r="N559" s="2">
        <f>IF(E559="","",IF(LEFT(E559,7)="SUBSOLO",-1,IF(LEFT(E559,6)="TÉRREO",0,IFERROR(VALUE(LEFT(E559,FIND("º",SUBSTITUTE(E559,"°","º"))-1)),""))))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29981260</v>
      </c>
      <c r="C560" s="4" t="inlineStr">
        <is>
          <t>DISTRIBUIÇÃO HIDROSSANITÁRIA</t>
        </is>
      </c>
      <c r="D560" s="4" t="inlineStr">
        <is>
          <t>-</t>
        </is>
      </c>
      <c r="E560" s="4" t="inlineStr">
        <is>
          <t>15º PAV.</t>
        </is>
      </c>
      <c r="F560" s="118" t="n">
        <v>46610</v>
      </c>
      <c r="G560" s="118" t="n">
        <v>46622</v>
      </c>
      <c r="H560" s="118" t="n">
        <v>46289</v>
      </c>
      <c r="I560" s="4" t="n">
        <v>0</v>
      </c>
      <c r="J560" s="4" t="n">
        <v>0</v>
      </c>
      <c r="K560" s="4" t="n">
        <v>0</v>
      </c>
      <c r="M560" s="2">
        <f>IF(C560="","",IFERROR(INDEX($S$5:$S$304,MATCH(C560,$R$5:$R$304,0))&amp;"","?"))</f>
        <v/>
      </c>
      <c r="N560" s="2">
        <f>IF(E560="","",IF(LEFT(E560,7)="SUBSOLO",-1,IF(LEFT(E560,6)="TÉRREO",0,IFERROR(VALUE(LEFT(E560,FIND("º",SUBSTITUTE(E560,"°","º"))-1)),""))))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29981229</v>
      </c>
      <c r="C561" s="4" t="inlineStr">
        <is>
          <t>DISTRIBUIÇÃO ELÉTRICA / QUADRO</t>
        </is>
      </c>
      <c r="D561" s="4" t="inlineStr">
        <is>
          <t>-</t>
        </is>
      </c>
      <c r="E561" s="4" t="inlineStr">
        <is>
          <t>15º PAV.</t>
        </is>
      </c>
      <c r="F561" s="118" t="n">
        <v>46610</v>
      </c>
      <c r="G561" s="118" t="n">
        <v>46622</v>
      </c>
      <c r="H561" s="118" t="n">
        <v>46289</v>
      </c>
      <c r="I561" s="4" t="n">
        <v>0</v>
      </c>
      <c r="J561" s="4" t="n">
        <v>0</v>
      </c>
      <c r="K561" s="4" t="n">
        <v>0</v>
      </c>
      <c r="M561" s="2">
        <f>IF(C561="","",IFERROR(INDEX($S$5:$S$304,MATCH(C561,$R$5:$R$304,0))&amp;"","?"))</f>
        <v/>
      </c>
      <c r="N561" s="2">
        <f>IF(E561="","",IF(LEFT(E561,7)="SUBSOLO",-1,IF(LEFT(E561,6)="TÉRREO",0,IFERROR(VALUE(LEFT(E561,FIND("º",SUBSTITUTE(E561,"°","º"))-1)),""))))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29981262</v>
      </c>
      <c r="C562" s="4" t="inlineStr">
        <is>
          <t>DISTRIBUIÇÃO DE GÁS</t>
        </is>
      </c>
      <c r="D562" s="4" t="inlineStr">
        <is>
          <t>-</t>
        </is>
      </c>
      <c r="E562" s="4" t="inlineStr">
        <is>
          <t>15º PAV.</t>
        </is>
      </c>
      <c r="F562" s="118" t="n">
        <v>46610</v>
      </c>
      <c r="G562" s="118" t="n">
        <v>46622</v>
      </c>
      <c r="H562" s="118" t="n">
        <v>46289</v>
      </c>
      <c r="I562" s="4" t="n">
        <v>0</v>
      </c>
      <c r="J562" s="4" t="n">
        <v>0</v>
      </c>
      <c r="K562" s="4" t="n">
        <v>0</v>
      </c>
      <c r="M562" s="2">
        <f>IF(C562="","",IFERROR(INDEX($S$5:$S$304,MATCH(C562,$R$5:$R$304,0))&amp;"","?"))</f>
        <v/>
      </c>
      <c r="N562" s="2">
        <f>IF(E562="","",IF(LEFT(E562,7)="SUBSOLO",-1,IF(LEFT(E562,6)="TÉRREO",0,IFERROR(VALUE(LEFT(E562,FIND("º",SUBSTITUTE(E562,"°","º"))-1)),""))))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29981209</v>
      </c>
      <c r="C563" s="4" t="inlineStr">
        <is>
          <t>TALISCAMENTO</t>
        </is>
      </c>
      <c r="D563" s="4" t="inlineStr">
        <is>
          <t>-</t>
        </is>
      </c>
      <c r="E563" s="4" t="inlineStr">
        <is>
          <t>16º PAV.</t>
        </is>
      </c>
      <c r="F563" s="118" t="n">
        <v>46610</v>
      </c>
      <c r="G563" s="118" t="n">
        <v>46622</v>
      </c>
      <c r="H563" s="118" t="n">
        <v>46289</v>
      </c>
      <c r="I563" s="4" t="n">
        <v>0</v>
      </c>
      <c r="J563" s="4" t="n">
        <v>0</v>
      </c>
      <c r="K563" s="4" t="n">
        <v>0</v>
      </c>
      <c r="M563" s="2">
        <f>IF(C563="","",IFERROR(INDEX($S$5:$S$304,MATCH(C563,$R$5:$R$304,0))&amp;"","?"))</f>
        <v/>
      </c>
      <c r="N563" s="2">
        <f>IF(E563="","",IF(LEFT(E563,7)="SUBSOLO",-1,IF(LEFT(E563,6)="TÉRREO",0,IFERROR(VALUE(LEFT(E563,FIND("º",SUBSTITUTE(E563,"°","º"))-1)),""))))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29981175</v>
      </c>
      <c r="C564" s="4" t="inlineStr">
        <is>
          <t>PRUMADA HIDROSSANITÁRIA</t>
        </is>
      </c>
      <c r="D564" s="4" t="inlineStr">
        <is>
          <t>-</t>
        </is>
      </c>
      <c r="E564" s="4" t="inlineStr">
        <is>
          <t>17º PAV.</t>
        </is>
      </c>
      <c r="F564" s="118" t="n">
        <v>46610</v>
      </c>
      <c r="G564" s="118" t="n">
        <v>46622</v>
      </c>
      <c r="H564" s="118" t="n">
        <v>46289</v>
      </c>
      <c r="I564" s="4" t="n">
        <v>0</v>
      </c>
      <c r="J564" s="4" t="n">
        <v>0</v>
      </c>
      <c r="K564" s="4" t="n">
        <v>0</v>
      </c>
      <c r="M564" s="2">
        <f>IF(C564="","",IFERROR(INDEX($S$5:$S$304,MATCH(C564,$R$5:$R$304,0))&amp;"","?"))</f>
        <v/>
      </c>
      <c r="N564" s="2">
        <f>IF(E564="","",IF(LEFT(E564,7)="SUBSOLO",-1,IF(LEFT(E564,6)="TÉRREO",0,IFERROR(VALUE(LEFT(E564,FIND("º",SUBSTITUTE(E564,"°","º"))-1)),""))))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30205696</v>
      </c>
      <c r="C565" s="4" t="inlineStr">
        <is>
          <t>REBOCO INTERNO</t>
        </is>
      </c>
      <c r="D565" s="4" t="inlineStr">
        <is>
          <t>-</t>
        </is>
      </c>
      <c r="E565" s="4" t="inlineStr">
        <is>
          <t>TÉRREO - LOJA 1</t>
        </is>
      </c>
      <c r="F565" s="118" t="n">
        <v>46611</v>
      </c>
      <c r="G565" s="118" t="n">
        <v>46624</v>
      </c>
      <c r="H565" s="118" t="n">
        <v>46289</v>
      </c>
      <c r="I565" s="4" t="n">
        <v>0</v>
      </c>
      <c r="J565" s="4" t="n">
        <v>0</v>
      </c>
      <c r="K565" s="4" t="n">
        <v>0</v>
      </c>
      <c r="M565" s="2">
        <f>IF(C565="","",IFERROR(INDEX($S$5:$S$304,MATCH(C565,$R$5:$R$304,0))&amp;"","?"))</f>
        <v/>
      </c>
      <c r="N565" s="2">
        <f>IF(E565="","",IF(LEFT(E565,7)="SUBSOLO",-1,IF(LEFT(E565,6)="TÉRREO",0,IFERROR(VALUE(LEFT(E565,FIND("º",SUBSTITUTE(E565,"°","º"))-1)),""))))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30205665</v>
      </c>
      <c r="C566" s="4" t="inlineStr">
        <is>
          <t>DISTRIBUIÇÃO ELÉTRICA / QUADRO</t>
        </is>
      </c>
      <c r="D566" s="4" t="inlineStr">
        <is>
          <t>-</t>
        </is>
      </c>
      <c r="E566" s="4" t="inlineStr">
        <is>
          <t>TÉRREO - LOJA 2</t>
        </is>
      </c>
      <c r="F566" s="118" t="n">
        <v>46611</v>
      </c>
      <c r="G566" s="118" t="n">
        <v>46619</v>
      </c>
      <c r="H566" s="118" t="n">
        <v>46289</v>
      </c>
      <c r="I566" s="4" t="n">
        <v>0</v>
      </c>
      <c r="J566" s="4" t="n">
        <v>0</v>
      </c>
      <c r="K566" s="4" t="n">
        <v>0</v>
      </c>
      <c r="M566" s="2">
        <f>IF(C566="","",IFERROR(INDEX($S$5:$S$304,MATCH(C566,$R$5:$R$304,0))&amp;"","?"))</f>
        <v/>
      </c>
      <c r="N566" s="2">
        <f>IF(E566="","",IF(LEFT(E566,7)="SUBSOLO",-1,IF(LEFT(E566,6)="TÉRREO",0,IFERROR(VALUE(LEFT(E566,FIND("º",SUBSTITUTE(E566,"°","º"))-1)),""))))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30205666</v>
      </c>
      <c r="C567" s="4" t="inlineStr">
        <is>
          <t>DISTRIBUIÇÃO HIDRÁULICA</t>
        </is>
      </c>
      <c r="D567" s="4" t="inlineStr">
        <is>
          <t>-</t>
        </is>
      </c>
      <c r="E567" s="4" t="inlineStr">
        <is>
          <t>TÉRREO - LOJA 2</t>
        </is>
      </c>
      <c r="F567" s="118" t="n">
        <v>46611</v>
      </c>
      <c r="G567" s="118" t="n">
        <v>46624</v>
      </c>
      <c r="H567" s="118" t="n">
        <v>46289</v>
      </c>
      <c r="I567" s="4" t="n">
        <v>0</v>
      </c>
      <c r="J567" s="4" t="n">
        <v>0</v>
      </c>
      <c r="K567" s="4" t="n">
        <v>0</v>
      </c>
      <c r="M567" s="2">
        <f>IF(C567="","",IFERROR(INDEX($S$5:$S$304,MATCH(C567,$R$5:$R$304,0))&amp;"","?"))</f>
        <v/>
      </c>
      <c r="N567" s="2">
        <f>IF(E567="","",IF(LEFT(E567,7)="SUBSOLO",-1,IF(LEFT(E567,6)="TÉRREO",0,IFERROR(VALUE(LEFT(E567,FIND("º",SUBSTITUTE(E567,"°","º"))-1)),""))))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30205637</v>
      </c>
      <c r="C568" s="4" t="inlineStr">
        <is>
          <t>TALISCAMENTO</t>
        </is>
      </c>
      <c r="D568" s="4" t="inlineStr">
        <is>
          <t>-</t>
        </is>
      </c>
      <c r="E568" s="4" t="inlineStr">
        <is>
          <t>TÉRREO - LOJA 3</t>
        </is>
      </c>
      <c r="F568" s="118" t="n">
        <v>46611</v>
      </c>
      <c r="G568" s="118" t="n">
        <v>46624</v>
      </c>
      <c r="H568" s="118" t="n">
        <v>46289</v>
      </c>
      <c r="I568" s="4" t="n">
        <v>0</v>
      </c>
      <c r="J568" s="4" t="n">
        <v>0</v>
      </c>
      <c r="K568" s="4" t="n">
        <v>0</v>
      </c>
      <c r="M568" s="2">
        <f>IF(C568="","",IFERROR(INDEX($S$5:$S$304,MATCH(C568,$R$5:$R$304,0))&amp;"","?"))</f>
        <v/>
      </c>
      <c r="N568" s="2">
        <f>IF(E568="","",IF(LEFT(E568,7)="SUBSOLO",-1,IF(LEFT(E568,6)="TÉRREO",0,IFERROR(VALUE(LEFT(E568,FIND("º",SUBSTITUTE(E568,"°","º"))-1)),""))))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30205604</v>
      </c>
      <c r="C569" s="4" t="inlineStr">
        <is>
          <t>PRUMADA HIDROSSANITÁRIA</t>
        </is>
      </c>
      <c r="D569" s="4" t="inlineStr">
        <is>
          <t>-</t>
        </is>
      </c>
      <c r="E569" s="4" t="inlineStr">
        <is>
          <t>TÉRREO - LOJA 4</t>
        </is>
      </c>
      <c r="F569" s="118" t="n">
        <v>46611</v>
      </c>
      <c r="G569" s="118" t="n">
        <v>46624</v>
      </c>
      <c r="H569" s="118" t="n">
        <v>46289</v>
      </c>
      <c r="I569" s="4" t="n">
        <v>0</v>
      </c>
      <c r="J569" s="4" t="n">
        <v>0</v>
      </c>
      <c r="K569" s="4" t="n">
        <v>0</v>
      </c>
      <c r="M569" s="2">
        <f>IF(C569="","",IFERROR(INDEX($S$5:$S$304,MATCH(C569,$R$5:$R$304,0))&amp;"","?"))</f>
        <v/>
      </c>
      <c r="N569" s="2">
        <f>IF(E569="","",IF(LEFT(E569,7)="SUBSOLO",-1,IF(LEFT(E569,6)="TÉRREO",0,IFERROR(VALUE(LEFT(E569,FIND("º",SUBSTITUTE(E569,"°","º"))-1)),""))))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30205603</v>
      </c>
      <c r="C570" s="4" t="inlineStr">
        <is>
          <t>PRUMADA DE INCÊNDIO</t>
        </is>
      </c>
      <c r="D570" s="4" t="inlineStr">
        <is>
          <t>-</t>
        </is>
      </c>
      <c r="E570" s="4" t="inlineStr">
        <is>
          <t>TÉRREO - LOJA 4</t>
        </is>
      </c>
      <c r="F570" s="118" t="n">
        <v>46611</v>
      </c>
      <c r="G570" s="118" t="n">
        <v>46624</v>
      </c>
      <c r="H570" s="118" t="n">
        <v>46289</v>
      </c>
      <c r="I570" s="4" t="n">
        <v>0</v>
      </c>
      <c r="J570" s="4" t="n">
        <v>0</v>
      </c>
      <c r="K570" s="4" t="n">
        <v>0</v>
      </c>
      <c r="M570" s="2">
        <f>IF(C570="","",IFERROR(INDEX($S$5:$S$304,MATCH(C570,$R$5:$R$304,0))&amp;"","?"))</f>
        <v/>
      </c>
      <c r="N570" s="2">
        <f>IF(E570="","",IF(LEFT(E570,7)="SUBSOLO",-1,IF(LEFT(E570,6)="TÉRREO",0,IFERROR(VALUE(LEFT(E570,FIND("º",SUBSTITUTE(E570,"°","º"))-1)),""))))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30205605</v>
      </c>
      <c r="C571" s="4" t="inlineStr">
        <is>
          <t>ENCUNHAMENTO</t>
        </is>
      </c>
      <c r="D571" s="4" t="inlineStr">
        <is>
          <t>-</t>
        </is>
      </c>
      <c r="E571" s="4" t="inlineStr">
        <is>
          <t>TÉRREO - LOJA 4</t>
        </is>
      </c>
      <c r="F571" s="118" t="n">
        <v>46611</v>
      </c>
      <c r="G571" s="118" t="n">
        <v>46624</v>
      </c>
      <c r="H571" s="118" t="n">
        <v>46289</v>
      </c>
      <c r="I571" s="4" t="n">
        <v>0</v>
      </c>
      <c r="J571" s="4" t="n">
        <v>0</v>
      </c>
      <c r="K571" s="4" t="n">
        <v>0</v>
      </c>
      <c r="M571" s="2">
        <f>IF(C571="","",IFERROR(INDEX($S$5:$S$304,MATCH(C571,$R$5:$R$304,0))&amp;"","?"))</f>
        <v/>
      </c>
      <c r="N571" s="2">
        <f>IF(E571="","",IF(LEFT(E571,7)="SUBSOLO",-1,IF(LEFT(E571,6)="TÉRREO",0,IFERROR(VALUE(LEFT(E571,FIND("º",SUBSTITUTE(E571,"°","º"))-1)),""))))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30205575</v>
      </c>
      <c r="C572" s="4" t="inlineStr">
        <is>
          <t>ALVENARIA</t>
        </is>
      </c>
      <c r="D572" s="4" t="inlineStr">
        <is>
          <t>-</t>
        </is>
      </c>
      <c r="E572" s="4" t="inlineStr">
        <is>
          <t>TÉRREO - LOJA 5</t>
        </is>
      </c>
      <c r="F572" s="118" t="n">
        <v>46611</v>
      </c>
      <c r="G572" s="118" t="n">
        <v>46624</v>
      </c>
      <c r="H572" s="118" t="n">
        <v>46289</v>
      </c>
      <c r="I572" s="4" t="n">
        <v>0</v>
      </c>
      <c r="J572" s="4" t="n">
        <v>0</v>
      </c>
      <c r="K572" s="4" t="n">
        <v>0</v>
      </c>
      <c r="M572" s="2">
        <f>IF(C572="","",IFERROR(INDEX($S$5:$S$304,MATCH(C572,$R$5:$R$304,0))&amp;"","?"))</f>
        <v/>
      </c>
      <c r="N572" s="2">
        <f>IF(E572="","",IF(LEFT(E572,7)="SUBSOLO",-1,IF(LEFT(E572,6)="TÉRREO",0,IFERROR(VALUE(LEFT(E572,FIND("º",SUBSTITUTE(E572,"°","º"))-1)),""))))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30171454</v>
      </c>
      <c r="C573" s="4" t="inlineStr">
        <is>
          <t>TALISCAMENTO</t>
        </is>
      </c>
      <c r="D573" s="4" t="inlineStr">
        <is>
          <t>-</t>
        </is>
      </c>
      <c r="E573" s="4" t="inlineStr">
        <is>
          <t>3º PAV - GARAGEM</t>
        </is>
      </c>
      <c r="F573" s="118" t="n">
        <v>46612</v>
      </c>
      <c r="G573" s="118" t="n">
        <v>46625</v>
      </c>
      <c r="H573" s="118" t="n">
        <v>46289</v>
      </c>
      <c r="I573" s="4" t="n">
        <v>0</v>
      </c>
      <c r="J573" s="4" t="n">
        <v>0</v>
      </c>
      <c r="K573" s="4" t="n">
        <v>0</v>
      </c>
      <c r="M573" s="2">
        <f>IF(C573="","",IFERROR(INDEX($S$5:$S$304,MATCH(C573,$R$5:$R$304,0))&amp;"","?"))</f>
        <v/>
      </c>
      <c r="N573" s="2">
        <f>IF(E573="","",IF(LEFT(E573,7)="SUBSOLO",-1,IF(LEFT(E573,6)="TÉRREO",0,IFERROR(VALUE(LEFT(E573,FIND("º",SUBSTITUTE(E573,"°","º"))-1)),""))))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30171460</v>
      </c>
      <c r="C574" s="4" t="inlineStr">
        <is>
          <t>CHUMBAMENTO DE PCF</t>
        </is>
      </c>
      <c r="D574" s="4" t="inlineStr">
        <is>
          <t>-</t>
        </is>
      </c>
      <c r="E574" s="4" t="inlineStr">
        <is>
          <t>3º PAV - GARAGEM</t>
        </is>
      </c>
      <c r="F574" s="118" t="n">
        <v>46612</v>
      </c>
      <c r="G574" s="118" t="n">
        <v>46625</v>
      </c>
      <c r="H574" s="118" t="n">
        <v>46289</v>
      </c>
      <c r="I574" s="4" t="n">
        <v>0</v>
      </c>
      <c r="J574" s="4" t="n">
        <v>0</v>
      </c>
      <c r="K574" s="4" t="n">
        <v>0</v>
      </c>
      <c r="M574" s="2">
        <f>IF(C574="","",IFERROR(INDEX($S$5:$S$304,MATCH(C574,$R$5:$R$304,0))&amp;"","?"))</f>
        <v/>
      </c>
      <c r="N574" s="2">
        <f>IF(E574="","",IF(LEFT(E574,7)="SUBSOLO",-1,IF(LEFT(E574,6)="TÉRREO",0,IFERROR(VALUE(LEFT(E574,FIND("º",SUBSTITUTE(E574,"°","º"))-1)),""))))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30171425</v>
      </c>
      <c r="C575" s="4" t="inlineStr">
        <is>
          <t>ALVENARIA</t>
        </is>
      </c>
      <c r="D575" s="4" t="inlineStr">
        <is>
          <t>-</t>
        </is>
      </c>
      <c r="E575" s="4" t="inlineStr">
        <is>
          <t>4º PAV - GARAGEM</t>
        </is>
      </c>
      <c r="F575" s="118" t="n">
        <v>46612</v>
      </c>
      <c r="G575" s="118" t="n">
        <v>46675</v>
      </c>
      <c r="H575" s="118" t="n">
        <v>46289</v>
      </c>
      <c r="I575" s="4" t="n">
        <v>0</v>
      </c>
      <c r="J575" s="4" t="n">
        <v>0</v>
      </c>
      <c r="K575" s="4" t="n">
        <v>0</v>
      </c>
      <c r="M575" s="2">
        <f>IF(C575="","",IFERROR(INDEX($S$5:$S$304,MATCH(C575,$R$5:$R$304,0))&amp;"","?"))</f>
        <v/>
      </c>
      <c r="N575" s="2">
        <f>IF(E575="","",IF(LEFT(E575,7)="SUBSOLO",-1,IF(LEFT(E575,6)="TÉRREO",0,IFERROR(VALUE(LEFT(E575,FIND("º",SUBSTITUTE(E575,"°","º"))-1)),""))))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30171409</v>
      </c>
      <c r="C576" s="4" t="inlineStr">
        <is>
          <t>INFRA ELÉTRICA - TETO</t>
        </is>
      </c>
      <c r="D576" s="4" t="inlineStr">
        <is>
          <t>-</t>
        </is>
      </c>
      <c r="E576" s="4" t="inlineStr">
        <is>
          <t>5º PAV - GARAGEM</t>
        </is>
      </c>
      <c r="F576" s="118" t="n">
        <v>46612</v>
      </c>
      <c r="G576" s="118" t="n">
        <v>46675</v>
      </c>
      <c r="H576" s="118" t="n">
        <v>46289</v>
      </c>
      <c r="I576" s="4" t="n">
        <v>0</v>
      </c>
      <c r="J576" s="4" t="n">
        <v>0</v>
      </c>
      <c r="K576" s="4" t="n">
        <v>0</v>
      </c>
      <c r="M576" s="2">
        <f>IF(C576="","",IFERROR(INDEX($S$5:$S$304,MATCH(C576,$R$5:$R$304,0))&amp;"","?"))</f>
        <v/>
      </c>
      <c r="N576" s="2">
        <f>IF(E576="","",IF(LEFT(E576,7)="SUBSOLO",-1,IF(LEFT(E576,6)="TÉRREO",0,IFERROR(VALUE(LEFT(E576,FIND("º",SUBSTITUTE(E576,"°","º"))-1)),""))))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29981174</v>
      </c>
      <c r="C577" s="4" t="inlineStr">
        <is>
          <t>ENCUNHAMENTO</t>
        </is>
      </c>
      <c r="D577" s="4" t="inlineStr">
        <is>
          <t>-</t>
        </is>
      </c>
      <c r="E577" s="4" t="inlineStr">
        <is>
          <t>17º PAV.</t>
        </is>
      </c>
      <c r="F577" s="118" t="n">
        <v>46612</v>
      </c>
      <c r="G577" s="118" t="n">
        <v>46624</v>
      </c>
      <c r="H577" s="118" t="n">
        <v>46289</v>
      </c>
      <c r="I577" s="4" t="n">
        <v>0</v>
      </c>
      <c r="J577" s="4" t="n">
        <v>0</v>
      </c>
      <c r="K577" s="4" t="n">
        <v>0</v>
      </c>
      <c r="M577" s="2">
        <f>IF(C577="","",IFERROR(INDEX($S$5:$S$304,MATCH(C577,$R$5:$R$304,0))&amp;"","?"))</f>
        <v/>
      </c>
      <c r="N577" s="2">
        <f>IF(E577="","",IF(LEFT(E577,7)="SUBSOLO",-1,IF(LEFT(E577,6)="TÉRREO",0,IFERROR(VALUE(LEFT(E577,FIND("º",SUBSTITUTE(E577,"°","º"))-1)),""))))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29940963</v>
      </c>
      <c r="C578" s="4" t="inlineStr">
        <is>
          <t>ESTRUTURA</t>
        </is>
      </c>
      <c r="D578" s="4" t="inlineStr">
        <is>
          <t>-</t>
        </is>
      </c>
      <c r="E578" s="4" t="inlineStr">
        <is>
          <t>23º PAV.</t>
        </is>
      </c>
      <c r="F578" s="118" t="n">
        <v>46616</v>
      </c>
      <c r="G578" s="118" t="n">
        <v>46625</v>
      </c>
      <c r="H578" s="118" t="n">
        <v>46289</v>
      </c>
      <c r="I578" s="4" t="n">
        <v>0</v>
      </c>
      <c r="J578" s="4" t="n">
        <v>0</v>
      </c>
      <c r="K578" s="4" t="n">
        <v>0</v>
      </c>
      <c r="M578" s="2">
        <f>IF(C578="","",IFERROR(INDEX($S$5:$S$304,MATCH(C578,$R$5:$R$304,0))&amp;"","?"))</f>
        <v/>
      </c>
      <c r="N578" s="2">
        <f>IF(E578="","",IF(LEFT(E578,7)="SUBSOLO",-1,IF(LEFT(E578,6)="TÉRREO",0,IFERROR(VALUE(LEFT(E578,FIND("º",SUBSTITUTE(E578,"°","º"))-1)),""))))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31529040</v>
      </c>
      <c r="C579" s="4" t="inlineStr">
        <is>
          <t>ESTRUTURA</t>
        </is>
      </c>
      <c r="D579" s="4" t="inlineStr">
        <is>
          <t>Forma</t>
        </is>
      </c>
      <c r="E579" s="4" t="inlineStr">
        <is>
          <t>23º PAV.</t>
        </is>
      </c>
      <c r="F579" s="118" t="n">
        <v>46616</v>
      </c>
      <c r="G579" s="118" t="n">
        <v>46619</v>
      </c>
      <c r="H579" s="118" t="n">
        <v>46289</v>
      </c>
      <c r="I579" s="4" t="n">
        <v>0</v>
      </c>
      <c r="J579" s="4" t="n">
        <v>0</v>
      </c>
      <c r="K579" s="4" t="n">
        <v>0</v>
      </c>
      <c r="M579" s="2">
        <f>IF(C579="","",IFERROR(INDEX($S$5:$S$304,MATCH(C579,$R$5:$R$304,0))&amp;"","?"))</f>
        <v/>
      </c>
      <c r="N579" s="2">
        <f>IF(E579="","",IF(LEFT(E579,7)="SUBSOLO",-1,IF(LEFT(E579,6)="TÉRREO",0,IFERROR(VALUE(LEFT(E579,FIND("º",SUBSTITUTE(E579,"°","º"))-1)),""))))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31529041</v>
      </c>
      <c r="C580" s="4" t="inlineStr">
        <is>
          <t>ESTRUTURA</t>
        </is>
      </c>
      <c r="D580" s="4" t="inlineStr">
        <is>
          <t>Armação</t>
        </is>
      </c>
      <c r="E580" s="4" t="inlineStr">
        <is>
          <t>23º PAV.</t>
        </is>
      </c>
      <c r="F580" s="118" t="n">
        <v>46622</v>
      </c>
      <c r="G580" s="118" t="n">
        <v>46624</v>
      </c>
      <c r="H580" s="118" t="n">
        <v>46289</v>
      </c>
      <c r="I580" s="4" t="n">
        <v>0</v>
      </c>
      <c r="J580" s="4" t="n">
        <v>0</v>
      </c>
      <c r="K580" s="4" t="n">
        <v>0</v>
      </c>
      <c r="M580" s="2">
        <f>IF(C580="","",IFERROR(INDEX($S$5:$S$304,MATCH(C580,$R$5:$R$304,0))&amp;"","?"))</f>
        <v/>
      </c>
      <c r="N580" s="2">
        <f>IF(E580="","",IF(LEFT(E580,7)="SUBSOLO",-1,IF(LEFT(E580,6)="TÉRREO",0,IFERROR(VALUE(LEFT(E580,FIND("º",SUBSTITUTE(E580,"°","º"))-1)),""))))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31529042</v>
      </c>
      <c r="C581" s="4" t="inlineStr">
        <is>
          <t>ESTRUTURA</t>
        </is>
      </c>
      <c r="D581" s="4" t="inlineStr">
        <is>
          <t>Concretagem</t>
        </is>
      </c>
      <c r="E581" s="4" t="inlineStr">
        <is>
          <t>23º PAV.</t>
        </is>
      </c>
      <c r="F581" s="118" t="n">
        <v>46625</v>
      </c>
      <c r="G581" s="118" t="n">
        <v>46625</v>
      </c>
      <c r="H581" s="118" t="n">
        <v>46289</v>
      </c>
      <c r="I581" s="4" t="n">
        <v>0</v>
      </c>
      <c r="J581" s="4" t="n">
        <v>0</v>
      </c>
      <c r="K581" s="4" t="n">
        <v>0</v>
      </c>
      <c r="M581" s="2">
        <f>IF(C581="","",IFERROR(INDEX($S$5:$S$304,MATCH(C581,$R$5:$R$304,0))&amp;"","?"))</f>
        <v/>
      </c>
      <c r="N581" s="2">
        <f>IF(E581="","",IF(LEFT(E581,7)="SUBSOLO",-1,IF(LEFT(E581,6)="TÉRREO",0,IFERROR(VALUE(LEFT(E581,FIND("º",SUBSTITUTE(E581,"°","º"))-1)),""))))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31529043</v>
      </c>
      <c r="C582" s="4" t="inlineStr">
        <is>
          <t>ESTRUTURA</t>
        </is>
      </c>
      <c r="D582" s="4" t="inlineStr">
        <is>
          <t>Polimento</t>
        </is>
      </c>
      <c r="E582" s="4" t="inlineStr">
        <is>
          <t>23º PAV.</t>
        </is>
      </c>
      <c r="F582" s="118" t="n">
        <v>46625</v>
      </c>
      <c r="G582" s="118" t="n">
        <v>46625</v>
      </c>
      <c r="H582" s="118" t="n">
        <v>46289</v>
      </c>
      <c r="I582" s="4" t="n">
        <v>0</v>
      </c>
      <c r="J582" s="4" t="n">
        <v>0</v>
      </c>
      <c r="K582" s="4" t="n">
        <v>0</v>
      </c>
      <c r="M582" s="2">
        <f>IF(C582="","",IFERROR(INDEX($S$5:$S$304,MATCH(C582,$R$5:$R$304,0))&amp;"","?"))</f>
        <v/>
      </c>
      <c r="N582" s="2">
        <f>IF(E582="","",IF(LEFT(E582,7)="SUBSOLO",-1,IF(LEFT(E582,6)="TÉRREO",0,IFERROR(VALUE(LEFT(E582,FIND("º",SUBSTITUTE(E582,"°","º"))-1)),""))))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29981148</v>
      </c>
      <c r="C583" s="4" t="inlineStr">
        <is>
          <t>PRUMADA DE INCÊNDIO</t>
        </is>
      </c>
      <c r="D583" s="4" t="inlineStr">
        <is>
          <t>-</t>
        </is>
      </c>
      <c r="E583" s="4" t="inlineStr">
        <is>
          <t>18º PAV.</t>
        </is>
      </c>
      <c r="F583" s="118" t="n">
        <v>46617</v>
      </c>
      <c r="G583" s="118" t="n">
        <v>46629</v>
      </c>
      <c r="H583" s="118" t="n">
        <v>46289</v>
      </c>
      <c r="I583" s="4" t="n">
        <v>0</v>
      </c>
      <c r="J583" s="4" t="n">
        <v>0</v>
      </c>
      <c r="K583" s="4" t="n">
        <v>0</v>
      </c>
      <c r="M583" s="2">
        <f>IF(C583="","",IFERROR(INDEX($S$5:$S$304,MATCH(C583,$R$5:$R$304,0))&amp;"","?"))</f>
        <v/>
      </c>
      <c r="N583" s="2">
        <f>IF(E583="","",IF(LEFT(E583,7)="SUBSOLO",-1,IF(LEFT(E583,6)="TÉRREO",0,IFERROR(VALUE(LEFT(E583,FIND("º",SUBSTITUTE(E583,"°","º"))-1)),""))))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29981062</v>
      </c>
      <c r="C584" s="4" t="inlineStr">
        <is>
          <t>ALVENARIA</t>
        </is>
      </c>
      <c r="D584" s="4" t="inlineStr">
        <is>
          <t>-</t>
        </is>
      </c>
      <c r="E584" s="4" t="inlineStr">
        <is>
          <t>20º PAV.</t>
        </is>
      </c>
      <c r="F584" s="118" t="n">
        <v>46617</v>
      </c>
      <c r="G584" s="118" t="n">
        <v>46629</v>
      </c>
      <c r="H584" s="118" t="n">
        <v>46289</v>
      </c>
      <c r="I584" s="4" t="n">
        <v>0</v>
      </c>
      <c r="J584" s="4" t="n">
        <v>0</v>
      </c>
      <c r="K584" s="4" t="n">
        <v>0</v>
      </c>
      <c r="M584" s="2">
        <f>IF(C584="","",IFERROR(INDEX($S$5:$S$304,MATCH(C584,$R$5:$R$304,0))&amp;"","?"))</f>
        <v/>
      </c>
      <c r="N584" s="2">
        <f>IF(E584="","",IF(LEFT(E584,7)="SUBSOLO",-1,IF(LEFT(E584,6)="TÉRREO",0,IFERROR(VALUE(LEFT(E584,FIND("º",SUBSTITUTE(E584,"°","º"))-1)),""))))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31789419</v>
      </c>
      <c r="C585" s="4" t="inlineStr">
        <is>
          <t>PREPARAÇÃO PARA FACHADA AERADA - F1 + F2 (1º ETAPA)</t>
        </is>
      </c>
      <c r="D585" s="4" t="inlineStr">
        <is>
          <t>-</t>
        </is>
      </c>
      <c r="E585" s="4" t="inlineStr">
        <is>
          <t>FACHADA</t>
        </is>
      </c>
      <c r="F585" s="118" t="n">
        <v>46617</v>
      </c>
      <c r="G585" s="118" t="n">
        <v>46638</v>
      </c>
      <c r="H585" s="118" t="n">
        <v>46289</v>
      </c>
      <c r="I585" s="4" t="n">
        <v>0</v>
      </c>
      <c r="J585" s="4" t="n">
        <v>0</v>
      </c>
      <c r="K585" s="4" t="n">
        <v>0</v>
      </c>
      <c r="M585" s="2">
        <f>IF(C585="","",IFERROR(INDEX($S$5:$S$304,MATCH(C585,$R$5:$R$304,0))&amp;"","?"))</f>
        <v/>
      </c>
      <c r="N585" s="2">
        <f>IF(E585="","",IF(LEFT(E585,7)="SUBSOLO",-1,IF(LEFT(E585,6)="TÉRREO",0,IFERROR(VALUE(LEFT(E585,FIND("º",SUBSTITUTE(E585,"°","º"))-1)),""))))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30171455</v>
      </c>
      <c r="C586" s="4" t="inlineStr">
        <is>
          <t>ENCUNHAMENTO</t>
        </is>
      </c>
      <c r="D586" s="4" t="inlineStr">
        <is>
          <t>-</t>
        </is>
      </c>
      <c r="E586" s="4" t="inlineStr">
        <is>
          <t>3º PAV - GARAGEM</t>
        </is>
      </c>
      <c r="F586" s="118" t="n">
        <v>46622</v>
      </c>
      <c r="G586" s="118" t="n">
        <v>46633</v>
      </c>
      <c r="H586" s="118" t="n">
        <v>46289</v>
      </c>
      <c r="I586" s="4" t="n">
        <v>0</v>
      </c>
      <c r="J586" s="4" t="n">
        <v>0</v>
      </c>
      <c r="K586" s="4" t="n">
        <v>0</v>
      </c>
      <c r="M586" s="2">
        <f>IF(C586="","",IFERROR(INDEX($S$5:$S$304,MATCH(C586,$R$5:$R$304,0))&amp;"","?"))</f>
        <v/>
      </c>
      <c r="N586" s="2">
        <f>IF(E586="","",IF(LEFT(E586,7)="SUBSOLO",-1,IF(LEFT(E586,6)="TÉRREO",0,IFERROR(VALUE(LEFT(E586,FIND("º",SUBSTITUTE(E586,"°","º"))-1)),""))))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29981548</v>
      </c>
      <c r="C587" s="4" t="inlineStr">
        <is>
          <t>REVESTIMENTO PORCELANATO PAREDE</t>
        </is>
      </c>
      <c r="D587" s="4" t="inlineStr">
        <is>
          <t>-</t>
        </is>
      </c>
      <c r="E587" s="4" t="inlineStr">
        <is>
          <t>7º PAV.</t>
        </is>
      </c>
      <c r="F587" s="118" t="n">
        <v>46623</v>
      </c>
      <c r="G587" s="118" t="n">
        <v>46633</v>
      </c>
      <c r="H587" s="118" t="n">
        <v>46289</v>
      </c>
      <c r="I587" s="4" t="n">
        <v>0</v>
      </c>
      <c r="J587" s="4" t="n">
        <v>0</v>
      </c>
      <c r="K587" s="4" t="n">
        <v>0</v>
      </c>
      <c r="M587" s="2">
        <f>IF(C587="","",IFERROR(INDEX($S$5:$S$304,MATCH(C587,$R$5:$R$304,0))&amp;"","?"))</f>
        <v/>
      </c>
      <c r="N587" s="2">
        <f>IF(E587="","",IF(LEFT(E587,7)="SUBSOLO",-1,IF(LEFT(E587,6)="TÉRREO",0,IFERROR(VALUE(LEFT(E587,FIND("º",SUBSTITUTE(E587,"°","º"))-1)),""))))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29981509</v>
      </c>
      <c r="C588" s="4" t="inlineStr">
        <is>
          <t>IMPERMEABILIZAÇÃO</t>
        </is>
      </c>
      <c r="D588" s="4" t="inlineStr">
        <is>
          <t>-</t>
        </is>
      </c>
      <c r="E588" s="4" t="inlineStr">
        <is>
          <t>8º PAV.</t>
        </is>
      </c>
      <c r="F588" s="118" t="n">
        <v>46623</v>
      </c>
      <c r="G588" s="118" t="n">
        <v>46633</v>
      </c>
      <c r="H588" s="118" t="n">
        <v>46289</v>
      </c>
      <c r="I588" s="4" t="n">
        <v>0</v>
      </c>
      <c r="J588" s="4" t="n">
        <v>0</v>
      </c>
      <c r="K588" s="4" t="n">
        <v>0</v>
      </c>
      <c r="M588" s="2">
        <f>IF(C588="","",IFERROR(INDEX($S$5:$S$304,MATCH(C588,$R$5:$R$304,0))&amp;"","?"))</f>
        <v/>
      </c>
      <c r="N588" s="2">
        <f>IF(E588="","",IF(LEFT(E588,7)="SUBSOLO",-1,IF(LEFT(E588,6)="TÉRREO",0,IFERROR(VALUE(LEFT(E588,FIND("º",SUBSTITUTE(E588,"°","º"))-1)),""))))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32750435</v>
      </c>
      <c r="C589" s="4" t="inlineStr">
        <is>
          <t>DRYWALL 2º FACE</t>
        </is>
      </c>
      <c r="D589" s="4" t="inlineStr">
        <is>
          <t>-</t>
        </is>
      </c>
      <c r="E589" s="4" t="inlineStr">
        <is>
          <t>9º PAV.</t>
        </is>
      </c>
      <c r="F589" s="118" t="n">
        <v>46623</v>
      </c>
      <c r="G589" s="118" t="n">
        <v>46633</v>
      </c>
      <c r="H589" s="118" t="n">
        <v>46289</v>
      </c>
      <c r="I589" s="4" t="n">
        <v>0</v>
      </c>
      <c r="J589" s="4" t="n">
        <v>0</v>
      </c>
      <c r="K589" s="4" t="n">
        <v>0</v>
      </c>
      <c r="M589" s="2">
        <f>IF(C589="","",IFERROR(INDEX($S$5:$S$304,MATCH(C589,$R$5:$R$304,0))&amp;"","?"))</f>
        <v/>
      </c>
      <c r="N589" s="2">
        <f>IF(E589="","",IF(LEFT(E589,7)="SUBSOLO",-1,IF(LEFT(E589,6)="TÉRREO",0,IFERROR(VALUE(LEFT(E589,FIND("º",SUBSTITUTE(E589,"°","º"))-1)),""))))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32750358</v>
      </c>
      <c r="C590" s="4" t="inlineStr">
        <is>
          <t>DISTRIBUIÇÃO DE GÁS - DRYWALL</t>
        </is>
      </c>
      <c r="D590" s="4" t="inlineStr">
        <is>
          <t>-</t>
        </is>
      </c>
      <c r="E590" s="4" t="inlineStr">
        <is>
          <t>10º PAV.</t>
        </is>
      </c>
      <c r="F590" s="118" t="n">
        <v>46623</v>
      </c>
      <c r="G590" s="118" t="n">
        <v>46633</v>
      </c>
      <c r="H590" s="118" t="n">
        <v>46289</v>
      </c>
      <c r="I590" s="4" t="n">
        <v>0</v>
      </c>
      <c r="J590" s="4" t="n">
        <v>0</v>
      </c>
      <c r="K590" s="4" t="n">
        <v>0</v>
      </c>
      <c r="M590" s="2">
        <f>IF(C590="","",IFERROR(INDEX($S$5:$S$304,MATCH(C590,$R$5:$R$304,0))&amp;"","?"))</f>
        <v/>
      </c>
      <c r="N590" s="2">
        <f>IF(E590="","",IF(LEFT(E590,7)="SUBSOLO",-1,IF(LEFT(E590,6)="TÉRREO",0,IFERROR(VALUE(LEFT(E590,FIND("º",SUBSTITUTE(E590,"°","º"))-1)),""))))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32750384</v>
      </c>
      <c r="C591" s="4" t="inlineStr">
        <is>
          <t>DISTRIBUIÇÃO ELÉTRICA/QUADRO - DRYWALL</t>
        </is>
      </c>
      <c r="D591" s="4" t="inlineStr">
        <is>
          <t>-</t>
        </is>
      </c>
      <c r="E591" s="4" t="inlineStr">
        <is>
          <t>10º PAV.</t>
        </is>
      </c>
      <c r="F591" s="118" t="n">
        <v>46623</v>
      </c>
      <c r="G591" s="118" t="n">
        <v>46633</v>
      </c>
      <c r="H591" s="118" t="n">
        <v>46289</v>
      </c>
      <c r="I591" s="4" t="n">
        <v>0</v>
      </c>
      <c r="J591" s="4" t="n">
        <v>0</v>
      </c>
      <c r="K591" s="4" t="n">
        <v>0</v>
      </c>
      <c r="M591" s="2">
        <f>IF(C591="","",IFERROR(INDEX($S$5:$S$304,MATCH(C591,$R$5:$R$304,0))&amp;"","?"))</f>
        <v/>
      </c>
      <c r="N591" s="2">
        <f>IF(E591="","",IF(LEFT(E591,7)="SUBSOLO",-1,IF(LEFT(E591,6)="TÉRREO",0,IFERROR(VALUE(LEFT(E591,FIND("º",SUBSTITUTE(E591,"°","º"))-1)),""))))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32750410</v>
      </c>
      <c r="C592" s="4" t="inlineStr">
        <is>
          <t>DISTRIBUIÇÃO HIDRÁULICA - DRYWALL</t>
        </is>
      </c>
      <c r="D592" s="4" t="inlineStr">
        <is>
          <t>-</t>
        </is>
      </c>
      <c r="E592" s="4" t="inlineStr">
        <is>
          <t>10º PAV.</t>
        </is>
      </c>
      <c r="F592" s="118" t="n">
        <v>46623</v>
      </c>
      <c r="G592" s="118" t="n">
        <v>46633</v>
      </c>
      <c r="H592" s="118" t="n">
        <v>46289</v>
      </c>
      <c r="I592" s="4" t="n">
        <v>0</v>
      </c>
      <c r="J592" s="4" t="n">
        <v>0</v>
      </c>
      <c r="K592" s="4" t="n">
        <v>0</v>
      </c>
      <c r="M592" s="2">
        <f>IF(C592="","",IFERROR(INDEX($S$5:$S$304,MATCH(C592,$R$5:$R$304,0))&amp;"","?"))</f>
        <v/>
      </c>
      <c r="N592" s="2">
        <f>IF(E592="","",IF(LEFT(E592,7)="SUBSOLO",-1,IF(LEFT(E592,6)="TÉRREO",0,IFERROR(VALUE(LEFT(E592,FIND("º",SUBSTITUTE(E592,"°","º"))-1)),""))))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33896828</v>
      </c>
      <c r="C593" s="4" t="inlineStr">
        <is>
          <t>INFRAESTRUTURA - AR CONDICIONADO</t>
        </is>
      </c>
      <c r="D593" s="4" t="inlineStr">
        <is>
          <t>-</t>
        </is>
      </c>
      <c r="E593" s="4" t="inlineStr">
        <is>
          <t>10º PAV.</t>
        </is>
      </c>
      <c r="F593" s="118" t="n">
        <v>46623</v>
      </c>
      <c r="G593" s="118" t="n">
        <v>46633</v>
      </c>
      <c r="H593" s="118" t="n">
        <v>46289</v>
      </c>
      <c r="I593" s="4" t="n">
        <v>0</v>
      </c>
      <c r="J593" s="4" t="n">
        <v>0</v>
      </c>
      <c r="K593" s="4" t="n">
        <v>0</v>
      </c>
      <c r="M593" s="2">
        <f>IF(C593="","",IFERROR(INDEX($S$5:$S$304,MATCH(C593,$R$5:$R$304,0))&amp;"","?"))</f>
        <v/>
      </c>
      <c r="N593" s="2">
        <f>IF(E593="","",IF(LEFT(E593,7)="SUBSOLO",-1,IF(LEFT(E593,6)="TÉRREO",0,IFERROR(VALUE(LEFT(E593,FIND("º",SUBSTITUTE(E593,"°","º"))-1)),""))))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32749854</v>
      </c>
      <c r="C594" s="4" t="inlineStr">
        <is>
          <t>DRYWALL 1º FACE</t>
        </is>
      </c>
      <c r="D594" s="4" t="inlineStr">
        <is>
          <t>-</t>
        </is>
      </c>
      <c r="E594" s="4" t="inlineStr">
        <is>
          <t>11º PAV.</t>
        </is>
      </c>
      <c r="F594" s="118" t="n">
        <v>46623</v>
      </c>
      <c r="G594" s="118" t="n">
        <v>46633</v>
      </c>
      <c r="H594" s="118" t="n">
        <v>46289</v>
      </c>
      <c r="I594" s="4" t="n">
        <v>0</v>
      </c>
      <c r="J594" s="4" t="n">
        <v>0</v>
      </c>
      <c r="K594" s="4" t="n">
        <v>0</v>
      </c>
      <c r="M594" s="2">
        <f>IF(C594="","",IFERROR(INDEX($S$5:$S$304,MATCH(C594,$R$5:$R$304,0))&amp;"","?"))</f>
        <v/>
      </c>
      <c r="N594" s="2">
        <f>IF(E594="","",IF(LEFT(E594,7)="SUBSOLO",-1,IF(LEFT(E594,6)="TÉRREO",0,IFERROR(VALUE(LEFT(E594,FIND("º",SUBSTITUTE(E594,"°","º"))-1)),""))))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29981362</v>
      </c>
      <c r="C595" s="4" t="inlineStr">
        <is>
          <t>CONTRAPISO</t>
        </is>
      </c>
      <c r="D595" s="4" t="inlineStr">
        <is>
          <t>-</t>
        </is>
      </c>
      <c r="E595" s="4" t="inlineStr">
        <is>
          <t>12º PAV.</t>
        </is>
      </c>
      <c r="F595" s="118" t="n">
        <v>46623</v>
      </c>
      <c r="G595" s="118" t="n">
        <v>46633</v>
      </c>
      <c r="H595" s="118" t="n">
        <v>46289</v>
      </c>
      <c r="I595" s="4" t="n">
        <v>0</v>
      </c>
      <c r="J595" s="4" t="n">
        <v>0</v>
      </c>
      <c r="K595" s="4" t="n">
        <v>0</v>
      </c>
      <c r="M595" s="2">
        <f>IF(C595="","",IFERROR(INDEX($S$5:$S$304,MATCH(C595,$R$5:$R$304,0))&amp;"","?"))</f>
        <v/>
      </c>
      <c r="N595" s="2">
        <f>IF(E595="","",IF(LEFT(E595,7)="SUBSOLO",-1,IF(LEFT(E595,6)="TÉRREO",0,IFERROR(VALUE(LEFT(E595,FIND("º",SUBSTITUTE(E595,"°","º"))-1)),""))))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29981302</v>
      </c>
      <c r="C596" s="4" t="inlineStr">
        <is>
          <t>SHAFT INTERNO INST. HIDRAÚLICAS</t>
        </is>
      </c>
      <c r="D596" s="4" t="inlineStr">
        <is>
          <t>-</t>
        </is>
      </c>
      <c r="E596" s="4" t="inlineStr">
        <is>
          <t>13º PAV.</t>
        </is>
      </c>
      <c r="F596" s="118" t="n">
        <v>46623</v>
      </c>
      <c r="G596" s="118" t="n">
        <v>46633</v>
      </c>
      <c r="H596" s="118" t="n">
        <v>46289</v>
      </c>
      <c r="I596" s="4" t="n">
        <v>0</v>
      </c>
      <c r="J596" s="4" t="n">
        <v>0</v>
      </c>
      <c r="K596" s="4" t="n">
        <v>0</v>
      </c>
      <c r="M596" s="2">
        <f>IF(C596="","",IFERROR(INDEX($S$5:$S$304,MATCH(C596,$R$5:$R$304,0))&amp;"","?"))</f>
        <v/>
      </c>
      <c r="N596" s="2">
        <f>IF(E596="","",IF(LEFT(E596,7)="SUBSOLO",-1,IF(LEFT(E596,6)="TÉRREO",0,IFERROR(VALUE(LEFT(E596,FIND("º",SUBSTITUTE(E596,"°","º"))-1)),""))))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29981335</v>
      </c>
      <c r="C597" s="4" t="inlineStr">
        <is>
          <t>PRUMADA ELÉTRICA - INFRA</t>
        </is>
      </c>
      <c r="D597" s="4" t="inlineStr">
        <is>
          <t>-</t>
        </is>
      </c>
      <c r="E597" s="4" t="inlineStr">
        <is>
          <t>13º PAV.</t>
        </is>
      </c>
      <c r="F597" s="118" t="n">
        <v>46623</v>
      </c>
      <c r="G597" s="118" t="n">
        <v>46633</v>
      </c>
      <c r="H597" s="118" t="n">
        <v>46289</v>
      </c>
      <c r="I597" s="4" t="n">
        <v>0</v>
      </c>
      <c r="J597" s="4" t="n">
        <v>0</v>
      </c>
      <c r="K597" s="4" t="n">
        <v>0</v>
      </c>
      <c r="M597" s="2">
        <f>IF(C597="","",IFERROR(INDEX($S$5:$S$304,MATCH(C597,$R$5:$R$304,0))&amp;"","?"))</f>
        <v/>
      </c>
      <c r="N597" s="2">
        <f>IF(E597="","",IF(LEFT(E597,7)="SUBSOLO",-1,IF(LEFT(E597,6)="TÉRREO",0,IFERROR(VALUE(LEFT(E597,FIND("º",SUBSTITUTE(E597,"°","º"))-1)),""))))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29981264</v>
      </c>
      <c r="C598" s="4" t="inlineStr">
        <is>
          <t>REBOCO INTERNO</t>
        </is>
      </c>
      <c r="D598" s="4" t="inlineStr">
        <is>
          <t>-</t>
        </is>
      </c>
      <c r="E598" s="4" t="inlineStr">
        <is>
          <t>14º PAV.</t>
        </is>
      </c>
      <c r="F598" s="118" t="n">
        <v>46623</v>
      </c>
      <c r="G598" s="118" t="n">
        <v>46633</v>
      </c>
      <c r="H598" s="118" t="n">
        <v>46289</v>
      </c>
      <c r="I598" s="4" t="n">
        <v>0</v>
      </c>
      <c r="J598" s="4" t="n">
        <v>0</v>
      </c>
      <c r="K598" s="4" t="n">
        <v>0</v>
      </c>
      <c r="M598" s="2">
        <f>IF(C598="","",IFERROR(INDEX($S$5:$S$304,MATCH(C598,$R$5:$R$304,0))&amp;"","?"))</f>
        <v/>
      </c>
      <c r="N598" s="2">
        <f>IF(E598="","",IF(LEFT(E598,7)="SUBSOLO",-1,IF(LEFT(E598,6)="TÉRREO",0,IFERROR(VALUE(LEFT(E598,FIND("º",SUBSTITUTE(E598,"°","º"))-1)),""))))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29981230</v>
      </c>
      <c r="C599" s="4" t="inlineStr">
        <is>
          <t>CONTRAMARCO</t>
        </is>
      </c>
      <c r="D599" s="4" t="inlineStr">
        <is>
          <t>-</t>
        </is>
      </c>
      <c r="E599" s="4" t="inlineStr">
        <is>
          <t>15º PAV.</t>
        </is>
      </c>
      <c r="F599" s="118" t="n">
        <v>46623</v>
      </c>
      <c r="G599" s="118" t="n">
        <v>46633</v>
      </c>
      <c r="H599" s="118" t="n">
        <v>46289</v>
      </c>
      <c r="I599" s="4" t="n">
        <v>0</v>
      </c>
      <c r="J599" s="4" t="n">
        <v>0</v>
      </c>
      <c r="K599" s="4" t="n">
        <v>0</v>
      </c>
      <c r="M599" s="2">
        <f>IF(C599="","",IFERROR(INDEX($S$5:$S$304,MATCH(C599,$R$5:$R$304,0))&amp;"","?"))</f>
        <v/>
      </c>
      <c r="N599" s="2">
        <f>IF(E599="","",IF(LEFT(E599,7)="SUBSOLO",-1,IF(LEFT(E599,6)="TÉRREO",0,IFERROR(VALUE(LEFT(E599,FIND("º",SUBSTITUTE(E599,"°","º"))-1)),""))))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29981223</v>
      </c>
      <c r="C600" s="4" t="inlineStr">
        <is>
          <t>DISTRIBUIÇÃO HIDROSSANITÁRIA</t>
        </is>
      </c>
      <c r="D600" s="4" t="inlineStr">
        <is>
          <t>-</t>
        </is>
      </c>
      <c r="E600" s="4" t="inlineStr">
        <is>
          <t>16º PAV.</t>
        </is>
      </c>
      <c r="F600" s="118" t="n">
        <v>46623</v>
      </c>
      <c r="G600" s="118" t="n">
        <v>46633</v>
      </c>
      <c r="H600" s="118" t="n">
        <v>46289</v>
      </c>
      <c r="I600" s="4" t="n">
        <v>0</v>
      </c>
      <c r="J600" s="4" t="n">
        <v>0</v>
      </c>
      <c r="K600" s="4" t="n">
        <v>0</v>
      </c>
      <c r="M600" s="2">
        <f>IF(C600="","",IFERROR(INDEX($S$5:$S$304,MATCH(C600,$R$5:$R$304,0))&amp;"","?"))</f>
        <v/>
      </c>
      <c r="N600" s="2">
        <f>IF(E600="","",IF(LEFT(E600,7)="SUBSOLO",-1,IF(LEFT(E600,6)="TÉRREO",0,IFERROR(VALUE(LEFT(E600,FIND("º",SUBSTITUTE(E600,"°","º"))-1)),""))))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29981192</v>
      </c>
      <c r="C601" s="4" t="inlineStr">
        <is>
          <t>DISTRIBUIÇÃO ELÉTRICA / QUADRO</t>
        </is>
      </c>
      <c r="D601" s="4" t="inlineStr">
        <is>
          <t>-</t>
        </is>
      </c>
      <c r="E601" s="4" t="inlineStr">
        <is>
          <t>16º PAV.</t>
        </is>
      </c>
      <c r="F601" s="118" t="n">
        <v>46623</v>
      </c>
      <c r="G601" s="118" t="n">
        <v>46633</v>
      </c>
      <c r="H601" s="118" t="n">
        <v>46289</v>
      </c>
      <c r="I601" s="4" t="n">
        <v>0</v>
      </c>
      <c r="J601" s="4" t="n">
        <v>0</v>
      </c>
      <c r="K601" s="4" t="n">
        <v>0</v>
      </c>
      <c r="M601" s="2">
        <f>IF(C601="","",IFERROR(INDEX($S$5:$S$304,MATCH(C601,$R$5:$R$304,0))&amp;"","?"))</f>
        <v/>
      </c>
      <c r="N601" s="2">
        <f>IF(E601="","",IF(LEFT(E601,7)="SUBSOLO",-1,IF(LEFT(E601,6)="TÉRREO",0,IFERROR(VALUE(LEFT(E601,FIND("º",SUBSTITUTE(E601,"°","º"))-1)),""))))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29981225</v>
      </c>
      <c r="C602" s="4" t="inlineStr">
        <is>
          <t>DISTRIBUIÇÃO DE GÁS</t>
        </is>
      </c>
      <c r="D602" s="4" t="inlineStr">
        <is>
          <t>-</t>
        </is>
      </c>
      <c r="E602" s="4" t="inlineStr">
        <is>
          <t>16º PAV.</t>
        </is>
      </c>
      <c r="F602" s="118" t="n">
        <v>46623</v>
      </c>
      <c r="G602" s="118" t="n">
        <v>46633</v>
      </c>
      <c r="H602" s="118" t="n">
        <v>46289</v>
      </c>
      <c r="I602" s="4" t="n">
        <v>0</v>
      </c>
      <c r="J602" s="4" t="n">
        <v>0</v>
      </c>
      <c r="K602" s="4" t="n">
        <v>0</v>
      </c>
      <c r="M602" s="2">
        <f>IF(C602="","",IFERROR(INDEX($S$5:$S$304,MATCH(C602,$R$5:$R$304,0))&amp;"","?"))</f>
        <v/>
      </c>
      <c r="N602" s="2">
        <f>IF(E602="","",IF(LEFT(E602,7)="SUBSOLO",-1,IF(LEFT(E602,6)="TÉRREO",0,IFERROR(VALUE(LEFT(E602,FIND("º",SUBSTITUTE(E602,"°","º"))-1)),""))))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29981172</v>
      </c>
      <c r="C603" s="4" t="inlineStr">
        <is>
          <t>TALISCAMENTO</t>
        </is>
      </c>
      <c r="D603" s="4" t="inlineStr">
        <is>
          <t>-</t>
        </is>
      </c>
      <c r="E603" s="4" t="inlineStr">
        <is>
          <t>17º PAV.</t>
        </is>
      </c>
      <c r="F603" s="118" t="n">
        <v>46623</v>
      </c>
      <c r="G603" s="118" t="n">
        <v>46633</v>
      </c>
      <c r="H603" s="118" t="n">
        <v>46289</v>
      </c>
      <c r="I603" s="4" t="n">
        <v>0</v>
      </c>
      <c r="J603" s="4" t="n">
        <v>0</v>
      </c>
      <c r="K603" s="4" t="n">
        <v>0</v>
      </c>
      <c r="M603" s="2">
        <f>IF(C603="","",IFERROR(INDEX($S$5:$S$304,MATCH(C603,$R$5:$R$304,0))&amp;"","?"))</f>
        <v/>
      </c>
      <c r="N603" s="2">
        <f>IF(E603="","",IF(LEFT(E603,7)="SUBSOLO",-1,IF(LEFT(E603,6)="TÉRREO",0,IFERROR(VALUE(LEFT(E603,FIND("º",SUBSTITUTE(E603,"°","º"))-1)),""))))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29981138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18º PAV.</t>
        </is>
      </c>
      <c r="F604" s="118" t="n">
        <v>46623</v>
      </c>
      <c r="G604" s="118" t="n">
        <v>46633</v>
      </c>
      <c r="H604" s="118" t="n">
        <v>46289</v>
      </c>
      <c r="I604" s="4" t="n">
        <v>0</v>
      </c>
      <c r="J604" s="4" t="n">
        <v>0</v>
      </c>
      <c r="K604" s="4" t="n">
        <v>0</v>
      </c>
      <c r="M604" s="2">
        <f>IF(C604="","",IFERROR(INDEX($S$5:$S$304,MATCH(C604,$R$5:$R$304,0))&amp;"","?"))</f>
        <v/>
      </c>
      <c r="N604" s="2">
        <f>IF(E604="","",IF(LEFT(E604,7)="SUBSOLO",-1,IF(LEFT(E604,6)="TÉRREO",0,IFERROR(VALUE(LEFT(E604,FIND("º",SUBSTITUTE(E604,"°","º"))-1)),""))))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30205700</v>
      </c>
      <c r="C605" s="4" t="inlineStr">
        <is>
          <t>CONTRAPISO</t>
        </is>
      </c>
      <c r="D605" s="4" t="inlineStr">
        <is>
          <t>-</t>
        </is>
      </c>
      <c r="E605" s="4" t="inlineStr">
        <is>
          <t>TÉRREO - LOJA 1</t>
        </is>
      </c>
      <c r="F605" s="118" t="n">
        <v>46625</v>
      </c>
      <c r="G605" s="118" t="n">
        <v>46639</v>
      </c>
      <c r="H605" s="118" t="n">
        <v>46289</v>
      </c>
      <c r="I605" s="4" t="n">
        <v>0</v>
      </c>
      <c r="J605" s="4" t="n">
        <v>0</v>
      </c>
      <c r="K605" s="4" t="n">
        <v>0</v>
      </c>
      <c r="M605" s="2">
        <f>IF(C605="","",IFERROR(INDEX($S$5:$S$304,MATCH(C605,$R$5:$R$304,0))&amp;"","?"))</f>
        <v/>
      </c>
      <c r="N605" s="2">
        <f>IF(E605="","",IF(LEFT(E605,7)="SUBSOLO",-1,IF(LEFT(E605,6)="TÉRREO",0,IFERROR(VALUE(LEFT(E605,FIND("º",SUBSTITUTE(E605,"°","º"))-1)),""))))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31803885</v>
      </c>
      <c r="C606" s="4" t="inlineStr">
        <is>
          <t>FACHADA LOJA</t>
        </is>
      </c>
      <c r="D606" s="4" t="inlineStr">
        <is>
          <t>-</t>
        </is>
      </c>
      <c r="E606" s="4" t="inlineStr">
        <is>
          <t>TÉRREO - LOJA 1</t>
        </is>
      </c>
      <c r="F606" s="118" t="n">
        <v>46625</v>
      </c>
      <c r="G606" s="118" t="n">
        <v>46673</v>
      </c>
      <c r="H606" s="118" t="n">
        <v>46289</v>
      </c>
      <c r="I606" s="4" t="n">
        <v>0</v>
      </c>
      <c r="J606" s="4" t="n">
        <v>0</v>
      </c>
      <c r="K606" s="4" t="n">
        <v>0</v>
      </c>
      <c r="M606" s="2">
        <f>IF(C606="","",IFERROR(INDEX($S$5:$S$304,MATCH(C606,$R$5:$R$304,0))&amp;"","?"))</f>
        <v/>
      </c>
      <c r="N606" s="2">
        <f>IF(E606="","",IF(LEFT(E606,7)="SUBSOLO",-1,IF(LEFT(E606,6)="TÉRREO",0,IFERROR(VALUE(LEFT(E606,FIND("º",SUBSTITUTE(E606,"°","º"))-1)),""))))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30205669</v>
      </c>
      <c r="C607" s="4" t="inlineStr">
        <is>
          <t>REBOCO INTERNO</t>
        </is>
      </c>
      <c r="D607" s="4" t="inlineStr">
        <is>
          <t>-</t>
        </is>
      </c>
      <c r="E607" s="4" t="inlineStr">
        <is>
          <t>TÉRREO - LOJA 2</t>
        </is>
      </c>
      <c r="F607" s="118" t="n">
        <v>46625</v>
      </c>
      <c r="G607" s="118" t="n">
        <v>46639</v>
      </c>
      <c r="H607" s="118" t="n">
        <v>46289</v>
      </c>
      <c r="I607" s="4" t="n">
        <v>0</v>
      </c>
      <c r="J607" s="4" t="n">
        <v>0</v>
      </c>
      <c r="K607" s="4" t="n">
        <v>0</v>
      </c>
      <c r="M607" s="2">
        <f>IF(C607="","",IFERROR(INDEX($S$5:$S$304,MATCH(C607,$R$5:$R$304,0))&amp;"","?"))</f>
        <v/>
      </c>
      <c r="N607" s="2">
        <f>IF(E607="","",IF(LEFT(E607,7)="SUBSOLO",-1,IF(LEFT(E607,6)="TÉRREO",0,IFERROR(VALUE(LEFT(E607,FIND("º",SUBSTITUTE(E607,"°","º"))-1)),""))))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30205638</v>
      </c>
      <c r="C608" s="4" t="inlineStr">
        <is>
          <t>DISTRIBUIÇÃO ELÉTRICA / QUADRO</t>
        </is>
      </c>
      <c r="D608" s="4" t="inlineStr">
        <is>
          <t>-</t>
        </is>
      </c>
      <c r="E608" s="4" t="inlineStr">
        <is>
          <t>TÉRREO - LOJA 3</t>
        </is>
      </c>
      <c r="F608" s="118" t="n">
        <v>46625</v>
      </c>
      <c r="G608" s="118" t="n">
        <v>46633</v>
      </c>
      <c r="H608" s="118" t="n">
        <v>46289</v>
      </c>
      <c r="I608" s="4" t="n">
        <v>0</v>
      </c>
      <c r="J608" s="4" t="n">
        <v>0</v>
      </c>
      <c r="K608" s="4" t="n">
        <v>0</v>
      </c>
      <c r="M608" s="2">
        <f>IF(C608="","",IFERROR(INDEX($S$5:$S$304,MATCH(C608,$R$5:$R$304,0))&amp;"","?"))</f>
        <v/>
      </c>
      <c r="N608" s="2">
        <f>IF(E608="","",IF(LEFT(E608,7)="SUBSOLO",-1,IF(LEFT(E608,6)="TÉRREO",0,IFERROR(VALUE(LEFT(E608,FIND("º",SUBSTITUTE(E608,"°","º"))-1)),""))))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30205639</v>
      </c>
      <c r="C609" s="4" t="inlineStr">
        <is>
          <t>DISTRIBUIÇÃO HIDRÁULICA</t>
        </is>
      </c>
      <c r="D609" s="4" t="inlineStr">
        <is>
          <t>-</t>
        </is>
      </c>
      <c r="E609" s="4" t="inlineStr">
        <is>
          <t>TÉRREO - LOJA 3</t>
        </is>
      </c>
      <c r="F609" s="118" t="n">
        <v>46625</v>
      </c>
      <c r="G609" s="118" t="n">
        <v>46639</v>
      </c>
      <c r="H609" s="118" t="n">
        <v>46289</v>
      </c>
      <c r="I609" s="4" t="n">
        <v>0</v>
      </c>
      <c r="J609" s="4" t="n">
        <v>0</v>
      </c>
      <c r="K609" s="4" t="n">
        <v>0</v>
      </c>
      <c r="M609" s="2">
        <f>IF(C609="","",IFERROR(INDEX($S$5:$S$304,MATCH(C609,$R$5:$R$304,0))&amp;"","?"))</f>
        <v/>
      </c>
      <c r="N609" s="2">
        <f>IF(E609="","",IF(LEFT(E609,7)="SUBSOLO",-1,IF(LEFT(E609,6)="TÉRREO",0,IFERROR(VALUE(LEFT(E609,FIND("º",SUBSTITUTE(E609,"°","º"))-1)),""))))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30205610</v>
      </c>
      <c r="C610" s="4" t="inlineStr">
        <is>
          <t>TALISCAMENTO</t>
        </is>
      </c>
      <c r="D610" s="4" t="inlineStr">
        <is>
          <t>-</t>
        </is>
      </c>
      <c r="E610" s="4" t="inlineStr">
        <is>
          <t>TÉRREO - LOJA 4</t>
        </is>
      </c>
      <c r="F610" s="118" t="n">
        <v>46625</v>
      </c>
      <c r="G610" s="118" t="n">
        <v>46639</v>
      </c>
      <c r="H610" s="118" t="n">
        <v>46289</v>
      </c>
      <c r="I610" s="4" t="n">
        <v>0</v>
      </c>
      <c r="J610" s="4" t="n">
        <v>0</v>
      </c>
      <c r="K610" s="4" t="n">
        <v>0</v>
      </c>
      <c r="M610" s="2">
        <f>IF(C610="","",IFERROR(INDEX($S$5:$S$304,MATCH(C610,$R$5:$R$304,0))&amp;"","?"))</f>
        <v/>
      </c>
      <c r="N610" s="2">
        <f>IF(E610="","",IF(LEFT(E610,7)="SUBSOLO",-1,IF(LEFT(E610,6)="TÉRREO",0,IFERROR(VALUE(LEFT(E610,FIND("º",SUBSTITUTE(E610,"°","º"))-1)),""))))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30205577</v>
      </c>
      <c r="C611" s="4" t="inlineStr">
        <is>
          <t>PRUMADA HIDROSSANITÁRIA</t>
        </is>
      </c>
      <c r="D611" s="4" t="inlineStr">
        <is>
          <t>-</t>
        </is>
      </c>
      <c r="E611" s="4" t="inlineStr">
        <is>
          <t>TÉRREO - LOJA 5</t>
        </is>
      </c>
      <c r="F611" s="118" t="n">
        <v>46625</v>
      </c>
      <c r="G611" s="118" t="n">
        <v>46639</v>
      </c>
      <c r="H611" s="118" t="n">
        <v>46289</v>
      </c>
      <c r="I611" s="4" t="n">
        <v>0</v>
      </c>
      <c r="J611" s="4" t="n">
        <v>0</v>
      </c>
      <c r="K611" s="4" t="n">
        <v>0</v>
      </c>
      <c r="M611" s="2">
        <f>IF(C611="","",IFERROR(INDEX($S$5:$S$304,MATCH(C611,$R$5:$R$304,0))&amp;"","?"))</f>
        <v/>
      </c>
      <c r="N611" s="2">
        <f>IF(E611="","",IF(LEFT(E611,7)="SUBSOLO",-1,IF(LEFT(E611,6)="TÉRREO",0,IFERROR(VALUE(LEFT(E611,FIND("º",SUBSTITUTE(E611,"°","º"))-1)),""))))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30205576</v>
      </c>
      <c r="C612" s="4" t="inlineStr">
        <is>
          <t>PRUMADA DE INCÊNDIO</t>
        </is>
      </c>
      <c r="D612" s="4" t="inlineStr">
        <is>
          <t>-</t>
        </is>
      </c>
      <c r="E612" s="4" t="inlineStr">
        <is>
          <t>TÉRREO - LOJA 5</t>
        </is>
      </c>
      <c r="F612" s="118" t="n">
        <v>46625</v>
      </c>
      <c r="G612" s="118" t="n">
        <v>46639</v>
      </c>
      <c r="H612" s="118" t="n">
        <v>46289</v>
      </c>
      <c r="I612" s="4" t="n">
        <v>0</v>
      </c>
      <c r="J612" s="4" t="n">
        <v>0</v>
      </c>
      <c r="K612" s="4" t="n">
        <v>0</v>
      </c>
      <c r="M612" s="2">
        <f>IF(C612="","",IFERROR(INDEX($S$5:$S$304,MATCH(C612,$R$5:$R$304,0))&amp;"","?"))</f>
        <v/>
      </c>
      <c r="N612" s="2">
        <f>IF(E612="","",IF(LEFT(E612,7)="SUBSOLO",-1,IF(LEFT(E612,6)="TÉRREO",0,IFERROR(VALUE(LEFT(E612,FIND("º",SUBSTITUTE(E612,"°","º"))-1)),""))))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30205578</v>
      </c>
      <c r="C613" s="4" t="inlineStr">
        <is>
          <t>ENCUNHAMENTO</t>
        </is>
      </c>
      <c r="D613" s="4" t="inlineStr">
        <is>
          <t>-</t>
        </is>
      </c>
      <c r="E613" s="4" t="inlineStr">
        <is>
          <t>TÉRREO - LOJA 5</t>
        </is>
      </c>
      <c r="F613" s="118" t="n">
        <v>46625</v>
      </c>
      <c r="G613" s="118" t="n">
        <v>46639</v>
      </c>
      <c r="H613" s="118" t="n">
        <v>46289</v>
      </c>
      <c r="I613" s="4" t="n">
        <v>0</v>
      </c>
      <c r="J613" s="4" t="n">
        <v>0</v>
      </c>
      <c r="K613" s="4" t="n">
        <v>0</v>
      </c>
      <c r="M613" s="2">
        <f>IF(C613="","",IFERROR(INDEX($S$5:$S$304,MATCH(C613,$R$5:$R$304,0))&amp;"","?"))</f>
        <v/>
      </c>
      <c r="N613" s="2">
        <f>IF(E613="","",IF(LEFT(E613,7)="SUBSOLO",-1,IF(LEFT(E613,6)="TÉRREO",0,IFERROR(VALUE(LEFT(E613,FIND("º",SUBSTITUTE(E613,"°","º"))-1)),""))))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30205548</v>
      </c>
      <c r="C614" s="4" t="inlineStr">
        <is>
          <t>ALVENARIA</t>
        </is>
      </c>
      <c r="D614" s="4" t="inlineStr">
        <is>
          <t>-</t>
        </is>
      </c>
      <c r="E614" s="4" t="inlineStr">
        <is>
          <t>TÉRREO - LOJA 6</t>
        </is>
      </c>
      <c r="F614" s="118" t="n">
        <v>46625</v>
      </c>
      <c r="G614" s="118" t="n">
        <v>46639</v>
      </c>
      <c r="H614" s="118" t="n">
        <v>46289</v>
      </c>
      <c r="I614" s="4" t="n">
        <v>0</v>
      </c>
      <c r="J614" s="4" t="n">
        <v>0</v>
      </c>
      <c r="K614" s="4" t="n">
        <v>0</v>
      </c>
      <c r="M614" s="2">
        <f>IF(C614="","",IFERROR(INDEX($S$5:$S$304,MATCH(C614,$R$5:$R$304,0))&amp;"","?"))</f>
        <v/>
      </c>
      <c r="N614" s="2">
        <f>IF(E614="","",IF(LEFT(E614,7)="SUBSOLO",-1,IF(LEFT(E614,6)="TÉRREO",0,IFERROR(VALUE(LEFT(E614,FIND("º",SUBSTITUTE(E614,"°","º"))-1)),""))))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29981137</v>
      </c>
      <c r="C615" s="4" t="inlineStr">
        <is>
          <t>ENCUNHAMENTO</t>
        </is>
      </c>
      <c r="D615" s="4" t="inlineStr">
        <is>
          <t>-</t>
        </is>
      </c>
      <c r="E615" s="4" t="inlineStr">
        <is>
          <t>18º PAV.</t>
        </is>
      </c>
      <c r="F615" s="118" t="n">
        <v>46625</v>
      </c>
      <c r="G615" s="118" t="n">
        <v>46638</v>
      </c>
      <c r="H615" s="118" t="n">
        <v>46289</v>
      </c>
      <c r="I615" s="4" t="n">
        <v>0</v>
      </c>
      <c r="J615" s="4" t="n">
        <v>0</v>
      </c>
      <c r="K615" s="4" t="n">
        <v>0</v>
      </c>
      <c r="M615" s="2">
        <f>IF(C615="","",IFERROR(INDEX($S$5:$S$304,MATCH(C615,$R$5:$R$304,0))&amp;"","?"))</f>
        <v/>
      </c>
      <c r="N615" s="2">
        <f>IF(E615="","",IF(LEFT(E615,7)="SUBSOLO",-1,IF(LEFT(E615,6)="TÉRREO",0,IFERROR(VALUE(LEFT(E615,FIND("º",SUBSTITUTE(E615,"°","º"))-1)),""))))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30171463</v>
      </c>
      <c r="C616" s="4" t="inlineStr">
        <is>
          <t>DISTRIBUIÇÃO ELÉTRICA / QUADRO</t>
        </is>
      </c>
      <c r="D616" s="4" t="inlineStr">
        <is>
          <t>-</t>
        </is>
      </c>
      <c r="E616" s="4" t="inlineStr">
        <is>
          <t>3º PAV - GARAGEM</t>
        </is>
      </c>
      <c r="F616" s="118" t="n">
        <v>46626</v>
      </c>
      <c r="G616" s="118" t="n">
        <v>46668</v>
      </c>
      <c r="H616" s="118" t="n">
        <v>46289</v>
      </c>
      <c r="I616" s="4" t="n">
        <v>0</v>
      </c>
      <c r="J616" s="4" t="n">
        <v>0</v>
      </c>
      <c r="K616" s="4" t="n">
        <v>0</v>
      </c>
      <c r="M616" s="2">
        <f>IF(C616="","",IFERROR(INDEX($S$5:$S$304,MATCH(C616,$R$5:$R$304,0))&amp;"","?"))</f>
        <v/>
      </c>
      <c r="N616" s="2">
        <f>IF(E616="","",IF(LEFT(E616,7)="SUBSOLO",-1,IF(LEFT(E616,6)="TÉRREO",0,IFERROR(VALUE(LEFT(E616,FIND("º",SUBSTITUTE(E616,"°","º"))-1)),""))))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30171448</v>
      </c>
      <c r="C617" s="4" t="inlineStr">
        <is>
          <t>DISTRIBUIÇÃO HIDRÁULICA</t>
        </is>
      </c>
      <c r="D617" s="4" t="inlineStr">
        <is>
          <t>-</t>
        </is>
      </c>
      <c r="E617" s="4" t="inlineStr">
        <is>
          <t>3º PAV - GARAGEM</t>
        </is>
      </c>
      <c r="F617" s="118" t="n">
        <v>46626</v>
      </c>
      <c r="G617" s="118" t="n">
        <v>46668</v>
      </c>
      <c r="H617" s="118" t="n">
        <v>46289</v>
      </c>
      <c r="I617" s="4" t="n">
        <v>0</v>
      </c>
      <c r="J617" s="4" t="n">
        <v>0</v>
      </c>
      <c r="K617" s="4" t="n">
        <v>0</v>
      </c>
      <c r="M617" s="2">
        <f>IF(C617="","",IFERROR(INDEX($S$5:$S$304,MATCH(C617,$R$5:$R$304,0))&amp;"","?"))</f>
        <v/>
      </c>
      <c r="N617" s="2">
        <f>IF(E617="","",IF(LEFT(E617,7)="SUBSOLO",-1,IF(LEFT(E617,6)="TÉRREO",0,IFERROR(VALUE(LEFT(E617,FIND("º",SUBSTITUTE(E617,"°","º"))-1)),""))))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29940964</v>
      </c>
      <c r="C618" s="4" t="inlineStr">
        <is>
          <t>ESTRUTURA</t>
        </is>
      </c>
      <c r="D618" s="4" t="inlineStr">
        <is>
          <t>-</t>
        </is>
      </c>
      <c r="E618" s="4" t="inlineStr">
        <is>
          <t>24º PAV.</t>
        </is>
      </c>
      <c r="F618" s="118" t="n">
        <v>46626</v>
      </c>
      <c r="G618" s="118" t="n">
        <v>46639</v>
      </c>
      <c r="H618" s="118" t="n">
        <v>46289</v>
      </c>
      <c r="I618" s="4" t="n">
        <v>0</v>
      </c>
      <c r="J618" s="4" t="n">
        <v>0</v>
      </c>
      <c r="K618" s="4" t="n">
        <v>0</v>
      </c>
      <c r="M618" s="2">
        <f>IF(C618="","",IFERROR(INDEX($S$5:$S$304,MATCH(C618,$R$5:$R$304,0))&amp;"","?"))</f>
        <v/>
      </c>
      <c r="N618" s="2">
        <f>IF(E618="","",IF(LEFT(E618,7)="SUBSOLO",-1,IF(LEFT(E618,6)="TÉRREO",0,IFERROR(VALUE(LEFT(E618,FIND("º",SUBSTITUTE(E618,"°","º"))-1)),""))))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31529044</v>
      </c>
      <c r="C619" s="4" t="inlineStr">
        <is>
          <t>ESTRUTURA</t>
        </is>
      </c>
      <c r="D619" s="4" t="inlineStr">
        <is>
          <t>Forma</t>
        </is>
      </c>
      <c r="E619" s="4" t="inlineStr">
        <is>
          <t>24º PAV.</t>
        </is>
      </c>
      <c r="F619" s="118" t="n">
        <v>46626</v>
      </c>
      <c r="G619" s="118" t="n">
        <v>46632</v>
      </c>
      <c r="H619" s="118" t="n">
        <v>46289</v>
      </c>
      <c r="I619" s="4" t="n">
        <v>0</v>
      </c>
      <c r="J619" s="4" t="n">
        <v>0</v>
      </c>
      <c r="K619" s="4" t="n">
        <v>0</v>
      </c>
      <c r="M619" s="2">
        <f>IF(C619="","",IFERROR(INDEX($S$5:$S$304,MATCH(C619,$R$5:$R$304,0))&amp;"","?"))</f>
        <v/>
      </c>
      <c r="N619" s="2">
        <f>IF(E619="","",IF(LEFT(E619,7)="SUBSOLO",-1,IF(LEFT(E619,6)="TÉRREO",0,IFERROR(VALUE(LEFT(E619,FIND("º",SUBSTITUTE(E619,"°","º"))-1)),""))))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31529045</v>
      </c>
      <c r="C620" s="4" t="inlineStr">
        <is>
          <t>ESTRUTURA</t>
        </is>
      </c>
      <c r="D620" s="4" t="inlineStr">
        <is>
          <t>Armação</t>
        </is>
      </c>
      <c r="E620" s="4" t="inlineStr">
        <is>
          <t>24º PAV.</t>
        </is>
      </c>
      <c r="F620" s="118" t="n">
        <v>46633</v>
      </c>
      <c r="G620" s="118" t="n">
        <v>46638</v>
      </c>
      <c r="H620" s="118" t="n">
        <v>46289</v>
      </c>
      <c r="I620" s="4" t="n">
        <v>0</v>
      </c>
      <c r="J620" s="4" t="n">
        <v>0</v>
      </c>
      <c r="K620" s="4" t="n">
        <v>0</v>
      </c>
      <c r="M620" s="2">
        <f>IF(C620="","",IFERROR(INDEX($S$5:$S$304,MATCH(C620,$R$5:$R$304,0))&amp;"","?"))</f>
        <v/>
      </c>
      <c r="N620" s="2">
        <f>IF(E620="","",IF(LEFT(E620,7)="SUBSOLO",-1,IF(LEFT(E620,6)="TÉRREO",0,IFERROR(VALUE(LEFT(E620,FIND("º",SUBSTITUTE(E620,"°","º"))-1)),""))))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31529046</v>
      </c>
      <c r="C621" s="4" t="inlineStr">
        <is>
          <t>ESTRUTURA</t>
        </is>
      </c>
      <c r="D621" s="4" t="inlineStr">
        <is>
          <t>Concretagem</t>
        </is>
      </c>
      <c r="E621" s="4" t="inlineStr">
        <is>
          <t>24º PAV.</t>
        </is>
      </c>
      <c r="F621" s="118" t="n">
        <v>46639</v>
      </c>
      <c r="G621" s="118" t="n">
        <v>46639</v>
      </c>
      <c r="H621" s="118" t="n">
        <v>46289</v>
      </c>
      <c r="I621" s="4" t="n">
        <v>0</v>
      </c>
      <c r="J621" s="4" t="n">
        <v>0</v>
      </c>
      <c r="K621" s="4" t="n">
        <v>0</v>
      </c>
      <c r="M621" s="2">
        <f>IF(C621="","",IFERROR(INDEX($S$5:$S$304,MATCH(C621,$R$5:$R$304,0))&amp;"","?"))</f>
        <v/>
      </c>
      <c r="N621" s="2">
        <f>IF(E621="","",IF(LEFT(E621,7)="SUBSOLO",-1,IF(LEFT(E621,6)="TÉRREO",0,IFERROR(VALUE(LEFT(E621,FIND("º",SUBSTITUTE(E621,"°","º"))-1)),""))))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31529047</v>
      </c>
      <c r="C622" s="4" t="inlineStr">
        <is>
          <t>ESTRUTURA</t>
        </is>
      </c>
      <c r="D622" s="4" t="inlineStr">
        <is>
          <t>Polimento</t>
        </is>
      </c>
      <c r="E622" s="4" t="inlineStr">
        <is>
          <t>24º PAV.</t>
        </is>
      </c>
      <c r="F622" s="118" t="n">
        <v>46639</v>
      </c>
      <c r="G622" s="118" t="n">
        <v>46639</v>
      </c>
      <c r="H622" s="118" t="n">
        <v>46289</v>
      </c>
      <c r="I622" s="4" t="n">
        <v>0</v>
      </c>
      <c r="J622" s="4" t="n">
        <v>0</v>
      </c>
      <c r="K622" s="4" t="n">
        <v>0</v>
      </c>
      <c r="M622" s="2">
        <f>IF(C622="","",IFERROR(INDEX($S$5:$S$304,MATCH(C622,$R$5:$R$304,0))&amp;"","?"))</f>
        <v/>
      </c>
      <c r="N622" s="2">
        <f>IF(E622="","",IF(LEFT(E622,7)="SUBSOLO",-1,IF(LEFT(E622,6)="TÉRREO",0,IFERROR(VALUE(LEFT(E622,FIND("º",SUBSTITUTE(E622,"°","º"))-1)),""))))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29981074</v>
      </c>
      <c r="C623" s="4" t="inlineStr">
        <is>
          <t>PRUMADA DE INCÊNDIO</t>
        </is>
      </c>
      <c r="D623" s="4" t="inlineStr">
        <is>
          <t>-</t>
        </is>
      </c>
      <c r="E623" s="4" t="inlineStr">
        <is>
          <t>20º PAV.</t>
        </is>
      </c>
      <c r="F623" s="118" t="n">
        <v>46630</v>
      </c>
      <c r="G623" s="118" t="n">
        <v>46643</v>
      </c>
      <c r="H623" s="118" t="n">
        <v>46289</v>
      </c>
      <c r="I623" s="4" t="n">
        <v>0</v>
      </c>
      <c r="J623" s="4" t="n">
        <v>0</v>
      </c>
      <c r="K623" s="4" t="n">
        <v>0</v>
      </c>
      <c r="M623" s="2">
        <f>IF(C623="","",IFERROR(INDEX($S$5:$S$304,MATCH(C623,$R$5:$R$304,0))&amp;"","?"))</f>
        <v/>
      </c>
      <c r="N623" s="2">
        <f>IF(E623="","",IF(LEFT(E623,7)="SUBSOLO",-1,IF(LEFT(E623,6)="TÉRREO",0,IFERROR(VALUE(LEFT(E623,FIND("º",SUBSTITUTE(E623,"°","º"))-1)),""))))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29981025</v>
      </c>
      <c r="C624" s="4" t="inlineStr">
        <is>
          <t>ALVENARIA</t>
        </is>
      </c>
      <c r="D624" s="4" t="inlineStr">
        <is>
          <t>-</t>
        </is>
      </c>
      <c r="E624" s="4" t="inlineStr">
        <is>
          <t>21º PAV.</t>
        </is>
      </c>
      <c r="F624" s="118" t="n">
        <v>46630</v>
      </c>
      <c r="G624" s="118" t="n">
        <v>46643</v>
      </c>
      <c r="H624" s="118" t="n">
        <v>46289</v>
      </c>
      <c r="I624" s="4" t="n">
        <v>0</v>
      </c>
      <c r="J624" s="4" t="n">
        <v>0</v>
      </c>
      <c r="K624" s="4" t="n">
        <v>0</v>
      </c>
      <c r="M624" s="2">
        <f>IF(C624="","",IFERROR(INDEX($S$5:$S$304,MATCH(C624,$R$5:$R$304,0))&amp;"","?"))</f>
        <v/>
      </c>
      <c r="N624" s="2">
        <f>IF(E624="","",IF(LEFT(E624,7)="SUBSOLO",-1,IF(LEFT(E624,6)="TÉRREO",0,IFERROR(VALUE(LEFT(E624,FIND("º",SUBSTITUTE(E624,"°","º"))-1)),""))))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30205722</v>
      </c>
      <c r="C625" s="4" t="inlineStr">
        <is>
          <t>REBOCO INTERNO</t>
        </is>
      </c>
      <c r="D625" s="4" t="inlineStr">
        <is>
          <t>-</t>
        </is>
      </c>
      <c r="E625" s="4" t="inlineStr">
        <is>
          <t>SUBSOLO</t>
        </is>
      </c>
      <c r="F625" s="118" t="n">
        <v>46631</v>
      </c>
      <c r="G625" s="118" t="n">
        <v>46661</v>
      </c>
      <c r="H625" s="118" t="n">
        <v>46289</v>
      </c>
      <c r="I625" s="4" t="n">
        <v>0</v>
      </c>
      <c r="J625" s="4" t="n">
        <v>0</v>
      </c>
      <c r="K625" s="4" t="n">
        <v>0</v>
      </c>
      <c r="M625" s="2">
        <f>IF(C625="","",IFERROR(INDEX($S$5:$S$304,MATCH(C625,$R$5:$R$304,0))&amp;"","?"))</f>
        <v/>
      </c>
      <c r="N625" s="2">
        <f>IF(E625="","",IF(LEFT(E625,7)="SUBSOLO",-1,IF(LEFT(E625,6)="TÉRREO",0,IFERROR(VALUE(LEFT(E625,FIND("º",SUBSTITUTE(E625,"°","º"))-1)),""))))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29981532</v>
      </c>
      <c r="C626" s="4" t="inlineStr">
        <is>
          <t>REVESTIMENTOS PORCELANATO PISO</t>
        </is>
      </c>
      <c r="D626" s="4" t="inlineStr">
        <is>
          <t>-</t>
        </is>
      </c>
      <c r="E626" s="4" t="inlineStr">
        <is>
          <t>7º PAV.</t>
        </is>
      </c>
      <c r="F626" s="118" t="n">
        <v>46636</v>
      </c>
      <c r="G626" s="118" t="n">
        <v>46647</v>
      </c>
      <c r="H626" s="118" t="n">
        <v>46289</v>
      </c>
      <c r="I626" s="4" t="n">
        <v>0</v>
      </c>
      <c r="J626" s="4" t="n">
        <v>0</v>
      </c>
      <c r="K626" s="4" t="n">
        <v>0</v>
      </c>
      <c r="M626" s="2">
        <f>IF(C626="","",IFERROR(INDEX($S$5:$S$304,MATCH(C626,$R$5:$R$304,0))&amp;"","?"))</f>
        <v/>
      </c>
      <c r="N626" s="2">
        <f>IF(E626="","",IF(LEFT(E626,7)="SUBSOLO",-1,IF(LEFT(E626,6)="TÉRREO",0,IFERROR(VALUE(LEFT(E626,FIND("º",SUBSTITUTE(E626,"°","º"))-1)),""))))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29981511</v>
      </c>
      <c r="C627" s="4" t="inlineStr">
        <is>
          <t>REVESTIMENTO PORCELANATO PAREDE</t>
        </is>
      </c>
      <c r="D627" s="4" t="inlineStr">
        <is>
          <t>-</t>
        </is>
      </c>
      <c r="E627" s="4" t="inlineStr">
        <is>
          <t>8º PAV.</t>
        </is>
      </c>
      <c r="F627" s="118" t="n">
        <v>46636</v>
      </c>
      <c r="G627" s="118" t="n">
        <v>46647</v>
      </c>
      <c r="H627" s="118" t="n">
        <v>46289</v>
      </c>
      <c r="I627" s="4" t="n">
        <v>0</v>
      </c>
      <c r="J627" s="4" t="n">
        <v>0</v>
      </c>
      <c r="K627" s="4" t="n">
        <v>0</v>
      </c>
      <c r="M627" s="2">
        <f>IF(C627="","",IFERROR(INDEX($S$5:$S$304,MATCH(C627,$R$5:$R$304,0))&amp;"","?"))</f>
        <v/>
      </c>
      <c r="N627" s="2">
        <f>IF(E627="","",IF(LEFT(E627,7)="SUBSOLO",-1,IF(LEFT(E627,6)="TÉRREO",0,IFERROR(VALUE(LEFT(E627,FIND("º",SUBSTITUTE(E627,"°","º"))-1)),""))))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29981472</v>
      </c>
      <c r="C628" s="4" t="inlineStr">
        <is>
          <t>IMPERMEABILIZAÇÃO</t>
        </is>
      </c>
      <c r="D628" s="4" t="inlineStr">
        <is>
          <t>-</t>
        </is>
      </c>
      <c r="E628" s="4" t="inlineStr">
        <is>
          <t>9º PAV.</t>
        </is>
      </c>
      <c r="F628" s="118" t="n">
        <v>46636</v>
      </c>
      <c r="G628" s="118" t="n">
        <v>46647</v>
      </c>
      <c r="H628" s="118" t="n">
        <v>46289</v>
      </c>
      <c r="I628" s="4" t="n">
        <v>0</v>
      </c>
      <c r="J628" s="4" t="n">
        <v>0</v>
      </c>
      <c r="K628" s="4" t="n">
        <v>0</v>
      </c>
      <c r="M628" s="2">
        <f>IF(C628="","",IFERROR(INDEX($S$5:$S$304,MATCH(C628,$R$5:$R$304,0))&amp;"","?"))</f>
        <v/>
      </c>
      <c r="N628" s="2">
        <f>IF(E628="","",IF(LEFT(E628,7)="SUBSOLO",-1,IF(LEFT(E628,6)="TÉRREO",0,IFERROR(VALUE(LEFT(E628,FIND("º",SUBSTITUTE(E628,"°","º"))-1)),""))))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32750436</v>
      </c>
      <c r="C629" s="4" t="inlineStr">
        <is>
          <t>DRYWALL 2º FACE</t>
        </is>
      </c>
      <c r="D629" s="4" t="inlineStr">
        <is>
          <t>-</t>
        </is>
      </c>
      <c r="E629" s="4" t="inlineStr">
        <is>
          <t>10º PAV.</t>
        </is>
      </c>
      <c r="F629" s="118" t="n">
        <v>46636</v>
      </c>
      <c r="G629" s="118" t="n">
        <v>46647</v>
      </c>
      <c r="H629" s="118" t="n">
        <v>46289</v>
      </c>
      <c r="I629" s="4" t="n">
        <v>0</v>
      </c>
      <c r="J629" s="4" t="n">
        <v>0</v>
      </c>
      <c r="K629" s="4" t="n">
        <v>0</v>
      </c>
      <c r="M629" s="2">
        <f>IF(C629="","",IFERROR(INDEX($S$5:$S$304,MATCH(C629,$R$5:$R$304,0))&amp;"","?"))</f>
        <v/>
      </c>
      <c r="N629" s="2">
        <f>IF(E629="","",IF(LEFT(E629,7)="SUBSOLO",-1,IF(LEFT(E629,6)="TÉRREO",0,IFERROR(VALUE(LEFT(E629,FIND("º",SUBSTITUTE(E629,"°","º"))-1)),""))))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32750359</v>
      </c>
      <c r="C630" s="4" t="inlineStr">
        <is>
          <t>DISTRIBUIÇÃO DE GÁS - DRYWALL</t>
        </is>
      </c>
      <c r="D630" s="4" t="inlineStr">
        <is>
          <t>-</t>
        </is>
      </c>
      <c r="E630" s="4" t="inlineStr">
        <is>
          <t>11º PAV.</t>
        </is>
      </c>
      <c r="F630" s="118" t="n">
        <v>46636</v>
      </c>
      <c r="G630" s="118" t="n">
        <v>46647</v>
      </c>
      <c r="H630" s="118" t="n">
        <v>46289</v>
      </c>
      <c r="I630" s="4" t="n">
        <v>0</v>
      </c>
      <c r="J630" s="4" t="n">
        <v>0</v>
      </c>
      <c r="K630" s="4" t="n">
        <v>0</v>
      </c>
      <c r="M630" s="2">
        <f>IF(C630="","",IFERROR(INDEX($S$5:$S$304,MATCH(C630,$R$5:$R$304,0))&amp;"","?"))</f>
        <v/>
      </c>
      <c r="N630" s="2">
        <f>IF(E630="","",IF(LEFT(E630,7)="SUBSOLO",-1,IF(LEFT(E630,6)="TÉRREO",0,IFERROR(VALUE(LEFT(E630,FIND("º",SUBSTITUTE(E630,"°","º"))-1)),""))))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32750385</v>
      </c>
      <c r="C631" s="4" t="inlineStr">
        <is>
          <t>DISTRIBUIÇÃO ELÉTRICA/QUADRO - DRYWALL</t>
        </is>
      </c>
      <c r="D631" s="4" t="inlineStr">
        <is>
          <t>-</t>
        </is>
      </c>
      <c r="E631" s="4" t="inlineStr">
        <is>
          <t>11º PAV.</t>
        </is>
      </c>
      <c r="F631" s="118" t="n">
        <v>46636</v>
      </c>
      <c r="G631" s="118" t="n">
        <v>46647</v>
      </c>
      <c r="H631" s="118" t="n">
        <v>46289</v>
      </c>
      <c r="I631" s="4" t="n">
        <v>0</v>
      </c>
      <c r="J631" s="4" t="n">
        <v>0</v>
      </c>
      <c r="K631" s="4" t="n">
        <v>0</v>
      </c>
      <c r="M631" s="2">
        <f>IF(C631="","",IFERROR(INDEX($S$5:$S$304,MATCH(C631,$R$5:$R$304,0))&amp;"","?"))</f>
        <v/>
      </c>
      <c r="N631" s="2">
        <f>IF(E631="","",IF(LEFT(E631,7)="SUBSOLO",-1,IF(LEFT(E631,6)="TÉRREO",0,IFERROR(VALUE(LEFT(E631,FIND("º",SUBSTITUTE(E631,"°","º"))-1)),""))))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32750411</v>
      </c>
      <c r="C632" s="4" t="inlineStr">
        <is>
          <t>DISTRIBUIÇÃO HIDRÁULICA - DRYWALL</t>
        </is>
      </c>
      <c r="D632" s="4" t="inlineStr">
        <is>
          <t>-</t>
        </is>
      </c>
      <c r="E632" s="4" t="inlineStr">
        <is>
          <t>11º PAV.</t>
        </is>
      </c>
      <c r="F632" s="118" t="n">
        <v>46636</v>
      </c>
      <c r="G632" s="118" t="n">
        <v>46647</v>
      </c>
      <c r="H632" s="118" t="n">
        <v>46289</v>
      </c>
      <c r="I632" s="4" t="n">
        <v>0</v>
      </c>
      <c r="J632" s="4" t="n">
        <v>0</v>
      </c>
      <c r="K632" s="4" t="n">
        <v>0</v>
      </c>
      <c r="M632" s="2">
        <f>IF(C632="","",IFERROR(INDEX($S$5:$S$304,MATCH(C632,$R$5:$R$304,0))&amp;"","?"))</f>
        <v/>
      </c>
      <c r="N632" s="2">
        <f>IF(E632="","",IF(LEFT(E632,7)="SUBSOLO",-1,IF(LEFT(E632,6)="TÉRREO",0,IFERROR(VALUE(LEFT(E632,FIND("º",SUBSTITUTE(E632,"°","º"))-1)),""))))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33896829</v>
      </c>
      <c r="C633" s="4" t="inlineStr">
        <is>
          <t>INFRAESTRUTURA - AR CONDICIONADO</t>
        </is>
      </c>
      <c r="D633" s="4" t="inlineStr">
        <is>
          <t>-</t>
        </is>
      </c>
      <c r="E633" s="4" t="inlineStr">
        <is>
          <t>11º PAV.</t>
        </is>
      </c>
      <c r="F633" s="118" t="n">
        <v>46636</v>
      </c>
      <c r="G633" s="118" t="n">
        <v>46647</v>
      </c>
      <c r="H633" s="118" t="n">
        <v>46289</v>
      </c>
      <c r="I633" s="4" t="n">
        <v>0</v>
      </c>
      <c r="J633" s="4" t="n">
        <v>0</v>
      </c>
      <c r="K633" s="4" t="n">
        <v>0</v>
      </c>
      <c r="M633" s="2">
        <f>IF(C633="","",IFERROR(INDEX($S$5:$S$304,MATCH(C633,$R$5:$R$304,0))&amp;"","?"))</f>
        <v/>
      </c>
      <c r="N633" s="2">
        <f>IF(E633="","",IF(LEFT(E633,7)="SUBSOLO",-1,IF(LEFT(E633,6)="TÉRREO",0,IFERROR(VALUE(LEFT(E633,FIND("º",SUBSTITUTE(E633,"°","º"))-1)),""))))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32749855</v>
      </c>
      <c r="C634" s="4" t="inlineStr">
        <is>
          <t>DRYWALL 1º FACE</t>
        </is>
      </c>
      <c r="D634" s="4" t="inlineStr">
        <is>
          <t>-</t>
        </is>
      </c>
      <c r="E634" s="4" t="inlineStr">
        <is>
          <t>12º PAV.</t>
        </is>
      </c>
      <c r="F634" s="118" t="n">
        <v>46636</v>
      </c>
      <c r="G634" s="118" t="n">
        <v>46647</v>
      </c>
      <c r="H634" s="118" t="n">
        <v>46289</v>
      </c>
      <c r="I634" s="4" t="n">
        <v>0</v>
      </c>
      <c r="J634" s="4" t="n">
        <v>0</v>
      </c>
      <c r="K634" s="4" t="n">
        <v>0</v>
      </c>
      <c r="M634" s="2">
        <f>IF(C634="","",IFERROR(INDEX($S$5:$S$304,MATCH(C634,$R$5:$R$304,0))&amp;"","?"))</f>
        <v/>
      </c>
      <c r="N634" s="2">
        <f>IF(E634="","",IF(LEFT(E634,7)="SUBSOLO",-1,IF(LEFT(E634,6)="TÉRREO",0,IFERROR(VALUE(LEFT(E634,FIND("º",SUBSTITUTE(E634,"°","º"))-1)),""))))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29981325</v>
      </c>
      <c r="C635" s="4" t="inlineStr">
        <is>
          <t>CONTRAPISO</t>
        </is>
      </c>
      <c r="D635" s="4" t="inlineStr">
        <is>
          <t>-</t>
        </is>
      </c>
      <c r="E635" s="4" t="inlineStr">
        <is>
          <t>13º PAV.</t>
        </is>
      </c>
      <c r="F635" s="118" t="n">
        <v>46636</v>
      </c>
      <c r="G635" s="118" t="n">
        <v>46647</v>
      </c>
      <c r="H635" s="118" t="n">
        <v>46289</v>
      </c>
      <c r="I635" s="4" t="n">
        <v>0</v>
      </c>
      <c r="J635" s="4" t="n">
        <v>0</v>
      </c>
      <c r="K635" s="4" t="n">
        <v>0</v>
      </c>
      <c r="M635" s="2">
        <f>IF(C635="","",IFERROR(INDEX($S$5:$S$304,MATCH(C635,$R$5:$R$304,0))&amp;"","?"))</f>
        <v/>
      </c>
      <c r="N635" s="2">
        <f>IF(E635="","",IF(LEFT(E635,7)="SUBSOLO",-1,IF(LEFT(E635,6)="TÉRREO",0,IFERROR(VALUE(LEFT(E635,FIND("º",SUBSTITUTE(E635,"°","º"))-1)),""))))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29981265</v>
      </c>
      <c r="C636" s="4" t="inlineStr">
        <is>
          <t>SHAFT INTERNO INST. HIDRAÚLICAS</t>
        </is>
      </c>
      <c r="D636" s="4" t="inlineStr">
        <is>
          <t>-</t>
        </is>
      </c>
      <c r="E636" s="4" t="inlineStr">
        <is>
          <t>14º PAV.</t>
        </is>
      </c>
      <c r="F636" s="118" t="n">
        <v>46636</v>
      </c>
      <c r="G636" s="118" t="n">
        <v>46647</v>
      </c>
      <c r="H636" s="118" t="n">
        <v>46289</v>
      </c>
      <c r="I636" s="4" t="n">
        <v>0</v>
      </c>
      <c r="J636" s="4" t="n">
        <v>0</v>
      </c>
      <c r="K636" s="4" t="n">
        <v>0</v>
      </c>
      <c r="M636" s="2">
        <f>IF(C636="","",IFERROR(INDEX($S$5:$S$304,MATCH(C636,$R$5:$R$304,0))&amp;"","?"))</f>
        <v/>
      </c>
      <c r="N636" s="2">
        <f>IF(E636="","",IF(LEFT(E636,7)="SUBSOLO",-1,IF(LEFT(E636,6)="TÉRREO",0,IFERROR(VALUE(LEFT(E636,FIND("º",SUBSTITUTE(E636,"°","º"))-1)),""))))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29981298</v>
      </c>
      <c r="C637" s="4" t="inlineStr">
        <is>
          <t>PRUMADA ELÉTRICA - INFRA</t>
        </is>
      </c>
      <c r="D637" s="4" t="inlineStr">
        <is>
          <t>-</t>
        </is>
      </c>
      <c r="E637" s="4" t="inlineStr">
        <is>
          <t>14º PAV.</t>
        </is>
      </c>
      <c r="F637" s="118" t="n">
        <v>46636</v>
      </c>
      <c r="G637" s="118" t="n">
        <v>46647</v>
      </c>
      <c r="H637" s="118" t="n">
        <v>46289</v>
      </c>
      <c r="I637" s="4" t="n">
        <v>0</v>
      </c>
      <c r="J637" s="4" t="n">
        <v>0</v>
      </c>
      <c r="K637" s="4" t="n">
        <v>0</v>
      </c>
      <c r="M637" s="2">
        <f>IF(C637="","",IFERROR(INDEX($S$5:$S$304,MATCH(C637,$R$5:$R$304,0))&amp;"","?"))</f>
        <v/>
      </c>
      <c r="N637" s="2">
        <f>IF(E637="","",IF(LEFT(E637,7)="SUBSOLO",-1,IF(LEFT(E637,6)="TÉRREO",0,IFERROR(VALUE(LEFT(E637,FIND("º",SUBSTITUTE(E637,"°","º"))-1)),""))))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29981227</v>
      </c>
      <c r="C638" s="4" t="inlineStr">
        <is>
          <t>REBOCO INTERNO</t>
        </is>
      </c>
      <c r="D638" s="4" t="inlineStr">
        <is>
          <t>-</t>
        </is>
      </c>
      <c r="E638" s="4" t="inlineStr">
        <is>
          <t>15º PAV.</t>
        </is>
      </c>
      <c r="F638" s="118" t="n">
        <v>46636</v>
      </c>
      <c r="G638" s="118" t="n">
        <v>46647</v>
      </c>
      <c r="H638" s="118" t="n">
        <v>46289</v>
      </c>
      <c r="I638" s="4" t="n">
        <v>0</v>
      </c>
      <c r="J638" s="4" t="n">
        <v>0</v>
      </c>
      <c r="K638" s="4" t="n">
        <v>0</v>
      </c>
      <c r="M638" s="2">
        <f>IF(C638="","",IFERROR(INDEX($S$5:$S$304,MATCH(C638,$R$5:$R$304,0))&amp;"","?"))</f>
        <v/>
      </c>
      <c r="N638" s="2">
        <f>IF(E638="","",IF(LEFT(E638,7)="SUBSOLO",-1,IF(LEFT(E638,6)="TÉRREO",0,IFERROR(VALUE(LEFT(E638,FIND("º",SUBSTITUTE(E638,"°","º"))-1)),""))))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29981193</v>
      </c>
      <c r="C639" s="4" t="inlineStr">
        <is>
          <t>CONTRAMARCO</t>
        </is>
      </c>
      <c r="D639" s="4" t="inlineStr">
        <is>
          <t>-</t>
        </is>
      </c>
      <c r="E639" s="4" t="inlineStr">
        <is>
          <t>16º PAV.</t>
        </is>
      </c>
      <c r="F639" s="118" t="n">
        <v>46636</v>
      </c>
      <c r="G639" s="118" t="n">
        <v>46647</v>
      </c>
      <c r="H639" s="118" t="n">
        <v>46289</v>
      </c>
      <c r="I639" s="4" t="n">
        <v>0</v>
      </c>
      <c r="J639" s="4" t="n">
        <v>0</v>
      </c>
      <c r="K639" s="4" t="n">
        <v>0</v>
      </c>
      <c r="M639" s="2">
        <f>IF(C639="","",IFERROR(INDEX($S$5:$S$304,MATCH(C639,$R$5:$R$304,0))&amp;"","?"))</f>
        <v/>
      </c>
      <c r="N639" s="2">
        <f>IF(E639="","",IF(LEFT(E639,7)="SUBSOLO",-1,IF(LEFT(E639,6)="TÉRREO",0,IFERROR(VALUE(LEFT(E639,FIND("º",SUBSTITUTE(E639,"°","º"))-1)),""))))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29981186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17º PAV.</t>
        </is>
      </c>
      <c r="F640" s="118" t="n">
        <v>46636</v>
      </c>
      <c r="G640" s="118" t="n">
        <v>46647</v>
      </c>
      <c r="H640" s="118" t="n">
        <v>46289</v>
      </c>
      <c r="I640" s="4" t="n">
        <v>0</v>
      </c>
      <c r="J640" s="4" t="n">
        <v>0</v>
      </c>
      <c r="K640" s="4" t="n">
        <v>0</v>
      </c>
      <c r="M640" s="2">
        <f>IF(C640="","",IFERROR(INDEX($S$5:$S$304,MATCH(C640,$R$5:$R$304,0))&amp;"","?"))</f>
        <v/>
      </c>
      <c r="N640" s="2">
        <f>IF(E640="","",IF(LEFT(E640,7)="SUBSOLO",-1,IF(LEFT(E640,6)="TÉRREO",0,IFERROR(VALUE(LEFT(E640,FIND("º",SUBSTITUTE(E640,"°","º"))-1)),""))))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29981155</v>
      </c>
      <c r="C641" s="4" t="inlineStr">
        <is>
          <t>DISTRIBUIÇÃO ELÉTRICA / QUADRO</t>
        </is>
      </c>
      <c r="D641" s="4" t="inlineStr">
        <is>
          <t>-</t>
        </is>
      </c>
      <c r="E641" s="4" t="inlineStr">
        <is>
          <t>17º PAV.</t>
        </is>
      </c>
      <c r="F641" s="118" t="n">
        <v>46636</v>
      </c>
      <c r="G641" s="118" t="n">
        <v>46647</v>
      </c>
      <c r="H641" s="118" t="n">
        <v>46289</v>
      </c>
      <c r="I641" s="4" t="n">
        <v>0</v>
      </c>
      <c r="J641" s="4" t="n">
        <v>0</v>
      </c>
      <c r="K641" s="4" t="n">
        <v>0</v>
      </c>
      <c r="M641" s="2">
        <f>IF(C641="","",IFERROR(INDEX($S$5:$S$304,MATCH(C641,$R$5:$R$304,0))&amp;"","?"))</f>
        <v/>
      </c>
      <c r="N641" s="2">
        <f>IF(E641="","",IF(LEFT(E641,7)="SUBSOLO",-1,IF(LEFT(E641,6)="TÉRREO",0,IFERROR(VALUE(LEFT(E641,FIND("º",SUBSTITUTE(E641,"°","º"))-1)),""))))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29981188</v>
      </c>
      <c r="C642" s="4" t="inlineStr">
        <is>
          <t>DISTRIBUIÇÃO DE GÁS</t>
        </is>
      </c>
      <c r="D642" s="4" t="inlineStr">
        <is>
          <t>-</t>
        </is>
      </c>
      <c r="E642" s="4" t="inlineStr">
        <is>
          <t>17º PAV.</t>
        </is>
      </c>
      <c r="F642" s="118" t="n">
        <v>46636</v>
      </c>
      <c r="G642" s="118" t="n">
        <v>46647</v>
      </c>
      <c r="H642" s="118" t="n">
        <v>46289</v>
      </c>
      <c r="I642" s="4" t="n">
        <v>0</v>
      </c>
      <c r="J642" s="4" t="n">
        <v>0</v>
      </c>
      <c r="K642" s="4" t="n">
        <v>0</v>
      </c>
      <c r="M642" s="2">
        <f>IF(C642="","",IFERROR(INDEX($S$5:$S$304,MATCH(C642,$R$5:$R$304,0))&amp;"","?"))</f>
        <v/>
      </c>
      <c r="N642" s="2">
        <f>IF(E642="","",IF(LEFT(E642,7)="SUBSOLO",-1,IF(LEFT(E642,6)="TÉRREO",0,IFERROR(VALUE(LEFT(E642,FIND("º",SUBSTITUTE(E642,"°","º"))-1)),""))))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29981135</v>
      </c>
      <c r="C643" s="4" t="inlineStr">
        <is>
          <t>TALISCAMENTO</t>
        </is>
      </c>
      <c r="D643" s="4" t="inlineStr">
        <is>
          <t>-</t>
        </is>
      </c>
      <c r="E643" s="4" t="inlineStr">
        <is>
          <t>18º PAV.</t>
        </is>
      </c>
      <c r="F643" s="118" t="n">
        <v>46636</v>
      </c>
      <c r="G643" s="118" t="n">
        <v>46647</v>
      </c>
      <c r="H643" s="118" t="n">
        <v>46289</v>
      </c>
      <c r="I643" s="4" t="n">
        <v>0</v>
      </c>
      <c r="J643" s="4" t="n">
        <v>0</v>
      </c>
      <c r="K643" s="4" t="n">
        <v>0</v>
      </c>
      <c r="M643" s="2">
        <f>IF(C643="","",IFERROR(INDEX($S$5:$S$304,MATCH(C643,$R$5:$R$304,0))&amp;"","?"))</f>
        <v/>
      </c>
      <c r="N643" s="2">
        <f>IF(E643="","",IF(LEFT(E643,7)="SUBSOLO",-1,IF(LEFT(E643,6)="TÉRREO",0,IFERROR(VALUE(LEFT(E643,FIND("º",SUBSTITUTE(E643,"°","º"))-1)),""))))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29981064</v>
      </c>
      <c r="C644" s="4" t="inlineStr">
        <is>
          <t>PRUMADA HIDROSSANITÁRIA</t>
        </is>
      </c>
      <c r="D644" s="4" t="inlineStr">
        <is>
          <t>-</t>
        </is>
      </c>
      <c r="E644" s="4" t="inlineStr">
        <is>
          <t>20º PAV.</t>
        </is>
      </c>
      <c r="F644" s="118" t="n">
        <v>46636</v>
      </c>
      <c r="G644" s="118" t="n">
        <v>46647</v>
      </c>
      <c r="H644" s="118" t="n">
        <v>46289</v>
      </c>
      <c r="I644" s="4" t="n">
        <v>0</v>
      </c>
      <c r="J644" s="4" t="n">
        <v>0</v>
      </c>
      <c r="K644" s="4" t="n">
        <v>0</v>
      </c>
      <c r="M644" s="2">
        <f>IF(C644="","",IFERROR(INDEX($S$5:$S$304,MATCH(C644,$R$5:$R$304,0))&amp;"","?"))</f>
        <v/>
      </c>
      <c r="N644" s="2">
        <f>IF(E644="","",IF(LEFT(E644,7)="SUBSOLO",-1,IF(LEFT(E644,6)="TÉRREO",0,IFERROR(VALUE(LEFT(E644,FIND("º",SUBSTITUTE(E644,"°","º"))-1)),""))))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29981063</v>
      </c>
      <c r="C645" s="4" t="inlineStr">
        <is>
          <t>ENCUNHAMENTO</t>
        </is>
      </c>
      <c r="D645" s="4" t="inlineStr">
        <is>
          <t>-</t>
        </is>
      </c>
      <c r="E645" s="4" t="inlineStr">
        <is>
          <t>20º PAV.</t>
        </is>
      </c>
      <c r="F645" s="118" t="n">
        <v>46639</v>
      </c>
      <c r="G645" s="118" t="n">
        <v>46651</v>
      </c>
      <c r="H645" s="118" t="n">
        <v>46289</v>
      </c>
      <c r="I645" s="4" t="n">
        <v>0</v>
      </c>
      <c r="J645" s="4" t="n">
        <v>0</v>
      </c>
      <c r="K645" s="4" t="n">
        <v>0</v>
      </c>
      <c r="M645" s="2">
        <f>IF(C645="","",IFERROR(INDEX($S$5:$S$304,MATCH(C645,$R$5:$R$304,0))&amp;"","?"))</f>
        <v/>
      </c>
      <c r="N645" s="2">
        <f>IF(E645="","",IF(LEFT(E645,7)="SUBSOLO",-1,IF(LEFT(E645,6)="TÉRREO",0,IFERROR(VALUE(LEFT(E645,FIND("º",SUBSTITUTE(E645,"°","º"))-1)),""))))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31789446</v>
      </c>
      <c r="C646" s="4" t="inlineStr">
        <is>
          <t>FACHADA AERADA - F1 + F2 (1º ETAPA)</t>
        </is>
      </c>
      <c r="D646" s="4" t="inlineStr">
        <is>
          <t>-</t>
        </is>
      </c>
      <c r="E646" s="4" t="inlineStr">
        <is>
          <t>FACHADA</t>
        </is>
      </c>
      <c r="F646" s="118" t="n">
        <v>46639</v>
      </c>
      <c r="G646" s="118" t="n">
        <v>46696</v>
      </c>
      <c r="H646" s="118" t="n">
        <v>46289</v>
      </c>
      <c r="I646" s="4" t="n">
        <v>0</v>
      </c>
      <c r="J646" s="4" t="n">
        <v>0</v>
      </c>
      <c r="K646" s="4" t="n">
        <v>0</v>
      </c>
      <c r="M646" s="2">
        <f>IF(C646="","",IFERROR(INDEX($S$5:$S$304,MATCH(C646,$R$5:$R$304,0))&amp;"","?"))</f>
        <v/>
      </c>
      <c r="N646" s="2">
        <f>IF(E646="","",IF(LEFT(E646,7)="SUBSOLO",-1,IF(LEFT(E646,6)="TÉRREO",0,IFERROR(VALUE(LEFT(E646,FIND("º",SUBSTITUTE(E646,"°","º"))-1)),""))))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30205701</v>
      </c>
      <c r="C647" s="4" t="inlineStr">
        <is>
          <t>DRYWALL</t>
        </is>
      </c>
      <c r="D647" s="4" t="inlineStr">
        <is>
          <t>-</t>
        </is>
      </c>
      <c r="E647" s="4" t="inlineStr">
        <is>
          <t>TÉRREO - LOJA 1</t>
        </is>
      </c>
      <c r="F647" s="118" t="n">
        <v>46640</v>
      </c>
      <c r="G647" s="118" t="n">
        <v>46653</v>
      </c>
      <c r="H647" s="118" t="n">
        <v>46289</v>
      </c>
      <c r="I647" s="4" t="n">
        <v>0</v>
      </c>
      <c r="J647" s="4" t="n">
        <v>0</v>
      </c>
      <c r="K647" s="4" t="n">
        <v>0</v>
      </c>
      <c r="M647" s="2">
        <f>IF(C647="","",IFERROR(INDEX($S$5:$S$304,MATCH(C647,$R$5:$R$304,0))&amp;"","?"))</f>
        <v/>
      </c>
      <c r="N647" s="2">
        <f>IF(E647="","",IF(LEFT(E647,7)="SUBSOLO",-1,IF(LEFT(E647,6)="TÉRREO",0,IFERROR(VALUE(LEFT(E647,FIND("º",SUBSTITUTE(E647,"°","º"))-1)),""))))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30205673</v>
      </c>
      <c r="C648" s="4" t="inlineStr">
        <is>
          <t>CONTRAPISO</t>
        </is>
      </c>
      <c r="D648" s="4" t="inlineStr">
        <is>
          <t>-</t>
        </is>
      </c>
      <c r="E648" s="4" t="inlineStr">
        <is>
          <t>TÉRREO - LOJA 2</t>
        </is>
      </c>
      <c r="F648" s="118" t="n">
        <v>46640</v>
      </c>
      <c r="G648" s="118" t="n">
        <v>46653</v>
      </c>
      <c r="H648" s="118" t="n">
        <v>46289</v>
      </c>
      <c r="I648" s="4" t="n">
        <v>0</v>
      </c>
      <c r="J648" s="4" t="n">
        <v>0</v>
      </c>
      <c r="K648" s="4" t="n">
        <v>0</v>
      </c>
      <c r="M648" s="2">
        <f>IF(C648="","",IFERROR(INDEX($S$5:$S$304,MATCH(C648,$R$5:$R$304,0))&amp;"","?"))</f>
        <v/>
      </c>
      <c r="N648" s="2">
        <f>IF(E648="","",IF(LEFT(E648,7)="SUBSOLO",-1,IF(LEFT(E648,6)="TÉRREO",0,IFERROR(VALUE(LEFT(E648,FIND("º",SUBSTITUTE(E648,"°","º"))-1)),""))))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31803886</v>
      </c>
      <c r="C649" s="4" t="inlineStr">
        <is>
          <t>FACHADA LOJA</t>
        </is>
      </c>
      <c r="D649" s="4" t="inlineStr">
        <is>
          <t>-</t>
        </is>
      </c>
      <c r="E649" s="4" t="inlineStr">
        <is>
          <t>TÉRREO - LOJA 2</t>
        </is>
      </c>
      <c r="F649" s="118" t="n">
        <v>46640</v>
      </c>
      <c r="G649" s="118" t="n">
        <v>46687</v>
      </c>
      <c r="H649" s="118" t="n">
        <v>46289</v>
      </c>
      <c r="I649" s="4" t="n">
        <v>0</v>
      </c>
      <c r="J649" s="4" t="n">
        <v>0</v>
      </c>
      <c r="K649" s="4" t="n">
        <v>0</v>
      </c>
      <c r="M649" s="2">
        <f>IF(C649="","",IFERROR(INDEX($S$5:$S$304,MATCH(C649,$R$5:$R$304,0))&amp;"","?"))</f>
        <v/>
      </c>
      <c r="N649" s="2">
        <f>IF(E649="","",IF(LEFT(E649,7)="SUBSOLO",-1,IF(LEFT(E649,6)="TÉRREO",0,IFERROR(VALUE(LEFT(E649,FIND("º",SUBSTITUTE(E649,"°","º"))-1)),""))))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30205642</v>
      </c>
      <c r="C650" s="4" t="inlineStr">
        <is>
          <t>REBOCO INTERNO</t>
        </is>
      </c>
      <c r="D650" s="4" t="inlineStr">
        <is>
          <t>-</t>
        </is>
      </c>
      <c r="E650" s="4" t="inlineStr">
        <is>
          <t>TÉRREO - LOJA 3</t>
        </is>
      </c>
      <c r="F650" s="118" t="n">
        <v>46640</v>
      </c>
      <c r="G650" s="118" t="n">
        <v>46653</v>
      </c>
      <c r="H650" s="118" t="n">
        <v>46289</v>
      </c>
      <c r="I650" s="4" t="n">
        <v>0</v>
      </c>
      <c r="J650" s="4" t="n">
        <v>0</v>
      </c>
      <c r="K650" s="4" t="n">
        <v>0</v>
      </c>
      <c r="M650" s="2">
        <f>IF(C650="","",IFERROR(INDEX($S$5:$S$304,MATCH(C650,$R$5:$R$304,0))&amp;"","?"))</f>
        <v/>
      </c>
      <c r="N650" s="2">
        <f>IF(E650="","",IF(LEFT(E650,7)="SUBSOLO",-1,IF(LEFT(E650,6)="TÉRREO",0,IFERROR(VALUE(LEFT(E650,FIND("º",SUBSTITUTE(E650,"°","º"))-1)),""))))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30205611</v>
      </c>
      <c r="C651" s="4" t="inlineStr">
        <is>
          <t>DISTRIBUIÇÃO ELÉTRICA / QUADRO</t>
        </is>
      </c>
      <c r="D651" s="4" t="inlineStr">
        <is>
          <t>-</t>
        </is>
      </c>
      <c r="E651" s="4" t="inlineStr">
        <is>
          <t>TÉRREO - LOJA 4</t>
        </is>
      </c>
      <c r="F651" s="118" t="n">
        <v>46640</v>
      </c>
      <c r="G651" s="118" t="n">
        <v>46650</v>
      </c>
      <c r="H651" s="118" t="n">
        <v>46289</v>
      </c>
      <c r="I651" s="4" t="n">
        <v>0</v>
      </c>
      <c r="J651" s="4" t="n">
        <v>0</v>
      </c>
      <c r="K651" s="4" t="n">
        <v>0</v>
      </c>
      <c r="M651" s="2">
        <f>IF(C651="","",IFERROR(INDEX($S$5:$S$304,MATCH(C651,$R$5:$R$304,0))&amp;"","?"))</f>
        <v/>
      </c>
      <c r="N651" s="2">
        <f>IF(E651="","",IF(LEFT(E651,7)="SUBSOLO",-1,IF(LEFT(E651,6)="TÉRREO",0,IFERROR(VALUE(LEFT(E651,FIND("º",SUBSTITUTE(E651,"°","º"))-1)),""))))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30205612</v>
      </c>
      <c r="C652" s="4" t="inlineStr">
        <is>
          <t>DISTRIBUIÇÃO HIDRÁULICA</t>
        </is>
      </c>
      <c r="D652" s="4" t="inlineStr">
        <is>
          <t>-</t>
        </is>
      </c>
      <c r="E652" s="4" t="inlineStr">
        <is>
          <t>TÉRREO - LOJA 4</t>
        </is>
      </c>
      <c r="F652" s="118" t="n">
        <v>46640</v>
      </c>
      <c r="G652" s="118" t="n">
        <v>46653</v>
      </c>
      <c r="H652" s="118" t="n">
        <v>46289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IF(E652="","",IF(LEFT(E652,7)="SUBSOLO",-1,IF(LEFT(E652,6)="TÉRREO",0,IFERROR(VALUE(LEFT(E652,FIND("º",SUBSTITUTE(E652,"°","º"))-1)),""))))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30205583</v>
      </c>
      <c r="C653" s="4" t="inlineStr">
        <is>
          <t>TALISCAMENTO</t>
        </is>
      </c>
      <c r="D653" s="4" t="inlineStr">
        <is>
          <t>-</t>
        </is>
      </c>
      <c r="E653" s="4" t="inlineStr">
        <is>
          <t>TÉRREO - LOJA 5</t>
        </is>
      </c>
      <c r="F653" s="118" t="n">
        <v>46640</v>
      </c>
      <c r="G653" s="118" t="n">
        <v>46653</v>
      </c>
      <c r="H653" s="118" t="n">
        <v>46289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IF(E653="","",IF(LEFT(E653,7)="SUBSOLO",-1,IF(LEFT(E653,6)="TÉRREO",0,IFERROR(VALUE(LEFT(E653,FIND("º",SUBSTITUTE(E653,"°","º"))-1)),""))))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30205550</v>
      </c>
      <c r="C654" s="4" t="inlineStr">
        <is>
          <t>PRUMADA HIDROSSANITÁRIA</t>
        </is>
      </c>
      <c r="D654" s="4" t="inlineStr">
        <is>
          <t>-</t>
        </is>
      </c>
      <c r="E654" s="4" t="inlineStr">
        <is>
          <t>TÉRREO - LOJA 6</t>
        </is>
      </c>
      <c r="F654" s="118" t="n">
        <v>46640</v>
      </c>
      <c r="G654" s="118" t="n">
        <v>46653</v>
      </c>
      <c r="H654" s="118" t="n">
        <v>46289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IF(E654="","",IF(LEFT(E654,7)="SUBSOLO",-1,IF(LEFT(E654,6)="TÉRREO",0,IFERROR(VALUE(LEFT(E654,FIND("º",SUBSTITUTE(E654,"°","º"))-1)),""))))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30205549</v>
      </c>
      <c r="C655" s="4" t="inlineStr">
        <is>
          <t>PRUMADA DE INCÊNDIO</t>
        </is>
      </c>
      <c r="D655" s="4" t="inlineStr">
        <is>
          <t>-</t>
        </is>
      </c>
      <c r="E655" s="4" t="inlineStr">
        <is>
          <t>TÉRREO - LOJA 6</t>
        </is>
      </c>
      <c r="F655" s="118" t="n">
        <v>46640</v>
      </c>
      <c r="G655" s="118" t="n">
        <v>46653</v>
      </c>
      <c r="H655" s="118" t="n">
        <v>46289</v>
      </c>
      <c r="I655" s="4" t="n">
        <v>0</v>
      </c>
      <c r="J655" s="4" t="n">
        <v>0</v>
      </c>
      <c r="K655" s="4" t="n">
        <v>0</v>
      </c>
      <c r="M655" s="2">
        <f>IF(C655="","",IFERROR(INDEX($S$5:$S$304,MATCH(C655,$R$5:$R$304,0))&amp;"","?"))</f>
        <v/>
      </c>
      <c r="N655" s="2">
        <f>IF(E655="","",IF(LEFT(E655,7)="SUBSOLO",-1,IF(LEFT(E655,6)="TÉRREO",0,IFERROR(VALUE(LEFT(E655,FIND("º",SUBSTITUTE(E655,"°","º"))-1)),""))))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30205551</v>
      </c>
      <c r="C656" s="4" t="inlineStr">
        <is>
          <t>ENCUNHAMENTO</t>
        </is>
      </c>
      <c r="D656" s="4" t="inlineStr">
        <is>
          <t>-</t>
        </is>
      </c>
      <c r="E656" s="4" t="inlineStr">
        <is>
          <t>TÉRREO - LOJA 6</t>
        </is>
      </c>
      <c r="F656" s="118" t="n">
        <v>46640</v>
      </c>
      <c r="G656" s="118" t="n">
        <v>46653</v>
      </c>
      <c r="H656" s="118" t="n">
        <v>46289</v>
      </c>
      <c r="I656" s="4" t="n">
        <v>0</v>
      </c>
      <c r="J656" s="4" t="n">
        <v>0</v>
      </c>
      <c r="K656" s="4" t="n">
        <v>0</v>
      </c>
      <c r="M656" s="2">
        <f>IF(C656="","",IFERROR(INDEX($S$5:$S$304,MATCH(C656,$R$5:$R$304,0))&amp;"","?"))</f>
        <v/>
      </c>
      <c r="N656" s="2">
        <f>IF(E656="","",IF(LEFT(E656,7)="SUBSOLO",-1,IF(LEFT(E656,6)="TÉRREO",0,IFERROR(VALUE(LEFT(E656,FIND("º",SUBSTITUTE(E656,"°","º"))-1)),""))))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30205521</v>
      </c>
      <c r="C657" s="4" t="inlineStr">
        <is>
          <t>ALVENARIA</t>
        </is>
      </c>
      <c r="D657" s="4" t="inlineStr">
        <is>
          <t>-</t>
        </is>
      </c>
      <c r="E657" s="4" t="inlineStr">
        <is>
          <t>TÉRREO - LOJA 7</t>
        </is>
      </c>
      <c r="F657" s="118" t="n">
        <v>46640</v>
      </c>
      <c r="G657" s="118" t="n">
        <v>46653</v>
      </c>
      <c r="H657" s="118" t="n">
        <v>46289</v>
      </c>
      <c r="I657" s="4" t="n">
        <v>0</v>
      </c>
      <c r="J657" s="4" t="n">
        <v>0</v>
      </c>
      <c r="K657" s="4" t="n">
        <v>0</v>
      </c>
      <c r="M657" s="2">
        <f>IF(C657="","",IFERROR(INDEX($S$5:$S$304,MATCH(C657,$R$5:$R$304,0))&amp;"","?"))</f>
        <v/>
      </c>
      <c r="N657" s="2">
        <f>IF(E657="","",IF(LEFT(E657,7)="SUBSOLO",-1,IF(LEFT(E657,6)="TÉRREO",0,IFERROR(VALUE(LEFT(E657,FIND("º",SUBSTITUTE(E657,"°","º"))-1)),""))))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29941091</v>
      </c>
      <c r="C658" s="4" t="inlineStr">
        <is>
          <t>ESTRUTURA</t>
        </is>
      </c>
      <c r="D658" s="4" t="inlineStr">
        <is>
          <t>-</t>
        </is>
      </c>
      <c r="E658" s="4" t="inlineStr">
        <is>
          <t>25º PAV.</t>
        </is>
      </c>
      <c r="F658" s="118" t="n">
        <v>46640</v>
      </c>
      <c r="G658" s="118" t="n">
        <v>46652</v>
      </c>
      <c r="H658" s="118" t="n">
        <v>46289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IF(E658="","",IF(LEFT(E658,7)="SUBSOLO",-1,IF(LEFT(E658,6)="TÉRREO",0,IFERROR(VALUE(LEFT(E658,FIND("º",SUBSTITUTE(E658,"°","º"))-1)),""))))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31529048</v>
      </c>
      <c r="C659" s="4" t="inlineStr">
        <is>
          <t>ESTRUTURA</t>
        </is>
      </c>
      <c r="D659" s="4" t="inlineStr">
        <is>
          <t>Forma</t>
        </is>
      </c>
      <c r="E659" s="4" t="inlineStr">
        <is>
          <t>25º PAV.</t>
        </is>
      </c>
      <c r="F659" s="118" t="n">
        <v>46640</v>
      </c>
      <c r="G659" s="118" t="n">
        <v>46646</v>
      </c>
      <c r="H659" s="118" t="n">
        <v>46289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IF(E659="","",IF(LEFT(E659,7)="SUBSOLO",-1,IF(LEFT(E659,6)="TÉRREO",0,IFERROR(VALUE(LEFT(E659,FIND("º",SUBSTITUTE(E659,"°","º"))-1)),""))))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31529049</v>
      </c>
      <c r="C660" s="4" t="inlineStr">
        <is>
          <t>ESTRUTURA</t>
        </is>
      </c>
      <c r="D660" s="4" t="inlineStr">
        <is>
          <t>Armação</t>
        </is>
      </c>
      <c r="E660" s="4" t="inlineStr">
        <is>
          <t>25º PAV.</t>
        </is>
      </c>
      <c r="F660" s="118" t="n">
        <v>46647</v>
      </c>
      <c r="G660" s="118" t="n">
        <v>46651</v>
      </c>
      <c r="H660" s="118" t="n">
        <v>46289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IF(E660="","",IF(LEFT(E660,7)="SUBSOLO",-1,IF(LEFT(E660,6)="TÉRREO",0,IFERROR(VALUE(LEFT(E660,FIND("º",SUBSTITUTE(E660,"°","º"))-1)),""))))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31529050</v>
      </c>
      <c r="C661" s="4" t="inlineStr">
        <is>
          <t>ESTRUTURA</t>
        </is>
      </c>
      <c r="D661" s="4" t="inlineStr">
        <is>
          <t>Concretagem</t>
        </is>
      </c>
      <c r="E661" s="4" t="inlineStr">
        <is>
          <t>25º PAV.</t>
        </is>
      </c>
      <c r="F661" s="118" t="n">
        <v>46652</v>
      </c>
      <c r="G661" s="118" t="n">
        <v>46652</v>
      </c>
      <c r="H661" s="118" t="n">
        <v>46289</v>
      </c>
      <c r="I661" s="4" t="n">
        <v>0</v>
      </c>
      <c r="J661" s="4" t="n">
        <v>0</v>
      </c>
      <c r="K661" s="4" t="n">
        <v>0</v>
      </c>
      <c r="M661" s="2">
        <f>IF(C661="","",IFERROR(INDEX($S$5:$S$304,MATCH(C661,$R$5:$R$304,0))&amp;"","?"))</f>
        <v/>
      </c>
      <c r="N661" s="2">
        <f>IF(E661="","",IF(LEFT(E661,7)="SUBSOLO",-1,IF(LEFT(E661,6)="TÉRREO",0,IFERROR(VALUE(LEFT(E661,FIND("º",SUBSTITUTE(E661,"°","º"))-1)),""))))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31529051</v>
      </c>
      <c r="C662" s="4" t="inlineStr">
        <is>
          <t>ESTRUTURA</t>
        </is>
      </c>
      <c r="D662" s="4" t="inlineStr">
        <is>
          <t>Polimento</t>
        </is>
      </c>
      <c r="E662" s="4" t="inlineStr">
        <is>
          <t>25º PAV.</t>
        </is>
      </c>
      <c r="F662" s="118" t="n">
        <v>46652</v>
      </c>
      <c r="G662" s="118" t="n">
        <v>46652</v>
      </c>
      <c r="H662" s="118" t="n">
        <v>46289</v>
      </c>
      <c r="I662" s="4" t="n">
        <v>0</v>
      </c>
      <c r="J662" s="4" t="n">
        <v>0</v>
      </c>
      <c r="K662" s="4" t="n">
        <v>0</v>
      </c>
      <c r="M662" s="2">
        <f>IF(C662="","",IFERROR(INDEX($S$5:$S$304,MATCH(C662,$R$5:$R$304,0))&amp;"","?"))</f>
        <v/>
      </c>
      <c r="N662" s="2">
        <f>IF(E662="","",IF(LEFT(E662,7)="SUBSOLO",-1,IF(LEFT(E662,6)="TÉRREO",0,IFERROR(VALUE(LEFT(E662,FIND("º",SUBSTITUTE(E662,"°","º"))-1)),""))))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29981037</v>
      </c>
      <c r="C663" s="4" t="inlineStr">
        <is>
          <t>PRUMADA DE INCÊNDIO</t>
        </is>
      </c>
      <c r="D663" s="4" t="inlineStr">
        <is>
          <t>-</t>
        </is>
      </c>
      <c r="E663" s="4" t="inlineStr">
        <is>
          <t>21º PAV.</t>
        </is>
      </c>
      <c r="F663" s="118" t="n">
        <v>46644</v>
      </c>
      <c r="G663" s="118" t="n">
        <v>46654</v>
      </c>
      <c r="H663" s="118" t="n">
        <v>46289</v>
      </c>
      <c r="I663" s="4" t="n">
        <v>0</v>
      </c>
      <c r="J663" s="4" t="n">
        <v>0</v>
      </c>
      <c r="K663" s="4" t="n">
        <v>0</v>
      </c>
      <c r="M663" s="2">
        <f>IF(C663="","",IFERROR(INDEX($S$5:$S$304,MATCH(C663,$R$5:$R$304,0))&amp;"","?"))</f>
        <v/>
      </c>
      <c r="N663" s="2">
        <f>IF(E663="","",IF(LEFT(E663,7)="SUBSOLO",-1,IF(LEFT(E663,6)="TÉRREO",0,IFERROR(VALUE(LEFT(E663,FIND("º",SUBSTITUTE(E663,"°","º"))-1)),""))))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29980988</v>
      </c>
      <c r="C664" s="4" t="inlineStr">
        <is>
          <t>ALVENARIA</t>
        </is>
      </c>
      <c r="D664" s="4" t="inlineStr">
        <is>
          <t>-</t>
        </is>
      </c>
      <c r="E664" s="4" t="inlineStr">
        <is>
          <t>22º PAV.</t>
        </is>
      </c>
      <c r="F664" s="118" t="n">
        <v>46644</v>
      </c>
      <c r="G664" s="118" t="n">
        <v>46654</v>
      </c>
      <c r="H664" s="118" t="n">
        <v>46289</v>
      </c>
      <c r="I664" s="4" t="n">
        <v>0</v>
      </c>
      <c r="J664" s="4" t="n">
        <v>0</v>
      </c>
      <c r="K664" s="4" t="n">
        <v>0</v>
      </c>
      <c r="M664" s="2">
        <f>IF(C664="","",IFERROR(INDEX($S$5:$S$304,MATCH(C664,$R$5:$R$304,0))&amp;"","?"))</f>
        <v/>
      </c>
      <c r="N664" s="2">
        <f>IF(E664="","",IF(LEFT(E664,7)="SUBSOLO",-1,IF(LEFT(E664,6)="TÉRREO",0,IFERROR(VALUE(LEFT(E664,FIND("º",SUBSTITUTE(E664,"°","º"))-1)),""))))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30171499</v>
      </c>
      <c r="C665" s="4" t="inlineStr">
        <is>
          <t>INSTALAÇÃO DE ADUELAS (ELEVADORES)</t>
        </is>
      </c>
      <c r="D665" s="4" t="inlineStr">
        <is>
          <t>-</t>
        </is>
      </c>
      <c r="E665" s="4" t="inlineStr">
        <is>
          <t>HALL - APTOS</t>
        </is>
      </c>
      <c r="F665" s="118" t="n">
        <v>46650</v>
      </c>
      <c r="G665" s="118" t="n">
        <v>46947</v>
      </c>
      <c r="H665" s="118" t="n">
        <v>46289</v>
      </c>
      <c r="I665" s="4" t="n">
        <v>0</v>
      </c>
      <c r="J665" s="4" t="n">
        <v>0</v>
      </c>
      <c r="K665" s="4" t="n">
        <v>0</v>
      </c>
      <c r="M665" s="2">
        <f>IF(C665="","",IFERROR(INDEX($S$5:$S$304,MATCH(C665,$R$5:$R$304,0))&amp;"","?"))</f>
        <v/>
      </c>
      <c r="N665" s="2">
        <f>IF(E665="","",IF(LEFT(E665,7)="SUBSOLO",-1,IF(LEFT(E665,6)="TÉRREO",0,IFERROR(VALUE(LEFT(E665,FIND("º",SUBSTITUTE(E665,"°","º"))-1)),""))))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34184758</v>
      </c>
      <c r="C666" s="4" t="inlineStr">
        <is>
          <t>REVESTIMENTO DE GRANITO PISO</t>
        </is>
      </c>
      <c r="D666" s="4" t="inlineStr">
        <is>
          <t>-</t>
        </is>
      </c>
      <c r="E666" s="4" t="inlineStr">
        <is>
          <t>HALL - APTOS</t>
        </is>
      </c>
      <c r="F666" s="118" t="n">
        <v>46650</v>
      </c>
      <c r="G666" s="118" t="n">
        <v>46969</v>
      </c>
      <c r="H666" s="118" t="n">
        <v>46289</v>
      </c>
      <c r="I666" s="4" t="n">
        <v>0</v>
      </c>
      <c r="J666" s="4" t="n">
        <v>0</v>
      </c>
      <c r="K666" s="4" t="n">
        <v>0</v>
      </c>
      <c r="M666" s="2">
        <f>IF(C666="","",IFERROR(INDEX($S$5:$S$304,MATCH(C666,$R$5:$R$304,0))&amp;"","?"))</f>
        <v/>
      </c>
      <c r="N666" s="2">
        <f>IF(E666="","",IF(LEFT(E666,7)="SUBSOLO",-1,IF(LEFT(E666,6)="TÉRREO",0,IFERROR(VALUE(LEFT(E666,FIND("º",SUBSTITUTE(E666,"°","º"))-1)),""))))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29981533</v>
      </c>
      <c r="C667" s="4" t="inlineStr">
        <is>
          <t>BANCADAS</t>
        </is>
      </c>
      <c r="D667" s="4" t="inlineStr">
        <is>
          <t>-</t>
        </is>
      </c>
      <c r="E667" s="4" t="inlineStr">
        <is>
          <t>7º PAV.</t>
        </is>
      </c>
      <c r="F667" s="118" t="n">
        <v>46650</v>
      </c>
      <c r="G667" s="118" t="n">
        <v>46660</v>
      </c>
      <c r="H667" s="118" t="n">
        <v>46289</v>
      </c>
      <c r="I667" s="4" t="n">
        <v>0</v>
      </c>
      <c r="J667" s="4" t="n">
        <v>0</v>
      </c>
      <c r="K667" s="4" t="n">
        <v>0</v>
      </c>
      <c r="M667" s="2">
        <f>IF(C667="","",IFERROR(INDEX($S$5:$S$304,MATCH(C667,$R$5:$R$304,0))&amp;"","?"))</f>
        <v/>
      </c>
      <c r="N667" s="2">
        <f>IF(E667="","",IF(LEFT(E667,7)="SUBSOLO",-1,IF(LEFT(E667,6)="TÉRREO",0,IFERROR(VALUE(LEFT(E667,FIND("º",SUBSTITUTE(E667,"°","º"))-1)),""))))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29981495</v>
      </c>
      <c r="C668" s="4" t="inlineStr">
        <is>
          <t>REVESTIMENTOS PORCELANATO PISO</t>
        </is>
      </c>
      <c r="D668" s="4" t="inlineStr">
        <is>
          <t>-</t>
        </is>
      </c>
      <c r="E668" s="4" t="inlineStr">
        <is>
          <t>8º PAV.</t>
        </is>
      </c>
      <c r="F668" s="118" t="n">
        <v>46650</v>
      </c>
      <c r="G668" s="118" t="n">
        <v>46660</v>
      </c>
      <c r="H668" s="118" t="n">
        <v>46289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IF(E668="","",IF(LEFT(E668,7)="SUBSOLO",-1,IF(LEFT(E668,6)="TÉRREO",0,IFERROR(VALUE(LEFT(E668,FIND("º",SUBSTITUTE(E668,"°","º"))-1)),""))))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29981474</v>
      </c>
      <c r="C669" s="4" t="inlineStr">
        <is>
          <t>REVESTIMENTO PORCELANATO PAREDE</t>
        </is>
      </c>
      <c r="D669" s="4" t="inlineStr">
        <is>
          <t>-</t>
        </is>
      </c>
      <c r="E669" s="4" t="inlineStr">
        <is>
          <t>9º PAV.</t>
        </is>
      </c>
      <c r="F669" s="118" t="n">
        <v>46650</v>
      </c>
      <c r="G669" s="118" t="n">
        <v>46660</v>
      </c>
      <c r="H669" s="118" t="n">
        <v>46289</v>
      </c>
      <c r="I669" s="4" t="n">
        <v>0</v>
      </c>
      <c r="J669" s="4" t="n">
        <v>0</v>
      </c>
      <c r="K669" s="4" t="n">
        <v>0</v>
      </c>
      <c r="M669" s="2">
        <f>IF(C669="","",IFERROR(INDEX($S$5:$S$304,MATCH(C669,$R$5:$R$304,0))&amp;"","?"))</f>
        <v/>
      </c>
      <c r="N669" s="2">
        <f>IF(E669="","",IF(LEFT(E669,7)="SUBSOLO",-1,IF(LEFT(E669,6)="TÉRREO",0,IFERROR(VALUE(LEFT(E669,FIND("º",SUBSTITUTE(E669,"°","º"))-1)),""))))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29981435</v>
      </c>
      <c r="C670" s="4" t="inlineStr">
        <is>
          <t>IMPERMEABILIZAÇÃO</t>
        </is>
      </c>
      <c r="D670" s="4" t="inlineStr">
        <is>
          <t>-</t>
        </is>
      </c>
      <c r="E670" s="4" t="inlineStr">
        <is>
          <t>10º PAV.</t>
        </is>
      </c>
      <c r="F670" s="118" t="n">
        <v>46650</v>
      </c>
      <c r="G670" s="118" t="n">
        <v>46660</v>
      </c>
      <c r="H670" s="118" t="n">
        <v>46289</v>
      </c>
      <c r="I670" s="4" t="n">
        <v>0</v>
      </c>
      <c r="J670" s="4" t="n">
        <v>0</v>
      </c>
      <c r="K670" s="4" t="n">
        <v>0</v>
      </c>
      <c r="M670" s="2">
        <f>IF(C670="","",IFERROR(INDEX($S$5:$S$304,MATCH(C670,$R$5:$R$304,0))&amp;"","?"))</f>
        <v/>
      </c>
      <c r="N670" s="2">
        <f>IF(E670="","",IF(LEFT(E670,7)="SUBSOLO",-1,IF(LEFT(E670,6)="TÉRREO",0,IFERROR(VALUE(LEFT(E670,FIND("º",SUBSTITUTE(E670,"°","º"))-1)),""))))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32750437</v>
      </c>
      <c r="C671" s="4" t="inlineStr">
        <is>
          <t>DRYWALL 2º FACE</t>
        </is>
      </c>
      <c r="D671" s="4" t="inlineStr">
        <is>
          <t>-</t>
        </is>
      </c>
      <c r="E671" s="4" t="inlineStr">
        <is>
          <t>11º PAV.</t>
        </is>
      </c>
      <c r="F671" s="118" t="n">
        <v>46650</v>
      </c>
      <c r="G671" s="118" t="n">
        <v>46660</v>
      </c>
      <c r="H671" s="118" t="n">
        <v>46289</v>
      </c>
      <c r="I671" s="4" t="n">
        <v>0</v>
      </c>
      <c r="J671" s="4" t="n">
        <v>0</v>
      </c>
      <c r="K671" s="4" t="n">
        <v>0</v>
      </c>
      <c r="M671" s="2">
        <f>IF(C671="","",IFERROR(INDEX($S$5:$S$304,MATCH(C671,$R$5:$R$304,0))&amp;"","?"))</f>
        <v/>
      </c>
      <c r="N671" s="2">
        <f>IF(E671="","",IF(LEFT(E671,7)="SUBSOLO",-1,IF(LEFT(E671,6)="TÉRREO",0,IFERROR(VALUE(LEFT(E671,FIND("º",SUBSTITUTE(E671,"°","º"))-1)),""))))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32750360</v>
      </c>
      <c r="C672" s="4" t="inlineStr">
        <is>
          <t>DISTRIBUIÇÃO DE GÁS - DRYWALL</t>
        </is>
      </c>
      <c r="D672" s="4" t="inlineStr">
        <is>
          <t>-</t>
        </is>
      </c>
      <c r="E672" s="4" t="inlineStr">
        <is>
          <t>12º PAV.</t>
        </is>
      </c>
      <c r="F672" s="118" t="n">
        <v>46650</v>
      </c>
      <c r="G672" s="118" t="n">
        <v>46660</v>
      </c>
      <c r="H672" s="118" t="n">
        <v>46289</v>
      </c>
      <c r="I672" s="4" t="n">
        <v>0</v>
      </c>
      <c r="J672" s="4" t="n">
        <v>0</v>
      </c>
      <c r="K672" s="4" t="n">
        <v>0</v>
      </c>
      <c r="M672" s="2">
        <f>IF(C672="","",IFERROR(INDEX($S$5:$S$304,MATCH(C672,$R$5:$R$304,0))&amp;"","?"))</f>
        <v/>
      </c>
      <c r="N672" s="2">
        <f>IF(E672="","",IF(LEFT(E672,7)="SUBSOLO",-1,IF(LEFT(E672,6)="TÉRREO",0,IFERROR(VALUE(LEFT(E672,FIND("º",SUBSTITUTE(E672,"°","º"))-1)),""))))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32750386</v>
      </c>
      <c r="C673" s="4" t="inlineStr">
        <is>
          <t>DISTRIBUIÇÃO ELÉTRICA/QUADRO - DRYWALL</t>
        </is>
      </c>
      <c r="D673" s="4" t="inlineStr">
        <is>
          <t>-</t>
        </is>
      </c>
      <c r="E673" s="4" t="inlineStr">
        <is>
          <t>12º PAV.</t>
        </is>
      </c>
      <c r="F673" s="118" t="n">
        <v>46650</v>
      </c>
      <c r="G673" s="118" t="n">
        <v>46660</v>
      </c>
      <c r="H673" s="118" t="n">
        <v>46289</v>
      </c>
      <c r="I673" s="4" t="n">
        <v>0</v>
      </c>
      <c r="J673" s="4" t="n">
        <v>0</v>
      </c>
      <c r="K673" s="4" t="n">
        <v>0</v>
      </c>
      <c r="M673" s="2">
        <f>IF(C673="","",IFERROR(INDEX($S$5:$S$304,MATCH(C673,$R$5:$R$304,0))&amp;"","?"))</f>
        <v/>
      </c>
      <c r="N673" s="2">
        <f>IF(E673="","",IF(LEFT(E673,7)="SUBSOLO",-1,IF(LEFT(E673,6)="TÉRREO",0,IFERROR(VALUE(LEFT(E673,FIND("º",SUBSTITUTE(E673,"°","º"))-1)),""))))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32750412</v>
      </c>
      <c r="C674" s="4" t="inlineStr">
        <is>
          <t>DISTRIBUIÇÃO HIDRÁULICA - DRYWALL</t>
        </is>
      </c>
      <c r="D674" s="4" t="inlineStr">
        <is>
          <t>-</t>
        </is>
      </c>
      <c r="E674" s="4" t="inlineStr">
        <is>
          <t>12º PAV.</t>
        </is>
      </c>
      <c r="F674" s="118" t="n">
        <v>46650</v>
      </c>
      <c r="G674" s="118" t="n">
        <v>46660</v>
      </c>
      <c r="H674" s="118" t="n">
        <v>46289</v>
      </c>
      <c r="I674" s="4" t="n">
        <v>0</v>
      </c>
      <c r="J674" s="4" t="n">
        <v>0</v>
      </c>
      <c r="K674" s="4" t="n">
        <v>0</v>
      </c>
      <c r="M674" s="2">
        <f>IF(C674="","",IFERROR(INDEX($S$5:$S$304,MATCH(C674,$R$5:$R$304,0))&amp;"","?"))</f>
        <v/>
      </c>
      <c r="N674" s="2">
        <f>IF(E674="","",IF(LEFT(E674,7)="SUBSOLO",-1,IF(LEFT(E674,6)="TÉRREO",0,IFERROR(VALUE(LEFT(E674,FIND("º",SUBSTITUTE(E674,"°","º"))-1)),""))))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33896830</v>
      </c>
      <c r="C675" s="4" t="inlineStr">
        <is>
          <t>INFRAESTRUTURA - AR CONDICIONADO</t>
        </is>
      </c>
      <c r="D675" s="4" t="inlineStr">
        <is>
          <t>-</t>
        </is>
      </c>
      <c r="E675" s="4" t="inlineStr">
        <is>
          <t>12º PAV.</t>
        </is>
      </c>
      <c r="F675" s="118" t="n">
        <v>46650</v>
      </c>
      <c r="G675" s="118" t="n">
        <v>46660</v>
      </c>
      <c r="H675" s="118" t="n">
        <v>46289</v>
      </c>
      <c r="I675" s="4" t="n">
        <v>0</v>
      </c>
      <c r="J675" s="4" t="n">
        <v>0</v>
      </c>
      <c r="K675" s="4" t="n">
        <v>0</v>
      </c>
      <c r="M675" s="2">
        <f>IF(C675="","",IFERROR(INDEX($S$5:$S$304,MATCH(C675,$R$5:$R$304,0))&amp;"","?"))</f>
        <v/>
      </c>
      <c r="N675" s="2">
        <f>IF(E675="","",IF(LEFT(E675,7)="SUBSOLO",-1,IF(LEFT(E675,6)="TÉRREO",0,IFERROR(VALUE(LEFT(E675,FIND("º",SUBSTITUTE(E675,"°","º"))-1)),""))))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32749856</v>
      </c>
      <c r="C676" s="4" t="inlineStr">
        <is>
          <t>DRYWALL 1º FACE</t>
        </is>
      </c>
      <c r="D676" s="4" t="inlineStr">
        <is>
          <t>-</t>
        </is>
      </c>
      <c r="E676" s="4" t="inlineStr">
        <is>
          <t>13º PAV.</t>
        </is>
      </c>
      <c r="F676" s="118" t="n">
        <v>46650</v>
      </c>
      <c r="G676" s="118" t="n">
        <v>46660</v>
      </c>
      <c r="H676" s="118" t="n">
        <v>46289</v>
      </c>
      <c r="I676" s="4" t="n">
        <v>0</v>
      </c>
      <c r="J676" s="4" t="n">
        <v>0</v>
      </c>
      <c r="K676" s="4" t="n">
        <v>0</v>
      </c>
      <c r="M676" s="2">
        <f>IF(C676="","",IFERROR(INDEX($S$5:$S$304,MATCH(C676,$R$5:$R$304,0))&amp;"","?"))</f>
        <v/>
      </c>
      <c r="N676" s="2">
        <f>IF(E676="","",IF(LEFT(E676,7)="SUBSOLO",-1,IF(LEFT(E676,6)="TÉRREO",0,IFERROR(VALUE(LEFT(E676,FIND("º",SUBSTITUTE(E676,"°","º"))-1)),""))))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29981288</v>
      </c>
      <c r="C677" s="4" t="inlineStr">
        <is>
          <t>CONTRAPISO</t>
        </is>
      </c>
      <c r="D677" s="4" t="inlineStr">
        <is>
          <t>-</t>
        </is>
      </c>
      <c r="E677" s="4" t="inlineStr">
        <is>
          <t>14º PAV.</t>
        </is>
      </c>
      <c r="F677" s="118" t="n">
        <v>46650</v>
      </c>
      <c r="G677" s="118" t="n">
        <v>46660</v>
      </c>
      <c r="H677" s="118" t="n">
        <v>46289</v>
      </c>
      <c r="I677" s="4" t="n">
        <v>0</v>
      </c>
      <c r="J677" s="4" t="n">
        <v>0</v>
      </c>
      <c r="K677" s="4" t="n">
        <v>0</v>
      </c>
      <c r="M677" s="2">
        <f>IF(C677="","",IFERROR(INDEX($S$5:$S$304,MATCH(C677,$R$5:$R$304,0))&amp;"","?"))</f>
        <v/>
      </c>
      <c r="N677" s="2">
        <f>IF(E677="","",IF(LEFT(E677,7)="SUBSOLO",-1,IF(LEFT(E677,6)="TÉRREO",0,IFERROR(VALUE(LEFT(E677,FIND("º",SUBSTITUTE(E677,"°","º"))-1)),""))))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29981228</v>
      </c>
      <c r="C678" s="4" t="inlineStr">
        <is>
          <t>SHAFT INTERNO INST. HIDRAÚLICAS</t>
        </is>
      </c>
      <c r="D678" s="4" t="inlineStr">
        <is>
          <t>-</t>
        </is>
      </c>
      <c r="E678" s="4" t="inlineStr">
        <is>
          <t>15º PAV.</t>
        </is>
      </c>
      <c r="F678" s="118" t="n">
        <v>46650</v>
      </c>
      <c r="G678" s="118" t="n">
        <v>46660</v>
      </c>
      <c r="H678" s="118" t="n">
        <v>46289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IF(E678="","",IF(LEFT(E678,7)="SUBSOLO",-1,IF(LEFT(E678,6)="TÉRREO",0,IFERROR(VALUE(LEFT(E678,FIND("º",SUBSTITUTE(E678,"°","º"))-1)),""))))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29981261</v>
      </c>
      <c r="C679" s="4" t="inlineStr">
        <is>
          <t>PRUMADA ELÉTRICA - INFRA</t>
        </is>
      </c>
      <c r="D679" s="4" t="inlineStr">
        <is>
          <t>-</t>
        </is>
      </c>
      <c r="E679" s="4" t="inlineStr">
        <is>
          <t>15º PAV.</t>
        </is>
      </c>
      <c r="F679" s="118" t="n">
        <v>46650</v>
      </c>
      <c r="G679" s="118" t="n">
        <v>46660</v>
      </c>
      <c r="H679" s="118" t="n">
        <v>46289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IF(E679="","",IF(LEFT(E679,7)="SUBSOLO",-1,IF(LEFT(E679,6)="TÉRREO",0,IFERROR(VALUE(LEFT(E679,FIND("º",SUBSTITUTE(E679,"°","º"))-1)),""))))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29981190</v>
      </c>
      <c r="C680" s="4" t="inlineStr">
        <is>
          <t>REBOCO INTERNO</t>
        </is>
      </c>
      <c r="D680" s="4" t="inlineStr">
        <is>
          <t>-</t>
        </is>
      </c>
      <c r="E680" s="4" t="inlineStr">
        <is>
          <t>16º PAV.</t>
        </is>
      </c>
      <c r="F680" s="118" t="n">
        <v>46650</v>
      </c>
      <c r="G680" s="118" t="n">
        <v>46660</v>
      </c>
      <c r="H680" s="118" t="n">
        <v>46289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IF(E680="","",IF(LEFT(E680,7)="SUBSOLO",-1,IF(LEFT(E680,6)="TÉRREO",0,IFERROR(VALUE(LEFT(E680,FIND("º",SUBSTITUTE(E680,"°","º"))-1)),""))))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29981156</v>
      </c>
      <c r="C681" s="4" t="inlineStr">
        <is>
          <t>CONTRAMARCO</t>
        </is>
      </c>
      <c r="D681" s="4" t="inlineStr">
        <is>
          <t>-</t>
        </is>
      </c>
      <c r="E681" s="4" t="inlineStr">
        <is>
          <t>17º PAV.</t>
        </is>
      </c>
      <c r="F681" s="118" t="n">
        <v>46650</v>
      </c>
      <c r="G681" s="118" t="n">
        <v>46660</v>
      </c>
      <c r="H681" s="118" t="n">
        <v>46289</v>
      </c>
      <c r="I681" s="4" t="n">
        <v>0</v>
      </c>
      <c r="J681" s="4" t="n">
        <v>0</v>
      </c>
      <c r="K681" s="4" t="n">
        <v>0</v>
      </c>
      <c r="M681" s="2">
        <f>IF(C681="","",IFERROR(INDEX($S$5:$S$304,MATCH(C681,$R$5:$R$304,0))&amp;"","?"))</f>
        <v/>
      </c>
      <c r="N681" s="2">
        <f>IF(E681="","",IF(LEFT(E681,7)="SUBSOLO",-1,IF(LEFT(E681,6)="TÉRREO",0,IFERROR(VALUE(LEFT(E681,FIND("º",SUBSTITUTE(E681,"°","º"))-1)),""))))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29981149</v>
      </c>
      <c r="C682" s="4" t="inlineStr">
        <is>
          <t>DISTRIBUIÇÃO HIDROSSANITÁRIA</t>
        </is>
      </c>
      <c r="D682" s="4" t="inlineStr">
        <is>
          <t>-</t>
        </is>
      </c>
      <c r="E682" s="4" t="inlineStr">
        <is>
          <t>18º PAV.</t>
        </is>
      </c>
      <c r="F682" s="118" t="n">
        <v>46650</v>
      </c>
      <c r="G682" s="118" t="n">
        <v>46660</v>
      </c>
      <c r="H682" s="118" t="n">
        <v>46289</v>
      </c>
      <c r="I682" s="4" t="n">
        <v>0</v>
      </c>
      <c r="J682" s="4" t="n">
        <v>0</v>
      </c>
      <c r="K682" s="4" t="n">
        <v>0</v>
      </c>
      <c r="M682" s="2">
        <f>IF(C682="","",IFERROR(INDEX($S$5:$S$304,MATCH(C682,$R$5:$R$304,0))&amp;"","?"))</f>
        <v/>
      </c>
      <c r="N682" s="2">
        <f>IF(E682="","",IF(LEFT(E682,7)="SUBSOLO",-1,IF(LEFT(E682,6)="TÉRREO",0,IFERROR(VALUE(LEFT(E682,FIND("º",SUBSTITUTE(E682,"°","º"))-1)),""))))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29981118</v>
      </c>
      <c r="C683" s="4" t="inlineStr">
        <is>
          <t>DISTRIBUIÇÃO ELÉTRICA / QUADRO</t>
        </is>
      </c>
      <c r="D683" s="4" t="inlineStr">
        <is>
          <t>-</t>
        </is>
      </c>
      <c r="E683" s="4" t="inlineStr">
        <is>
          <t>18º PAV.</t>
        </is>
      </c>
      <c r="F683" s="118" t="n">
        <v>46650</v>
      </c>
      <c r="G683" s="118" t="n">
        <v>46660</v>
      </c>
      <c r="H683" s="118" t="n">
        <v>46289</v>
      </c>
      <c r="I683" s="4" t="n">
        <v>0</v>
      </c>
      <c r="J683" s="4" t="n">
        <v>0</v>
      </c>
      <c r="K683" s="4" t="n">
        <v>0</v>
      </c>
      <c r="M683" s="2">
        <f>IF(C683="","",IFERROR(INDEX($S$5:$S$304,MATCH(C683,$R$5:$R$304,0))&amp;"","?"))</f>
        <v/>
      </c>
      <c r="N683" s="2">
        <f>IF(E683="","",IF(LEFT(E683,7)="SUBSOLO",-1,IF(LEFT(E683,6)="TÉRREO",0,IFERROR(VALUE(LEFT(E683,FIND("º",SUBSTITUTE(E683,"°","º"))-1)),""))))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29981151</v>
      </c>
      <c r="C684" s="4" t="inlineStr">
        <is>
          <t>DISTRIBUIÇÃO DE GÁS</t>
        </is>
      </c>
      <c r="D684" s="4" t="inlineStr">
        <is>
          <t>-</t>
        </is>
      </c>
      <c r="E684" s="4" t="inlineStr">
        <is>
          <t>18º PAV.</t>
        </is>
      </c>
      <c r="F684" s="118" t="n">
        <v>46650</v>
      </c>
      <c r="G684" s="118" t="n">
        <v>46660</v>
      </c>
      <c r="H684" s="118" t="n">
        <v>46289</v>
      </c>
      <c r="I684" s="4" t="n">
        <v>0</v>
      </c>
      <c r="J684" s="4" t="n">
        <v>0</v>
      </c>
      <c r="K684" s="4" t="n">
        <v>0</v>
      </c>
      <c r="M684" s="2">
        <f>IF(C684="","",IFERROR(INDEX($S$5:$S$304,MATCH(C684,$R$5:$R$304,0))&amp;"","?"))</f>
        <v/>
      </c>
      <c r="N684" s="2">
        <f>IF(E684="","",IF(LEFT(E684,7)="SUBSOLO",-1,IF(LEFT(E684,6)="TÉRREO",0,IFERROR(VALUE(LEFT(E684,FIND("º",SUBSTITUTE(E684,"°","º"))-1)),""))))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29981061</v>
      </c>
      <c r="C685" s="4" t="inlineStr">
        <is>
          <t>TALISCAMENTO</t>
        </is>
      </c>
      <c r="D685" s="4" t="inlineStr">
        <is>
          <t>-</t>
        </is>
      </c>
      <c r="E685" s="4" t="inlineStr">
        <is>
          <t>20º PAV.</t>
        </is>
      </c>
      <c r="F685" s="118" t="n">
        <v>46650</v>
      </c>
      <c r="G685" s="118" t="n">
        <v>46660</v>
      </c>
      <c r="H685" s="118" t="n">
        <v>46289</v>
      </c>
      <c r="I685" s="4" t="n">
        <v>0</v>
      </c>
      <c r="J685" s="4" t="n">
        <v>0</v>
      </c>
      <c r="K685" s="4" t="n">
        <v>0</v>
      </c>
      <c r="M685" s="2">
        <f>IF(C685="","",IFERROR(INDEX($S$5:$S$304,MATCH(C685,$R$5:$R$304,0))&amp;"","?"))</f>
        <v/>
      </c>
      <c r="N685" s="2">
        <f>IF(E685="","",IF(LEFT(E685,7)="SUBSOLO",-1,IF(LEFT(E685,6)="TÉRREO",0,IFERROR(VALUE(LEFT(E685,FIND("º",SUBSTITUTE(E685,"°","º"))-1)),""))))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29981027</v>
      </c>
      <c r="C686" s="4" t="inlineStr">
        <is>
          <t>PRUMADA HIDROSSANITÁRIA</t>
        </is>
      </c>
      <c r="D686" s="4" t="inlineStr">
        <is>
          <t>-</t>
        </is>
      </c>
      <c r="E686" s="4" t="inlineStr">
        <is>
          <t>21º PAV.</t>
        </is>
      </c>
      <c r="F686" s="118" t="n">
        <v>46650</v>
      </c>
      <c r="G686" s="118" t="n">
        <v>46660</v>
      </c>
      <c r="H686" s="118" t="n">
        <v>46289</v>
      </c>
      <c r="I686" s="4" t="n">
        <v>0</v>
      </c>
      <c r="J686" s="4" t="n">
        <v>0</v>
      </c>
      <c r="K686" s="4" t="n">
        <v>0</v>
      </c>
      <c r="M686" s="2">
        <f>IF(C686="","",IFERROR(INDEX($S$5:$S$304,MATCH(C686,$R$5:$R$304,0))&amp;"","?"))</f>
        <v/>
      </c>
      <c r="N686" s="2">
        <f>IF(E686="","",IF(LEFT(E686,7)="SUBSOLO",-1,IF(LEFT(E686,6)="TÉRREO",0,IFERROR(VALUE(LEFT(E686,FIND("º",SUBSTITUTE(E686,"°","º"))-1)),""))))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29981026</v>
      </c>
      <c r="C687" s="4" t="inlineStr">
        <is>
          <t>ENCUNHAMENTO</t>
        </is>
      </c>
      <c r="D687" s="4" t="inlineStr">
        <is>
          <t>-</t>
        </is>
      </c>
      <c r="E687" s="4" t="inlineStr">
        <is>
          <t>21º PAV.</t>
        </is>
      </c>
      <c r="F687" s="118" t="n">
        <v>46652</v>
      </c>
      <c r="G687" s="118" t="n">
        <v>46664</v>
      </c>
      <c r="H687" s="118" t="n">
        <v>46289</v>
      </c>
      <c r="I687" s="4" t="n">
        <v>0</v>
      </c>
      <c r="J687" s="4" t="n">
        <v>0</v>
      </c>
      <c r="K687" s="4" t="n">
        <v>0</v>
      </c>
      <c r="M687" s="2">
        <f>IF(C687="","",IFERROR(INDEX($S$5:$S$304,MATCH(C687,$R$5:$R$304,0))&amp;"","?"))</f>
        <v/>
      </c>
      <c r="N687" s="2">
        <f>IF(E687="","",IF(LEFT(E687,7)="SUBSOLO",-1,IF(LEFT(E687,6)="TÉRREO",0,IFERROR(VALUE(LEFT(E687,FIND("º",SUBSTITUTE(E687,"°","º"))-1)),""))))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29941111</v>
      </c>
      <c r="C688" s="4" t="inlineStr">
        <is>
          <t>ESTRUTURA</t>
        </is>
      </c>
      <c r="D688" s="4" t="inlineStr">
        <is>
          <t>-</t>
        </is>
      </c>
      <c r="E688" s="4" t="inlineStr">
        <is>
          <t>26º PAV.</t>
        </is>
      </c>
      <c r="F688" s="118" t="n">
        <v>46653</v>
      </c>
      <c r="G688" s="118" t="n">
        <v>46664</v>
      </c>
      <c r="H688" s="118" t="n">
        <v>46289</v>
      </c>
      <c r="I688" s="4" t="n">
        <v>0</v>
      </c>
      <c r="J688" s="4" t="n">
        <v>0</v>
      </c>
      <c r="K688" s="4" t="n">
        <v>0</v>
      </c>
      <c r="M688" s="2">
        <f>IF(C688="","",IFERROR(INDEX($S$5:$S$304,MATCH(C688,$R$5:$R$304,0))&amp;"","?"))</f>
        <v/>
      </c>
      <c r="N688" s="2">
        <f>IF(E688="","",IF(LEFT(E688,7)="SUBSOLO",-1,IF(LEFT(E688,6)="TÉRREO",0,IFERROR(VALUE(LEFT(E688,FIND("º",SUBSTITUTE(E688,"°","º"))-1)),""))))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31529054</v>
      </c>
      <c r="C689" s="4" t="inlineStr">
        <is>
          <t>ESTRUTURA</t>
        </is>
      </c>
      <c r="D689" s="4" t="inlineStr">
        <is>
          <t>Forma</t>
        </is>
      </c>
      <c r="E689" s="4" t="inlineStr">
        <is>
          <t>26º PAV.</t>
        </is>
      </c>
      <c r="F689" s="118" t="n">
        <v>46653</v>
      </c>
      <c r="G689" s="118" t="n">
        <v>46658</v>
      </c>
      <c r="H689" s="118" t="n">
        <v>46289</v>
      </c>
      <c r="I689" s="4" t="n">
        <v>0</v>
      </c>
      <c r="J689" s="4" t="n">
        <v>0</v>
      </c>
      <c r="K689" s="4" t="n">
        <v>0</v>
      </c>
      <c r="M689" s="2">
        <f>IF(C689="","",IFERROR(INDEX($S$5:$S$304,MATCH(C689,$R$5:$R$304,0))&amp;"","?"))</f>
        <v/>
      </c>
      <c r="N689" s="2">
        <f>IF(E689="","",IF(LEFT(E689,7)="SUBSOLO",-1,IF(LEFT(E689,6)="TÉRREO",0,IFERROR(VALUE(LEFT(E689,FIND("º",SUBSTITUTE(E689,"°","º"))-1)),""))))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31529055</v>
      </c>
      <c r="C690" s="4" t="inlineStr">
        <is>
          <t>ESTRUTURA</t>
        </is>
      </c>
      <c r="D690" s="4" t="inlineStr">
        <is>
          <t>Armação</t>
        </is>
      </c>
      <c r="E690" s="4" t="inlineStr">
        <is>
          <t>26º PAV.</t>
        </is>
      </c>
      <c r="F690" s="118" t="n">
        <v>46659</v>
      </c>
      <c r="G690" s="118" t="n">
        <v>46661</v>
      </c>
      <c r="H690" s="118" t="n">
        <v>46289</v>
      </c>
      <c r="I690" s="4" t="n">
        <v>0</v>
      </c>
      <c r="J690" s="4" t="n">
        <v>0</v>
      </c>
      <c r="K690" s="4" t="n">
        <v>0</v>
      </c>
      <c r="M690" s="2">
        <f>IF(C690="","",IFERROR(INDEX($S$5:$S$304,MATCH(C690,$R$5:$R$304,0))&amp;"","?"))</f>
        <v/>
      </c>
      <c r="N690" s="2">
        <f>IF(E690="","",IF(LEFT(E690,7)="SUBSOLO",-1,IF(LEFT(E690,6)="TÉRREO",0,IFERROR(VALUE(LEFT(E690,FIND("º",SUBSTITUTE(E690,"°","º"))-1)),""))))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31529056</v>
      </c>
      <c r="C691" s="4" t="inlineStr">
        <is>
          <t>ESTRUTURA</t>
        </is>
      </c>
      <c r="D691" s="4" t="inlineStr">
        <is>
          <t>Concretagem</t>
        </is>
      </c>
      <c r="E691" s="4" t="inlineStr">
        <is>
          <t>26º PAV.</t>
        </is>
      </c>
      <c r="F691" s="118" t="n">
        <v>46664</v>
      </c>
      <c r="G691" s="118" t="n">
        <v>46664</v>
      </c>
      <c r="H691" s="118" t="n">
        <v>46289</v>
      </c>
      <c r="I691" s="4" t="n">
        <v>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IF(E691="","",IF(LEFT(E691,7)="SUBSOLO",-1,IF(LEFT(E691,6)="TÉRREO",0,IFERROR(VALUE(LEFT(E691,FIND("º",SUBSTITUTE(E691,"°","º"))-1)),""))))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31529057</v>
      </c>
      <c r="C692" s="4" t="inlineStr">
        <is>
          <t>ESTRUTURA</t>
        </is>
      </c>
      <c r="D692" s="4" t="inlineStr">
        <is>
          <t>Polimento</t>
        </is>
      </c>
      <c r="E692" s="4" t="inlineStr">
        <is>
          <t>26º PAV.</t>
        </is>
      </c>
      <c r="F692" s="118" t="n">
        <v>46664</v>
      </c>
      <c r="G692" s="118" t="n">
        <v>46664</v>
      </c>
      <c r="H692" s="118" t="n">
        <v>46289</v>
      </c>
      <c r="I692" s="4" t="n">
        <v>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IF(E692="","",IF(LEFT(E692,7)="SUBSOLO",-1,IF(LEFT(E692,6)="TÉRREO",0,IFERROR(VALUE(LEFT(E692,FIND("º",SUBSTITUTE(E692,"°","º"))-1)),""))))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30205708</v>
      </c>
      <c r="C693" s="4" t="inlineStr">
        <is>
          <t>REVESTIMENTO PORCELANATO PAREDE</t>
        </is>
      </c>
      <c r="D693" s="4" t="inlineStr">
        <is>
          <t>-</t>
        </is>
      </c>
      <c r="E693" s="4" t="inlineStr">
        <is>
          <t>TÉRREO - LOJA 1</t>
        </is>
      </c>
      <c r="F693" s="118" t="n">
        <v>46654</v>
      </c>
      <c r="G693" s="118" t="n">
        <v>46667</v>
      </c>
      <c r="H693" s="118" t="n">
        <v>46289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IF(E693="","",IF(LEFT(E693,7)="SUBSOLO",-1,IF(LEFT(E693,6)="TÉRREO",0,IFERROR(VALUE(LEFT(E693,FIND("º",SUBSTITUTE(E693,"°","º"))-1)),""))))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30205674</v>
      </c>
      <c r="C694" s="4" t="inlineStr">
        <is>
          <t>DRYWALL</t>
        </is>
      </c>
      <c r="D694" s="4" t="inlineStr">
        <is>
          <t>-</t>
        </is>
      </c>
      <c r="E694" s="4" t="inlineStr">
        <is>
          <t>TÉRREO - LOJA 2</t>
        </is>
      </c>
      <c r="F694" s="118" t="n">
        <v>46654</v>
      </c>
      <c r="G694" s="118" t="n">
        <v>46667</v>
      </c>
      <c r="H694" s="118" t="n">
        <v>46289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IF(E694="","",IF(LEFT(E694,7)="SUBSOLO",-1,IF(LEFT(E694,6)="TÉRREO",0,IFERROR(VALUE(LEFT(E694,FIND("º",SUBSTITUTE(E694,"°","º"))-1)),""))))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30205646</v>
      </c>
      <c r="C695" s="4" t="inlineStr">
        <is>
          <t>CONTRAPISO</t>
        </is>
      </c>
      <c r="D695" s="4" t="inlineStr">
        <is>
          <t>-</t>
        </is>
      </c>
      <c r="E695" s="4" t="inlineStr">
        <is>
          <t>TÉRREO - LOJA 3</t>
        </is>
      </c>
      <c r="F695" s="118" t="n">
        <v>46654</v>
      </c>
      <c r="G695" s="118" t="n">
        <v>46667</v>
      </c>
      <c r="H695" s="118" t="n">
        <v>46289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IF(E695="","",IF(LEFT(E695,7)="SUBSOLO",-1,IF(LEFT(E695,6)="TÉRREO",0,IFERROR(VALUE(LEFT(E695,FIND("º",SUBSTITUTE(E695,"°","º"))-1)),""))))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31803887</v>
      </c>
      <c r="C696" s="4" t="inlineStr">
        <is>
          <t>FACHADA LOJA</t>
        </is>
      </c>
      <c r="D696" s="4" t="inlineStr">
        <is>
          <t>-</t>
        </is>
      </c>
      <c r="E696" s="4" t="inlineStr">
        <is>
          <t>TÉRREO - LOJA 3</t>
        </is>
      </c>
      <c r="F696" s="118" t="n">
        <v>46654</v>
      </c>
      <c r="G696" s="118" t="n">
        <v>46702</v>
      </c>
      <c r="H696" s="118" t="n">
        <v>46289</v>
      </c>
      <c r="I696" s="4" t="n">
        <v>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IF(E696="","",IF(LEFT(E696,7)="SUBSOLO",-1,IF(LEFT(E696,6)="TÉRREO",0,IFERROR(VALUE(LEFT(E696,FIND("º",SUBSTITUTE(E696,"°","º"))-1)),""))))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30205615</v>
      </c>
      <c r="C697" s="4" t="inlineStr">
        <is>
          <t>REBOCO INTERNO</t>
        </is>
      </c>
      <c r="D697" s="4" t="inlineStr">
        <is>
          <t>-</t>
        </is>
      </c>
      <c r="E697" s="4" t="inlineStr">
        <is>
          <t>TÉRREO - LOJA 4</t>
        </is>
      </c>
      <c r="F697" s="118" t="n">
        <v>46654</v>
      </c>
      <c r="G697" s="118" t="n">
        <v>46667</v>
      </c>
      <c r="H697" s="118" t="n">
        <v>46289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IF(E697="","",IF(LEFT(E697,7)="SUBSOLO",-1,IF(LEFT(E697,6)="TÉRREO",0,IFERROR(VALUE(LEFT(E697,FIND("º",SUBSTITUTE(E697,"°","º"))-1)),""))))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30205584</v>
      </c>
      <c r="C698" s="4" t="inlineStr">
        <is>
          <t>DISTRIBUIÇÃO ELÉTRICA / QUADRO</t>
        </is>
      </c>
      <c r="D698" s="4" t="inlineStr">
        <is>
          <t>-</t>
        </is>
      </c>
      <c r="E698" s="4" t="inlineStr">
        <is>
          <t>TÉRREO - LOJA 5</t>
        </is>
      </c>
      <c r="F698" s="118" t="n">
        <v>46654</v>
      </c>
      <c r="G698" s="118" t="n">
        <v>46664</v>
      </c>
      <c r="H698" s="118" t="n">
        <v>46289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IF(E698="","",IF(LEFT(E698,7)="SUBSOLO",-1,IF(LEFT(E698,6)="TÉRREO",0,IFERROR(VALUE(LEFT(E698,FIND("º",SUBSTITUTE(E698,"°","º"))-1)),""))))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30205585</v>
      </c>
      <c r="C699" s="4" t="inlineStr">
        <is>
          <t>DISTRIBUIÇÃO HIDRÁULICA</t>
        </is>
      </c>
      <c r="D699" s="4" t="inlineStr">
        <is>
          <t>-</t>
        </is>
      </c>
      <c r="E699" s="4" t="inlineStr">
        <is>
          <t>TÉRREO - LOJA 5</t>
        </is>
      </c>
      <c r="F699" s="118" t="n">
        <v>46654</v>
      </c>
      <c r="G699" s="118" t="n">
        <v>46667</v>
      </c>
      <c r="H699" s="118" t="n">
        <v>46289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IF(E699="","",IF(LEFT(E699,7)="SUBSOLO",-1,IF(LEFT(E699,6)="TÉRREO",0,IFERROR(VALUE(LEFT(E699,FIND("º",SUBSTITUTE(E699,"°","º"))-1)),""))))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30205556</v>
      </c>
      <c r="C700" s="4" t="inlineStr">
        <is>
          <t>TALISCAMENTO</t>
        </is>
      </c>
      <c r="D700" s="4" t="inlineStr">
        <is>
          <t>-</t>
        </is>
      </c>
      <c r="E700" s="4" t="inlineStr">
        <is>
          <t>TÉRREO - LOJA 6</t>
        </is>
      </c>
      <c r="F700" s="118" t="n">
        <v>46654</v>
      </c>
      <c r="G700" s="118" t="n">
        <v>46667</v>
      </c>
      <c r="H700" s="118" t="n">
        <v>46289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IF(E700="","",IF(LEFT(E700,7)="SUBSOLO",-1,IF(LEFT(E700,6)="TÉRREO",0,IFERROR(VALUE(LEFT(E700,FIND("º",SUBSTITUTE(E700,"°","º"))-1)),""))))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30205523</v>
      </c>
      <c r="C701" s="4" t="inlineStr">
        <is>
          <t>PRUMADA HIDROSSANITÁRIA</t>
        </is>
      </c>
      <c r="D701" s="4" t="inlineStr">
        <is>
          <t>-</t>
        </is>
      </c>
      <c r="E701" s="4" t="inlineStr">
        <is>
          <t>TÉRREO - LOJA 7</t>
        </is>
      </c>
      <c r="F701" s="118" t="n">
        <v>46654</v>
      </c>
      <c r="G701" s="118" t="n">
        <v>46667</v>
      </c>
      <c r="H701" s="118" t="n">
        <v>46289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IF(E701="","",IF(LEFT(E701,7)="SUBSOLO",-1,IF(LEFT(E701,6)="TÉRREO",0,IFERROR(VALUE(LEFT(E701,FIND("º",SUBSTITUTE(E701,"°","º"))-1)),""))))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30205522</v>
      </c>
      <c r="C702" s="4" t="inlineStr">
        <is>
          <t>PRUMADA DE INCÊNDIO</t>
        </is>
      </c>
      <c r="D702" s="4" t="inlineStr">
        <is>
          <t>-</t>
        </is>
      </c>
      <c r="E702" s="4" t="inlineStr">
        <is>
          <t>TÉRREO - LOJA 7</t>
        </is>
      </c>
      <c r="F702" s="118" t="n">
        <v>46654</v>
      </c>
      <c r="G702" s="118" t="n">
        <v>46667</v>
      </c>
      <c r="H702" s="118" t="n">
        <v>46289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IF(E702="","",IF(LEFT(E702,7)="SUBSOLO",-1,IF(LEFT(E702,6)="TÉRREO",0,IFERROR(VALUE(LEFT(E702,FIND("º",SUBSTITUTE(E702,"°","º"))-1)),""))))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30205524</v>
      </c>
      <c r="C703" s="4" t="inlineStr">
        <is>
          <t>ENCUNHAMENTO</t>
        </is>
      </c>
      <c r="D703" s="4" t="inlineStr">
        <is>
          <t>-</t>
        </is>
      </c>
      <c r="E703" s="4" t="inlineStr">
        <is>
          <t>TÉRREO - LOJA 7</t>
        </is>
      </c>
      <c r="F703" s="118" t="n">
        <v>46654</v>
      </c>
      <c r="G703" s="118" t="n">
        <v>46667</v>
      </c>
      <c r="H703" s="118" t="n">
        <v>46289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IF(E703="","",IF(LEFT(E703,7)="SUBSOLO",-1,IF(LEFT(E703,6)="TÉRREO",0,IFERROR(VALUE(LEFT(E703,FIND("º",SUBSTITUTE(E703,"°","º"))-1)),""))))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30205775</v>
      </c>
      <c r="C704" s="4" t="inlineStr">
        <is>
          <t>ALVENARIA</t>
        </is>
      </c>
      <c r="D704" s="4" t="inlineStr">
        <is>
          <t>-</t>
        </is>
      </c>
      <c r="E704" s="4" t="inlineStr">
        <is>
          <t>TÉRREO - ACESSO COMERCIAL + DML + ARS + ÁREA TEC + LAVABO + DISPENSA</t>
        </is>
      </c>
      <c r="F704" s="118" t="n">
        <v>46654</v>
      </c>
      <c r="G704" s="118" t="n">
        <v>46675</v>
      </c>
      <c r="H704" s="118" t="n">
        <v>46289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IF(E704="","",IF(LEFT(E704,7)="SUBSOLO",-1,IF(LEFT(E704,6)="TÉRREO",0,IFERROR(VALUE(LEFT(E704,FIND("º",SUBSTITUTE(E704,"°","º"))-1)),""))))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34179684</v>
      </c>
      <c r="C705" s="4" t="inlineStr">
        <is>
          <t>INSTALAÇÕES ELÉTRICAS</t>
        </is>
      </c>
      <c r="D705" s="4" t="inlineStr">
        <is>
          <t>-</t>
        </is>
      </c>
      <c r="E705" s="4" t="inlineStr">
        <is>
          <t>TÉRREO ÁREA EXTERNA - COMERCIAL</t>
        </is>
      </c>
      <c r="F705" s="118" t="n">
        <v>46654</v>
      </c>
      <c r="G705" s="118" t="n">
        <v>46720</v>
      </c>
      <c r="H705" s="118" t="n">
        <v>46289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IF(E705="","",IF(LEFT(E705,7)="SUBSOLO",-1,IF(LEFT(E705,6)="TÉRREO",0,IFERROR(VALUE(LEFT(E705,FIND("º",SUBSTITUTE(E705,"°","º"))-1)),""))))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34179687</v>
      </c>
      <c r="C706" s="4" t="inlineStr">
        <is>
          <t>INSTALAÇÕES HIDRÁULICAS</t>
        </is>
      </c>
      <c r="D706" s="4" t="inlineStr">
        <is>
          <t>-</t>
        </is>
      </c>
      <c r="E706" s="4" t="inlineStr">
        <is>
          <t>TÉRREO ÁREA EXTERNA - COMERCIAL</t>
        </is>
      </c>
      <c r="F706" s="118" t="n">
        <v>46654</v>
      </c>
      <c r="G706" s="118" t="n">
        <v>46720</v>
      </c>
      <c r="H706" s="118" t="n">
        <v>46289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IF(E706="","",IF(LEFT(E706,7)="SUBSOLO",-1,IF(LEFT(E706,6)="TÉRREO",0,IFERROR(VALUE(LEFT(E706,FIND("º",SUBSTITUTE(E706,"°","º"))-1)),""))))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30205762</v>
      </c>
      <c r="C707" s="4" t="inlineStr">
        <is>
          <t>INSTALAÇÕES ELÉTRICAS</t>
        </is>
      </c>
      <c r="D707" s="4" t="inlineStr">
        <is>
          <t>-</t>
        </is>
      </c>
      <c r="E707" s="4" t="inlineStr">
        <is>
          <t>TÉRREO - ÁREA EXTERNA RESIDENCIAL</t>
        </is>
      </c>
      <c r="F707" s="118" t="n">
        <v>46654</v>
      </c>
      <c r="G707" s="118" t="n">
        <v>46720</v>
      </c>
      <c r="H707" s="118" t="n">
        <v>46289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IF(E707="","",IF(LEFT(E707,7)="SUBSOLO",-1,IF(LEFT(E707,6)="TÉRREO",0,IFERROR(VALUE(LEFT(E707,FIND("º",SUBSTITUTE(E707,"°","º"))-1)),""))))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30205763</v>
      </c>
      <c r="C708" s="4" t="inlineStr">
        <is>
          <t>INSTALAÇÕES HIDRÁULICAS</t>
        </is>
      </c>
      <c r="D708" s="4" t="inlineStr">
        <is>
          <t>-</t>
        </is>
      </c>
      <c r="E708" s="4" t="inlineStr">
        <is>
          <t>TÉRREO - ÁREA EXTERNA RESIDENCIAL</t>
        </is>
      </c>
      <c r="F708" s="118" t="n">
        <v>46654</v>
      </c>
      <c r="G708" s="118" t="n">
        <v>46720</v>
      </c>
      <c r="H708" s="118" t="n">
        <v>46289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IF(E708="","",IF(LEFT(E708,7)="SUBSOLO",-1,IF(LEFT(E708,6)="TÉRREO",0,IFERROR(VALUE(LEFT(E708,FIND("º",SUBSTITUTE(E708,"°","º"))-1)),""))))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29981000</v>
      </c>
      <c r="C709" s="4" t="inlineStr">
        <is>
          <t>PRUMADA DE INCÊNDIO</t>
        </is>
      </c>
      <c r="D709" s="4" t="inlineStr">
        <is>
          <t>-</t>
        </is>
      </c>
      <c r="E709" s="4" t="inlineStr">
        <is>
          <t>22º PAV.</t>
        </is>
      </c>
      <c r="F709" s="118" t="n">
        <v>46657</v>
      </c>
      <c r="G709" s="118" t="n">
        <v>46667</v>
      </c>
      <c r="H709" s="118" t="n">
        <v>46289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IF(E709="","",IF(LEFT(E709,7)="SUBSOLO",-1,IF(LEFT(E709,6)="TÉRREO",0,IFERROR(VALUE(LEFT(E709,FIND("º",SUBSTITUTE(E709,"°","º"))-1)),""))))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29980951</v>
      </c>
      <c r="C710" s="4" t="inlineStr">
        <is>
          <t>ALVENARIA</t>
        </is>
      </c>
      <c r="D710" s="4" t="inlineStr">
        <is>
          <t>-</t>
        </is>
      </c>
      <c r="E710" s="4" t="inlineStr">
        <is>
          <t>23º PAV.</t>
        </is>
      </c>
      <c r="F710" s="118" t="n">
        <v>46657</v>
      </c>
      <c r="G710" s="118" t="n">
        <v>46667</v>
      </c>
      <c r="H710" s="118" t="n">
        <v>46289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IF(E710="","",IF(LEFT(E710,7)="SUBSOLO",-1,IF(LEFT(E710,6)="TÉRREO",0,IFERROR(VALUE(LEFT(E710,FIND("º",SUBSTITUTE(E710,"°","º"))-1)),""))))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29981549</v>
      </c>
      <c r="C711" s="4" t="inlineStr">
        <is>
          <t>FIAÇÃO ELÉTRICA</t>
        </is>
      </c>
      <c r="D711" s="4" t="inlineStr">
        <is>
          <t>-</t>
        </is>
      </c>
      <c r="E711" s="4" t="inlineStr">
        <is>
          <t>7º PAV.</t>
        </is>
      </c>
      <c r="F711" s="118" t="n">
        <v>46661</v>
      </c>
      <c r="G711" s="118" t="n">
        <v>46674</v>
      </c>
      <c r="H711" s="118" t="n">
        <v>46289</v>
      </c>
      <c r="I711" s="4" t="n">
        <v>0</v>
      </c>
      <c r="J711" s="4" t="n">
        <v>0</v>
      </c>
      <c r="K711" s="4" t="n">
        <v>0</v>
      </c>
      <c r="M711" s="2">
        <f>IF(C711="","",IFERROR(INDEX($S$5:$S$304,MATCH(C711,$R$5:$R$304,0))&amp;"","?"))</f>
        <v/>
      </c>
      <c r="N711" s="2">
        <f>IF(E711="","",IF(LEFT(E711,7)="SUBSOLO",-1,IF(LEFT(E711,6)="TÉRREO",0,IFERROR(VALUE(LEFT(E711,FIND("º",SUBSTITUTE(E711,"°","º"))-1)),""))))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29981554</v>
      </c>
      <c r="C712" s="4" t="inlineStr">
        <is>
          <t>PRUMADA ELÉTRICA - CABOS</t>
        </is>
      </c>
      <c r="D712" s="4" t="inlineStr">
        <is>
          <t>-</t>
        </is>
      </c>
      <c r="E712" s="4" t="inlineStr">
        <is>
          <t>7º PAV.</t>
        </is>
      </c>
      <c r="F712" s="118" t="n">
        <v>46661</v>
      </c>
      <c r="G712" s="118" t="n">
        <v>46674</v>
      </c>
      <c r="H712" s="118" t="n">
        <v>46289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IF(E712="","",IF(LEFT(E712,7)="SUBSOLO",-1,IF(LEFT(E712,6)="TÉRREO",0,IFERROR(VALUE(LEFT(E712,FIND("º",SUBSTITUTE(E712,"°","º"))-1)),""))))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30214069</v>
      </c>
      <c r="C713" s="4" t="inlineStr">
        <is>
          <t>FIAÇÃO TELECOM/DADOS</t>
        </is>
      </c>
      <c r="D713" s="4" t="inlineStr">
        <is>
          <t>-</t>
        </is>
      </c>
      <c r="E713" s="4" t="inlineStr">
        <is>
          <t>7º PAV.</t>
        </is>
      </c>
      <c r="F713" s="118" t="n">
        <v>46661</v>
      </c>
      <c r="G713" s="118" t="n">
        <v>46675</v>
      </c>
      <c r="H713" s="118" t="n">
        <v>46289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IF(E713="","",IF(LEFT(E713,7)="SUBSOLO",-1,IF(LEFT(E713,6)="TÉRREO",0,IFERROR(VALUE(LEFT(E713,FIND("º",SUBSTITUTE(E713,"°","º"))-1)),""))))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29981496</v>
      </c>
      <c r="C714" s="4" t="inlineStr">
        <is>
          <t>BANCADAS</t>
        </is>
      </c>
      <c r="D714" s="4" t="inlineStr">
        <is>
          <t>-</t>
        </is>
      </c>
      <c r="E714" s="4" t="inlineStr">
        <is>
          <t>8º PAV.</t>
        </is>
      </c>
      <c r="F714" s="118" t="n">
        <v>46661</v>
      </c>
      <c r="G714" s="118" t="n">
        <v>46674</v>
      </c>
      <c r="H714" s="118" t="n">
        <v>46289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IF(E714="","",IF(LEFT(E714,7)="SUBSOLO",-1,IF(LEFT(E714,6)="TÉRREO",0,IFERROR(VALUE(LEFT(E714,FIND("º",SUBSTITUTE(E714,"°","º"))-1)),""))))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29981458</v>
      </c>
      <c r="C715" s="4" t="inlineStr">
        <is>
          <t>REVESTIMENTOS PORCELANATO PISO</t>
        </is>
      </c>
      <c r="D715" s="4" t="inlineStr">
        <is>
          <t>-</t>
        </is>
      </c>
      <c r="E715" s="4" t="inlineStr">
        <is>
          <t>9º PAV.</t>
        </is>
      </c>
      <c r="F715" s="118" t="n">
        <v>46661</v>
      </c>
      <c r="G715" s="118" t="n">
        <v>46674</v>
      </c>
      <c r="H715" s="118" t="n">
        <v>46289</v>
      </c>
      <c r="I715" s="4" t="n">
        <v>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IF(E715="","",IF(LEFT(E715,7)="SUBSOLO",-1,IF(LEFT(E715,6)="TÉRREO",0,IFERROR(VALUE(LEFT(E715,FIND("º",SUBSTITUTE(E715,"°","º"))-1)),""))))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29981437</v>
      </c>
      <c r="C716" s="4" t="inlineStr">
        <is>
          <t>REVESTIMENTO PORCELANATO PAREDE</t>
        </is>
      </c>
      <c r="D716" s="4" t="inlineStr">
        <is>
          <t>-</t>
        </is>
      </c>
      <c r="E716" s="4" t="inlineStr">
        <is>
          <t>10º PAV.</t>
        </is>
      </c>
      <c r="F716" s="118" t="n">
        <v>46661</v>
      </c>
      <c r="G716" s="118" t="n">
        <v>46674</v>
      </c>
      <c r="H716" s="118" t="n">
        <v>46289</v>
      </c>
      <c r="I716" s="4" t="n">
        <v>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IF(E716="","",IF(LEFT(E716,7)="SUBSOLO",-1,IF(LEFT(E716,6)="TÉRREO",0,IFERROR(VALUE(LEFT(E716,FIND("º",SUBSTITUTE(E716,"°","º"))-1)),""))))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29981398</v>
      </c>
      <c r="C717" s="4" t="inlineStr">
        <is>
          <t>IMPERMEABILIZAÇÃO</t>
        </is>
      </c>
      <c r="D717" s="4" t="inlineStr">
        <is>
          <t>-</t>
        </is>
      </c>
      <c r="E717" s="4" t="inlineStr">
        <is>
          <t>11º PAV.</t>
        </is>
      </c>
      <c r="F717" s="118" t="n">
        <v>46661</v>
      </c>
      <c r="G717" s="118" t="n">
        <v>46674</v>
      </c>
      <c r="H717" s="118" t="n">
        <v>46289</v>
      </c>
      <c r="I717" s="4" t="n">
        <v>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IF(E717="","",IF(LEFT(E717,7)="SUBSOLO",-1,IF(LEFT(E717,6)="TÉRREO",0,IFERROR(VALUE(LEFT(E717,FIND("º",SUBSTITUTE(E717,"°","º"))-1)),""))))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32750438</v>
      </c>
      <c r="C718" s="4" t="inlineStr">
        <is>
          <t>DRYWALL 2º FACE</t>
        </is>
      </c>
      <c r="D718" s="4" t="inlineStr">
        <is>
          <t>-</t>
        </is>
      </c>
      <c r="E718" s="4" t="inlineStr">
        <is>
          <t>12º PAV.</t>
        </is>
      </c>
      <c r="F718" s="118" t="n">
        <v>46661</v>
      </c>
      <c r="G718" s="118" t="n">
        <v>46674</v>
      </c>
      <c r="H718" s="118" t="n">
        <v>46289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IF(E718="","",IF(LEFT(E718,7)="SUBSOLO",-1,IF(LEFT(E718,6)="TÉRREO",0,IFERROR(VALUE(LEFT(E718,FIND("º",SUBSTITUTE(E718,"°","º"))-1)),""))))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32750361</v>
      </c>
      <c r="C719" s="4" t="inlineStr">
        <is>
          <t>DISTRIBUIÇÃO DE GÁS - DRYWALL</t>
        </is>
      </c>
      <c r="D719" s="4" t="inlineStr">
        <is>
          <t>-</t>
        </is>
      </c>
      <c r="E719" s="4" t="inlineStr">
        <is>
          <t>13º PAV.</t>
        </is>
      </c>
      <c r="F719" s="118" t="n">
        <v>46661</v>
      </c>
      <c r="G719" s="118" t="n">
        <v>46674</v>
      </c>
      <c r="H719" s="118" t="n">
        <v>46289</v>
      </c>
      <c r="I719" s="4" t="n">
        <v>0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IF(E719="","",IF(LEFT(E719,7)="SUBSOLO",-1,IF(LEFT(E719,6)="TÉRREO",0,IFERROR(VALUE(LEFT(E719,FIND("º",SUBSTITUTE(E719,"°","º"))-1)),""))))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32750387</v>
      </c>
      <c r="C720" s="4" t="inlineStr">
        <is>
          <t>DISTRIBUIÇÃO ELÉTRICA/QUADRO - DRYWALL</t>
        </is>
      </c>
      <c r="D720" s="4" t="inlineStr">
        <is>
          <t>-</t>
        </is>
      </c>
      <c r="E720" s="4" t="inlineStr">
        <is>
          <t>13º PAV.</t>
        </is>
      </c>
      <c r="F720" s="118" t="n">
        <v>46661</v>
      </c>
      <c r="G720" s="118" t="n">
        <v>46674</v>
      </c>
      <c r="H720" s="118" t="n">
        <v>46289</v>
      </c>
      <c r="I720" s="4" t="n">
        <v>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IF(E720="","",IF(LEFT(E720,7)="SUBSOLO",-1,IF(LEFT(E720,6)="TÉRREO",0,IFERROR(VALUE(LEFT(E720,FIND("º",SUBSTITUTE(E720,"°","º"))-1)),""))))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32750413</v>
      </c>
      <c r="C721" s="4" t="inlineStr">
        <is>
          <t>DISTRIBUIÇÃO HIDRÁULICA - DRYWALL</t>
        </is>
      </c>
      <c r="D721" s="4" t="inlineStr">
        <is>
          <t>-</t>
        </is>
      </c>
      <c r="E721" s="4" t="inlineStr">
        <is>
          <t>13º PAV.</t>
        </is>
      </c>
      <c r="F721" s="118" t="n">
        <v>46661</v>
      </c>
      <c r="G721" s="118" t="n">
        <v>46674</v>
      </c>
      <c r="H721" s="118" t="n">
        <v>46289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IF(E721="","",IF(LEFT(E721,7)="SUBSOLO",-1,IF(LEFT(E721,6)="TÉRREO",0,IFERROR(VALUE(LEFT(E721,FIND("º",SUBSTITUTE(E721,"°","º"))-1)),""))))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33896831</v>
      </c>
      <c r="C722" s="4" t="inlineStr">
        <is>
          <t>INFRAESTRUTURA - AR CONDICIONADO</t>
        </is>
      </c>
      <c r="D722" s="4" t="inlineStr">
        <is>
          <t>-</t>
        </is>
      </c>
      <c r="E722" s="4" t="inlineStr">
        <is>
          <t>13º PAV.</t>
        </is>
      </c>
      <c r="F722" s="118" t="n">
        <v>46661</v>
      </c>
      <c r="G722" s="118" t="n">
        <v>46674</v>
      </c>
      <c r="H722" s="118" t="n">
        <v>46289</v>
      </c>
      <c r="I722" s="4" t="n">
        <v>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IF(E722="","",IF(LEFT(E722,7)="SUBSOLO",-1,IF(LEFT(E722,6)="TÉRREO",0,IFERROR(VALUE(LEFT(E722,FIND("º",SUBSTITUTE(E722,"°","º"))-1)),""))))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32749857</v>
      </c>
      <c r="C723" s="4" t="inlineStr">
        <is>
          <t>DRYWALL 1º FACE</t>
        </is>
      </c>
      <c r="D723" s="4" t="inlineStr">
        <is>
          <t>-</t>
        </is>
      </c>
      <c r="E723" s="4" t="inlineStr">
        <is>
          <t>14º PAV.</t>
        </is>
      </c>
      <c r="F723" s="118" t="n">
        <v>46661</v>
      </c>
      <c r="G723" s="118" t="n">
        <v>46674</v>
      </c>
      <c r="H723" s="118" t="n">
        <v>46289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IF(E723="","",IF(LEFT(E723,7)="SUBSOLO",-1,IF(LEFT(E723,6)="TÉRREO",0,IFERROR(VALUE(LEFT(E723,FIND("º",SUBSTITUTE(E723,"°","º"))-1)),""))))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29981251</v>
      </c>
      <c r="C724" s="4" t="inlineStr">
        <is>
          <t>CONTRAPISO</t>
        </is>
      </c>
      <c r="D724" s="4" t="inlineStr">
        <is>
          <t>-</t>
        </is>
      </c>
      <c r="E724" s="4" t="inlineStr">
        <is>
          <t>15º PAV.</t>
        </is>
      </c>
      <c r="F724" s="118" t="n">
        <v>46661</v>
      </c>
      <c r="G724" s="118" t="n">
        <v>46674</v>
      </c>
      <c r="H724" s="118" t="n">
        <v>46289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IF(E724="","",IF(LEFT(E724,7)="SUBSOLO",-1,IF(LEFT(E724,6)="TÉRREO",0,IFERROR(VALUE(LEFT(E724,FIND("º",SUBSTITUTE(E724,"°","º"))-1)),""))))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29981191</v>
      </c>
      <c r="C725" s="4" t="inlineStr">
        <is>
          <t>SHAFT INTERNO INST. HIDRAÚLICAS</t>
        </is>
      </c>
      <c r="D725" s="4" t="inlineStr">
        <is>
          <t>-</t>
        </is>
      </c>
      <c r="E725" s="4" t="inlineStr">
        <is>
          <t>16º PAV.</t>
        </is>
      </c>
      <c r="F725" s="118" t="n">
        <v>46661</v>
      </c>
      <c r="G725" s="118" t="n">
        <v>46674</v>
      </c>
      <c r="H725" s="118" t="n">
        <v>46289</v>
      </c>
      <c r="I725" s="4" t="n">
        <v>0</v>
      </c>
      <c r="J725" s="4" t="n">
        <v>0</v>
      </c>
      <c r="K725" s="4" t="n">
        <v>0</v>
      </c>
      <c r="M725" s="2">
        <f>IF(C725="","",IFERROR(INDEX($S$5:$S$304,MATCH(C725,$R$5:$R$304,0))&amp;"","?"))</f>
        <v/>
      </c>
      <c r="N725" s="2">
        <f>IF(E725="","",IF(LEFT(E725,7)="SUBSOLO",-1,IF(LEFT(E725,6)="TÉRREO",0,IFERROR(VALUE(LEFT(E725,FIND("º",SUBSTITUTE(E725,"°","º"))-1)),""))))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29981224</v>
      </c>
      <c r="C726" s="4" t="inlineStr">
        <is>
          <t>PRUMADA ELÉTRICA - INFRA</t>
        </is>
      </c>
      <c r="D726" s="4" t="inlineStr">
        <is>
          <t>-</t>
        </is>
      </c>
      <c r="E726" s="4" t="inlineStr">
        <is>
          <t>16º PAV.</t>
        </is>
      </c>
      <c r="F726" s="118" t="n">
        <v>46661</v>
      </c>
      <c r="G726" s="118" t="n">
        <v>46674</v>
      </c>
      <c r="H726" s="118" t="n">
        <v>46289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IF(E726="","",IF(LEFT(E726,7)="SUBSOLO",-1,IF(LEFT(E726,6)="TÉRREO",0,IFERROR(VALUE(LEFT(E726,FIND("º",SUBSTITUTE(E726,"°","º"))-1)),""))))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29981153</v>
      </c>
      <c r="C727" s="4" t="inlineStr">
        <is>
          <t>REBOCO INTERNO</t>
        </is>
      </c>
      <c r="D727" s="4" t="inlineStr">
        <is>
          <t>-</t>
        </is>
      </c>
      <c r="E727" s="4" t="inlineStr">
        <is>
          <t>17º PAV.</t>
        </is>
      </c>
      <c r="F727" s="118" t="n">
        <v>46661</v>
      </c>
      <c r="G727" s="118" t="n">
        <v>46674</v>
      </c>
      <c r="H727" s="118" t="n">
        <v>46289</v>
      </c>
      <c r="I727" s="4" t="n">
        <v>0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IF(E727="","",IF(LEFT(E727,7)="SUBSOLO",-1,IF(LEFT(E727,6)="TÉRREO",0,IFERROR(VALUE(LEFT(E727,FIND("º",SUBSTITUTE(E727,"°","º"))-1)),""))))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29981119</v>
      </c>
      <c r="C728" s="4" t="inlineStr">
        <is>
          <t>CONTRAMARCO</t>
        </is>
      </c>
      <c r="D728" s="4" t="inlineStr">
        <is>
          <t>-</t>
        </is>
      </c>
      <c r="E728" s="4" t="inlineStr">
        <is>
          <t>18º PAV.</t>
        </is>
      </c>
      <c r="F728" s="118" t="n">
        <v>46661</v>
      </c>
      <c r="G728" s="118" t="n">
        <v>46674</v>
      </c>
      <c r="H728" s="118" t="n">
        <v>46289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IF(E728="","",IF(LEFT(E728,7)="SUBSOLO",-1,IF(LEFT(E728,6)="TÉRREO",0,IFERROR(VALUE(LEFT(E728,FIND("º",SUBSTITUTE(E728,"°","º"))-1)),""))))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29981075</v>
      </c>
      <c r="C729" s="4" t="inlineStr">
        <is>
          <t>DISTRIBUIÇÃO HIDROSSANITÁRIA</t>
        </is>
      </c>
      <c r="D729" s="4" t="inlineStr">
        <is>
          <t>-</t>
        </is>
      </c>
      <c r="E729" s="4" t="inlineStr">
        <is>
          <t>20º PAV.</t>
        </is>
      </c>
      <c r="F729" s="118" t="n">
        <v>46661</v>
      </c>
      <c r="G729" s="118" t="n">
        <v>46674</v>
      </c>
      <c r="H729" s="118" t="n">
        <v>46289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IF(E729="","",IF(LEFT(E729,7)="SUBSOLO",-1,IF(LEFT(E729,6)="TÉRREO",0,IFERROR(VALUE(LEFT(E729,FIND("º",SUBSTITUTE(E729,"°","º"))-1)),""))))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29981044</v>
      </c>
      <c r="C730" s="4" t="inlineStr">
        <is>
          <t>DISTRIBUIÇÃO ELÉTRICA / QUADRO</t>
        </is>
      </c>
      <c r="D730" s="4" t="inlineStr">
        <is>
          <t>-</t>
        </is>
      </c>
      <c r="E730" s="4" t="inlineStr">
        <is>
          <t>20º PAV.</t>
        </is>
      </c>
      <c r="F730" s="118" t="n">
        <v>46661</v>
      </c>
      <c r="G730" s="118" t="n">
        <v>46674</v>
      </c>
      <c r="H730" s="118" t="n">
        <v>46289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IF(E730="","",IF(LEFT(E730,7)="SUBSOLO",-1,IF(LEFT(E730,6)="TÉRREO",0,IFERROR(VALUE(LEFT(E730,FIND("º",SUBSTITUTE(E730,"°","º"))-1)),""))))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29981077</v>
      </c>
      <c r="C731" s="4" t="inlineStr">
        <is>
          <t>DISTRIBUIÇÃO DE GÁS</t>
        </is>
      </c>
      <c r="D731" s="4" t="inlineStr">
        <is>
          <t>-</t>
        </is>
      </c>
      <c r="E731" s="4" t="inlineStr">
        <is>
          <t>20º PAV.</t>
        </is>
      </c>
      <c r="F731" s="118" t="n">
        <v>46661</v>
      </c>
      <c r="G731" s="118" t="n">
        <v>46674</v>
      </c>
      <c r="H731" s="118" t="n">
        <v>46289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IF(E731="","",IF(LEFT(E731,7)="SUBSOLO",-1,IF(LEFT(E731,6)="TÉRREO",0,IFERROR(VALUE(LEFT(E731,FIND("º",SUBSTITUTE(E731,"°","º"))-1)),""))))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29981024</v>
      </c>
      <c r="C732" s="4" t="inlineStr">
        <is>
          <t>TALISCAMENTO</t>
        </is>
      </c>
      <c r="D732" s="4" t="inlineStr">
        <is>
          <t>-</t>
        </is>
      </c>
      <c r="E732" s="4" t="inlineStr">
        <is>
          <t>21º PAV.</t>
        </is>
      </c>
      <c r="F732" s="118" t="n">
        <v>46661</v>
      </c>
      <c r="G732" s="118" t="n">
        <v>46674</v>
      </c>
      <c r="H732" s="118" t="n">
        <v>46289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IF(E732="","",IF(LEFT(E732,7)="SUBSOLO",-1,IF(LEFT(E732,6)="TÉRREO",0,IFERROR(VALUE(LEFT(E732,FIND("º",SUBSTITUTE(E732,"°","º"))-1)),""))))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29980990</v>
      </c>
      <c r="C733" s="4" t="inlineStr">
        <is>
          <t>PRUMADA HIDROSSANITÁRIA</t>
        </is>
      </c>
      <c r="D733" s="4" t="inlineStr">
        <is>
          <t>-</t>
        </is>
      </c>
      <c r="E733" s="4" t="inlineStr">
        <is>
          <t>22º PAV.</t>
        </is>
      </c>
      <c r="F733" s="118" t="n">
        <v>46661</v>
      </c>
      <c r="G733" s="118" t="n">
        <v>46674</v>
      </c>
      <c r="H733" s="118" t="n">
        <v>46289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IF(E733="","",IF(LEFT(E733,7)="SUBSOLO",-1,IF(LEFT(E733,6)="TÉRREO",0,IFERROR(VALUE(LEFT(E733,FIND("º",SUBSTITUTE(E733,"°","º"))-1)),""))))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30205715</v>
      </c>
      <c r="C734" s="4" t="inlineStr">
        <is>
          <t>PRUMADA HIDROSSANITÁRIA</t>
        </is>
      </c>
      <c r="D734" s="4" t="inlineStr">
        <is>
          <t>-</t>
        </is>
      </c>
      <c r="E734" s="4" t="inlineStr">
        <is>
          <t>SUBSOLO</t>
        </is>
      </c>
      <c r="F734" s="118" t="n">
        <v>46664</v>
      </c>
      <c r="G734" s="118" t="n">
        <v>46678</v>
      </c>
      <c r="H734" s="118" t="n">
        <v>46289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IF(E734="","",IF(LEFT(E734,7)="SUBSOLO",-1,IF(LEFT(E734,6)="TÉRREO",0,IFERROR(VALUE(LEFT(E734,FIND("º",SUBSTITUTE(E734,"°","º"))-1)),""))))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30205716</v>
      </c>
      <c r="C735" s="4" t="inlineStr">
        <is>
          <t>PRUMADA ELÉTRICA - INFRA</t>
        </is>
      </c>
      <c r="D735" s="4" t="inlineStr">
        <is>
          <t>-</t>
        </is>
      </c>
      <c r="E735" s="4" t="inlineStr">
        <is>
          <t>SUBSOLO</t>
        </is>
      </c>
      <c r="F735" s="118" t="n">
        <v>46664</v>
      </c>
      <c r="G735" s="118" t="n">
        <v>46695</v>
      </c>
      <c r="H735" s="118" t="n">
        <v>46289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IF(E735="","",IF(LEFT(E735,7)="SUBSOLO",-1,IF(LEFT(E735,6)="TÉRREO",0,IFERROR(VALUE(LEFT(E735,FIND("º",SUBSTITUTE(E735,"°","º"))-1)),""))))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30205728</v>
      </c>
      <c r="C736" s="4" t="inlineStr">
        <is>
          <t>INSTALAÇÕES DE INCÊNDIO</t>
        </is>
      </c>
      <c r="D736" s="4" t="inlineStr">
        <is>
          <t>-</t>
        </is>
      </c>
      <c r="E736" s="4" t="inlineStr">
        <is>
          <t>SUBSOLO</t>
        </is>
      </c>
      <c r="F736" s="118" t="n">
        <v>46664</v>
      </c>
      <c r="G736" s="118" t="n">
        <v>46678</v>
      </c>
      <c r="H736" s="118" t="n">
        <v>46289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IF(E736="","",IF(LEFT(E736,7)="SUBSOLO",-1,IF(LEFT(E736,6)="TÉRREO",0,IFERROR(VALUE(LEFT(E736,FIND("º",SUBSTITUTE(E736,"°","º"))-1)),""))))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29980989</v>
      </c>
      <c r="C737" s="4" t="inlineStr">
        <is>
          <t>ENCUNHAMENTO</t>
        </is>
      </c>
      <c r="D737" s="4" t="inlineStr">
        <is>
          <t>-</t>
        </is>
      </c>
      <c r="E737" s="4" t="inlineStr">
        <is>
          <t>22º PAV.</t>
        </is>
      </c>
      <c r="F737" s="118" t="n">
        <v>46665</v>
      </c>
      <c r="G737" s="118" t="n">
        <v>46678</v>
      </c>
      <c r="H737" s="118" t="n">
        <v>46289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IF(E737="","",IF(LEFT(E737,7)="SUBSOLO",-1,IF(LEFT(E737,6)="TÉRREO",0,IFERROR(VALUE(LEFT(E737,FIND("º",SUBSTITUTE(E737,"°","º"))-1)),""))))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29940965</v>
      </c>
      <c r="C738" s="4" t="inlineStr">
        <is>
          <t>ESTRUTURA</t>
        </is>
      </c>
      <c r="D738" s="4" t="inlineStr">
        <is>
          <t>-</t>
        </is>
      </c>
      <c r="E738" s="4" t="inlineStr">
        <is>
          <t>27º PAV.</t>
        </is>
      </c>
      <c r="F738" s="118" t="n">
        <v>46665</v>
      </c>
      <c r="G738" s="118" t="n">
        <v>46678</v>
      </c>
      <c r="H738" s="118" t="n">
        <v>46289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IF(E738="","",IF(LEFT(E738,7)="SUBSOLO",-1,IF(LEFT(E738,6)="TÉRREO",0,IFERROR(VALUE(LEFT(E738,FIND("º",SUBSTITUTE(E738,"°","º"))-1)),""))))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31529058</v>
      </c>
      <c r="C739" s="4" t="inlineStr">
        <is>
          <t>ESTRUTURA</t>
        </is>
      </c>
      <c r="D739" s="4" t="inlineStr">
        <is>
          <t>Forma</t>
        </is>
      </c>
      <c r="E739" s="4" t="inlineStr">
        <is>
          <t>27º PAV.</t>
        </is>
      </c>
      <c r="F739" s="118" t="n">
        <v>46665</v>
      </c>
      <c r="G739" s="118" t="n">
        <v>46671</v>
      </c>
      <c r="H739" s="118" t="n">
        <v>46289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IF(E739="","",IF(LEFT(E739,7)="SUBSOLO",-1,IF(LEFT(E739,6)="TÉRREO",0,IFERROR(VALUE(LEFT(E739,FIND("º",SUBSTITUTE(E739,"°","º"))-1)),""))))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31529059</v>
      </c>
      <c r="C740" s="4" t="inlineStr">
        <is>
          <t>ESTRUTURA</t>
        </is>
      </c>
      <c r="D740" s="4" t="inlineStr">
        <is>
          <t>Armação</t>
        </is>
      </c>
      <c r="E740" s="4" t="inlineStr">
        <is>
          <t>27º PAV.</t>
        </is>
      </c>
      <c r="F740" s="118" t="n">
        <v>46673</v>
      </c>
      <c r="G740" s="118" t="n">
        <v>46675</v>
      </c>
      <c r="H740" s="118" t="n">
        <v>46289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IF(E740="","",IF(LEFT(E740,7)="SUBSOLO",-1,IF(LEFT(E740,6)="TÉRREO",0,IFERROR(VALUE(LEFT(E740,FIND("º",SUBSTITUTE(E740,"°","º"))-1)),""))))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31529060</v>
      </c>
      <c r="C741" s="4" t="inlineStr">
        <is>
          <t>ESTRUTURA</t>
        </is>
      </c>
      <c r="D741" s="4" t="inlineStr">
        <is>
          <t>Concretagem</t>
        </is>
      </c>
      <c r="E741" s="4" t="inlineStr">
        <is>
          <t>27º PAV.</t>
        </is>
      </c>
      <c r="F741" s="118" t="n">
        <v>46678</v>
      </c>
      <c r="G741" s="118" t="n">
        <v>46678</v>
      </c>
      <c r="H741" s="118" t="n">
        <v>46289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IF(E741="","",IF(LEFT(E741,7)="SUBSOLO",-1,IF(LEFT(E741,6)="TÉRREO",0,IFERROR(VALUE(LEFT(E741,FIND("º",SUBSTITUTE(E741,"°","º"))-1)),""))))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31529061</v>
      </c>
      <c r="C742" s="4" t="inlineStr">
        <is>
          <t>ESTRUTURA</t>
        </is>
      </c>
      <c r="D742" s="4" t="inlineStr">
        <is>
          <t>Polimento</t>
        </is>
      </c>
      <c r="E742" s="4" t="inlineStr">
        <is>
          <t>27º PAV.</t>
        </is>
      </c>
      <c r="F742" s="118" t="n">
        <v>46678</v>
      </c>
      <c r="G742" s="118" t="n">
        <v>46678</v>
      </c>
      <c r="H742" s="118" t="n">
        <v>46289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IF(E742="","",IF(LEFT(E742,7)="SUBSOLO",-1,IF(LEFT(E742,6)="TÉRREO",0,IFERROR(VALUE(LEFT(E742,FIND("º",SUBSTITUTE(E742,"°","º"))-1)),""))))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30214546</v>
      </c>
      <c r="C743" s="4" t="inlineStr">
        <is>
          <t>FIAÇÃO TELECOM/DADOS</t>
        </is>
      </c>
      <c r="D743" s="4" t="inlineStr">
        <is>
          <t>-</t>
        </is>
      </c>
      <c r="E743" s="4" t="inlineStr">
        <is>
          <t>HALL - APTOS</t>
        </is>
      </c>
      <c r="F743" s="118" t="n">
        <v>46666</v>
      </c>
      <c r="G743" s="118" t="n">
        <v>46965</v>
      </c>
      <c r="H743" s="118" t="n">
        <v>46289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IF(E743="","",IF(LEFT(E743,7)="SUBSOLO",-1,IF(LEFT(E743,6)="TÉRREO",0,IFERROR(VALUE(LEFT(E743,FIND("º",SUBSTITUTE(E743,"°","º"))-1)),""))))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30205704</v>
      </c>
      <c r="C744" s="4" t="inlineStr">
        <is>
          <t>REVESTIMENTOS PORCELANATO PISO</t>
        </is>
      </c>
      <c r="D744" s="4" t="inlineStr">
        <is>
          <t>-</t>
        </is>
      </c>
      <c r="E744" s="4" t="inlineStr">
        <is>
          <t>TÉRREO - LOJA 1</t>
        </is>
      </c>
      <c r="F744" s="118" t="n">
        <v>46668</v>
      </c>
      <c r="G744" s="118" t="n">
        <v>46682</v>
      </c>
      <c r="H744" s="118" t="n">
        <v>46289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IF(E744="","",IF(LEFT(E744,7)="SUBSOLO",-1,IF(LEFT(E744,6)="TÉRREO",0,IFERROR(VALUE(LEFT(E744,FIND("º",SUBSTITUTE(E744,"°","º"))-1)),""))))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30205681</v>
      </c>
      <c r="C745" s="4" t="inlineStr">
        <is>
          <t>REVESTIMENTO PORCELANATO PAREDE</t>
        </is>
      </c>
      <c r="D745" s="4" t="inlineStr">
        <is>
          <t>-</t>
        </is>
      </c>
      <c r="E745" s="4" t="inlineStr">
        <is>
          <t>TÉRREO - LOJA 2</t>
        </is>
      </c>
      <c r="F745" s="118" t="n">
        <v>46668</v>
      </c>
      <c r="G745" s="118" t="n">
        <v>46682</v>
      </c>
      <c r="H745" s="118" t="n">
        <v>46289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IF(E745="","",IF(LEFT(E745,7)="SUBSOLO",-1,IF(LEFT(E745,6)="TÉRREO",0,IFERROR(VALUE(LEFT(E745,FIND("º",SUBSTITUTE(E745,"°","º"))-1)),""))))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30205647</v>
      </c>
      <c r="C746" s="4" t="inlineStr">
        <is>
          <t>DRYWALL</t>
        </is>
      </c>
      <c r="D746" s="4" t="inlineStr">
        <is>
          <t>-</t>
        </is>
      </c>
      <c r="E746" s="4" t="inlineStr">
        <is>
          <t>TÉRREO - LOJA 3</t>
        </is>
      </c>
      <c r="F746" s="118" t="n">
        <v>46668</v>
      </c>
      <c r="G746" s="118" t="n">
        <v>46682</v>
      </c>
      <c r="H746" s="118" t="n">
        <v>46289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IF(E746="","",IF(LEFT(E746,7)="SUBSOLO",-1,IF(LEFT(E746,6)="TÉRREO",0,IFERROR(VALUE(LEFT(E746,FIND("º",SUBSTITUTE(E746,"°","º"))-1)),""))))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30205619</v>
      </c>
      <c r="C747" s="4" t="inlineStr">
        <is>
          <t>CONTRAPISO</t>
        </is>
      </c>
      <c r="D747" s="4" t="inlineStr">
        <is>
          <t>-</t>
        </is>
      </c>
      <c r="E747" s="4" t="inlineStr">
        <is>
          <t>TÉRREO - LOJA 4</t>
        </is>
      </c>
      <c r="F747" s="118" t="n">
        <v>46668</v>
      </c>
      <c r="G747" s="118" t="n">
        <v>46682</v>
      </c>
      <c r="H747" s="118" t="n">
        <v>46289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IF(E747="","",IF(LEFT(E747,7)="SUBSOLO",-1,IF(LEFT(E747,6)="TÉRREO",0,IFERROR(VALUE(LEFT(E747,FIND("º",SUBSTITUTE(E747,"°","º"))-1)),""))))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31803888</v>
      </c>
      <c r="C748" s="4" t="inlineStr">
        <is>
          <t>FACHADA LOJA</t>
        </is>
      </c>
      <c r="D748" s="4" t="inlineStr">
        <is>
          <t>-</t>
        </is>
      </c>
      <c r="E748" s="4" t="inlineStr">
        <is>
          <t>TÉRREO - LOJA 4</t>
        </is>
      </c>
      <c r="F748" s="118" t="n">
        <v>46668</v>
      </c>
      <c r="G748" s="118" t="n">
        <v>46717</v>
      </c>
      <c r="H748" s="118" t="n">
        <v>46289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IF(E748="","",IF(LEFT(E748,7)="SUBSOLO",-1,IF(LEFT(E748,6)="TÉRREO",0,IFERROR(VALUE(LEFT(E748,FIND("º",SUBSTITUTE(E748,"°","º"))-1)),""))))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30205588</v>
      </c>
      <c r="C749" s="4" t="inlineStr">
        <is>
          <t>REBOCO INTERNO</t>
        </is>
      </c>
      <c r="D749" s="4" t="inlineStr">
        <is>
          <t>-</t>
        </is>
      </c>
      <c r="E749" s="4" t="inlineStr">
        <is>
          <t>TÉRREO - LOJA 5</t>
        </is>
      </c>
      <c r="F749" s="118" t="n">
        <v>46668</v>
      </c>
      <c r="G749" s="118" t="n">
        <v>46682</v>
      </c>
      <c r="H749" s="118" t="n">
        <v>46289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IF(E749="","",IF(LEFT(E749,7)="SUBSOLO",-1,IF(LEFT(E749,6)="TÉRREO",0,IFERROR(VALUE(LEFT(E749,FIND("º",SUBSTITUTE(E749,"°","º"))-1)),""))))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30205557</v>
      </c>
      <c r="C750" s="4" t="inlineStr">
        <is>
          <t>DISTRIBUIÇÃO ELÉTRICA / QUADRO</t>
        </is>
      </c>
      <c r="D750" s="4" t="inlineStr">
        <is>
          <t>-</t>
        </is>
      </c>
      <c r="E750" s="4" t="inlineStr">
        <is>
          <t>TÉRREO - LOJA 6</t>
        </is>
      </c>
      <c r="F750" s="118" t="n">
        <v>46668</v>
      </c>
      <c r="G750" s="118" t="n">
        <v>46679</v>
      </c>
      <c r="H750" s="118" t="n">
        <v>46289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IF(E750="","",IF(LEFT(E750,7)="SUBSOLO",-1,IF(LEFT(E750,6)="TÉRREO",0,IFERROR(VALUE(LEFT(E750,FIND("º",SUBSTITUTE(E750,"°","º"))-1)),""))))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30205558</v>
      </c>
      <c r="C751" s="4" t="inlineStr">
        <is>
          <t>DISTRIBUIÇÃO HIDRÁULICA</t>
        </is>
      </c>
      <c r="D751" s="4" t="inlineStr">
        <is>
          <t>-</t>
        </is>
      </c>
      <c r="E751" s="4" t="inlineStr">
        <is>
          <t>TÉRREO - LOJA 6</t>
        </is>
      </c>
      <c r="F751" s="118" t="n">
        <v>46668</v>
      </c>
      <c r="G751" s="118" t="n">
        <v>46682</v>
      </c>
      <c r="H751" s="118" t="n">
        <v>46289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IF(E751="","",IF(LEFT(E751,7)="SUBSOLO",-1,IF(LEFT(E751,6)="TÉRREO",0,IFERROR(VALUE(LEFT(E751,FIND("º",SUBSTITUTE(E751,"°","º"))-1)),""))))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30205529</v>
      </c>
      <c r="C752" s="4" t="inlineStr">
        <is>
          <t>TALISCAMENTO</t>
        </is>
      </c>
      <c r="D752" s="4" t="inlineStr">
        <is>
          <t>-</t>
        </is>
      </c>
      <c r="E752" s="4" t="inlineStr">
        <is>
          <t>TÉRREO - LOJA 7</t>
        </is>
      </c>
      <c r="F752" s="118" t="n">
        <v>46668</v>
      </c>
      <c r="G752" s="118" t="n">
        <v>46682</v>
      </c>
      <c r="H752" s="118" t="n">
        <v>46289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IF(E752="","",IF(LEFT(E752,7)="SUBSOLO",-1,IF(LEFT(E752,6)="TÉRREO",0,IFERROR(VALUE(LEFT(E752,FIND("º",SUBSTITUTE(E752,"°","º"))-1)),""))))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29980963</v>
      </c>
      <c r="C753" s="4" t="inlineStr">
        <is>
          <t>PRUMADA DE INCÊNDIO</t>
        </is>
      </c>
      <c r="D753" s="4" t="inlineStr">
        <is>
          <t>-</t>
        </is>
      </c>
      <c r="E753" s="4" t="inlineStr">
        <is>
          <t>23º PAV.</t>
        </is>
      </c>
      <c r="F753" s="118" t="n">
        <v>46668</v>
      </c>
      <c r="G753" s="118" t="n">
        <v>46681</v>
      </c>
      <c r="H753" s="118" t="n">
        <v>46289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IF(E753="","",IF(LEFT(E753,7)="SUBSOLO",-1,IF(LEFT(E753,6)="TÉRREO",0,IFERROR(VALUE(LEFT(E753,FIND("º",SUBSTITUTE(E753,"°","º"))-1)),""))))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29980914</v>
      </c>
      <c r="C754" s="4" t="inlineStr">
        <is>
          <t>ALVENARIA</t>
        </is>
      </c>
      <c r="D754" s="4" t="inlineStr">
        <is>
          <t>-</t>
        </is>
      </c>
      <c r="E754" s="4" t="inlineStr">
        <is>
          <t>24º PAV.</t>
        </is>
      </c>
      <c r="F754" s="118" t="n">
        <v>46668</v>
      </c>
      <c r="G754" s="118" t="n">
        <v>46681</v>
      </c>
      <c r="H754" s="118" t="n">
        <v>46289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IF(E754="","",IF(LEFT(E754,7)="SUBSOLO",-1,IF(LEFT(E754,6)="TÉRREO",0,IFERROR(VALUE(LEFT(E754,FIND("º",SUBSTITUTE(E754,"°","º"))-1)),""))))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30205930</v>
      </c>
      <c r="C755" s="4" t="inlineStr">
        <is>
          <t>IMPERMEABILIZAÇÃO</t>
        </is>
      </c>
      <c r="D755" s="4" t="inlineStr">
        <is>
          <t>-</t>
        </is>
      </c>
      <c r="E755" s="4" t="inlineStr">
        <is>
          <t>2º PAV - GARAGEM</t>
        </is>
      </c>
      <c r="F755" s="118" t="n">
        <v>46671</v>
      </c>
      <c r="G755" s="118" t="n">
        <v>46685</v>
      </c>
      <c r="H755" s="118" t="n">
        <v>46289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IF(E755="","",IF(LEFT(E755,7)="SUBSOLO",-1,IF(LEFT(E755,6)="TÉRREO",0,IFERROR(VALUE(LEFT(E755,FIND("º",SUBSTITUTE(E755,"°","º"))-1)),""))))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30171471</v>
      </c>
      <c r="C756" s="4" t="inlineStr">
        <is>
          <t>PRUMADA HIDROSSANITÁRIA</t>
        </is>
      </c>
      <c r="D756" s="4" t="inlineStr">
        <is>
          <t>-</t>
        </is>
      </c>
      <c r="E756" s="4" t="inlineStr">
        <is>
          <t>2º PAV - GARAGEM</t>
        </is>
      </c>
      <c r="F756" s="118" t="n">
        <v>46671</v>
      </c>
      <c r="G756" s="118" t="n">
        <v>46700</v>
      </c>
      <c r="H756" s="118" t="n">
        <v>46289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IF(E756="","",IF(LEFT(E756,7)="SUBSOLO",-1,IF(LEFT(E756,6)="TÉRREO",0,IFERROR(VALUE(LEFT(E756,FIND("º",SUBSTITUTE(E756,"°","º"))-1)),""))))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30171472</v>
      </c>
      <c r="C757" s="4" t="inlineStr">
        <is>
          <t>PRUMADA ELÉTRICA - INFRA</t>
        </is>
      </c>
      <c r="D757" s="4" t="inlineStr">
        <is>
          <t>-</t>
        </is>
      </c>
      <c r="E757" s="4" t="inlineStr">
        <is>
          <t>2º PAV - GARAGEM</t>
        </is>
      </c>
      <c r="F757" s="118" t="n">
        <v>46671</v>
      </c>
      <c r="G757" s="118" t="n">
        <v>46700</v>
      </c>
      <c r="H757" s="118" t="n">
        <v>46289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IF(E757="","",IF(LEFT(E757,7)="SUBSOLO",-1,IF(LEFT(E757,6)="TÉRREO",0,IFERROR(VALUE(LEFT(E757,FIND("º",SUBSTITUTE(E757,"°","º"))-1)),""))))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30171484</v>
      </c>
      <c r="C758" s="4" t="inlineStr">
        <is>
          <t>INSTALAÇÕES DE INCÊNDIO</t>
        </is>
      </c>
      <c r="D758" s="4" t="inlineStr">
        <is>
          <t>-</t>
        </is>
      </c>
      <c r="E758" s="4" t="inlineStr">
        <is>
          <t>2º PAV - GARAGEM</t>
        </is>
      </c>
      <c r="F758" s="118" t="n">
        <v>46671</v>
      </c>
      <c r="G758" s="118" t="n">
        <v>46700</v>
      </c>
      <c r="H758" s="118" t="n">
        <v>46289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IF(E758="","",IF(LEFT(E758,7)="SUBSOLO",-1,IF(LEFT(E758,6)="TÉRREO",0,IFERROR(VALUE(LEFT(E758,FIND("º",SUBSTITUTE(E758,"°","º"))-1)),""))))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30171449</v>
      </c>
      <c r="C759" s="4" t="inlineStr">
        <is>
          <t>SERRALHERIA</t>
        </is>
      </c>
      <c r="D759" s="4" t="inlineStr">
        <is>
          <t>-</t>
        </is>
      </c>
      <c r="E759" s="4" t="inlineStr">
        <is>
          <t>3º PAV - GARAGEM</t>
        </is>
      </c>
      <c r="F759" s="118" t="n">
        <v>46671</v>
      </c>
      <c r="G759" s="118" t="n">
        <v>46685</v>
      </c>
      <c r="H759" s="118" t="n">
        <v>46289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IF(E759="","",IF(LEFT(E759,7)="SUBSOLO",-1,IF(LEFT(E759,6)="TÉRREO",0,IFERROR(VALUE(LEFT(E759,FIND("º",SUBSTITUTE(E759,"°","º"))-1)),""))))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30171450</v>
      </c>
      <c r="C760" s="4" t="inlineStr">
        <is>
          <t>REBOCO INTERNO</t>
        </is>
      </c>
      <c r="D760" s="4" t="inlineStr">
        <is>
          <t>-</t>
        </is>
      </c>
      <c r="E760" s="4" t="inlineStr">
        <is>
          <t>3º PAV - GARAGEM</t>
        </is>
      </c>
      <c r="F760" s="118" t="n">
        <v>46671</v>
      </c>
      <c r="G760" s="118" t="n">
        <v>46736</v>
      </c>
      <c r="H760" s="118" t="n">
        <v>46289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IF(E760="","",IF(LEFT(E760,7)="SUBSOLO",-1,IF(LEFT(E760,6)="TÉRREO",0,IFERROR(VALUE(LEFT(E760,FIND("º",SUBSTITUTE(E760,"°","º"))-1)),""))))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31789529</v>
      </c>
      <c r="C761" s="4" t="inlineStr">
        <is>
          <t>PREPARAÇÃO PARA FACHADA AERADA - F3 + F4 (1º ETAPA)</t>
        </is>
      </c>
      <c r="D761" s="4" t="inlineStr">
        <is>
          <t>-</t>
        </is>
      </c>
      <c r="E761" s="4" t="inlineStr">
        <is>
          <t>FACHADA</t>
        </is>
      </c>
      <c r="F761" s="118" t="n">
        <v>46674</v>
      </c>
      <c r="G761" s="118" t="n">
        <v>46695</v>
      </c>
      <c r="H761" s="118" t="n">
        <v>46289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IF(E761="","",IF(LEFT(E761,7)="SUBSOLO",-1,IF(LEFT(E761,6)="TÉRREO",0,IFERROR(VALUE(LEFT(E761,FIND("º",SUBSTITUTE(E761,"°","º"))-1)),""))))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29981551</v>
      </c>
      <c r="C762" s="4" t="inlineStr">
        <is>
          <t>FORRO</t>
        </is>
      </c>
      <c r="D762" s="4" t="inlineStr">
        <is>
          <t>-</t>
        </is>
      </c>
      <c r="E762" s="4" t="inlineStr">
        <is>
          <t>7º PAV.</t>
        </is>
      </c>
      <c r="F762" s="118" t="n">
        <v>46675</v>
      </c>
      <c r="G762" s="118" t="n">
        <v>46687</v>
      </c>
      <c r="H762" s="118" t="n">
        <v>46289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IF(E762="","",IF(LEFT(E762,7)="SUBSOLO",-1,IF(LEFT(E762,6)="TÉRREO",0,IFERROR(VALUE(LEFT(E762,FIND("º",SUBSTITUTE(E762,"°","º"))-1)),""))))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29981512</v>
      </c>
      <c r="C763" s="4" t="inlineStr">
        <is>
          <t>FIAÇÃO ELÉTRICA</t>
        </is>
      </c>
      <c r="D763" s="4" t="inlineStr">
        <is>
          <t>-</t>
        </is>
      </c>
      <c r="E763" s="4" t="inlineStr">
        <is>
          <t>8º PAV.</t>
        </is>
      </c>
      <c r="F763" s="118" t="n">
        <v>46675</v>
      </c>
      <c r="G763" s="118" t="n">
        <v>46687</v>
      </c>
      <c r="H763" s="118" t="n">
        <v>46289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IF(E763="","",IF(LEFT(E763,7)="SUBSOLO",-1,IF(LEFT(E763,6)="TÉRREO",0,IFERROR(VALUE(LEFT(E763,FIND("º",SUBSTITUTE(E763,"°","º"))-1)),""))))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29981517</v>
      </c>
      <c r="C764" s="4" t="inlineStr">
        <is>
          <t>PRUMADA ELÉTRICA - CABOS</t>
        </is>
      </c>
      <c r="D764" s="4" t="inlineStr">
        <is>
          <t>-</t>
        </is>
      </c>
      <c r="E764" s="4" t="inlineStr">
        <is>
          <t>8º PAV.</t>
        </is>
      </c>
      <c r="F764" s="118" t="n">
        <v>46675</v>
      </c>
      <c r="G764" s="118" t="n">
        <v>46687</v>
      </c>
      <c r="H764" s="118" t="n">
        <v>46289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IF(E764="","",IF(LEFT(E764,7)="SUBSOLO",-1,IF(LEFT(E764,6)="TÉRREO",0,IFERROR(VALUE(LEFT(E764,FIND("º",SUBSTITUTE(E764,"°","º"))-1)),""))))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30214070</v>
      </c>
      <c r="C765" s="4" t="inlineStr">
        <is>
          <t>FIAÇÃO TELECOM/DADOS</t>
        </is>
      </c>
      <c r="D765" s="4" t="inlineStr">
        <is>
          <t>-</t>
        </is>
      </c>
      <c r="E765" s="4" t="inlineStr">
        <is>
          <t>8º PAV.</t>
        </is>
      </c>
      <c r="F765" s="118" t="n">
        <v>46675</v>
      </c>
      <c r="G765" s="118" t="n">
        <v>46688</v>
      </c>
      <c r="H765" s="118" t="n">
        <v>46289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IF(E765="","",IF(LEFT(E765,7)="SUBSOLO",-1,IF(LEFT(E765,6)="TÉRREO",0,IFERROR(VALUE(LEFT(E765,FIND("º",SUBSTITUTE(E765,"°","º"))-1)),""))))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29981459</v>
      </c>
      <c r="C766" s="4" t="inlineStr">
        <is>
          <t>BANCADAS</t>
        </is>
      </c>
      <c r="D766" s="4" t="inlineStr">
        <is>
          <t>-</t>
        </is>
      </c>
      <c r="E766" s="4" t="inlineStr">
        <is>
          <t>9º PAV.</t>
        </is>
      </c>
      <c r="F766" s="118" t="n">
        <v>46675</v>
      </c>
      <c r="G766" s="118" t="n">
        <v>46687</v>
      </c>
      <c r="H766" s="118" t="n">
        <v>46289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IF(E766="","",IF(LEFT(E766,7)="SUBSOLO",-1,IF(LEFT(E766,6)="TÉRREO",0,IFERROR(VALUE(LEFT(E766,FIND("º",SUBSTITUTE(E766,"°","º"))-1)),""))))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29981421</v>
      </c>
      <c r="C767" s="4" t="inlineStr">
        <is>
          <t>REVESTIMENTOS PORCELANATO PISO</t>
        </is>
      </c>
      <c r="D767" s="4" t="inlineStr">
        <is>
          <t>-</t>
        </is>
      </c>
      <c r="E767" s="4" t="inlineStr">
        <is>
          <t>10º PAV.</t>
        </is>
      </c>
      <c r="F767" s="118" t="n">
        <v>46675</v>
      </c>
      <c r="G767" s="118" t="n">
        <v>46687</v>
      </c>
      <c r="H767" s="118" t="n">
        <v>46289</v>
      </c>
      <c r="I767" s="4" t="n">
        <v>0</v>
      </c>
      <c r="J767" s="4" t="n">
        <v>0</v>
      </c>
      <c r="K767" s="4" t="n">
        <v>0</v>
      </c>
      <c r="M767" s="2">
        <f>IF(C767="","",IFERROR(INDEX($S$5:$S$304,MATCH(C767,$R$5:$R$304,0))&amp;"","?"))</f>
        <v/>
      </c>
      <c r="N767" s="2">
        <f>IF(E767="","",IF(LEFT(E767,7)="SUBSOLO",-1,IF(LEFT(E767,6)="TÉRREO",0,IFERROR(VALUE(LEFT(E767,FIND("º",SUBSTITUTE(E767,"°","º"))-1)),""))))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29981400</v>
      </c>
      <c r="C768" s="4" t="inlineStr">
        <is>
          <t>REVESTIMENTO PORCELANATO PAREDE</t>
        </is>
      </c>
      <c r="D768" s="4" t="inlineStr">
        <is>
          <t>-</t>
        </is>
      </c>
      <c r="E768" s="4" t="inlineStr">
        <is>
          <t>11º PAV.</t>
        </is>
      </c>
      <c r="F768" s="118" t="n">
        <v>46675</v>
      </c>
      <c r="G768" s="118" t="n">
        <v>46687</v>
      </c>
      <c r="H768" s="118" t="n">
        <v>46289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IF(E768="","",IF(LEFT(E768,7)="SUBSOLO",-1,IF(LEFT(E768,6)="TÉRREO",0,IFERROR(VALUE(LEFT(E768,FIND("º",SUBSTITUTE(E768,"°","º"))-1)),""))))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29981361</v>
      </c>
      <c r="C769" s="4" t="inlineStr">
        <is>
          <t>IMPERMEABILIZAÇÃO</t>
        </is>
      </c>
      <c r="D769" s="4" t="inlineStr">
        <is>
          <t>-</t>
        </is>
      </c>
      <c r="E769" s="4" t="inlineStr">
        <is>
          <t>12º PAV.</t>
        </is>
      </c>
      <c r="F769" s="118" t="n">
        <v>46675</v>
      </c>
      <c r="G769" s="118" t="n">
        <v>46687</v>
      </c>
      <c r="H769" s="118" t="n">
        <v>46289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IF(E769="","",IF(LEFT(E769,7)="SUBSOLO",-1,IF(LEFT(E769,6)="TÉRREO",0,IFERROR(VALUE(LEFT(E769,FIND("º",SUBSTITUTE(E769,"°","º"))-1)),""))))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32750439</v>
      </c>
      <c r="C770" s="4" t="inlineStr">
        <is>
          <t>DRYWALL 2º FACE</t>
        </is>
      </c>
      <c r="D770" s="4" t="inlineStr">
        <is>
          <t>-</t>
        </is>
      </c>
      <c r="E770" s="4" t="inlineStr">
        <is>
          <t>13º PAV.</t>
        </is>
      </c>
      <c r="F770" s="118" t="n">
        <v>46675</v>
      </c>
      <c r="G770" s="118" t="n">
        <v>46687</v>
      </c>
      <c r="H770" s="118" t="n">
        <v>46289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IF(E770="","",IF(LEFT(E770,7)="SUBSOLO",-1,IF(LEFT(E770,6)="TÉRREO",0,IFERROR(VALUE(LEFT(E770,FIND("º",SUBSTITUTE(E770,"°","º"))-1)),""))))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32750362</v>
      </c>
      <c r="C771" s="4" t="inlineStr">
        <is>
          <t>DISTRIBUIÇÃO DE GÁS - DRYWALL</t>
        </is>
      </c>
      <c r="D771" s="4" t="inlineStr">
        <is>
          <t>-</t>
        </is>
      </c>
      <c r="E771" s="4" t="inlineStr">
        <is>
          <t>14º PAV.</t>
        </is>
      </c>
      <c r="F771" s="118" t="n">
        <v>46675</v>
      </c>
      <c r="G771" s="118" t="n">
        <v>46687</v>
      </c>
      <c r="H771" s="118" t="n">
        <v>46289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IF(E771="","",IF(LEFT(E771,7)="SUBSOLO",-1,IF(LEFT(E771,6)="TÉRREO",0,IFERROR(VALUE(LEFT(E771,FIND("º",SUBSTITUTE(E771,"°","º"))-1)),""))))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32750388</v>
      </c>
      <c r="C772" s="4" t="inlineStr">
        <is>
          <t>DISTRIBUIÇÃO ELÉTRICA/QUADRO - DRYWALL</t>
        </is>
      </c>
      <c r="D772" s="4" t="inlineStr">
        <is>
          <t>-</t>
        </is>
      </c>
      <c r="E772" s="4" t="inlineStr">
        <is>
          <t>14º PAV.</t>
        </is>
      </c>
      <c r="F772" s="118" t="n">
        <v>46675</v>
      </c>
      <c r="G772" s="118" t="n">
        <v>46687</v>
      </c>
      <c r="H772" s="118" t="n">
        <v>46289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IF(E772="","",IF(LEFT(E772,7)="SUBSOLO",-1,IF(LEFT(E772,6)="TÉRREO",0,IFERROR(VALUE(LEFT(E772,FIND("º",SUBSTITUTE(E772,"°","º"))-1)),""))))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32750414</v>
      </c>
      <c r="C773" s="4" t="inlineStr">
        <is>
          <t>DISTRIBUIÇÃO HIDRÁULICA - DRYWALL</t>
        </is>
      </c>
      <c r="D773" s="4" t="inlineStr">
        <is>
          <t>-</t>
        </is>
      </c>
      <c r="E773" s="4" t="inlineStr">
        <is>
          <t>14º PAV.</t>
        </is>
      </c>
      <c r="F773" s="118" t="n">
        <v>46675</v>
      </c>
      <c r="G773" s="118" t="n">
        <v>46687</v>
      </c>
      <c r="H773" s="118" t="n">
        <v>46289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IF(E773="","",IF(LEFT(E773,7)="SUBSOLO",-1,IF(LEFT(E773,6)="TÉRREO",0,IFERROR(VALUE(LEFT(E773,FIND("º",SUBSTITUTE(E773,"°","º"))-1)),""))))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33896832</v>
      </c>
      <c r="C774" s="4" t="inlineStr">
        <is>
          <t>INFRAESTRUTURA - AR CONDICIONADO</t>
        </is>
      </c>
      <c r="D774" s="4" t="inlineStr">
        <is>
          <t>-</t>
        </is>
      </c>
      <c r="E774" s="4" t="inlineStr">
        <is>
          <t>14º PAV.</t>
        </is>
      </c>
      <c r="F774" s="118" t="n">
        <v>46675</v>
      </c>
      <c r="G774" s="118" t="n">
        <v>46687</v>
      </c>
      <c r="H774" s="118" t="n">
        <v>46289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IF(E774="","",IF(LEFT(E774,7)="SUBSOLO",-1,IF(LEFT(E774,6)="TÉRREO",0,IFERROR(VALUE(LEFT(E774,FIND("º",SUBSTITUTE(E774,"°","º"))-1)),""))))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32749858</v>
      </c>
      <c r="C775" s="4" t="inlineStr">
        <is>
          <t>DRYWALL 1º FACE</t>
        </is>
      </c>
      <c r="D775" s="4" t="inlineStr">
        <is>
          <t>-</t>
        </is>
      </c>
      <c r="E775" s="4" t="inlineStr">
        <is>
          <t>15º PAV.</t>
        </is>
      </c>
      <c r="F775" s="118" t="n">
        <v>46675</v>
      </c>
      <c r="G775" s="118" t="n">
        <v>46687</v>
      </c>
      <c r="H775" s="118" t="n">
        <v>46289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IF(E775="","",IF(LEFT(E775,7)="SUBSOLO",-1,IF(LEFT(E775,6)="TÉRREO",0,IFERROR(VALUE(LEFT(E775,FIND("º",SUBSTITUTE(E775,"°","º"))-1)),""))))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29981214</v>
      </c>
      <c r="C776" s="4" t="inlineStr">
        <is>
          <t>CONTRAPISO</t>
        </is>
      </c>
      <c r="D776" s="4" t="inlineStr">
        <is>
          <t>-</t>
        </is>
      </c>
      <c r="E776" s="4" t="inlineStr">
        <is>
          <t>16º PAV.</t>
        </is>
      </c>
      <c r="F776" s="118" t="n">
        <v>46675</v>
      </c>
      <c r="G776" s="118" t="n">
        <v>46687</v>
      </c>
      <c r="H776" s="118" t="n">
        <v>46289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IF(E776="","",IF(LEFT(E776,7)="SUBSOLO",-1,IF(LEFT(E776,6)="TÉRREO",0,IFERROR(VALUE(LEFT(E776,FIND("º",SUBSTITUTE(E776,"°","º"))-1)),""))))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29981154</v>
      </c>
      <c r="C777" s="4" t="inlineStr">
        <is>
          <t>SHAFT INTERNO INST. HIDRAÚLICAS</t>
        </is>
      </c>
      <c r="D777" s="4" t="inlineStr">
        <is>
          <t>-</t>
        </is>
      </c>
      <c r="E777" s="4" t="inlineStr">
        <is>
          <t>17º PAV.</t>
        </is>
      </c>
      <c r="F777" s="118" t="n">
        <v>46675</v>
      </c>
      <c r="G777" s="118" t="n">
        <v>46687</v>
      </c>
      <c r="H777" s="118" t="n">
        <v>46289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IF(E777="","",IF(LEFT(E777,7)="SUBSOLO",-1,IF(LEFT(E777,6)="TÉRREO",0,IFERROR(VALUE(LEFT(E777,FIND("º",SUBSTITUTE(E777,"°","º"))-1)),""))))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29981187</v>
      </c>
      <c r="C778" s="4" t="inlineStr">
        <is>
          <t>PRUMADA ELÉTRICA - INFRA</t>
        </is>
      </c>
      <c r="D778" s="4" t="inlineStr">
        <is>
          <t>-</t>
        </is>
      </c>
      <c r="E778" s="4" t="inlineStr">
        <is>
          <t>17º PAV.</t>
        </is>
      </c>
      <c r="F778" s="118" t="n">
        <v>46675</v>
      </c>
      <c r="G778" s="118" t="n">
        <v>46687</v>
      </c>
      <c r="H778" s="118" t="n">
        <v>46289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IF(E778="","",IF(LEFT(E778,7)="SUBSOLO",-1,IF(LEFT(E778,6)="TÉRREO",0,IFERROR(VALUE(LEFT(E778,FIND("º",SUBSTITUTE(E778,"°","º"))-1)),""))))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29981116</v>
      </c>
      <c r="C779" s="4" t="inlineStr">
        <is>
          <t>REBOCO INTERNO</t>
        </is>
      </c>
      <c r="D779" s="4" t="inlineStr">
        <is>
          <t>-</t>
        </is>
      </c>
      <c r="E779" s="4" t="inlineStr">
        <is>
          <t>18º PAV.</t>
        </is>
      </c>
      <c r="F779" s="118" t="n">
        <v>46675</v>
      </c>
      <c r="G779" s="118" t="n">
        <v>46687</v>
      </c>
      <c r="H779" s="118" t="n">
        <v>46289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IF(E779="","",IF(LEFT(E779,7)="SUBSOLO",-1,IF(LEFT(E779,6)="TÉRREO",0,IFERROR(VALUE(LEFT(E779,FIND("º",SUBSTITUTE(E779,"°","º"))-1)),""))))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29981045</v>
      </c>
      <c r="C780" s="4" t="inlineStr">
        <is>
          <t>CONTRAMARCO</t>
        </is>
      </c>
      <c r="D780" s="4" t="inlineStr">
        <is>
          <t>-</t>
        </is>
      </c>
      <c r="E780" s="4" t="inlineStr">
        <is>
          <t>20º PAV.</t>
        </is>
      </c>
      <c r="F780" s="118" t="n">
        <v>46675</v>
      </c>
      <c r="G780" s="118" t="n">
        <v>46687</v>
      </c>
      <c r="H780" s="118" t="n">
        <v>46289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IF(E780="","",IF(LEFT(E780,7)="SUBSOLO",-1,IF(LEFT(E780,6)="TÉRREO",0,IFERROR(VALUE(LEFT(E780,FIND("º",SUBSTITUTE(E780,"°","º"))-1)),""))))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29981038</v>
      </c>
      <c r="C781" s="4" t="inlineStr">
        <is>
          <t>DISTRIBUIÇÃO HIDROSSANITÁRIA</t>
        </is>
      </c>
      <c r="D781" s="4" t="inlineStr">
        <is>
          <t>-</t>
        </is>
      </c>
      <c r="E781" s="4" t="inlineStr">
        <is>
          <t>21º PAV.</t>
        </is>
      </c>
      <c r="F781" s="118" t="n">
        <v>46675</v>
      </c>
      <c r="G781" s="118" t="n">
        <v>46687</v>
      </c>
      <c r="H781" s="118" t="n">
        <v>46289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IF(E781="","",IF(LEFT(E781,7)="SUBSOLO",-1,IF(LEFT(E781,6)="TÉRREO",0,IFERROR(VALUE(LEFT(E781,FIND("º",SUBSTITUTE(E781,"°","º"))-1)),""))))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29981007</v>
      </c>
      <c r="C782" s="4" t="inlineStr">
        <is>
          <t>DISTRIBUIÇÃO ELÉTRICA / QUADRO</t>
        </is>
      </c>
      <c r="D782" s="4" t="inlineStr">
        <is>
          <t>-</t>
        </is>
      </c>
      <c r="E782" s="4" t="inlineStr">
        <is>
          <t>21º PAV.</t>
        </is>
      </c>
      <c r="F782" s="118" t="n">
        <v>46675</v>
      </c>
      <c r="G782" s="118" t="n">
        <v>46687</v>
      </c>
      <c r="H782" s="118" t="n">
        <v>46289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IF(E782="","",IF(LEFT(E782,7)="SUBSOLO",-1,IF(LEFT(E782,6)="TÉRREO",0,IFERROR(VALUE(LEFT(E782,FIND("º",SUBSTITUTE(E782,"°","º"))-1)),""))))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29981040</v>
      </c>
      <c r="C783" s="4" t="inlineStr">
        <is>
          <t>DISTRIBUIÇÃO DE GÁS</t>
        </is>
      </c>
      <c r="D783" s="4" t="inlineStr">
        <is>
          <t>-</t>
        </is>
      </c>
      <c r="E783" s="4" t="inlineStr">
        <is>
          <t>21º PAV.</t>
        </is>
      </c>
      <c r="F783" s="118" t="n">
        <v>46675</v>
      </c>
      <c r="G783" s="118" t="n">
        <v>46687</v>
      </c>
      <c r="H783" s="118" t="n">
        <v>46289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IF(E783="","",IF(LEFT(E783,7)="SUBSOLO",-1,IF(LEFT(E783,6)="TÉRREO",0,IFERROR(VALUE(LEFT(E783,FIND("º",SUBSTITUTE(E783,"°","º"))-1)),""))))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29980987</v>
      </c>
      <c r="C784" s="4" t="inlineStr">
        <is>
          <t>TALISCAMENTO</t>
        </is>
      </c>
      <c r="D784" s="4" t="inlineStr">
        <is>
          <t>-</t>
        </is>
      </c>
      <c r="E784" s="4" t="inlineStr">
        <is>
          <t>22º PAV.</t>
        </is>
      </c>
      <c r="F784" s="118" t="n">
        <v>46675</v>
      </c>
      <c r="G784" s="118" t="n">
        <v>46687</v>
      </c>
      <c r="H784" s="118" t="n">
        <v>46289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IF(E784="","",IF(LEFT(E784,7)="SUBSOLO",-1,IF(LEFT(E784,6)="TÉRREO",0,IFERROR(VALUE(LEFT(E784,FIND("º",SUBSTITUTE(E784,"°","º"))-1)),""))))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29980953</v>
      </c>
      <c r="C785" s="4" t="inlineStr">
        <is>
          <t>PRUMADA HIDROSSANITÁRIA</t>
        </is>
      </c>
      <c r="D785" s="4" t="inlineStr">
        <is>
          <t>-</t>
        </is>
      </c>
      <c r="E785" s="4" t="inlineStr">
        <is>
          <t>23º PAV.</t>
        </is>
      </c>
      <c r="F785" s="118" t="n">
        <v>46675</v>
      </c>
      <c r="G785" s="118" t="n">
        <v>46687</v>
      </c>
      <c r="H785" s="118" t="n">
        <v>46289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IF(E785="","",IF(LEFT(E785,7)="SUBSOLO",-1,IF(LEFT(E785,6)="TÉRREO",0,IFERROR(VALUE(LEFT(E785,FIND("º",SUBSTITUTE(E785,"°","º"))-1)),""))))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30205777</v>
      </c>
      <c r="C786" s="4" t="inlineStr">
        <is>
          <t>PRUMADA HIDROSSANITÁRIA</t>
        </is>
      </c>
      <c r="D786" s="4" t="inlineStr">
        <is>
          <t>-</t>
        </is>
      </c>
      <c r="E786" s="4" t="inlineStr">
        <is>
          <t>TÉRREO - ACESSO COMERCIAL + DML + ARS + ÁREA TEC + LAVABO + DISPENSA</t>
        </is>
      </c>
      <c r="F786" s="118" t="n">
        <v>46678</v>
      </c>
      <c r="G786" s="118" t="n">
        <v>46689</v>
      </c>
      <c r="H786" s="118" t="n">
        <v>46289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IF(E786="","",IF(LEFT(E786,7)="SUBSOLO",-1,IF(LEFT(E786,6)="TÉRREO",0,IFERROR(VALUE(LEFT(E786,FIND("º",SUBSTITUTE(E786,"°","º"))-1)),""))))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30205776</v>
      </c>
      <c r="C787" s="4" t="inlineStr">
        <is>
          <t>PRUMADA DE INCÊNDIO</t>
        </is>
      </c>
      <c r="D787" s="4" t="inlineStr">
        <is>
          <t>-</t>
        </is>
      </c>
      <c r="E787" s="4" t="inlineStr">
        <is>
          <t>TÉRREO - ACESSO COMERCIAL + DML + ARS + ÁREA TEC + LAVABO + DISPENSA</t>
        </is>
      </c>
      <c r="F787" s="118" t="n">
        <v>46678</v>
      </c>
      <c r="G787" s="118" t="n">
        <v>46689</v>
      </c>
      <c r="H787" s="118" t="n">
        <v>46289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IF(E787="","",IF(LEFT(E787,7)="SUBSOLO",-1,IF(LEFT(E787,6)="TÉRREO",0,IFERROR(VALUE(LEFT(E787,FIND("º",SUBSTITUTE(E787,"°","º"))-1)),""))))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30205778</v>
      </c>
      <c r="C788" s="4" t="inlineStr">
        <is>
          <t>ENCUNHAMENTO</t>
        </is>
      </c>
      <c r="D788" s="4" t="inlineStr">
        <is>
          <t>-</t>
        </is>
      </c>
      <c r="E788" s="4" t="inlineStr">
        <is>
          <t>TÉRREO - ACESSO COMERCIAL + DML + ARS + ÁREA TEC + LAVABO + DISPENSA</t>
        </is>
      </c>
      <c r="F788" s="118" t="n">
        <v>46678</v>
      </c>
      <c r="G788" s="118" t="n">
        <v>46689</v>
      </c>
      <c r="H788" s="118" t="n">
        <v>46289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IF(E788="","",IF(LEFT(E788,7)="SUBSOLO",-1,IF(LEFT(E788,6)="TÉRREO",0,IFERROR(VALUE(LEFT(E788,FIND("º",SUBSTITUTE(E788,"°","º"))-1)),""))))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30205802</v>
      </c>
      <c r="C789" s="4" t="inlineStr">
        <is>
          <t>ALVENARIA</t>
        </is>
      </c>
      <c r="D789" s="4" t="inlineStr">
        <is>
          <t>-</t>
        </is>
      </c>
      <c r="E789" s="4" t="inlineStr">
        <is>
          <t>TÉRREO - HALL SOCIAL + ECLUSA + CIRCULAÇÃO</t>
        </is>
      </c>
      <c r="F789" s="118" t="n">
        <v>46678</v>
      </c>
      <c r="G789" s="118" t="n">
        <v>46689</v>
      </c>
      <c r="H789" s="118" t="n">
        <v>46289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IF(E789="","",IF(LEFT(E789,7)="SUBSOLO",-1,IF(LEFT(E789,6)="TÉRREO",0,IFERROR(VALUE(LEFT(E789,FIND("º",SUBSTITUTE(E789,"°","º"))-1)),""))))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30171426</v>
      </c>
      <c r="C790" s="4" t="inlineStr">
        <is>
          <t>TALISCAMENTO</t>
        </is>
      </c>
      <c r="D790" s="4" t="inlineStr">
        <is>
          <t>-</t>
        </is>
      </c>
      <c r="E790" s="4" t="inlineStr">
        <is>
          <t>4º PAV - GARAGEM</t>
        </is>
      </c>
      <c r="F790" s="118" t="n">
        <v>46678</v>
      </c>
      <c r="G790" s="118" t="n">
        <v>46689</v>
      </c>
      <c r="H790" s="118" t="n">
        <v>46289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IF(E790="","",IF(LEFT(E790,7)="SUBSOLO",-1,IF(LEFT(E790,6)="TÉRREO",0,IFERROR(VALUE(LEFT(E790,FIND("º",SUBSTITUTE(E790,"°","º"))-1)),""))))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30171432</v>
      </c>
      <c r="C791" s="4" t="inlineStr">
        <is>
          <t>CHUMBAMENTO DE PCF</t>
        </is>
      </c>
      <c r="D791" s="4" t="inlineStr">
        <is>
          <t>-</t>
        </is>
      </c>
      <c r="E791" s="4" t="inlineStr">
        <is>
          <t>4º PAV - GARAGEM</t>
        </is>
      </c>
      <c r="F791" s="118" t="n">
        <v>46678</v>
      </c>
      <c r="G791" s="118" t="n">
        <v>46689</v>
      </c>
      <c r="H791" s="118" t="n">
        <v>46289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IF(E791="","",IF(LEFT(E791,7)="SUBSOLO",-1,IF(LEFT(E791,6)="TÉRREO",0,IFERROR(VALUE(LEFT(E791,FIND("º",SUBSTITUTE(E791,"°","º"))-1)),""))))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30171397</v>
      </c>
      <c r="C792" s="4" t="inlineStr">
        <is>
          <t>ALVENARIA</t>
        </is>
      </c>
      <c r="D792" s="4" t="inlineStr">
        <is>
          <t>-</t>
        </is>
      </c>
      <c r="E792" s="4" t="inlineStr">
        <is>
          <t>5º PAV - GARAGEM</t>
        </is>
      </c>
      <c r="F792" s="118" t="n">
        <v>46678</v>
      </c>
      <c r="G792" s="118" t="n">
        <v>46742</v>
      </c>
      <c r="H792" s="118" t="n">
        <v>46289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IF(E792="","",IF(LEFT(E792,7)="SUBSOLO",-1,IF(LEFT(E792,6)="TÉRREO",0,IFERROR(VALUE(LEFT(E792,FIND("º",SUBSTITUTE(E792,"°","º"))-1)),""))))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30205712</v>
      </c>
      <c r="C793" s="4" t="inlineStr">
        <is>
          <t>SHAFT</t>
        </is>
      </c>
      <c r="D793" s="4" t="inlineStr">
        <is>
          <t>-</t>
        </is>
      </c>
      <c r="E793" s="4" t="inlineStr">
        <is>
          <t>SUBSOLO</t>
        </is>
      </c>
      <c r="F793" s="118" t="n">
        <v>46679</v>
      </c>
      <c r="G793" s="118" t="n">
        <v>46692</v>
      </c>
      <c r="H793" s="118" t="n">
        <v>46289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IF(E793="","",IF(LEFT(E793,7)="SUBSOLO",-1,IF(LEFT(E793,6)="TÉRREO",0,IFERROR(VALUE(LEFT(E793,FIND("º",SUBSTITUTE(E793,"°","º"))-1)),""))))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30205752</v>
      </c>
      <c r="C794" s="4" t="inlineStr">
        <is>
          <t>PRESSURIZAÇÃO (VENTILAÇÃO)</t>
        </is>
      </c>
      <c r="D794" s="4" t="inlineStr">
        <is>
          <t>-</t>
        </is>
      </c>
      <c r="E794" s="4" t="inlineStr">
        <is>
          <t>SUBSOLO</t>
        </is>
      </c>
      <c r="F794" s="118" t="n">
        <v>46679</v>
      </c>
      <c r="G794" s="118" t="n">
        <v>46727</v>
      </c>
      <c r="H794" s="118" t="n">
        <v>46289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IF(E794="","",IF(LEFT(E794,7)="SUBSOLO",-1,IF(LEFT(E794,6)="TÉRREO",0,IFERROR(VALUE(LEFT(E794,FIND("º",SUBSTITUTE(E794,"°","º"))-1)),""))))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30205753</v>
      </c>
      <c r="C795" s="4" t="inlineStr">
        <is>
          <t>RESERVATÓRIO</t>
        </is>
      </c>
      <c r="D795" s="4" t="inlineStr">
        <is>
          <t>-</t>
        </is>
      </c>
      <c r="E795" s="4" t="inlineStr">
        <is>
          <t>SUBSOLO</t>
        </is>
      </c>
      <c r="F795" s="118" t="n">
        <v>46679</v>
      </c>
      <c r="G795" s="118" t="n">
        <v>46727</v>
      </c>
      <c r="H795" s="118" t="n">
        <v>46289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IF(E795="","",IF(LEFT(E795,7)="SUBSOLO",-1,IF(LEFT(E795,6)="TÉRREO",0,IFERROR(VALUE(LEFT(E795,FIND("º",SUBSTITUTE(E795,"°","º"))-1)),""))))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29980952</v>
      </c>
      <c r="C796" s="4" t="inlineStr">
        <is>
          <t>ENCUNHAMENTO</t>
        </is>
      </c>
      <c r="D796" s="4" t="inlineStr">
        <is>
          <t>-</t>
        </is>
      </c>
      <c r="E796" s="4" t="inlineStr">
        <is>
          <t>23º PAV.</t>
        </is>
      </c>
      <c r="F796" s="118" t="n">
        <v>46679</v>
      </c>
      <c r="G796" s="118" t="n">
        <v>46689</v>
      </c>
      <c r="H796" s="118" t="n">
        <v>46289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IF(E796="","",IF(LEFT(E796,7)="SUBSOLO",-1,IF(LEFT(E796,6)="TÉRREO",0,IFERROR(VALUE(LEFT(E796,FIND("º",SUBSTITUTE(E796,"°","º"))-1)),""))))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29941038</v>
      </c>
      <c r="C797" s="4" t="inlineStr">
        <is>
          <t>ESTRUTURA</t>
        </is>
      </c>
      <c r="D797" s="4" t="inlineStr">
        <is>
          <t>-</t>
        </is>
      </c>
      <c r="E797" s="4" t="inlineStr">
        <is>
          <t>28º PAV.</t>
        </is>
      </c>
      <c r="F797" s="118" t="n">
        <v>46679</v>
      </c>
      <c r="G797" s="118" t="n">
        <v>46689</v>
      </c>
      <c r="H797" s="118" t="n">
        <v>46289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IF(E797="","",IF(LEFT(E797,7)="SUBSOLO",-1,IF(LEFT(E797,6)="TÉRREO",0,IFERROR(VALUE(LEFT(E797,FIND("º",SUBSTITUTE(E797,"°","º"))-1)),""))))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31529062</v>
      </c>
      <c r="C798" s="4" t="inlineStr">
        <is>
          <t>ESTRUTURA</t>
        </is>
      </c>
      <c r="D798" s="4" t="inlineStr">
        <is>
          <t>Forma</t>
        </is>
      </c>
      <c r="E798" s="4" t="inlineStr">
        <is>
          <t>28º PAV.</t>
        </is>
      </c>
      <c r="F798" s="118" t="n">
        <v>46679</v>
      </c>
      <c r="G798" s="118" t="n">
        <v>46685</v>
      </c>
      <c r="H798" s="118" t="n">
        <v>46289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IF(E798="","",IF(LEFT(E798,7)="SUBSOLO",-1,IF(LEFT(E798,6)="TÉRREO",0,IFERROR(VALUE(LEFT(E798,FIND("º",SUBSTITUTE(E798,"°","º"))-1)),""))))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31529063</v>
      </c>
      <c r="C799" s="4" t="inlineStr">
        <is>
          <t>ESTRUTURA</t>
        </is>
      </c>
      <c r="D799" s="4" t="inlineStr">
        <is>
          <t>Armação</t>
        </is>
      </c>
      <c r="E799" s="4" t="inlineStr">
        <is>
          <t>28º PAV.</t>
        </is>
      </c>
      <c r="F799" s="118" t="n">
        <v>46686</v>
      </c>
      <c r="G799" s="118" t="n">
        <v>46688</v>
      </c>
      <c r="H799" s="118" t="n">
        <v>46289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IF(E799="","",IF(LEFT(E799,7)="SUBSOLO",-1,IF(LEFT(E799,6)="TÉRREO",0,IFERROR(VALUE(LEFT(E799,FIND("º",SUBSTITUTE(E799,"°","º"))-1)),""))))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31529064</v>
      </c>
      <c r="C800" s="4" t="inlineStr">
        <is>
          <t>ESTRUTURA</t>
        </is>
      </c>
      <c r="D800" s="4" t="inlineStr">
        <is>
          <t>Concretagem</t>
        </is>
      </c>
      <c r="E800" s="4" t="inlineStr">
        <is>
          <t>28º PAV.</t>
        </is>
      </c>
      <c r="F800" s="118" t="n">
        <v>46689</v>
      </c>
      <c r="G800" s="118" t="n">
        <v>46689</v>
      </c>
      <c r="H800" s="118" t="n">
        <v>46289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IF(E800="","",IF(LEFT(E800,7)="SUBSOLO",-1,IF(LEFT(E800,6)="TÉRREO",0,IFERROR(VALUE(LEFT(E800,FIND("º",SUBSTITUTE(E800,"°","º"))-1)),""))))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31529065</v>
      </c>
      <c r="C801" s="4" t="inlineStr">
        <is>
          <t>ESTRUTURA</t>
        </is>
      </c>
      <c r="D801" s="4" t="inlineStr">
        <is>
          <t>Polimento</t>
        </is>
      </c>
      <c r="E801" s="4" t="inlineStr">
        <is>
          <t>28º PAV.</t>
        </is>
      </c>
      <c r="F801" s="118" t="n">
        <v>46689</v>
      </c>
      <c r="G801" s="118" t="n">
        <v>46689</v>
      </c>
      <c r="H801" s="118" t="n">
        <v>46289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IF(E801="","",IF(LEFT(E801,7)="SUBSOLO",-1,IF(LEFT(E801,6)="TÉRREO",0,IFERROR(VALUE(LEFT(E801,FIND("º",SUBSTITUTE(E801,"°","º"))-1)),""))))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29980926</v>
      </c>
      <c r="C802" s="4" t="inlineStr">
        <is>
          <t>PRUMADA DE INCÊNDIO</t>
        </is>
      </c>
      <c r="D802" s="4" t="inlineStr">
        <is>
          <t>-</t>
        </is>
      </c>
      <c r="E802" s="4" t="inlineStr">
        <is>
          <t>24º PAV.</t>
        </is>
      </c>
      <c r="F802" s="118" t="n">
        <v>46682</v>
      </c>
      <c r="G802" s="118" t="n">
        <v>46695</v>
      </c>
      <c r="H802" s="118" t="n">
        <v>46289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IF(E802="","",IF(LEFT(E802,7)="SUBSOLO",-1,IF(LEFT(E802,6)="TÉRREO",0,IFERROR(VALUE(LEFT(E802,FIND("º",SUBSTITUTE(E802,"°","º"))-1)),""))))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29980877</v>
      </c>
      <c r="C803" s="4" t="inlineStr">
        <is>
          <t>ALVENARIA</t>
        </is>
      </c>
      <c r="D803" s="4" t="inlineStr">
        <is>
          <t>-</t>
        </is>
      </c>
      <c r="E803" s="4" t="inlineStr">
        <is>
          <t>25º PAV.</t>
        </is>
      </c>
      <c r="F803" s="118" t="n">
        <v>46682</v>
      </c>
      <c r="G803" s="118" t="n">
        <v>46695</v>
      </c>
      <c r="H803" s="118" t="n">
        <v>46289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IF(E803="","",IF(LEFT(E803,7)="SUBSOLO",-1,IF(LEFT(E803,6)="TÉRREO",0,IFERROR(VALUE(LEFT(E803,FIND("º",SUBSTITUTE(E803,"°","º"))-1)),""))))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30205702</v>
      </c>
      <c r="C804" s="4" t="inlineStr">
        <is>
          <t>BANCADAS</t>
        </is>
      </c>
      <c r="D804" s="4" t="inlineStr">
        <is>
          <t>-</t>
        </is>
      </c>
      <c r="E804" s="4" t="inlineStr">
        <is>
          <t>TÉRREO - LOJA 1</t>
        </is>
      </c>
      <c r="F804" s="118" t="n">
        <v>46685</v>
      </c>
      <c r="G804" s="118" t="n">
        <v>46699</v>
      </c>
      <c r="H804" s="118" t="n">
        <v>46289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IF(E804="","",IF(LEFT(E804,7)="SUBSOLO",-1,IF(LEFT(E804,6)="TÉRREO",0,IFERROR(VALUE(LEFT(E804,FIND("º",SUBSTITUTE(E804,"°","º"))-1)),""))))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30205677</v>
      </c>
      <c r="C805" s="4" t="inlineStr">
        <is>
          <t>REVESTIMENTOS PORCELANATO PISO</t>
        </is>
      </c>
      <c r="D805" s="4" t="inlineStr">
        <is>
          <t>-</t>
        </is>
      </c>
      <c r="E805" s="4" t="inlineStr">
        <is>
          <t>TÉRREO - LOJA 2</t>
        </is>
      </c>
      <c r="F805" s="118" t="n">
        <v>46685</v>
      </c>
      <c r="G805" s="118" t="n">
        <v>46699</v>
      </c>
      <c r="H805" s="118" t="n">
        <v>46289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IF(E805="","",IF(LEFT(E805,7)="SUBSOLO",-1,IF(LEFT(E805,6)="TÉRREO",0,IFERROR(VALUE(LEFT(E805,FIND("º",SUBSTITUTE(E805,"°","º"))-1)),""))))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30205654</v>
      </c>
      <c r="C806" s="4" t="inlineStr">
        <is>
          <t>REVESTIMENTO PORCELANATO PAREDE</t>
        </is>
      </c>
      <c r="D806" s="4" t="inlineStr">
        <is>
          <t>-</t>
        </is>
      </c>
      <c r="E806" s="4" t="inlineStr">
        <is>
          <t>TÉRREO - LOJA 3</t>
        </is>
      </c>
      <c r="F806" s="118" t="n">
        <v>46685</v>
      </c>
      <c r="G806" s="118" t="n">
        <v>46699</v>
      </c>
      <c r="H806" s="118" t="n">
        <v>46289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IF(E806="","",IF(LEFT(E806,7)="SUBSOLO",-1,IF(LEFT(E806,6)="TÉRREO",0,IFERROR(VALUE(LEFT(E806,FIND("º",SUBSTITUTE(E806,"°","º"))-1)),""))))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30205620</v>
      </c>
      <c r="C807" s="4" t="inlineStr">
        <is>
          <t>DRYWALL</t>
        </is>
      </c>
      <c r="D807" s="4" t="inlineStr">
        <is>
          <t>-</t>
        </is>
      </c>
      <c r="E807" s="4" t="inlineStr">
        <is>
          <t>TÉRREO - LOJA 4</t>
        </is>
      </c>
      <c r="F807" s="118" t="n">
        <v>46685</v>
      </c>
      <c r="G807" s="118" t="n">
        <v>46699</v>
      </c>
      <c r="H807" s="118" t="n">
        <v>46289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IF(E807="","",IF(LEFT(E807,7)="SUBSOLO",-1,IF(LEFT(E807,6)="TÉRREO",0,IFERROR(VALUE(LEFT(E807,FIND("º",SUBSTITUTE(E807,"°","º"))-1)),""))))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30205592</v>
      </c>
      <c r="C808" s="4" t="inlineStr">
        <is>
          <t>CONTRAPISO</t>
        </is>
      </c>
      <c r="D808" s="4" t="inlineStr">
        <is>
          <t>-</t>
        </is>
      </c>
      <c r="E808" s="4" t="inlineStr">
        <is>
          <t>TÉRREO - LOJA 5</t>
        </is>
      </c>
      <c r="F808" s="118" t="n">
        <v>46685</v>
      </c>
      <c r="G808" s="118" t="n">
        <v>46699</v>
      </c>
      <c r="H808" s="118" t="n">
        <v>46289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IF(E808="","",IF(LEFT(E808,7)="SUBSOLO",-1,IF(LEFT(E808,6)="TÉRREO",0,IFERROR(VALUE(LEFT(E808,FIND("º",SUBSTITUTE(E808,"°","º"))-1)),""))))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31803889</v>
      </c>
      <c r="C809" s="4" t="inlineStr">
        <is>
          <t>FACHADA LOJA</t>
        </is>
      </c>
      <c r="D809" s="4" t="inlineStr">
        <is>
          <t>-</t>
        </is>
      </c>
      <c r="E809" s="4" t="inlineStr">
        <is>
          <t>TÉRREO - LOJA 5</t>
        </is>
      </c>
      <c r="F809" s="118" t="n">
        <v>46685</v>
      </c>
      <c r="G809" s="118" t="n">
        <v>46734</v>
      </c>
      <c r="H809" s="118" t="n">
        <v>46289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IF(E809="","",IF(LEFT(E809,7)="SUBSOLO",-1,IF(LEFT(E809,6)="TÉRREO",0,IFERROR(VALUE(LEFT(E809,FIND("º",SUBSTITUTE(E809,"°","º"))-1)),""))))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30205561</v>
      </c>
      <c r="C810" s="4" t="inlineStr">
        <is>
          <t>REBOCO INTERNO</t>
        </is>
      </c>
      <c r="D810" s="4" t="inlineStr">
        <is>
          <t>-</t>
        </is>
      </c>
      <c r="E810" s="4" t="inlineStr">
        <is>
          <t>TÉRREO - LOJA 6</t>
        </is>
      </c>
      <c r="F810" s="118" t="n">
        <v>46685</v>
      </c>
      <c r="G810" s="118" t="n">
        <v>46699</v>
      </c>
      <c r="H810" s="118" t="n">
        <v>46289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IF(E810="","",IF(LEFT(E810,7)="SUBSOLO",-1,IF(LEFT(E810,6)="TÉRREO",0,IFERROR(VALUE(LEFT(E810,FIND("º",SUBSTITUTE(E810,"°","º"))-1)),""))))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30205530</v>
      </c>
      <c r="C811" s="4" t="inlineStr">
        <is>
          <t>DISTRIBUIÇÃO ELÉTRICA / QUADRO</t>
        </is>
      </c>
      <c r="D811" s="4" t="inlineStr">
        <is>
          <t>-</t>
        </is>
      </c>
      <c r="E811" s="4" t="inlineStr">
        <is>
          <t>TÉRREO - LOJA 7</t>
        </is>
      </c>
      <c r="F811" s="118" t="n">
        <v>46685</v>
      </c>
      <c r="G811" s="118" t="n">
        <v>46694</v>
      </c>
      <c r="H811" s="118" t="n">
        <v>46289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IF(E811="","",IF(LEFT(E811,7)="SUBSOLO",-1,IF(LEFT(E811,6)="TÉRREO",0,IFERROR(VALUE(LEFT(E811,FIND("º",SUBSTITUTE(E811,"°","º"))-1)),""))))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30205531</v>
      </c>
      <c r="C812" s="4" t="inlineStr">
        <is>
          <t>DISTRIBUIÇÃO HIDRÁULICA</t>
        </is>
      </c>
      <c r="D812" s="4" t="inlineStr">
        <is>
          <t>-</t>
        </is>
      </c>
      <c r="E812" s="4" t="inlineStr">
        <is>
          <t>TÉRREO - LOJA 7</t>
        </is>
      </c>
      <c r="F812" s="118" t="n">
        <v>46685</v>
      </c>
      <c r="G812" s="118" t="n">
        <v>46699</v>
      </c>
      <c r="H812" s="118" t="n">
        <v>46289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IF(E812="","",IF(LEFT(E812,7)="SUBSOLO",-1,IF(LEFT(E812,6)="TÉRREO",0,IFERROR(VALUE(LEFT(E812,FIND("º",SUBSTITUTE(E812,"°","º"))-1)),""))))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30171427</v>
      </c>
      <c r="C813" s="4" t="inlineStr">
        <is>
          <t>ENCUNHAMENTO</t>
        </is>
      </c>
      <c r="D813" s="4" t="inlineStr">
        <is>
          <t>-</t>
        </is>
      </c>
      <c r="E813" s="4" t="inlineStr">
        <is>
          <t>4º PAV - GARAGEM</t>
        </is>
      </c>
      <c r="F813" s="118" t="n">
        <v>46686</v>
      </c>
      <c r="G813" s="118" t="n">
        <v>46700</v>
      </c>
      <c r="H813" s="118" t="n">
        <v>46289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IF(E813="","",IF(LEFT(E813,7)="SUBSOLO",-1,IF(LEFT(E813,6)="TÉRREO",0,IFERROR(VALUE(LEFT(E813,FIND("º",SUBSTITUTE(E813,"°","º"))-1)),""))))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30171504</v>
      </c>
      <c r="C814" s="4" t="inlineStr">
        <is>
          <t>FORRO</t>
        </is>
      </c>
      <c r="D814" s="4" t="inlineStr">
        <is>
          <t>-</t>
        </is>
      </c>
      <c r="E814" s="4" t="inlineStr">
        <is>
          <t>HALL - APTOS</t>
        </is>
      </c>
      <c r="F814" s="118" t="n">
        <v>46688</v>
      </c>
      <c r="G814" s="118" t="n">
        <v>47018</v>
      </c>
      <c r="H814" s="118" t="n">
        <v>46289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IF(E814="","",IF(LEFT(E814,7)="SUBSOLO",-1,IF(LEFT(E814,6)="TÉRREO",0,IFERROR(VALUE(LEFT(E814,FIND("º",SUBSTITUTE(E814,"°","º"))-1)),""))))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29981514</v>
      </c>
      <c r="C815" s="4" t="inlineStr">
        <is>
          <t>FORRO</t>
        </is>
      </c>
      <c r="D815" s="4" t="inlineStr">
        <is>
          <t>-</t>
        </is>
      </c>
      <c r="E815" s="4" t="inlineStr">
        <is>
          <t>8º PAV.</t>
        </is>
      </c>
      <c r="F815" s="118" t="n">
        <v>46688</v>
      </c>
      <c r="G815" s="118" t="n">
        <v>46701</v>
      </c>
      <c r="H815" s="118" t="n">
        <v>46289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IF(E815="","",IF(LEFT(E815,7)="SUBSOLO",-1,IF(LEFT(E815,6)="TÉRREO",0,IFERROR(VALUE(LEFT(E815,FIND("º",SUBSTITUTE(E815,"°","º"))-1)),""))))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29981475</v>
      </c>
      <c r="C816" s="4" t="inlineStr">
        <is>
          <t>FIAÇÃO ELÉTRICA</t>
        </is>
      </c>
      <c r="D816" s="4" t="inlineStr">
        <is>
          <t>-</t>
        </is>
      </c>
      <c r="E816" s="4" t="inlineStr">
        <is>
          <t>9º PAV.</t>
        </is>
      </c>
      <c r="F816" s="118" t="n">
        <v>46688</v>
      </c>
      <c r="G816" s="118" t="n">
        <v>46701</v>
      </c>
      <c r="H816" s="118" t="n">
        <v>46289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IF(E816="","",IF(LEFT(E816,7)="SUBSOLO",-1,IF(LEFT(E816,6)="TÉRREO",0,IFERROR(VALUE(LEFT(E816,FIND("º",SUBSTITUTE(E816,"°","º"))-1)),""))))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29981480</v>
      </c>
      <c r="C817" s="4" t="inlineStr">
        <is>
          <t>PRUMADA ELÉTRICA - CABOS</t>
        </is>
      </c>
      <c r="D817" s="4" t="inlineStr">
        <is>
          <t>-</t>
        </is>
      </c>
      <c r="E817" s="4" t="inlineStr">
        <is>
          <t>9º PAV.</t>
        </is>
      </c>
      <c r="F817" s="118" t="n">
        <v>46688</v>
      </c>
      <c r="G817" s="118" t="n">
        <v>46701</v>
      </c>
      <c r="H817" s="118" t="n">
        <v>46289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IF(E817="","",IF(LEFT(E817,7)="SUBSOLO",-1,IF(LEFT(E817,6)="TÉRREO",0,IFERROR(VALUE(LEFT(E817,FIND("º",SUBSTITUTE(E817,"°","º"))-1)),""))))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30214071</v>
      </c>
      <c r="C818" s="4" t="inlineStr">
        <is>
          <t>FIAÇÃO TELECOM/DADOS</t>
        </is>
      </c>
      <c r="D818" s="4" t="inlineStr">
        <is>
          <t>-</t>
        </is>
      </c>
      <c r="E818" s="4" t="inlineStr">
        <is>
          <t>9º PAV.</t>
        </is>
      </c>
      <c r="F818" s="118" t="n">
        <v>46688</v>
      </c>
      <c r="G818" s="118" t="n">
        <v>46702</v>
      </c>
      <c r="H818" s="118" t="n">
        <v>46289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IF(E818="","",IF(LEFT(E818,7)="SUBSOLO",-1,IF(LEFT(E818,6)="TÉRREO",0,IFERROR(VALUE(LEFT(E818,FIND("º",SUBSTITUTE(E818,"°","º"))-1)),""))))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29981422</v>
      </c>
      <c r="C819" s="4" t="inlineStr">
        <is>
          <t>BANCADAS</t>
        </is>
      </c>
      <c r="D819" s="4" t="inlineStr">
        <is>
          <t>-</t>
        </is>
      </c>
      <c r="E819" s="4" t="inlineStr">
        <is>
          <t>10º PAV.</t>
        </is>
      </c>
      <c r="F819" s="118" t="n">
        <v>46688</v>
      </c>
      <c r="G819" s="118" t="n">
        <v>46701</v>
      </c>
      <c r="H819" s="118" t="n">
        <v>46289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IF(E819="","",IF(LEFT(E819,7)="SUBSOLO",-1,IF(LEFT(E819,6)="TÉRREO",0,IFERROR(VALUE(LEFT(E819,FIND("º",SUBSTITUTE(E819,"°","º"))-1)),""))))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29981384</v>
      </c>
      <c r="C820" s="4" t="inlineStr">
        <is>
          <t>REVESTIMENTOS PORCELANATO PISO</t>
        </is>
      </c>
      <c r="D820" s="4" t="inlineStr">
        <is>
          <t>-</t>
        </is>
      </c>
      <c r="E820" s="4" t="inlineStr">
        <is>
          <t>11º PAV.</t>
        </is>
      </c>
      <c r="F820" s="118" t="n">
        <v>46688</v>
      </c>
      <c r="G820" s="118" t="n">
        <v>46701</v>
      </c>
      <c r="H820" s="118" t="n">
        <v>46289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IF(E820="","",IF(LEFT(E820,7)="SUBSOLO",-1,IF(LEFT(E820,6)="TÉRREO",0,IFERROR(VALUE(LEFT(E820,FIND("º",SUBSTITUTE(E820,"°","º"))-1)),""))))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29981363</v>
      </c>
      <c r="C821" s="4" t="inlineStr">
        <is>
          <t>REVESTIMENTO PORCELANATO PAREDE</t>
        </is>
      </c>
      <c r="D821" s="4" t="inlineStr">
        <is>
          <t>-</t>
        </is>
      </c>
      <c r="E821" s="4" t="inlineStr">
        <is>
          <t>12º PAV.</t>
        </is>
      </c>
      <c r="F821" s="118" t="n">
        <v>46688</v>
      </c>
      <c r="G821" s="118" t="n">
        <v>46701</v>
      </c>
      <c r="H821" s="118" t="n">
        <v>46289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IF(E821="","",IF(LEFT(E821,7)="SUBSOLO",-1,IF(LEFT(E821,6)="TÉRREO",0,IFERROR(VALUE(LEFT(E821,FIND("º",SUBSTITUTE(E821,"°","º"))-1)),""))))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29981324</v>
      </c>
      <c r="C822" s="4" t="inlineStr">
        <is>
          <t>IMPERMEABILIZAÇÃO</t>
        </is>
      </c>
      <c r="D822" s="4" t="inlineStr">
        <is>
          <t>-</t>
        </is>
      </c>
      <c r="E822" s="4" t="inlineStr">
        <is>
          <t>13º PAV.</t>
        </is>
      </c>
      <c r="F822" s="118" t="n">
        <v>46688</v>
      </c>
      <c r="G822" s="118" t="n">
        <v>46701</v>
      </c>
      <c r="H822" s="118" t="n">
        <v>46289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IF(E822="","",IF(LEFT(E822,7)="SUBSOLO",-1,IF(LEFT(E822,6)="TÉRREO",0,IFERROR(VALUE(LEFT(E822,FIND("º",SUBSTITUTE(E822,"°","º"))-1)),""))))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32750440</v>
      </c>
      <c r="C823" s="4" t="inlineStr">
        <is>
          <t>DRYWALL 2º FACE</t>
        </is>
      </c>
      <c r="D823" s="4" t="inlineStr">
        <is>
          <t>-</t>
        </is>
      </c>
      <c r="E823" s="4" t="inlineStr">
        <is>
          <t>14º PAV.</t>
        </is>
      </c>
      <c r="F823" s="118" t="n">
        <v>46688</v>
      </c>
      <c r="G823" s="118" t="n">
        <v>46701</v>
      </c>
      <c r="H823" s="118" t="n">
        <v>46289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IF(E823="","",IF(LEFT(E823,7)="SUBSOLO",-1,IF(LEFT(E823,6)="TÉRREO",0,IFERROR(VALUE(LEFT(E823,FIND("º",SUBSTITUTE(E823,"°","º"))-1)),""))))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32750363</v>
      </c>
      <c r="C824" s="4" t="inlineStr">
        <is>
          <t>DISTRIBUIÇÃO DE GÁS - DRYWALL</t>
        </is>
      </c>
      <c r="D824" s="4" t="inlineStr">
        <is>
          <t>-</t>
        </is>
      </c>
      <c r="E824" s="4" t="inlineStr">
        <is>
          <t>15º PAV.</t>
        </is>
      </c>
      <c r="F824" s="118" t="n">
        <v>46688</v>
      </c>
      <c r="G824" s="118" t="n">
        <v>46701</v>
      </c>
      <c r="H824" s="118" t="n">
        <v>46289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IF(E824="","",IF(LEFT(E824,7)="SUBSOLO",-1,IF(LEFT(E824,6)="TÉRREO",0,IFERROR(VALUE(LEFT(E824,FIND("º",SUBSTITUTE(E824,"°","º"))-1)),""))))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32750389</v>
      </c>
      <c r="C825" s="4" t="inlineStr">
        <is>
          <t>DISTRIBUIÇÃO ELÉTRICA/QUADRO - DRYWALL</t>
        </is>
      </c>
      <c r="D825" s="4" t="inlineStr">
        <is>
          <t>-</t>
        </is>
      </c>
      <c r="E825" s="4" t="inlineStr">
        <is>
          <t>15º PAV.</t>
        </is>
      </c>
      <c r="F825" s="118" t="n">
        <v>46688</v>
      </c>
      <c r="G825" s="118" t="n">
        <v>46701</v>
      </c>
      <c r="H825" s="118" t="n">
        <v>46289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IF(E825="","",IF(LEFT(E825,7)="SUBSOLO",-1,IF(LEFT(E825,6)="TÉRREO",0,IFERROR(VALUE(LEFT(E825,FIND("º",SUBSTITUTE(E825,"°","º"))-1)),""))))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32750415</v>
      </c>
      <c r="C826" s="4" t="inlineStr">
        <is>
          <t>DISTRIBUIÇÃO HIDRÁULICA - DRYWALL</t>
        </is>
      </c>
      <c r="D826" s="4" t="inlineStr">
        <is>
          <t>-</t>
        </is>
      </c>
      <c r="E826" s="4" t="inlineStr">
        <is>
          <t>15º PAV.</t>
        </is>
      </c>
      <c r="F826" s="118" t="n">
        <v>46688</v>
      </c>
      <c r="G826" s="118" t="n">
        <v>46701</v>
      </c>
      <c r="H826" s="118" t="n">
        <v>46289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IF(E826="","",IF(LEFT(E826,7)="SUBSOLO",-1,IF(LEFT(E826,6)="TÉRREO",0,IFERROR(VALUE(LEFT(E826,FIND("º",SUBSTITUTE(E826,"°","º"))-1)),""))))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33896833</v>
      </c>
      <c r="C827" s="4" t="inlineStr">
        <is>
          <t>INFRAESTRUTURA - AR CONDICIONADO</t>
        </is>
      </c>
      <c r="D827" s="4" t="inlineStr">
        <is>
          <t>-</t>
        </is>
      </c>
      <c r="E827" s="4" t="inlineStr">
        <is>
          <t>15º PAV.</t>
        </is>
      </c>
      <c r="F827" s="118" t="n">
        <v>46688</v>
      </c>
      <c r="G827" s="118" t="n">
        <v>46701</v>
      </c>
      <c r="H827" s="118" t="n">
        <v>46289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IF(E827="","",IF(LEFT(E827,7)="SUBSOLO",-1,IF(LEFT(E827,6)="TÉRREO",0,IFERROR(VALUE(LEFT(E827,FIND("º",SUBSTITUTE(E827,"°","º"))-1)),""))))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32749859</v>
      </c>
      <c r="C828" s="4" t="inlineStr">
        <is>
          <t>DRYWALL 1º FACE</t>
        </is>
      </c>
      <c r="D828" s="4" t="inlineStr">
        <is>
          <t>-</t>
        </is>
      </c>
      <c r="E828" s="4" t="inlineStr">
        <is>
          <t>16º PAV.</t>
        </is>
      </c>
      <c r="F828" s="118" t="n">
        <v>46688</v>
      </c>
      <c r="G828" s="118" t="n">
        <v>46701</v>
      </c>
      <c r="H828" s="118" t="n">
        <v>46289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IF(E828="","",IF(LEFT(E828,7)="SUBSOLO",-1,IF(LEFT(E828,6)="TÉRREO",0,IFERROR(VALUE(LEFT(E828,FIND("º",SUBSTITUTE(E828,"°","º"))-1)),""))))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29981177</v>
      </c>
      <c r="C829" s="4" t="inlineStr">
        <is>
          <t>CONTRAPISO</t>
        </is>
      </c>
      <c r="D829" s="4" t="inlineStr">
        <is>
          <t>-</t>
        </is>
      </c>
      <c r="E829" s="4" t="inlineStr">
        <is>
          <t>17º PAV.</t>
        </is>
      </c>
      <c r="F829" s="118" t="n">
        <v>46688</v>
      </c>
      <c r="G829" s="118" t="n">
        <v>46701</v>
      </c>
      <c r="H829" s="118" t="n">
        <v>46289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IF(E829="","",IF(LEFT(E829,7)="SUBSOLO",-1,IF(LEFT(E829,6)="TÉRREO",0,IFERROR(VALUE(LEFT(E829,FIND("º",SUBSTITUTE(E829,"°","º"))-1)),""))))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29981117</v>
      </c>
      <c r="C830" s="4" t="inlineStr">
        <is>
          <t>SHAFT INTERNO INST. HIDRAÚLICAS</t>
        </is>
      </c>
      <c r="D830" s="4" t="inlineStr">
        <is>
          <t>-</t>
        </is>
      </c>
      <c r="E830" s="4" t="inlineStr">
        <is>
          <t>18º PAV.</t>
        </is>
      </c>
      <c r="F830" s="118" t="n">
        <v>46688</v>
      </c>
      <c r="G830" s="118" t="n">
        <v>46701</v>
      </c>
      <c r="H830" s="118" t="n">
        <v>46289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IF(E830="","",IF(LEFT(E830,7)="SUBSOLO",-1,IF(LEFT(E830,6)="TÉRREO",0,IFERROR(VALUE(LEFT(E830,FIND("º",SUBSTITUTE(E830,"°","º"))-1)),""))))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29981150</v>
      </c>
      <c r="C831" s="4" t="inlineStr">
        <is>
          <t>PRUMADA ELÉTRICA - INFRA</t>
        </is>
      </c>
      <c r="D831" s="4" t="inlineStr">
        <is>
          <t>-</t>
        </is>
      </c>
      <c r="E831" s="4" t="inlineStr">
        <is>
          <t>18º PAV.</t>
        </is>
      </c>
      <c r="F831" s="118" t="n">
        <v>46688</v>
      </c>
      <c r="G831" s="118" t="n">
        <v>46701</v>
      </c>
      <c r="H831" s="118" t="n">
        <v>46289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IF(E831="","",IF(LEFT(E831,7)="SUBSOLO",-1,IF(LEFT(E831,6)="TÉRREO",0,IFERROR(VALUE(LEFT(E831,FIND("º",SUBSTITUTE(E831,"°","º"))-1)),""))))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29981042</v>
      </c>
      <c r="C832" s="4" t="inlineStr">
        <is>
          <t>REBOCO INTERNO</t>
        </is>
      </c>
      <c r="D832" s="4" t="inlineStr">
        <is>
          <t>-</t>
        </is>
      </c>
      <c r="E832" s="4" t="inlineStr">
        <is>
          <t>20º PAV.</t>
        </is>
      </c>
      <c r="F832" s="118" t="n">
        <v>46688</v>
      </c>
      <c r="G832" s="118" t="n">
        <v>46701</v>
      </c>
      <c r="H832" s="118" t="n">
        <v>46289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IF(E832="","",IF(LEFT(E832,7)="SUBSOLO",-1,IF(LEFT(E832,6)="TÉRREO",0,IFERROR(VALUE(LEFT(E832,FIND("º",SUBSTITUTE(E832,"°","º"))-1)),""))))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29981008</v>
      </c>
      <c r="C833" s="4" t="inlineStr">
        <is>
          <t>CONTRAMARCO</t>
        </is>
      </c>
      <c r="D833" s="4" t="inlineStr">
        <is>
          <t>-</t>
        </is>
      </c>
      <c r="E833" s="4" t="inlineStr">
        <is>
          <t>21º PAV.</t>
        </is>
      </c>
      <c r="F833" s="118" t="n">
        <v>46688</v>
      </c>
      <c r="G833" s="118" t="n">
        <v>46701</v>
      </c>
      <c r="H833" s="118" t="n">
        <v>46289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IF(E833="","",IF(LEFT(E833,7)="SUBSOLO",-1,IF(LEFT(E833,6)="TÉRREO",0,IFERROR(VALUE(LEFT(E833,FIND("º",SUBSTITUTE(E833,"°","º"))-1)),""))))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29981001</v>
      </c>
      <c r="C834" s="4" t="inlineStr">
        <is>
          <t>DISTRIBUIÇÃO HIDROSSANITÁRIA</t>
        </is>
      </c>
      <c r="D834" s="4" t="inlineStr">
        <is>
          <t>-</t>
        </is>
      </c>
      <c r="E834" s="4" t="inlineStr">
        <is>
          <t>22º PAV.</t>
        </is>
      </c>
      <c r="F834" s="118" t="n">
        <v>46688</v>
      </c>
      <c r="G834" s="118" t="n">
        <v>46701</v>
      </c>
      <c r="H834" s="118" t="n">
        <v>46289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IF(E834="","",IF(LEFT(E834,7)="SUBSOLO",-1,IF(LEFT(E834,6)="TÉRREO",0,IFERROR(VALUE(LEFT(E834,FIND("º",SUBSTITUTE(E834,"°","º"))-1)),""))))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29980970</v>
      </c>
      <c r="C835" s="4" t="inlineStr">
        <is>
          <t>DISTRIBUIÇÃO ELÉTRICA / QUADRO</t>
        </is>
      </c>
      <c r="D835" s="4" t="inlineStr">
        <is>
          <t>-</t>
        </is>
      </c>
      <c r="E835" s="4" t="inlineStr">
        <is>
          <t>22º PAV.</t>
        </is>
      </c>
      <c r="F835" s="118" t="n">
        <v>46688</v>
      </c>
      <c r="G835" s="118" t="n">
        <v>46701</v>
      </c>
      <c r="H835" s="118" t="n">
        <v>46289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IF(E835="","",IF(LEFT(E835,7)="SUBSOLO",-1,IF(LEFT(E835,6)="TÉRREO",0,IFERROR(VALUE(LEFT(E835,FIND("º",SUBSTITUTE(E835,"°","º"))-1)),""))))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29981003</v>
      </c>
      <c r="C836" s="4" t="inlineStr">
        <is>
          <t>DISTRIBUIÇÃO DE GÁS</t>
        </is>
      </c>
      <c r="D836" s="4" t="inlineStr">
        <is>
          <t>-</t>
        </is>
      </c>
      <c r="E836" s="4" t="inlineStr">
        <is>
          <t>22º PAV.</t>
        </is>
      </c>
      <c r="F836" s="118" t="n">
        <v>46688</v>
      </c>
      <c r="G836" s="118" t="n">
        <v>46701</v>
      </c>
      <c r="H836" s="118" t="n">
        <v>46289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IF(E836="","",IF(LEFT(E836,7)="SUBSOLO",-1,IF(LEFT(E836,6)="TÉRREO",0,IFERROR(VALUE(LEFT(E836,FIND("º",SUBSTITUTE(E836,"°","º"))-1)),""))))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29980950</v>
      </c>
      <c r="C837" s="4" t="inlineStr">
        <is>
          <t>TALISCAMENTO</t>
        </is>
      </c>
      <c r="D837" s="4" t="inlineStr">
        <is>
          <t>-</t>
        </is>
      </c>
      <c r="E837" s="4" t="inlineStr">
        <is>
          <t>23º PAV.</t>
        </is>
      </c>
      <c r="F837" s="118" t="n">
        <v>46688</v>
      </c>
      <c r="G837" s="118" t="n">
        <v>46701</v>
      </c>
      <c r="H837" s="118" t="n">
        <v>46289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IF(E837="","",IF(LEFT(E837,7)="SUBSOLO",-1,IF(LEFT(E837,6)="TÉRREO",0,IFERROR(VALUE(LEFT(E837,FIND("º",SUBSTITUTE(E837,"°","º"))-1)),""))))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29980916</v>
      </c>
      <c r="C838" s="4" t="inlineStr">
        <is>
          <t>PRUMADA HIDROSSANITÁRIA</t>
        </is>
      </c>
      <c r="D838" s="4" t="inlineStr">
        <is>
          <t>-</t>
        </is>
      </c>
      <c r="E838" s="4" t="inlineStr">
        <is>
          <t>24º PAV.</t>
        </is>
      </c>
      <c r="F838" s="118" t="n">
        <v>46688</v>
      </c>
      <c r="G838" s="118" t="n">
        <v>46701</v>
      </c>
      <c r="H838" s="118" t="n">
        <v>46289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IF(E838="","",IF(LEFT(E838,7)="SUBSOLO",-1,IF(LEFT(E838,6)="TÉRREO",0,IFERROR(VALUE(LEFT(E838,FIND("º",SUBSTITUTE(E838,"°","º"))-1)),""))))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30205783</v>
      </c>
      <c r="C839" s="4" t="inlineStr">
        <is>
          <t>TALISCAMENTO</t>
        </is>
      </c>
      <c r="D839" s="4" t="inlineStr">
        <is>
          <t>-</t>
        </is>
      </c>
      <c r="E839" s="4" t="inlineStr">
        <is>
          <t>TÉRREO - ACESSO COMERCIAL + DML + ARS + ÁREA TEC + LAVABO + DISPENSA</t>
        </is>
      </c>
      <c r="F839" s="118" t="n">
        <v>46692</v>
      </c>
      <c r="G839" s="118" t="n">
        <v>46707</v>
      </c>
      <c r="H839" s="118" t="n">
        <v>46289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IF(E839="","",IF(LEFT(E839,7)="SUBSOLO",-1,IF(LEFT(E839,6)="TÉRREO",0,IFERROR(VALUE(LEFT(E839,FIND("º",SUBSTITUTE(E839,"°","º"))-1)),""))))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30205804</v>
      </c>
      <c r="C840" s="4" t="inlineStr">
        <is>
          <t>PRUMADA HIDROSSANITÁRIA</t>
        </is>
      </c>
      <c r="D840" s="4" t="inlineStr">
        <is>
          <t>-</t>
        </is>
      </c>
      <c r="E840" s="4" t="inlineStr">
        <is>
          <t>TÉRREO - HALL SOCIAL + ECLUSA + CIRCULAÇÃO</t>
        </is>
      </c>
      <c r="F840" s="118" t="n">
        <v>46692</v>
      </c>
      <c r="G840" s="118" t="n">
        <v>46707</v>
      </c>
      <c r="H840" s="118" t="n">
        <v>46289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IF(E840="","",IF(LEFT(E840,7)="SUBSOLO",-1,IF(LEFT(E840,6)="TÉRREO",0,IFERROR(VALUE(LEFT(E840,FIND("º",SUBSTITUTE(E840,"°","º"))-1)),""))))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30205803</v>
      </c>
      <c r="C841" s="4" t="inlineStr">
        <is>
          <t>PRUMADA DE INCÊNDIO</t>
        </is>
      </c>
      <c r="D841" s="4" t="inlineStr">
        <is>
          <t>-</t>
        </is>
      </c>
      <c r="E841" s="4" t="inlineStr">
        <is>
          <t>TÉRREO - HALL SOCIAL + ECLUSA + CIRCULAÇÃO</t>
        </is>
      </c>
      <c r="F841" s="118" t="n">
        <v>46692</v>
      </c>
      <c r="G841" s="118" t="n">
        <v>46707</v>
      </c>
      <c r="H841" s="118" t="n">
        <v>46289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IF(E841="","",IF(LEFT(E841,7)="SUBSOLO",-1,IF(LEFT(E841,6)="TÉRREO",0,IFERROR(VALUE(LEFT(E841,FIND("º",SUBSTITUTE(E841,"°","º"))-1)),""))))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30205805</v>
      </c>
      <c r="C842" s="4" t="inlineStr">
        <is>
          <t>ENCUNHAMENTO</t>
        </is>
      </c>
      <c r="D842" s="4" t="inlineStr">
        <is>
          <t>-</t>
        </is>
      </c>
      <c r="E842" s="4" t="inlineStr">
        <is>
          <t>TÉRREO - HALL SOCIAL + ECLUSA + CIRCULAÇÃO</t>
        </is>
      </c>
      <c r="F842" s="118" t="n">
        <v>46692</v>
      </c>
      <c r="G842" s="118" t="n">
        <v>46707</v>
      </c>
      <c r="H842" s="118" t="n">
        <v>46289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IF(E842="","",IF(LEFT(E842,7)="SUBSOLO",-1,IF(LEFT(E842,6)="TÉRREO",0,IFERROR(VALUE(LEFT(E842,FIND("º",SUBSTITUTE(E842,"°","º"))-1)),""))))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30205834</v>
      </c>
      <c r="C843" s="4" t="inlineStr">
        <is>
          <t>ALVENARIA</t>
        </is>
      </c>
      <c r="D843" s="4" t="inlineStr">
        <is>
          <t>-</t>
        </is>
      </c>
      <c r="E843" s="4" t="inlineStr">
        <is>
          <t>1º PAV. (INTERMEDIÁRIO)</t>
        </is>
      </c>
      <c r="F843" s="118" t="n">
        <v>46692</v>
      </c>
      <c r="G843" s="118" t="n">
        <v>46714</v>
      </c>
      <c r="H843" s="118" t="n">
        <v>46289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IF(E843="","",IF(LEFT(E843,7)="SUBSOLO",-1,IF(LEFT(E843,6)="TÉRREO",0,IFERROR(VALUE(LEFT(E843,FIND("º",SUBSTITUTE(E843,"°","º"))-1)),""))))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30171435</v>
      </c>
      <c r="C844" s="4" t="inlineStr">
        <is>
          <t>DISTRIBUIÇÃO ELÉTRICA / QUADRO</t>
        </is>
      </c>
      <c r="D844" s="4" t="inlineStr">
        <is>
          <t>-</t>
        </is>
      </c>
      <c r="E844" s="4" t="inlineStr">
        <is>
          <t>4º PAV - GARAGEM</t>
        </is>
      </c>
      <c r="F844" s="118" t="n">
        <v>46692</v>
      </c>
      <c r="G844" s="118" t="n">
        <v>46736</v>
      </c>
      <c r="H844" s="118" t="n">
        <v>46289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IF(E844="","",IF(LEFT(E844,7)="SUBSOLO",-1,IF(LEFT(E844,6)="TÉRREO",0,IFERROR(VALUE(LEFT(E844,FIND("º",SUBSTITUTE(E844,"°","º"))-1)),""))))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30171420</v>
      </c>
      <c r="C845" s="4" t="inlineStr">
        <is>
          <t>DISTRIBUIÇÃO HIDRÁULICA</t>
        </is>
      </c>
      <c r="D845" s="4" t="inlineStr">
        <is>
          <t>-</t>
        </is>
      </c>
      <c r="E845" s="4" t="inlineStr">
        <is>
          <t>4º PAV - GARAGEM</t>
        </is>
      </c>
      <c r="F845" s="118" t="n">
        <v>46692</v>
      </c>
      <c r="G845" s="118" t="n">
        <v>46736</v>
      </c>
      <c r="H845" s="118" t="n">
        <v>46289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IF(E845="","",IF(LEFT(E845,7)="SUBSOLO",-1,IF(LEFT(E845,6)="TÉRREO",0,IFERROR(VALUE(LEFT(E845,FIND("º",SUBSTITUTE(E845,"°","º"))-1)),""))))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29980915</v>
      </c>
      <c r="C846" s="4" t="inlineStr">
        <is>
          <t>ENCUNHAMENTO</t>
        </is>
      </c>
      <c r="D846" s="4" t="inlineStr">
        <is>
          <t>-</t>
        </is>
      </c>
      <c r="E846" s="4" t="inlineStr">
        <is>
          <t>24º PAV.</t>
        </is>
      </c>
      <c r="F846" s="118" t="n">
        <v>46692</v>
      </c>
      <c r="G846" s="118" t="n">
        <v>46703</v>
      </c>
      <c r="H846" s="118" t="n">
        <v>46289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IF(E846="","",IF(LEFT(E846,7)="SUBSOLO",-1,IF(LEFT(E846,6)="TÉRREO",0,IFERROR(VALUE(LEFT(E846,FIND("º",SUBSTITUTE(E846,"°","º"))-1)),""))))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29941039</v>
      </c>
      <c r="C847" s="4" t="inlineStr">
        <is>
          <t>ESTRUTURA</t>
        </is>
      </c>
      <c r="D847" s="4" t="inlineStr">
        <is>
          <t>-</t>
        </is>
      </c>
      <c r="E847" s="4" t="inlineStr">
        <is>
          <t>29º PAV.</t>
        </is>
      </c>
      <c r="F847" s="118" t="n">
        <v>46692</v>
      </c>
      <c r="G847" s="118" t="n">
        <v>46703</v>
      </c>
      <c r="H847" s="118" t="n">
        <v>46289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IF(E847="","",IF(LEFT(E847,7)="SUBSOLO",-1,IF(LEFT(E847,6)="TÉRREO",0,IFERROR(VALUE(LEFT(E847,FIND("º",SUBSTITUTE(E847,"°","º"))-1)),""))))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31529066</v>
      </c>
      <c r="C848" s="4" t="inlineStr">
        <is>
          <t>ESTRUTURA</t>
        </is>
      </c>
      <c r="D848" s="4" t="inlineStr">
        <is>
          <t>Forma</t>
        </is>
      </c>
      <c r="E848" s="4" t="inlineStr">
        <is>
          <t>29º PAV.</t>
        </is>
      </c>
      <c r="F848" s="118" t="n">
        <v>46692</v>
      </c>
      <c r="G848" s="118" t="n">
        <v>46699</v>
      </c>
      <c r="H848" s="118" t="n">
        <v>46289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IF(E848="","",IF(LEFT(E848,7)="SUBSOLO",-1,IF(LEFT(E848,6)="TÉRREO",0,IFERROR(VALUE(LEFT(E848,FIND("º",SUBSTITUTE(E848,"°","º"))-1)),""))))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31529067</v>
      </c>
      <c r="C849" s="4" t="inlineStr">
        <is>
          <t>ESTRUTURA</t>
        </is>
      </c>
      <c r="D849" s="4" t="inlineStr">
        <is>
          <t>Armação</t>
        </is>
      </c>
      <c r="E849" s="4" t="inlineStr">
        <is>
          <t>29º PAV.</t>
        </is>
      </c>
      <c r="F849" s="118" t="n">
        <v>46700</v>
      </c>
      <c r="G849" s="118" t="n">
        <v>46702</v>
      </c>
      <c r="H849" s="118" t="n">
        <v>46289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IF(E849="","",IF(LEFT(E849,7)="SUBSOLO",-1,IF(LEFT(E849,6)="TÉRREO",0,IFERROR(VALUE(LEFT(E849,FIND("º",SUBSTITUTE(E849,"°","º"))-1)),""))))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31529068</v>
      </c>
      <c r="C850" s="4" t="inlineStr">
        <is>
          <t>ESTRUTURA</t>
        </is>
      </c>
      <c r="D850" s="4" t="inlineStr">
        <is>
          <t>Concretagem</t>
        </is>
      </c>
      <c r="E850" s="4" t="inlineStr">
        <is>
          <t>29º PAV.</t>
        </is>
      </c>
      <c r="F850" s="118" t="n">
        <v>46703</v>
      </c>
      <c r="G850" s="118" t="n">
        <v>46703</v>
      </c>
      <c r="H850" s="118" t="n">
        <v>46289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IF(E850="","",IF(LEFT(E850,7)="SUBSOLO",-1,IF(LEFT(E850,6)="TÉRREO",0,IFERROR(VALUE(LEFT(E850,FIND("º",SUBSTITUTE(E850,"°","º"))-1)),""))))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31529069</v>
      </c>
      <c r="C851" s="4" t="inlineStr">
        <is>
          <t>ESTRUTURA</t>
        </is>
      </c>
      <c r="D851" s="4" t="inlineStr">
        <is>
          <t>Polimento</t>
        </is>
      </c>
      <c r="E851" s="4" t="inlineStr">
        <is>
          <t>29º PAV.</t>
        </is>
      </c>
      <c r="F851" s="118" t="n">
        <v>46703</v>
      </c>
      <c r="G851" s="118" t="n">
        <v>46703</v>
      </c>
      <c r="H851" s="118" t="n">
        <v>46289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IF(E851="","",IF(LEFT(E851,7)="SUBSOLO",-1,IF(LEFT(E851,6)="TÉRREO",0,IFERROR(VALUE(LEFT(E851,FIND("º",SUBSTITUTE(E851,"°","º"))-1)),""))))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30205746</v>
      </c>
      <c r="C852" s="4" t="inlineStr">
        <is>
          <t>IMPERMEABILIZAÇÃO</t>
        </is>
      </c>
      <c r="D852" s="4" t="inlineStr">
        <is>
          <t>-</t>
        </is>
      </c>
      <c r="E852" s="4" t="inlineStr">
        <is>
          <t>SUBSOLO</t>
        </is>
      </c>
      <c r="F852" s="118" t="n">
        <v>46694</v>
      </c>
      <c r="G852" s="118" t="n">
        <v>46708</v>
      </c>
      <c r="H852" s="118" t="n">
        <v>46289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IF(E852="","",IF(LEFT(E852,7)="SUBSOLO",-1,IF(LEFT(E852,6)="TÉRREO",0,IFERROR(VALUE(LEFT(E852,FIND("º",SUBSTITUTE(E852,"°","º"))-1)),""))))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29980889</v>
      </c>
      <c r="C853" s="4" t="inlineStr">
        <is>
          <t>PRUMADA DE INCÊNDIO</t>
        </is>
      </c>
      <c r="D853" s="4" t="inlineStr">
        <is>
          <t>-</t>
        </is>
      </c>
      <c r="E853" s="4" t="inlineStr">
        <is>
          <t>25º PAV.</t>
        </is>
      </c>
      <c r="F853" s="118" t="n">
        <v>46696</v>
      </c>
      <c r="G853" s="118" t="n">
        <v>46709</v>
      </c>
      <c r="H853" s="118" t="n">
        <v>46289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IF(E853="","",IF(LEFT(E853,7)="SUBSOLO",-1,IF(LEFT(E853,6)="TÉRREO",0,IFERROR(VALUE(LEFT(E853,FIND("º",SUBSTITUTE(E853,"°","º"))-1)),""))))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29980840</v>
      </c>
      <c r="C854" s="4" t="inlineStr">
        <is>
          <t>ALVENARIA</t>
        </is>
      </c>
      <c r="D854" s="4" t="inlineStr">
        <is>
          <t>-</t>
        </is>
      </c>
      <c r="E854" s="4" t="inlineStr">
        <is>
          <t>26º PAV.</t>
        </is>
      </c>
      <c r="F854" s="118" t="n">
        <v>46696</v>
      </c>
      <c r="G854" s="118" t="n">
        <v>46709</v>
      </c>
      <c r="H854" s="118" t="n">
        <v>46289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IF(E854="","",IF(LEFT(E854,7)="SUBSOLO",-1,IF(LEFT(E854,6)="TÉRREO",0,IFERROR(VALUE(LEFT(E854,FIND("º",SUBSTITUTE(E854,"°","º"))-1)),""))))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31789447</v>
      </c>
      <c r="C855" s="4" t="inlineStr">
        <is>
          <t>FACHADA AERADA - F3 + F4 (1º ETAPA)</t>
        </is>
      </c>
      <c r="D855" s="4" t="inlineStr">
        <is>
          <t>-</t>
        </is>
      </c>
      <c r="E855" s="4" t="inlineStr">
        <is>
          <t>FACHADA</t>
        </is>
      </c>
      <c r="F855" s="118" t="n">
        <v>46699</v>
      </c>
      <c r="G855" s="118" t="n">
        <v>46764</v>
      </c>
      <c r="H855" s="118" t="n">
        <v>46289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IF(E855="","",IF(LEFT(E855,7)="SUBSOLO",-1,IF(LEFT(E855,6)="TÉRREO",0,IFERROR(VALUE(LEFT(E855,FIND("º",SUBSTITUTE(E855,"°","º"))-1)),""))))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31790136</v>
      </c>
      <c r="C856" s="4" t="inlineStr">
        <is>
          <t>PEITORIS E REQUADROS DE FACHADA - F1 + F2 (1º ETAPA)</t>
        </is>
      </c>
      <c r="D856" s="4" t="inlineStr">
        <is>
          <t>-</t>
        </is>
      </c>
      <c r="E856" s="4" t="inlineStr">
        <is>
          <t>FACHADA</t>
        </is>
      </c>
      <c r="F856" s="118" t="n">
        <v>46699</v>
      </c>
      <c r="G856" s="118" t="n">
        <v>46727</v>
      </c>
      <c r="H856" s="118" t="n">
        <v>46289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IF(E856="","",IF(LEFT(E856,7)="SUBSOLO",-1,IF(LEFT(E856,6)="TÉRREO",0,IFERROR(VALUE(LEFT(E856,FIND("º",SUBSTITUTE(E856,"°","º"))-1)),""))))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30205703</v>
      </c>
      <c r="C857" s="4" t="inlineStr">
        <is>
          <t>FORRO</t>
        </is>
      </c>
      <c r="D857" s="4" t="inlineStr">
        <is>
          <t>-</t>
        </is>
      </c>
      <c r="E857" s="4" t="inlineStr">
        <is>
          <t>TÉRREO - LOJA 1</t>
        </is>
      </c>
      <c r="F857" s="118" t="n">
        <v>46700</v>
      </c>
      <c r="G857" s="118" t="n">
        <v>46714</v>
      </c>
      <c r="H857" s="118" t="n">
        <v>46289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IF(E857="","",IF(LEFT(E857,7)="SUBSOLO",-1,IF(LEFT(E857,6)="TÉRREO",0,IFERROR(VALUE(LEFT(E857,FIND("º",SUBSTITUTE(E857,"°","º"))-1)),""))))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30205675</v>
      </c>
      <c r="C858" s="4" t="inlineStr">
        <is>
          <t>BANCADAS</t>
        </is>
      </c>
      <c r="D858" s="4" t="inlineStr">
        <is>
          <t>-</t>
        </is>
      </c>
      <c r="E858" s="4" t="inlineStr">
        <is>
          <t>TÉRREO - LOJA 2</t>
        </is>
      </c>
      <c r="F858" s="118" t="n">
        <v>46700</v>
      </c>
      <c r="G858" s="118" t="n">
        <v>46714</v>
      </c>
      <c r="H858" s="118" t="n">
        <v>46289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IF(E858="","",IF(LEFT(E858,7)="SUBSOLO",-1,IF(LEFT(E858,6)="TÉRREO",0,IFERROR(VALUE(LEFT(E858,FIND("º",SUBSTITUTE(E858,"°","º"))-1)),""))))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30205650</v>
      </c>
      <c r="C859" s="4" t="inlineStr">
        <is>
          <t>REVESTIMENTOS PORCELANATO PISO</t>
        </is>
      </c>
      <c r="D859" s="4" t="inlineStr">
        <is>
          <t>-</t>
        </is>
      </c>
      <c r="E859" s="4" t="inlineStr">
        <is>
          <t>TÉRREO - LOJA 3</t>
        </is>
      </c>
      <c r="F859" s="118" t="n">
        <v>46700</v>
      </c>
      <c r="G859" s="118" t="n">
        <v>46714</v>
      </c>
      <c r="H859" s="118" t="n">
        <v>46289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IF(E859="","",IF(LEFT(E859,7)="SUBSOLO",-1,IF(LEFT(E859,6)="TÉRREO",0,IFERROR(VALUE(LEFT(E859,FIND("º",SUBSTITUTE(E859,"°","º"))-1)),""))))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30205627</v>
      </c>
      <c r="C860" s="4" t="inlineStr">
        <is>
          <t>REVESTIMENTO PORCELANATO PAREDE</t>
        </is>
      </c>
      <c r="D860" s="4" t="inlineStr">
        <is>
          <t>-</t>
        </is>
      </c>
      <c r="E860" s="4" t="inlineStr">
        <is>
          <t>TÉRREO - LOJA 4</t>
        </is>
      </c>
      <c r="F860" s="118" t="n">
        <v>46700</v>
      </c>
      <c r="G860" s="118" t="n">
        <v>46714</v>
      </c>
      <c r="H860" s="118" t="n">
        <v>46289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IF(E860="","",IF(LEFT(E860,7)="SUBSOLO",-1,IF(LEFT(E860,6)="TÉRREO",0,IFERROR(VALUE(LEFT(E860,FIND("º",SUBSTITUTE(E860,"°","º"))-1)),""))))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30205593</v>
      </c>
      <c r="C861" s="4" t="inlineStr">
        <is>
          <t>DRYWALL</t>
        </is>
      </c>
      <c r="D861" s="4" t="inlineStr">
        <is>
          <t>-</t>
        </is>
      </c>
      <c r="E861" s="4" t="inlineStr">
        <is>
          <t>TÉRREO - LOJA 5</t>
        </is>
      </c>
      <c r="F861" s="118" t="n">
        <v>46700</v>
      </c>
      <c r="G861" s="118" t="n">
        <v>46714</v>
      </c>
      <c r="H861" s="118" t="n">
        <v>46289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IF(E861="","",IF(LEFT(E861,7)="SUBSOLO",-1,IF(LEFT(E861,6)="TÉRREO",0,IFERROR(VALUE(LEFT(E861,FIND("º",SUBSTITUTE(E861,"°","º"))-1)),""))))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30205565</v>
      </c>
      <c r="C862" s="4" t="inlineStr">
        <is>
          <t>CONTRAPISO</t>
        </is>
      </c>
      <c r="D862" s="4" t="inlineStr">
        <is>
          <t>-</t>
        </is>
      </c>
      <c r="E862" s="4" t="inlineStr">
        <is>
          <t>TÉRREO - LOJA 6</t>
        </is>
      </c>
      <c r="F862" s="118" t="n">
        <v>46700</v>
      </c>
      <c r="G862" s="118" t="n">
        <v>46714</v>
      </c>
      <c r="H862" s="118" t="n">
        <v>46289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IF(E862="","",IF(LEFT(E862,7)="SUBSOLO",-1,IF(LEFT(E862,6)="TÉRREO",0,IFERROR(VALUE(LEFT(E862,FIND("º",SUBSTITUTE(E862,"°","º"))-1)),""))))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31803890</v>
      </c>
      <c r="C863" s="4" t="inlineStr">
        <is>
          <t>FACHADA LOJA</t>
        </is>
      </c>
      <c r="D863" s="4" t="inlineStr">
        <is>
          <t>-</t>
        </is>
      </c>
      <c r="E863" s="4" t="inlineStr">
        <is>
          <t>TÉRREO - LOJA 6</t>
        </is>
      </c>
      <c r="F863" s="118" t="n">
        <v>46700</v>
      </c>
      <c r="G863" s="118" t="n">
        <v>46756</v>
      </c>
      <c r="H863" s="118" t="n">
        <v>46289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IF(E863="","",IF(LEFT(E863,7)="SUBSOLO",-1,IF(LEFT(E863,6)="TÉRREO",0,IFERROR(VALUE(LEFT(E863,FIND("º",SUBSTITUTE(E863,"°","º"))-1)),""))))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30205534</v>
      </c>
      <c r="C864" s="4" t="inlineStr">
        <is>
          <t>REBOCO INTERNO</t>
        </is>
      </c>
      <c r="D864" s="4" t="inlineStr">
        <is>
          <t>-</t>
        </is>
      </c>
      <c r="E864" s="4" t="inlineStr">
        <is>
          <t>TÉRREO - LOJA 7</t>
        </is>
      </c>
      <c r="F864" s="118" t="n">
        <v>46700</v>
      </c>
      <c r="G864" s="118" t="n">
        <v>46714</v>
      </c>
      <c r="H864" s="118" t="n">
        <v>46289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IF(E864="","",IF(LEFT(E864,7)="SUBSOLO",-1,IF(LEFT(E864,6)="TÉRREO",0,IFERROR(VALUE(LEFT(E864,FIND("º",SUBSTITUTE(E864,"°","º"))-1)),""))))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30171466</v>
      </c>
      <c r="C865" s="4" t="inlineStr">
        <is>
          <t>FIAÇÃO ELÉTRICA</t>
        </is>
      </c>
      <c r="D865" s="4" t="inlineStr">
        <is>
          <t>-</t>
        </is>
      </c>
      <c r="E865" s="4" t="inlineStr">
        <is>
          <t>2º PAV - GARAGEM</t>
        </is>
      </c>
      <c r="F865" s="118" t="n">
        <v>46701</v>
      </c>
      <c r="G865" s="118" t="n">
        <v>46772</v>
      </c>
      <c r="H865" s="118" t="n">
        <v>46289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IF(E865="","",IF(LEFT(E865,7)="SUBSOLO",-1,IF(LEFT(E865,6)="TÉRREO",0,IFERROR(VALUE(LEFT(E865,FIND("º",SUBSTITUTE(E865,"°","º"))-1)),""))))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30171485</v>
      </c>
      <c r="C866" s="4" t="inlineStr">
        <is>
          <t>PRUMADA ELÉTRICA - CABOS</t>
        </is>
      </c>
      <c r="D866" s="4" t="inlineStr">
        <is>
          <t>-</t>
        </is>
      </c>
      <c r="E866" s="4" t="inlineStr">
        <is>
          <t>2º PAV - GARAGEM</t>
        </is>
      </c>
      <c r="F866" s="118" t="n">
        <v>46701</v>
      </c>
      <c r="G866" s="118" t="n">
        <v>46772</v>
      </c>
      <c r="H866" s="118" t="n">
        <v>46289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IF(E866="","",IF(LEFT(E866,7)="SUBSOLO",-1,IF(LEFT(E866,6)="TÉRREO",0,IFERROR(VALUE(LEFT(E866,FIND("º",SUBSTITUTE(E866,"°","º"))-1)),""))))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30171468</v>
      </c>
      <c r="C867" s="4" t="inlineStr">
        <is>
          <t>SHAFT</t>
        </is>
      </c>
      <c r="D867" s="4" t="inlineStr">
        <is>
          <t>-</t>
        </is>
      </c>
      <c r="E867" s="4" t="inlineStr">
        <is>
          <t>2º PAV - GARAGEM</t>
        </is>
      </c>
      <c r="F867" s="118" t="n">
        <v>46701</v>
      </c>
      <c r="G867" s="118" t="n">
        <v>46730</v>
      </c>
      <c r="H867" s="118" t="n">
        <v>46289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IF(E867="","",IF(LEFT(E867,7)="SUBSOLO",-1,IF(LEFT(E867,6)="TÉRREO",0,IFERROR(VALUE(LEFT(E867,FIND("º",SUBSTITUTE(E867,"°","º"))-1)),""))))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30214059</v>
      </c>
      <c r="C868" s="4" t="inlineStr">
        <is>
          <t>FIAÇÃO TELECOM/DADOS</t>
        </is>
      </c>
      <c r="D868" s="4" t="inlineStr">
        <is>
          <t>-</t>
        </is>
      </c>
      <c r="E868" s="4" t="inlineStr">
        <is>
          <t>2º PAV - GARAGEM</t>
        </is>
      </c>
      <c r="F868" s="118" t="n">
        <v>46701</v>
      </c>
      <c r="G868" s="118" t="n">
        <v>46715</v>
      </c>
      <c r="H868" s="118" t="n">
        <v>46289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IF(E868="","",IF(LEFT(E868,7)="SUBSOLO",-1,IF(LEFT(E868,6)="TÉRREO",0,IFERROR(VALUE(LEFT(E868,FIND("º",SUBSTITUTE(E868,"°","º"))-1)),""))))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29981477</v>
      </c>
      <c r="C869" s="4" t="inlineStr">
        <is>
          <t>FORRO</t>
        </is>
      </c>
      <c r="D869" s="4" t="inlineStr">
        <is>
          <t>-</t>
        </is>
      </c>
      <c r="E869" s="4" t="inlineStr">
        <is>
          <t>9º PAV.</t>
        </is>
      </c>
      <c r="F869" s="118" t="n">
        <v>46702</v>
      </c>
      <c r="G869" s="118" t="n">
        <v>46715</v>
      </c>
      <c r="H869" s="118" t="n">
        <v>46289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IF(E869="","",IF(LEFT(E869,7)="SUBSOLO",-1,IF(LEFT(E869,6)="TÉRREO",0,IFERROR(VALUE(LEFT(E869,FIND("º",SUBSTITUTE(E869,"°","º"))-1)),""))))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29981438</v>
      </c>
      <c r="C870" s="4" t="inlineStr">
        <is>
          <t>FIAÇÃO ELÉTRICA</t>
        </is>
      </c>
      <c r="D870" s="4" t="inlineStr">
        <is>
          <t>-</t>
        </is>
      </c>
      <c r="E870" s="4" t="inlineStr">
        <is>
          <t>10º PAV.</t>
        </is>
      </c>
      <c r="F870" s="118" t="n">
        <v>46702</v>
      </c>
      <c r="G870" s="118" t="n">
        <v>46715</v>
      </c>
      <c r="H870" s="118" t="n">
        <v>46289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IF(E870="","",IF(LEFT(E870,7)="SUBSOLO",-1,IF(LEFT(E870,6)="TÉRREO",0,IFERROR(VALUE(LEFT(E870,FIND("º",SUBSTITUTE(E870,"°","º"))-1)),""))))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29981443</v>
      </c>
      <c r="C871" s="4" t="inlineStr">
        <is>
          <t>PRUMADA ELÉTRICA - CABOS</t>
        </is>
      </c>
      <c r="D871" s="4" t="inlineStr">
        <is>
          <t>-</t>
        </is>
      </c>
      <c r="E871" s="4" t="inlineStr">
        <is>
          <t>10º PAV.</t>
        </is>
      </c>
      <c r="F871" s="118" t="n">
        <v>46702</v>
      </c>
      <c r="G871" s="118" t="n">
        <v>46715</v>
      </c>
      <c r="H871" s="118" t="n">
        <v>46289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IF(E871="","",IF(LEFT(E871,7)="SUBSOLO",-1,IF(LEFT(E871,6)="TÉRREO",0,IFERROR(VALUE(LEFT(E871,FIND("º",SUBSTITUTE(E871,"°","º"))-1)),""))))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30214072</v>
      </c>
      <c r="C872" s="4" t="inlineStr">
        <is>
          <t>FIAÇÃO TELECOM/DADOS</t>
        </is>
      </c>
      <c r="D872" s="4" t="inlineStr">
        <is>
          <t>-</t>
        </is>
      </c>
      <c r="E872" s="4" t="inlineStr">
        <is>
          <t>10º PAV.</t>
        </is>
      </c>
      <c r="F872" s="118" t="n">
        <v>46702</v>
      </c>
      <c r="G872" s="118" t="n">
        <v>46716</v>
      </c>
      <c r="H872" s="118" t="n">
        <v>46289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IF(E872="","",IF(LEFT(E872,7)="SUBSOLO",-1,IF(LEFT(E872,6)="TÉRREO",0,IFERROR(VALUE(LEFT(E872,FIND("º",SUBSTITUTE(E872,"°","º"))-1)),""))))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29981385</v>
      </c>
      <c r="C873" s="4" t="inlineStr">
        <is>
          <t>BANCADAS</t>
        </is>
      </c>
      <c r="D873" s="4" t="inlineStr">
        <is>
          <t>-</t>
        </is>
      </c>
      <c r="E873" s="4" t="inlineStr">
        <is>
          <t>11º PAV.</t>
        </is>
      </c>
      <c r="F873" s="118" t="n">
        <v>46702</v>
      </c>
      <c r="G873" s="118" t="n">
        <v>46715</v>
      </c>
      <c r="H873" s="118" t="n">
        <v>46289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IF(E873="","",IF(LEFT(E873,7)="SUBSOLO",-1,IF(LEFT(E873,6)="TÉRREO",0,IFERROR(VALUE(LEFT(E873,FIND("º",SUBSTITUTE(E873,"°","º"))-1)),""))))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29981347</v>
      </c>
      <c r="C874" s="4" t="inlineStr">
        <is>
          <t>REVESTIMENTOS PORCELANATO PISO</t>
        </is>
      </c>
      <c r="D874" s="4" t="inlineStr">
        <is>
          <t>-</t>
        </is>
      </c>
      <c r="E874" s="4" t="inlineStr">
        <is>
          <t>12º PAV.</t>
        </is>
      </c>
      <c r="F874" s="118" t="n">
        <v>46702</v>
      </c>
      <c r="G874" s="118" t="n">
        <v>46715</v>
      </c>
      <c r="H874" s="118" t="n">
        <v>46289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IF(E874="","",IF(LEFT(E874,7)="SUBSOLO",-1,IF(LEFT(E874,6)="TÉRREO",0,IFERROR(VALUE(LEFT(E874,FIND("º",SUBSTITUTE(E874,"°","º"))-1)),""))))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29981326</v>
      </c>
      <c r="C875" s="4" t="inlineStr">
        <is>
          <t>REVESTIMENTO PORCELANATO PAREDE</t>
        </is>
      </c>
      <c r="D875" s="4" t="inlineStr">
        <is>
          <t>-</t>
        </is>
      </c>
      <c r="E875" s="4" t="inlineStr">
        <is>
          <t>13º PAV.</t>
        </is>
      </c>
      <c r="F875" s="118" t="n">
        <v>46702</v>
      </c>
      <c r="G875" s="118" t="n">
        <v>46715</v>
      </c>
      <c r="H875" s="118" t="n">
        <v>46289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IF(E875="","",IF(LEFT(E875,7)="SUBSOLO",-1,IF(LEFT(E875,6)="TÉRREO",0,IFERROR(VALUE(LEFT(E875,FIND("º",SUBSTITUTE(E875,"°","º"))-1)),""))))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29981287</v>
      </c>
      <c r="C876" s="4" t="inlineStr">
        <is>
          <t>IMPERMEABILIZAÇÃO</t>
        </is>
      </c>
      <c r="D876" s="4" t="inlineStr">
        <is>
          <t>-</t>
        </is>
      </c>
      <c r="E876" s="4" t="inlineStr">
        <is>
          <t>14º PAV.</t>
        </is>
      </c>
      <c r="F876" s="118" t="n">
        <v>46702</v>
      </c>
      <c r="G876" s="118" t="n">
        <v>46715</v>
      </c>
      <c r="H876" s="118" t="n">
        <v>46289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IF(E876="","",IF(LEFT(E876,7)="SUBSOLO",-1,IF(LEFT(E876,6)="TÉRREO",0,IFERROR(VALUE(LEFT(E876,FIND("º",SUBSTITUTE(E876,"°","º"))-1)),""))))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32750441</v>
      </c>
      <c r="C877" s="4" t="inlineStr">
        <is>
          <t>DRYWALL 2º FACE</t>
        </is>
      </c>
      <c r="D877" s="4" t="inlineStr">
        <is>
          <t>-</t>
        </is>
      </c>
      <c r="E877" s="4" t="inlineStr">
        <is>
          <t>15º PAV.</t>
        </is>
      </c>
      <c r="F877" s="118" t="n">
        <v>46702</v>
      </c>
      <c r="G877" s="118" t="n">
        <v>46715</v>
      </c>
      <c r="H877" s="118" t="n">
        <v>46289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IF(E877="","",IF(LEFT(E877,7)="SUBSOLO",-1,IF(LEFT(E877,6)="TÉRREO",0,IFERROR(VALUE(LEFT(E877,FIND("º",SUBSTITUTE(E877,"°","º"))-1)),""))))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32750364</v>
      </c>
      <c r="C878" s="4" t="inlineStr">
        <is>
          <t>DISTRIBUIÇÃO DE GÁS - DRYWALL</t>
        </is>
      </c>
      <c r="D878" s="4" t="inlineStr">
        <is>
          <t>-</t>
        </is>
      </c>
      <c r="E878" s="4" t="inlineStr">
        <is>
          <t>16º PAV.</t>
        </is>
      </c>
      <c r="F878" s="118" t="n">
        <v>46702</v>
      </c>
      <c r="G878" s="118" t="n">
        <v>46715</v>
      </c>
      <c r="H878" s="118" t="n">
        <v>46289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IF(E878="","",IF(LEFT(E878,7)="SUBSOLO",-1,IF(LEFT(E878,6)="TÉRREO",0,IFERROR(VALUE(LEFT(E878,FIND("º",SUBSTITUTE(E878,"°","º"))-1)),""))))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32750390</v>
      </c>
      <c r="C879" s="4" t="inlineStr">
        <is>
          <t>DISTRIBUIÇÃO ELÉTRICA/QUADRO - DRYWALL</t>
        </is>
      </c>
      <c r="D879" s="4" t="inlineStr">
        <is>
          <t>-</t>
        </is>
      </c>
      <c r="E879" s="4" t="inlineStr">
        <is>
          <t>16º PAV.</t>
        </is>
      </c>
      <c r="F879" s="118" t="n">
        <v>46702</v>
      </c>
      <c r="G879" s="118" t="n">
        <v>46715</v>
      </c>
      <c r="H879" s="118" t="n">
        <v>46289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IF(E879="","",IF(LEFT(E879,7)="SUBSOLO",-1,IF(LEFT(E879,6)="TÉRREO",0,IFERROR(VALUE(LEFT(E879,FIND("º",SUBSTITUTE(E879,"°","º"))-1)),""))))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32750416</v>
      </c>
      <c r="C880" s="4" t="inlineStr">
        <is>
          <t>DISTRIBUIÇÃO HIDRÁULICA - DRYWALL</t>
        </is>
      </c>
      <c r="D880" s="4" t="inlineStr">
        <is>
          <t>-</t>
        </is>
      </c>
      <c r="E880" s="4" t="inlineStr">
        <is>
          <t>16º PAV.</t>
        </is>
      </c>
      <c r="F880" s="118" t="n">
        <v>46702</v>
      </c>
      <c r="G880" s="118" t="n">
        <v>46715</v>
      </c>
      <c r="H880" s="118" t="n">
        <v>46289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IF(E880="","",IF(LEFT(E880,7)="SUBSOLO",-1,IF(LEFT(E880,6)="TÉRREO",0,IFERROR(VALUE(LEFT(E880,FIND("º",SUBSTITUTE(E880,"°","º"))-1)),""))))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33896834</v>
      </c>
      <c r="C881" s="4" t="inlineStr">
        <is>
          <t>INFRAESTRUTURA - AR CONDICIONADO</t>
        </is>
      </c>
      <c r="D881" s="4" t="inlineStr">
        <is>
          <t>-</t>
        </is>
      </c>
      <c r="E881" s="4" t="inlineStr">
        <is>
          <t>16º PAV.</t>
        </is>
      </c>
      <c r="F881" s="118" t="n">
        <v>46702</v>
      </c>
      <c r="G881" s="118" t="n">
        <v>46715</v>
      </c>
      <c r="H881" s="118" t="n">
        <v>46289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IF(E881="","",IF(LEFT(E881,7)="SUBSOLO",-1,IF(LEFT(E881,6)="TÉRREO",0,IFERROR(VALUE(LEFT(E881,FIND("º",SUBSTITUTE(E881,"°","º"))-1)),""))))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32749860</v>
      </c>
      <c r="C882" s="4" t="inlineStr">
        <is>
          <t>DRYWALL 1º FACE</t>
        </is>
      </c>
      <c r="D882" s="4" t="inlineStr">
        <is>
          <t>-</t>
        </is>
      </c>
      <c r="E882" s="4" t="inlineStr">
        <is>
          <t>17º PAV.</t>
        </is>
      </c>
      <c r="F882" s="118" t="n">
        <v>46702</v>
      </c>
      <c r="G882" s="118" t="n">
        <v>46715</v>
      </c>
      <c r="H882" s="118" t="n">
        <v>46289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IF(E882="","",IF(LEFT(E882,7)="SUBSOLO",-1,IF(LEFT(E882,6)="TÉRREO",0,IFERROR(VALUE(LEFT(E882,FIND("º",SUBSTITUTE(E882,"°","º"))-1)),""))))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29981140</v>
      </c>
      <c r="C883" s="4" t="inlineStr">
        <is>
          <t>CONTRAPISO</t>
        </is>
      </c>
      <c r="D883" s="4" t="inlineStr">
        <is>
          <t>-</t>
        </is>
      </c>
      <c r="E883" s="4" t="inlineStr">
        <is>
          <t>18º PAV.</t>
        </is>
      </c>
      <c r="F883" s="118" t="n">
        <v>46702</v>
      </c>
      <c r="G883" s="118" t="n">
        <v>46715</v>
      </c>
      <c r="H883" s="118" t="n">
        <v>46289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IF(E883="","",IF(LEFT(E883,7)="SUBSOLO",-1,IF(LEFT(E883,6)="TÉRREO",0,IFERROR(VALUE(LEFT(E883,FIND("º",SUBSTITUTE(E883,"°","º"))-1)),""))))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29981043</v>
      </c>
      <c r="C884" s="4" t="inlineStr">
        <is>
          <t>SHAFT INTERNO INST. HIDRAÚLICAS</t>
        </is>
      </c>
      <c r="D884" s="4" t="inlineStr">
        <is>
          <t>-</t>
        </is>
      </c>
      <c r="E884" s="4" t="inlineStr">
        <is>
          <t>20º PAV.</t>
        </is>
      </c>
      <c r="F884" s="118" t="n">
        <v>46702</v>
      </c>
      <c r="G884" s="118" t="n">
        <v>46715</v>
      </c>
      <c r="H884" s="118" t="n">
        <v>46289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IF(E884="","",IF(LEFT(E884,7)="SUBSOLO",-1,IF(LEFT(E884,6)="TÉRREO",0,IFERROR(VALUE(LEFT(E884,FIND("º",SUBSTITUTE(E884,"°","º"))-1)),""))))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29981076</v>
      </c>
      <c r="C885" s="4" t="inlineStr">
        <is>
          <t>PRUMADA ELÉTRICA - INFRA</t>
        </is>
      </c>
      <c r="D885" s="4" t="inlineStr">
        <is>
          <t>-</t>
        </is>
      </c>
      <c r="E885" s="4" t="inlineStr">
        <is>
          <t>20º PAV.</t>
        </is>
      </c>
      <c r="F885" s="118" t="n">
        <v>46702</v>
      </c>
      <c r="G885" s="118" t="n">
        <v>46715</v>
      </c>
      <c r="H885" s="118" t="n">
        <v>46289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IF(E885="","",IF(LEFT(E885,7)="SUBSOLO",-1,IF(LEFT(E885,6)="TÉRREO",0,IFERROR(VALUE(LEFT(E885,FIND("º",SUBSTITUTE(E885,"°","º"))-1)),""))))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29981005</v>
      </c>
      <c r="C886" s="4" t="inlineStr">
        <is>
          <t>REBOCO INTERNO</t>
        </is>
      </c>
      <c r="D886" s="4" t="inlineStr">
        <is>
          <t>-</t>
        </is>
      </c>
      <c r="E886" s="4" t="inlineStr">
        <is>
          <t>21º PAV.</t>
        </is>
      </c>
      <c r="F886" s="118" t="n">
        <v>46702</v>
      </c>
      <c r="G886" s="118" t="n">
        <v>46715</v>
      </c>
      <c r="H886" s="118" t="n">
        <v>46289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IF(E886="","",IF(LEFT(E886,7)="SUBSOLO",-1,IF(LEFT(E886,6)="TÉRREO",0,IFERROR(VALUE(LEFT(E886,FIND("º",SUBSTITUTE(E886,"°","º"))-1)),""))))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29980971</v>
      </c>
      <c r="C887" s="4" t="inlineStr">
        <is>
          <t>CONTRAMARCO</t>
        </is>
      </c>
      <c r="D887" s="4" t="inlineStr">
        <is>
          <t>-</t>
        </is>
      </c>
      <c r="E887" s="4" t="inlineStr">
        <is>
          <t>22º PAV.</t>
        </is>
      </c>
      <c r="F887" s="118" t="n">
        <v>46702</v>
      </c>
      <c r="G887" s="118" t="n">
        <v>46715</v>
      </c>
      <c r="H887" s="118" t="n">
        <v>46289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IF(E887="","",IF(LEFT(E887,7)="SUBSOLO",-1,IF(LEFT(E887,6)="TÉRREO",0,IFERROR(VALUE(LEFT(E887,FIND("º",SUBSTITUTE(E887,"°","º"))-1)),""))))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29980964</v>
      </c>
      <c r="C888" s="4" t="inlineStr">
        <is>
          <t>DISTRIBUIÇÃO HIDROSSANITÁRIA</t>
        </is>
      </c>
      <c r="D888" s="4" t="inlineStr">
        <is>
          <t>-</t>
        </is>
      </c>
      <c r="E888" s="4" t="inlineStr">
        <is>
          <t>23º PAV.</t>
        </is>
      </c>
      <c r="F888" s="118" t="n">
        <v>46702</v>
      </c>
      <c r="G888" s="118" t="n">
        <v>46715</v>
      </c>
      <c r="H888" s="118" t="n">
        <v>46289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IF(E888="","",IF(LEFT(E888,7)="SUBSOLO",-1,IF(LEFT(E888,6)="TÉRREO",0,IFERROR(VALUE(LEFT(E888,FIND("º",SUBSTITUTE(E888,"°","º"))-1)),""))))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29980933</v>
      </c>
      <c r="C889" s="4" t="inlineStr">
        <is>
          <t>DISTRIBUIÇÃO ELÉTRICA / QUADRO</t>
        </is>
      </c>
      <c r="D889" s="4" t="inlineStr">
        <is>
          <t>-</t>
        </is>
      </c>
      <c r="E889" s="4" t="inlineStr">
        <is>
          <t>23º PAV.</t>
        </is>
      </c>
      <c r="F889" s="118" t="n">
        <v>46702</v>
      </c>
      <c r="G889" s="118" t="n">
        <v>46715</v>
      </c>
      <c r="H889" s="118" t="n">
        <v>46289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IF(E889="","",IF(LEFT(E889,7)="SUBSOLO",-1,IF(LEFT(E889,6)="TÉRREO",0,IFERROR(VALUE(LEFT(E889,FIND("º",SUBSTITUTE(E889,"°","º"))-1)),""))))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29980966</v>
      </c>
      <c r="C890" s="4" t="inlineStr">
        <is>
          <t>DISTRIBUIÇÃO DE GÁS</t>
        </is>
      </c>
      <c r="D890" s="4" t="inlineStr">
        <is>
          <t>-</t>
        </is>
      </c>
      <c r="E890" s="4" t="inlineStr">
        <is>
          <t>23º PAV.</t>
        </is>
      </c>
      <c r="F890" s="118" t="n">
        <v>46702</v>
      </c>
      <c r="G890" s="118" t="n">
        <v>46715</v>
      </c>
      <c r="H890" s="118" t="n">
        <v>46289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IF(E890="","",IF(LEFT(E890,7)="SUBSOLO",-1,IF(LEFT(E890,6)="TÉRREO",0,IFERROR(VALUE(LEFT(E890,FIND("º",SUBSTITUTE(E890,"°","º"))-1)),""))))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29980913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24º PAV.</t>
        </is>
      </c>
      <c r="F891" s="118" t="n">
        <v>46702</v>
      </c>
      <c r="G891" s="118" t="n">
        <v>46715</v>
      </c>
      <c r="H891" s="118" t="n">
        <v>46289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IF(E891="","",IF(LEFT(E891,7)="SUBSOLO",-1,IF(LEFT(E891,6)="TÉRREO",0,IFERROR(VALUE(LEFT(E891,FIND("º",SUBSTITUTE(E891,"°","º"))-1)),""))))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29980879</v>
      </c>
      <c r="C892" s="4" t="inlineStr">
        <is>
          <t>PRUMADA HIDROSSANITÁRIA</t>
        </is>
      </c>
      <c r="D892" s="4" t="inlineStr">
        <is>
          <t>-</t>
        </is>
      </c>
      <c r="E892" s="4" t="inlineStr">
        <is>
          <t>25º PAV.</t>
        </is>
      </c>
      <c r="F892" s="118" t="n">
        <v>46702</v>
      </c>
      <c r="G892" s="118" t="n">
        <v>46715</v>
      </c>
      <c r="H892" s="118" t="n">
        <v>46289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IF(E892="","",IF(LEFT(E892,7)="SUBSOLO",-1,IF(LEFT(E892,6)="TÉRREO",0,IFERROR(VALUE(LEFT(E892,FIND("º",SUBSTITUTE(E892,"°","º"))-1)),""))))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29980878</v>
      </c>
      <c r="C893" s="4" t="inlineStr">
        <is>
          <t>ENCUNHAMENTO</t>
        </is>
      </c>
      <c r="D893" s="4" t="inlineStr">
        <is>
          <t>-</t>
        </is>
      </c>
      <c r="E893" s="4" t="inlineStr">
        <is>
          <t>25º PAV.</t>
        </is>
      </c>
      <c r="F893" s="118" t="n">
        <v>46707</v>
      </c>
      <c r="G893" s="118" t="n">
        <v>46717</v>
      </c>
      <c r="H893" s="118" t="n">
        <v>46289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IF(E893="","",IF(LEFT(E893,7)="SUBSOLO",-1,IF(LEFT(E893,6)="TÉRREO",0,IFERROR(VALUE(LEFT(E893,FIND("º",SUBSTITUTE(E893,"°","º"))-1)),""))))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29941040</v>
      </c>
      <c r="C894" s="4" t="inlineStr">
        <is>
          <t>ESTRUTURA</t>
        </is>
      </c>
      <c r="D894" s="4" t="inlineStr">
        <is>
          <t>-</t>
        </is>
      </c>
      <c r="E894" s="4" t="inlineStr">
        <is>
          <t>30º PAV.</t>
        </is>
      </c>
      <c r="F894" s="118" t="n">
        <v>46707</v>
      </c>
      <c r="G894" s="118" t="n">
        <v>46717</v>
      </c>
      <c r="H894" s="118" t="n">
        <v>46289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IF(E894="","",IF(LEFT(E894,7)="SUBSOLO",-1,IF(LEFT(E894,6)="TÉRREO",0,IFERROR(VALUE(LEFT(E894,FIND("º",SUBSTITUTE(E894,"°","º"))-1)),""))))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31529072</v>
      </c>
      <c r="C895" s="4" t="inlineStr">
        <is>
          <t>ESTRUTURA</t>
        </is>
      </c>
      <c r="D895" s="4" t="inlineStr">
        <is>
          <t>Forma</t>
        </is>
      </c>
      <c r="E895" s="4" t="inlineStr">
        <is>
          <t>30º PAV.</t>
        </is>
      </c>
      <c r="F895" s="118" t="n">
        <v>46707</v>
      </c>
      <c r="G895" s="118" t="n">
        <v>46713</v>
      </c>
      <c r="H895" s="118" t="n">
        <v>46289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IF(E895="","",IF(LEFT(E895,7)="SUBSOLO",-1,IF(LEFT(E895,6)="TÉRREO",0,IFERROR(VALUE(LEFT(E895,FIND("º",SUBSTITUTE(E895,"°","º"))-1)),""))))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31529073</v>
      </c>
      <c r="C896" s="4" t="inlineStr">
        <is>
          <t>ESTRUTURA</t>
        </is>
      </c>
      <c r="D896" s="4" t="inlineStr">
        <is>
          <t>Armação</t>
        </is>
      </c>
      <c r="E896" s="4" t="inlineStr">
        <is>
          <t>30º PAV.</t>
        </is>
      </c>
      <c r="F896" s="118" t="n">
        <v>46714</v>
      </c>
      <c r="G896" s="118" t="n">
        <v>46716</v>
      </c>
      <c r="H896" s="118" t="n">
        <v>46289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IF(E896="","",IF(LEFT(E896,7)="SUBSOLO",-1,IF(LEFT(E896,6)="TÉRREO",0,IFERROR(VALUE(LEFT(E896,FIND("º",SUBSTITUTE(E896,"°","º"))-1)),""))))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31529074</v>
      </c>
      <c r="C897" s="4" t="inlineStr">
        <is>
          <t>ESTRUTURA</t>
        </is>
      </c>
      <c r="D897" s="4" t="inlineStr">
        <is>
          <t>Concretagem</t>
        </is>
      </c>
      <c r="E897" s="4" t="inlineStr">
        <is>
          <t>30º PAV.</t>
        </is>
      </c>
      <c r="F897" s="118" t="n">
        <v>46717</v>
      </c>
      <c r="G897" s="118" t="n">
        <v>46717</v>
      </c>
      <c r="H897" s="118" t="n">
        <v>46289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IF(E897="","",IF(LEFT(E897,7)="SUBSOLO",-1,IF(LEFT(E897,6)="TÉRREO",0,IFERROR(VALUE(LEFT(E897,FIND("º",SUBSTITUTE(E897,"°","º"))-1)),""))))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31529075</v>
      </c>
      <c r="C898" s="4" t="inlineStr">
        <is>
          <t>ESTRUTURA</t>
        </is>
      </c>
      <c r="D898" s="4" t="inlineStr">
        <is>
          <t>Polimento</t>
        </is>
      </c>
      <c r="E898" s="4" t="inlineStr">
        <is>
          <t>30º PAV.</t>
        </is>
      </c>
      <c r="F898" s="118" t="n">
        <v>46717</v>
      </c>
      <c r="G898" s="118" t="n">
        <v>46717</v>
      </c>
      <c r="H898" s="118" t="n">
        <v>46289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IF(E898="","",IF(LEFT(E898,7)="SUBSOLO",-1,IF(LEFT(E898,6)="TÉRREO",0,IFERROR(VALUE(LEFT(E898,FIND("º",SUBSTITUTE(E898,"°","º"))-1)),""))))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30205784</v>
      </c>
      <c r="C899" s="4" t="inlineStr">
        <is>
          <t>DISTRIBUIÇÃO ELÉTRICA / QUADRO</t>
        </is>
      </c>
      <c r="D899" s="4" t="inlineStr">
        <is>
          <t>-</t>
        </is>
      </c>
      <c r="E899" s="4" t="inlineStr">
        <is>
          <t>TÉRREO - ACESSO COMERCIAL + DML + ARS + ÁREA TEC + LAVABO + DISPENSA</t>
        </is>
      </c>
      <c r="F899" s="118" t="n">
        <v>46708</v>
      </c>
      <c r="G899" s="118" t="n">
        <v>46728</v>
      </c>
      <c r="H899" s="118" t="n">
        <v>46289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IF(E899="","",IF(LEFT(E899,7)="SUBSOLO",-1,IF(LEFT(E899,6)="TÉRREO",0,IFERROR(VALUE(LEFT(E899,FIND("º",SUBSTITUTE(E899,"°","º"))-1)),""))))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30205785</v>
      </c>
      <c r="C900" s="4" t="inlineStr">
        <is>
          <t>DISTRIBUIÇÃO HIDRÁULICA</t>
        </is>
      </c>
      <c r="D900" s="4" t="inlineStr">
        <is>
          <t>-</t>
        </is>
      </c>
      <c r="E900" s="4" t="inlineStr">
        <is>
          <t>TÉRREO - ACESSO COMERCIAL + DML + ARS + ÁREA TEC + LAVABO + DISPENSA</t>
        </is>
      </c>
      <c r="F900" s="118" t="n">
        <v>46708</v>
      </c>
      <c r="G900" s="118" t="n">
        <v>46728</v>
      </c>
      <c r="H900" s="118" t="n">
        <v>46289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IF(E900="","",IF(LEFT(E900,7)="SUBSOLO",-1,IF(LEFT(E900,6)="TÉRREO",0,IFERROR(VALUE(LEFT(E900,FIND("º",SUBSTITUTE(E900,"°","º"))-1)),""))))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30205810</v>
      </c>
      <c r="C901" s="4" t="inlineStr">
        <is>
          <t>TALISCAMENTO</t>
        </is>
      </c>
      <c r="D901" s="4" t="inlineStr">
        <is>
          <t>-</t>
        </is>
      </c>
      <c r="E901" s="4" t="inlineStr">
        <is>
          <t>TÉRREO - HALL SOCIAL + ECLUSA + CIRCULAÇÃO</t>
        </is>
      </c>
      <c r="F901" s="118" t="n">
        <v>46708</v>
      </c>
      <c r="G901" s="118" t="n">
        <v>46721</v>
      </c>
      <c r="H901" s="118" t="n">
        <v>46289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IF(E901="","",IF(LEFT(E901,7)="SUBSOLO",-1,IF(LEFT(E901,6)="TÉRREO",0,IFERROR(VALUE(LEFT(E901,FIND("º",SUBSTITUTE(E901,"°","º"))-1)),""))))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30205745</v>
      </c>
      <c r="C902" s="4" t="inlineStr">
        <is>
          <t>CONTRAPISO</t>
        </is>
      </c>
      <c r="D902" s="4" t="inlineStr">
        <is>
          <t>-</t>
        </is>
      </c>
      <c r="E902" s="4" t="inlineStr">
        <is>
          <t>SUBSOLO</t>
        </is>
      </c>
      <c r="F902" s="118" t="n">
        <v>46709</v>
      </c>
      <c r="G902" s="118" t="n">
        <v>46722</v>
      </c>
      <c r="H902" s="118" t="n">
        <v>46289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IF(E902="","",IF(LEFT(E902,7)="SUBSOLO",-1,IF(LEFT(E902,6)="TÉRREO",0,IFERROR(VALUE(LEFT(E902,FIND("º",SUBSTITUTE(E902,"°","º"))-1)),""))))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29980852</v>
      </c>
      <c r="C903" s="4" t="inlineStr">
        <is>
          <t>PRUMADA DE INCÊNDIO</t>
        </is>
      </c>
      <c r="D903" s="4" t="inlineStr">
        <is>
          <t>-</t>
        </is>
      </c>
      <c r="E903" s="4" t="inlineStr">
        <is>
          <t>26º PAV.</t>
        </is>
      </c>
      <c r="F903" s="118" t="n">
        <v>46710</v>
      </c>
      <c r="G903" s="118" t="n">
        <v>46722</v>
      </c>
      <c r="H903" s="118" t="n">
        <v>46289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IF(E903="","",IF(LEFT(E903,7)="SUBSOLO",-1,IF(LEFT(E903,6)="TÉRREO",0,IFERROR(VALUE(LEFT(E903,FIND("º",SUBSTITUTE(E903,"°","º"))-1)),""))))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29980803</v>
      </c>
      <c r="C904" s="4" t="inlineStr">
        <is>
          <t>ALVENARIA</t>
        </is>
      </c>
      <c r="D904" s="4" t="inlineStr">
        <is>
          <t>-</t>
        </is>
      </c>
      <c r="E904" s="4" t="inlineStr">
        <is>
          <t>27º PAV.</t>
        </is>
      </c>
      <c r="F904" s="118" t="n">
        <v>46710</v>
      </c>
      <c r="G904" s="118" t="n">
        <v>46722</v>
      </c>
      <c r="H904" s="118" t="n">
        <v>46289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IF(E904="","",IF(LEFT(E904,7)="SUBSOLO",-1,IF(LEFT(E904,6)="TÉRREO",0,IFERROR(VALUE(LEFT(E904,FIND("º",SUBSTITUTE(E904,"°","º"))-1)),""))))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30205706</v>
      </c>
      <c r="C905" s="4" t="inlineStr">
        <is>
          <t>MASSA CORRIDA</t>
        </is>
      </c>
      <c r="D905" s="4" t="inlineStr">
        <is>
          <t>-</t>
        </is>
      </c>
      <c r="E905" s="4" t="inlineStr">
        <is>
          <t>TÉRREO - LOJA 1</t>
        </is>
      </c>
      <c r="F905" s="118" t="n">
        <v>46715</v>
      </c>
      <c r="G905" s="118" t="n">
        <v>46728</v>
      </c>
      <c r="H905" s="118" t="n">
        <v>46289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IF(E905="","",IF(LEFT(E905,7)="SUBSOLO",-1,IF(LEFT(E905,6)="TÉRREO",0,IFERROR(VALUE(LEFT(E905,FIND("º",SUBSTITUTE(E905,"°","º"))-1)),""))))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30205676</v>
      </c>
      <c r="C906" s="4" t="inlineStr">
        <is>
          <t>FORRO</t>
        </is>
      </c>
      <c r="D906" s="4" t="inlineStr">
        <is>
          <t>-</t>
        </is>
      </c>
      <c r="E906" s="4" t="inlineStr">
        <is>
          <t>TÉRREO - LOJA 2</t>
        </is>
      </c>
      <c r="F906" s="118" t="n">
        <v>46715</v>
      </c>
      <c r="G906" s="118" t="n">
        <v>46728</v>
      </c>
      <c r="H906" s="118" t="n">
        <v>46289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IF(E906="","",IF(LEFT(E906,7)="SUBSOLO",-1,IF(LEFT(E906,6)="TÉRREO",0,IFERROR(VALUE(LEFT(E906,FIND("º",SUBSTITUTE(E906,"°","º"))-1)),""))))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30205648</v>
      </c>
      <c r="C907" s="4" t="inlineStr">
        <is>
          <t>BANCADAS</t>
        </is>
      </c>
      <c r="D907" s="4" t="inlineStr">
        <is>
          <t>-</t>
        </is>
      </c>
      <c r="E907" s="4" t="inlineStr">
        <is>
          <t>TÉRREO - LOJA 3</t>
        </is>
      </c>
      <c r="F907" s="118" t="n">
        <v>46715</v>
      </c>
      <c r="G907" s="118" t="n">
        <v>46728</v>
      </c>
      <c r="H907" s="118" t="n">
        <v>46289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IF(E907="","",IF(LEFT(E907,7)="SUBSOLO",-1,IF(LEFT(E907,6)="TÉRREO",0,IFERROR(VALUE(LEFT(E907,FIND("º",SUBSTITUTE(E907,"°","º"))-1)),""))))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30205623</v>
      </c>
      <c r="C908" s="4" t="inlineStr">
        <is>
          <t>REVESTIMENTOS PORCELANATO PISO</t>
        </is>
      </c>
      <c r="D908" s="4" t="inlineStr">
        <is>
          <t>-</t>
        </is>
      </c>
      <c r="E908" s="4" t="inlineStr">
        <is>
          <t>TÉRREO - LOJA 4</t>
        </is>
      </c>
      <c r="F908" s="118" t="n">
        <v>46715</v>
      </c>
      <c r="G908" s="118" t="n">
        <v>46728</v>
      </c>
      <c r="H908" s="118" t="n">
        <v>46289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IF(E908="","",IF(LEFT(E908,7)="SUBSOLO",-1,IF(LEFT(E908,6)="TÉRREO",0,IFERROR(VALUE(LEFT(E908,FIND("º",SUBSTITUTE(E908,"°","º"))-1)),""))))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30205600</v>
      </c>
      <c r="C909" s="4" t="inlineStr">
        <is>
          <t>REVESTIMENTO PORCELANATO PAREDE</t>
        </is>
      </c>
      <c r="D909" s="4" t="inlineStr">
        <is>
          <t>-</t>
        </is>
      </c>
      <c r="E909" s="4" t="inlineStr">
        <is>
          <t>TÉRREO - LOJA 5</t>
        </is>
      </c>
      <c r="F909" s="118" t="n">
        <v>46715</v>
      </c>
      <c r="G909" s="118" t="n">
        <v>46728</v>
      </c>
      <c r="H909" s="118" t="n">
        <v>46289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IF(E909="","",IF(LEFT(E909,7)="SUBSOLO",-1,IF(LEFT(E909,6)="TÉRREO",0,IFERROR(VALUE(LEFT(E909,FIND("º",SUBSTITUTE(E909,"°","º"))-1)),""))))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30205566</v>
      </c>
      <c r="C910" s="4" t="inlineStr">
        <is>
          <t>DRYWALL</t>
        </is>
      </c>
      <c r="D910" s="4" t="inlineStr">
        <is>
          <t>-</t>
        </is>
      </c>
      <c r="E910" s="4" t="inlineStr">
        <is>
          <t>TÉRREO - LOJA 6</t>
        </is>
      </c>
      <c r="F910" s="118" t="n">
        <v>46715</v>
      </c>
      <c r="G910" s="118" t="n">
        <v>46728</v>
      </c>
      <c r="H910" s="118" t="n">
        <v>46289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IF(E910="","",IF(LEFT(E910,7)="SUBSOLO",-1,IF(LEFT(E910,6)="TÉRREO",0,IFERROR(VALUE(LEFT(E910,FIND("º",SUBSTITUTE(E910,"°","º"))-1)),""))))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30205538</v>
      </c>
      <c r="C911" s="4" t="inlineStr">
        <is>
          <t>CONTRAPISO</t>
        </is>
      </c>
      <c r="D911" s="4" t="inlineStr">
        <is>
          <t>-</t>
        </is>
      </c>
      <c r="E911" s="4" t="inlineStr">
        <is>
          <t>TÉRREO - LOJA 7</t>
        </is>
      </c>
      <c r="F911" s="118" t="n">
        <v>46715</v>
      </c>
      <c r="G911" s="118" t="n">
        <v>46728</v>
      </c>
      <c r="H911" s="118" t="n">
        <v>46289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IF(E911="","",IF(LEFT(E911,7)="SUBSOLO",-1,IF(LEFT(E911,6)="TÉRREO",0,IFERROR(VALUE(LEFT(E911,FIND("º",SUBSTITUTE(E911,"°","º"))-1)),""))))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31803891</v>
      </c>
      <c r="C912" s="4" t="inlineStr">
        <is>
          <t>FACHADA LOJA</t>
        </is>
      </c>
      <c r="D912" s="4" t="inlineStr">
        <is>
          <t>-</t>
        </is>
      </c>
      <c r="E912" s="4" t="inlineStr">
        <is>
          <t>TÉRREO - LOJA 7</t>
        </is>
      </c>
      <c r="F912" s="118" t="n">
        <v>46715</v>
      </c>
      <c r="G912" s="118" t="n">
        <v>46770</v>
      </c>
      <c r="H912" s="118" t="n">
        <v>46289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IF(E912="","",IF(LEFT(E912,7)="SUBSOLO",-1,IF(LEFT(E912,6)="TÉRREO",0,IFERROR(VALUE(LEFT(E912,FIND("º",SUBSTITUTE(E912,"°","º"))-1)),""))))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30208603</v>
      </c>
      <c r="C913" s="4" t="inlineStr">
        <is>
          <t>PRUMADA ELÉTRICA - INFRA</t>
        </is>
      </c>
      <c r="D913" s="4" t="inlineStr">
        <is>
          <t>-</t>
        </is>
      </c>
      <c r="E913" s="4" t="inlineStr">
        <is>
          <t>TÉRREO - GERAL</t>
        </is>
      </c>
      <c r="F913" s="118" t="n">
        <v>46715</v>
      </c>
      <c r="G913" s="118" t="n">
        <v>46728</v>
      </c>
      <c r="H913" s="118" t="n">
        <v>46289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IF(E913="","",IF(LEFT(E913,7)="SUBSOLO",-1,IF(LEFT(E913,6)="TÉRREO",0,IFERROR(VALUE(LEFT(E913,FIND("º",SUBSTITUTE(E913,"°","º"))-1)),""))))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30205835</v>
      </c>
      <c r="C914" s="4" t="inlineStr">
        <is>
          <t>PRUMADA HIDROSSANITÁRIA</t>
        </is>
      </c>
      <c r="D914" s="4" t="inlineStr">
        <is>
          <t>-</t>
        </is>
      </c>
      <c r="E914" s="4" t="inlineStr">
        <is>
          <t>1º PAV. (INTERMEDIÁRIO)</t>
        </is>
      </c>
      <c r="F914" s="118" t="n">
        <v>46715</v>
      </c>
      <c r="G914" s="118" t="n">
        <v>46728</v>
      </c>
      <c r="H914" s="118" t="n">
        <v>46289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IF(E914="","",IF(LEFT(E914,7)="SUBSOLO",-1,IF(LEFT(E914,6)="TÉRREO",0,IFERROR(VALUE(LEFT(E914,FIND("º",SUBSTITUTE(E914,"°","º"))-1)),""))))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30205836</v>
      </c>
      <c r="C915" s="4" t="inlineStr">
        <is>
          <t>ENCUNHAMENTO</t>
        </is>
      </c>
      <c r="D915" s="4" t="inlineStr">
        <is>
          <t>-</t>
        </is>
      </c>
      <c r="E915" s="4" t="inlineStr">
        <is>
          <t>1º PAV. (INTERMEDIÁRIO)</t>
        </is>
      </c>
      <c r="F915" s="118" t="n">
        <v>46715</v>
      </c>
      <c r="G915" s="118" t="n">
        <v>46728</v>
      </c>
      <c r="H915" s="118" t="n">
        <v>46289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IF(E915="","",IF(LEFT(E915,7)="SUBSOLO",-1,IF(LEFT(E915,6)="TÉRREO",0,IFERROR(VALUE(LEFT(E915,FIND("º",SUBSTITUTE(E915,"°","º"))-1)),""))))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30205860</v>
      </c>
      <c r="C916" s="4" t="inlineStr">
        <is>
          <t>INSTALAÇÕES DE INCÊNDIO</t>
        </is>
      </c>
      <c r="D916" s="4" t="inlineStr">
        <is>
          <t>-</t>
        </is>
      </c>
      <c r="E916" s="4" t="inlineStr">
        <is>
          <t>1º PAV. (INTERMEDIÁRIO)</t>
        </is>
      </c>
      <c r="F916" s="118" t="n">
        <v>46715</v>
      </c>
      <c r="G916" s="118" t="n">
        <v>46728</v>
      </c>
      <c r="H916" s="118" t="n">
        <v>46289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IF(E916="","",IF(LEFT(E916,7)="SUBSOLO",-1,IF(LEFT(E916,6)="TÉRREO",0,IFERROR(VALUE(LEFT(E916,FIND("º",SUBSTITUTE(E916,"°","º"))-1)),""))))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29981440</v>
      </c>
      <c r="C917" s="4" t="inlineStr">
        <is>
          <t>FORRO</t>
        </is>
      </c>
      <c r="D917" s="4" t="inlineStr">
        <is>
          <t>-</t>
        </is>
      </c>
      <c r="E917" s="4" t="inlineStr">
        <is>
          <t>10º PAV.</t>
        </is>
      </c>
      <c r="F917" s="118" t="n">
        <v>46716</v>
      </c>
      <c r="G917" s="118" t="n">
        <v>46728</v>
      </c>
      <c r="H917" s="118" t="n">
        <v>46289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IF(E917="","",IF(LEFT(E917,7)="SUBSOLO",-1,IF(LEFT(E917,6)="TÉRREO",0,IFERROR(VALUE(LEFT(E917,FIND("º",SUBSTITUTE(E917,"°","º"))-1)),""))))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29981401</v>
      </c>
      <c r="C918" s="4" t="inlineStr">
        <is>
          <t>FIAÇÃO ELÉTRICA</t>
        </is>
      </c>
      <c r="D918" s="4" t="inlineStr">
        <is>
          <t>-</t>
        </is>
      </c>
      <c r="E918" s="4" t="inlineStr">
        <is>
          <t>11º PAV.</t>
        </is>
      </c>
      <c r="F918" s="118" t="n">
        <v>46716</v>
      </c>
      <c r="G918" s="118" t="n">
        <v>46728</v>
      </c>
      <c r="H918" s="118" t="n">
        <v>46289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IF(E918="","",IF(LEFT(E918,7)="SUBSOLO",-1,IF(LEFT(E918,6)="TÉRREO",0,IFERROR(VALUE(LEFT(E918,FIND("º",SUBSTITUTE(E918,"°","º"))-1)),""))))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29981406</v>
      </c>
      <c r="C919" s="4" t="inlineStr">
        <is>
          <t>PRUMADA ELÉTRICA - CABOS</t>
        </is>
      </c>
      <c r="D919" s="4" t="inlineStr">
        <is>
          <t>-</t>
        </is>
      </c>
      <c r="E919" s="4" t="inlineStr">
        <is>
          <t>11º PAV.</t>
        </is>
      </c>
      <c r="F919" s="118" t="n">
        <v>46716</v>
      </c>
      <c r="G919" s="118" t="n">
        <v>46728</v>
      </c>
      <c r="H919" s="118" t="n">
        <v>46289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IF(E919="","",IF(LEFT(E919,7)="SUBSOLO",-1,IF(LEFT(E919,6)="TÉRREO",0,IFERROR(VALUE(LEFT(E919,FIND("º",SUBSTITUTE(E919,"°","º"))-1)),""))))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30214073</v>
      </c>
      <c r="C920" s="4" t="inlineStr">
        <is>
          <t>FIAÇÃO TELECOM/DADOS</t>
        </is>
      </c>
      <c r="D920" s="4" t="inlineStr">
        <is>
          <t>-</t>
        </is>
      </c>
      <c r="E920" s="4" t="inlineStr">
        <is>
          <t>11º PAV.</t>
        </is>
      </c>
      <c r="F920" s="118" t="n">
        <v>46716</v>
      </c>
      <c r="G920" s="118" t="n">
        <v>46730</v>
      </c>
      <c r="H920" s="118" t="n">
        <v>46289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IF(E920="","",IF(LEFT(E920,7)="SUBSOLO",-1,IF(LEFT(E920,6)="TÉRREO",0,IFERROR(VALUE(LEFT(E920,FIND("º",SUBSTITUTE(E920,"°","º"))-1)),""))))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29981348</v>
      </c>
      <c r="C921" s="4" t="inlineStr">
        <is>
          <t>BANCADAS</t>
        </is>
      </c>
      <c r="D921" s="4" t="inlineStr">
        <is>
          <t>-</t>
        </is>
      </c>
      <c r="E921" s="4" t="inlineStr">
        <is>
          <t>12º PAV.</t>
        </is>
      </c>
      <c r="F921" s="118" t="n">
        <v>46716</v>
      </c>
      <c r="G921" s="118" t="n">
        <v>46728</v>
      </c>
      <c r="H921" s="118" t="n">
        <v>46289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IF(E921="","",IF(LEFT(E921,7)="SUBSOLO",-1,IF(LEFT(E921,6)="TÉRREO",0,IFERROR(VALUE(LEFT(E921,FIND("º",SUBSTITUTE(E921,"°","º"))-1)),""))))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29981310</v>
      </c>
      <c r="C922" s="4" t="inlineStr">
        <is>
          <t>REVESTIMENTOS PORCELANATO PISO</t>
        </is>
      </c>
      <c r="D922" s="4" t="inlineStr">
        <is>
          <t>-</t>
        </is>
      </c>
      <c r="E922" s="4" t="inlineStr">
        <is>
          <t>13º PAV.</t>
        </is>
      </c>
      <c r="F922" s="118" t="n">
        <v>46716</v>
      </c>
      <c r="G922" s="118" t="n">
        <v>46728</v>
      </c>
      <c r="H922" s="118" t="n">
        <v>46289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IF(E922="","",IF(LEFT(E922,7)="SUBSOLO",-1,IF(LEFT(E922,6)="TÉRREO",0,IFERROR(VALUE(LEFT(E922,FIND("º",SUBSTITUTE(E922,"°","º"))-1)),""))))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29981289</v>
      </c>
      <c r="C923" s="4" t="inlineStr">
        <is>
          <t>REVESTIMENTO PORCELANATO PAREDE</t>
        </is>
      </c>
      <c r="D923" s="4" t="inlineStr">
        <is>
          <t>-</t>
        </is>
      </c>
      <c r="E923" s="4" t="inlineStr">
        <is>
          <t>14º PAV.</t>
        </is>
      </c>
      <c r="F923" s="118" t="n">
        <v>46716</v>
      </c>
      <c r="G923" s="118" t="n">
        <v>46728</v>
      </c>
      <c r="H923" s="118" t="n">
        <v>46289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IF(E923="","",IF(LEFT(E923,7)="SUBSOLO",-1,IF(LEFT(E923,6)="TÉRREO",0,IFERROR(VALUE(LEFT(E923,FIND("º",SUBSTITUTE(E923,"°","º"))-1)),""))))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29981250</v>
      </c>
      <c r="C924" s="4" t="inlineStr">
        <is>
          <t>IMPERMEABILIZAÇÃO</t>
        </is>
      </c>
      <c r="D924" s="4" t="inlineStr">
        <is>
          <t>-</t>
        </is>
      </c>
      <c r="E924" s="4" t="inlineStr">
        <is>
          <t>15º PAV.</t>
        </is>
      </c>
      <c r="F924" s="118" t="n">
        <v>46716</v>
      </c>
      <c r="G924" s="118" t="n">
        <v>46728</v>
      </c>
      <c r="H924" s="118" t="n">
        <v>46289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IF(E924="","",IF(LEFT(E924,7)="SUBSOLO",-1,IF(LEFT(E924,6)="TÉRREO",0,IFERROR(VALUE(LEFT(E924,FIND("º",SUBSTITUTE(E924,"°","º"))-1)),""))))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32750442</v>
      </c>
      <c r="C925" s="4" t="inlineStr">
        <is>
          <t>DRYWALL 2º FACE</t>
        </is>
      </c>
      <c r="D925" s="4" t="inlineStr">
        <is>
          <t>-</t>
        </is>
      </c>
      <c r="E925" s="4" t="inlineStr">
        <is>
          <t>16º PAV.</t>
        </is>
      </c>
      <c r="F925" s="118" t="n">
        <v>46716</v>
      </c>
      <c r="G925" s="118" t="n">
        <v>46728</v>
      </c>
      <c r="H925" s="118" t="n">
        <v>46289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IF(E925="","",IF(LEFT(E925,7)="SUBSOLO",-1,IF(LEFT(E925,6)="TÉRREO",0,IFERROR(VALUE(LEFT(E925,FIND("º",SUBSTITUTE(E925,"°","º"))-1)),""))))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32750365</v>
      </c>
      <c r="C926" s="4" t="inlineStr">
        <is>
          <t>DISTRIBUIÇÃO DE GÁS - DRYWALL</t>
        </is>
      </c>
      <c r="D926" s="4" t="inlineStr">
        <is>
          <t>-</t>
        </is>
      </c>
      <c r="E926" s="4" t="inlineStr">
        <is>
          <t>17º PAV.</t>
        </is>
      </c>
      <c r="F926" s="118" t="n">
        <v>46716</v>
      </c>
      <c r="G926" s="118" t="n">
        <v>46728</v>
      </c>
      <c r="H926" s="118" t="n">
        <v>46289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IF(E926="","",IF(LEFT(E926,7)="SUBSOLO",-1,IF(LEFT(E926,6)="TÉRREO",0,IFERROR(VALUE(LEFT(E926,FIND("º",SUBSTITUTE(E926,"°","º"))-1)),""))))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32750391</v>
      </c>
      <c r="C927" s="4" t="inlineStr">
        <is>
          <t>DISTRIBUIÇÃO ELÉTRICA/QUADRO - DRYWALL</t>
        </is>
      </c>
      <c r="D927" s="4" t="inlineStr">
        <is>
          <t>-</t>
        </is>
      </c>
      <c r="E927" s="4" t="inlineStr">
        <is>
          <t>17º PAV.</t>
        </is>
      </c>
      <c r="F927" s="118" t="n">
        <v>46716</v>
      </c>
      <c r="G927" s="118" t="n">
        <v>46728</v>
      </c>
      <c r="H927" s="118" t="n">
        <v>46289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IF(E927="","",IF(LEFT(E927,7)="SUBSOLO",-1,IF(LEFT(E927,6)="TÉRREO",0,IFERROR(VALUE(LEFT(E927,FIND("º",SUBSTITUTE(E927,"°","º"))-1)),""))))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32750417</v>
      </c>
      <c r="C928" s="4" t="inlineStr">
        <is>
          <t>DISTRIBUIÇÃO HIDRÁULICA - DRYWALL</t>
        </is>
      </c>
      <c r="D928" s="4" t="inlineStr">
        <is>
          <t>-</t>
        </is>
      </c>
      <c r="E928" s="4" t="inlineStr">
        <is>
          <t>17º PAV.</t>
        </is>
      </c>
      <c r="F928" s="118" t="n">
        <v>46716</v>
      </c>
      <c r="G928" s="118" t="n">
        <v>46728</v>
      </c>
      <c r="H928" s="118" t="n">
        <v>46289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IF(E928="","",IF(LEFT(E928,7)="SUBSOLO",-1,IF(LEFT(E928,6)="TÉRREO",0,IFERROR(VALUE(LEFT(E928,FIND("º",SUBSTITUTE(E928,"°","º"))-1)),""))))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33896835</v>
      </c>
      <c r="C929" s="4" t="inlineStr">
        <is>
          <t>INFRAESTRUTURA - AR CONDICIONADO</t>
        </is>
      </c>
      <c r="D929" s="4" t="inlineStr">
        <is>
          <t>-</t>
        </is>
      </c>
      <c r="E929" s="4" t="inlineStr">
        <is>
          <t>17º PAV.</t>
        </is>
      </c>
      <c r="F929" s="118" t="n">
        <v>46716</v>
      </c>
      <c r="G929" s="118" t="n">
        <v>46728</v>
      </c>
      <c r="H929" s="118" t="n">
        <v>46289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IF(E929="","",IF(LEFT(E929,7)="SUBSOLO",-1,IF(LEFT(E929,6)="TÉRREO",0,IFERROR(VALUE(LEFT(E929,FIND("º",SUBSTITUTE(E929,"°","º"))-1)),""))))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32749861</v>
      </c>
      <c r="C930" s="4" t="inlineStr">
        <is>
          <t>DRYWALL 1º FACE</t>
        </is>
      </c>
      <c r="D930" s="4" t="inlineStr">
        <is>
          <t>-</t>
        </is>
      </c>
      <c r="E930" s="4" t="inlineStr">
        <is>
          <t>18º PAV.</t>
        </is>
      </c>
      <c r="F930" s="118" t="n">
        <v>46716</v>
      </c>
      <c r="G930" s="118" t="n">
        <v>46728</v>
      </c>
      <c r="H930" s="118" t="n">
        <v>46289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IF(E930="","",IF(LEFT(E930,7)="SUBSOLO",-1,IF(LEFT(E930,6)="TÉRREO",0,IFERROR(VALUE(LEFT(E930,FIND("º",SUBSTITUTE(E930,"°","º"))-1)),""))))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29981066</v>
      </c>
      <c r="C931" s="4" t="inlineStr">
        <is>
          <t>CONTRAPISO</t>
        </is>
      </c>
      <c r="D931" s="4" t="inlineStr">
        <is>
          <t>-</t>
        </is>
      </c>
      <c r="E931" s="4" t="inlineStr">
        <is>
          <t>20º PAV.</t>
        </is>
      </c>
      <c r="F931" s="118" t="n">
        <v>46716</v>
      </c>
      <c r="G931" s="118" t="n">
        <v>46728</v>
      </c>
      <c r="H931" s="118" t="n">
        <v>46289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IF(E931="","",IF(LEFT(E931,7)="SUBSOLO",-1,IF(LEFT(E931,6)="TÉRREO",0,IFERROR(VALUE(LEFT(E931,FIND("º",SUBSTITUTE(E931,"°","º"))-1)),""))))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29981006</v>
      </c>
      <c r="C932" s="4" t="inlineStr">
        <is>
          <t>SHAFT INTERNO INST. HIDRAÚLICAS</t>
        </is>
      </c>
      <c r="D932" s="4" t="inlineStr">
        <is>
          <t>-</t>
        </is>
      </c>
      <c r="E932" s="4" t="inlineStr">
        <is>
          <t>21º PAV.</t>
        </is>
      </c>
      <c r="F932" s="118" t="n">
        <v>46716</v>
      </c>
      <c r="G932" s="118" t="n">
        <v>46728</v>
      </c>
      <c r="H932" s="118" t="n">
        <v>46289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IF(E932="","",IF(LEFT(E932,7)="SUBSOLO",-1,IF(LEFT(E932,6)="TÉRREO",0,IFERROR(VALUE(LEFT(E932,FIND("º",SUBSTITUTE(E932,"°","º"))-1)),""))))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29981039</v>
      </c>
      <c r="C933" s="4" t="inlineStr">
        <is>
          <t>PRUMADA ELÉTRICA - INFRA</t>
        </is>
      </c>
      <c r="D933" s="4" t="inlineStr">
        <is>
          <t>-</t>
        </is>
      </c>
      <c r="E933" s="4" t="inlineStr">
        <is>
          <t>21º PAV.</t>
        </is>
      </c>
      <c r="F933" s="118" t="n">
        <v>46716</v>
      </c>
      <c r="G933" s="118" t="n">
        <v>46728</v>
      </c>
      <c r="H933" s="118" t="n">
        <v>46289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IF(E933="","",IF(LEFT(E933,7)="SUBSOLO",-1,IF(LEFT(E933,6)="TÉRREO",0,IFERROR(VALUE(LEFT(E933,FIND("º",SUBSTITUTE(E933,"°","º"))-1)),""))))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29980968</v>
      </c>
      <c r="C934" s="4" t="inlineStr">
        <is>
          <t>REBOCO INTERNO</t>
        </is>
      </c>
      <c r="D934" s="4" t="inlineStr">
        <is>
          <t>-</t>
        </is>
      </c>
      <c r="E934" s="4" t="inlineStr">
        <is>
          <t>22º PAV.</t>
        </is>
      </c>
      <c r="F934" s="118" t="n">
        <v>46716</v>
      </c>
      <c r="G934" s="118" t="n">
        <v>46728</v>
      </c>
      <c r="H934" s="118" t="n">
        <v>46289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IF(E934="","",IF(LEFT(E934,7)="SUBSOLO",-1,IF(LEFT(E934,6)="TÉRREO",0,IFERROR(VALUE(LEFT(E934,FIND("º",SUBSTITUTE(E934,"°","º"))-1)),""))))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29980934</v>
      </c>
      <c r="C935" s="4" t="inlineStr">
        <is>
          <t>CONTRAMARCO</t>
        </is>
      </c>
      <c r="D935" s="4" t="inlineStr">
        <is>
          <t>-</t>
        </is>
      </c>
      <c r="E935" s="4" t="inlineStr">
        <is>
          <t>23º PAV.</t>
        </is>
      </c>
      <c r="F935" s="118" t="n">
        <v>46716</v>
      </c>
      <c r="G935" s="118" t="n">
        <v>46728</v>
      </c>
      <c r="H935" s="118" t="n">
        <v>46289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IF(E935="","",IF(LEFT(E935,7)="SUBSOLO",-1,IF(LEFT(E935,6)="TÉRREO",0,IFERROR(VALUE(LEFT(E935,FIND("º",SUBSTITUTE(E935,"°","º"))-1)),""))))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29980927</v>
      </c>
      <c r="C936" s="4" t="inlineStr">
        <is>
          <t>DISTRIBUIÇÃO HIDROSSANITÁRIA</t>
        </is>
      </c>
      <c r="D936" s="4" t="inlineStr">
        <is>
          <t>-</t>
        </is>
      </c>
      <c r="E936" s="4" t="inlineStr">
        <is>
          <t>24º PAV.</t>
        </is>
      </c>
      <c r="F936" s="118" t="n">
        <v>46716</v>
      </c>
      <c r="G936" s="118" t="n">
        <v>46728</v>
      </c>
      <c r="H936" s="118" t="n">
        <v>46289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IF(E936="","",IF(LEFT(E936,7)="SUBSOLO",-1,IF(LEFT(E936,6)="TÉRREO",0,IFERROR(VALUE(LEFT(E936,FIND("º",SUBSTITUTE(E936,"°","º"))-1)),""))))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29980896</v>
      </c>
      <c r="C937" s="4" t="inlineStr">
        <is>
          <t>DISTRIBUIÇÃO ELÉTRICA / QUADRO</t>
        </is>
      </c>
      <c r="D937" s="4" t="inlineStr">
        <is>
          <t>-</t>
        </is>
      </c>
      <c r="E937" s="4" t="inlineStr">
        <is>
          <t>24º PAV.</t>
        </is>
      </c>
      <c r="F937" s="118" t="n">
        <v>46716</v>
      </c>
      <c r="G937" s="118" t="n">
        <v>46728</v>
      </c>
      <c r="H937" s="118" t="n">
        <v>46289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IF(E937="","",IF(LEFT(E937,7)="SUBSOLO",-1,IF(LEFT(E937,6)="TÉRREO",0,IFERROR(VALUE(LEFT(E937,FIND("º",SUBSTITUTE(E937,"°","º"))-1)),""))))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29980929</v>
      </c>
      <c r="C938" s="4" t="inlineStr">
        <is>
          <t>DISTRIBUIÇÃO DE GÁS</t>
        </is>
      </c>
      <c r="D938" s="4" t="inlineStr">
        <is>
          <t>-</t>
        </is>
      </c>
      <c r="E938" s="4" t="inlineStr">
        <is>
          <t>24º PAV.</t>
        </is>
      </c>
      <c r="F938" s="118" t="n">
        <v>46716</v>
      </c>
      <c r="G938" s="118" t="n">
        <v>46728</v>
      </c>
      <c r="H938" s="118" t="n">
        <v>46289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IF(E938="","",IF(LEFT(E938,7)="SUBSOLO",-1,IF(LEFT(E938,6)="TÉRREO",0,IFERROR(VALUE(LEFT(E938,FIND("º",SUBSTITUTE(E938,"°","º"))-1)),""))))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29980876</v>
      </c>
      <c r="C939" s="4" t="inlineStr">
        <is>
          <t>TALISCAMENTO</t>
        </is>
      </c>
      <c r="D939" s="4" t="inlineStr">
        <is>
          <t>-</t>
        </is>
      </c>
      <c r="E939" s="4" t="inlineStr">
        <is>
          <t>25º PAV.</t>
        </is>
      </c>
      <c r="F939" s="118" t="n">
        <v>46716</v>
      </c>
      <c r="G939" s="118" t="n">
        <v>46728</v>
      </c>
      <c r="H939" s="118" t="n">
        <v>46289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IF(E939="","",IF(LEFT(E939,7)="SUBSOLO",-1,IF(LEFT(E939,6)="TÉRREO",0,IFERROR(VALUE(LEFT(E939,FIND("º",SUBSTITUTE(E939,"°","º"))-1)),""))))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29980842</v>
      </c>
      <c r="C940" s="4" t="inlineStr">
        <is>
          <t>PRUMADA HIDROSSANITÁRIA</t>
        </is>
      </c>
      <c r="D940" s="4" t="inlineStr">
        <is>
          <t>-</t>
        </is>
      </c>
      <c r="E940" s="4" t="inlineStr">
        <is>
          <t>26º PAV.</t>
        </is>
      </c>
      <c r="F940" s="118" t="n">
        <v>46716</v>
      </c>
      <c r="G940" s="118" t="n">
        <v>46728</v>
      </c>
      <c r="H940" s="118" t="n">
        <v>46289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IF(E940="","",IF(LEFT(E940,7)="SUBSOLO",-1,IF(LEFT(E940,6)="TÉRREO",0,IFERROR(VALUE(LEFT(E940,FIND("º",SUBSTITUTE(E940,"°","º"))-1)),""))))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29980841</v>
      </c>
      <c r="C941" s="4" t="inlineStr">
        <is>
          <t>ENCUNHAMENTO</t>
        </is>
      </c>
      <c r="D941" s="4" t="inlineStr">
        <is>
          <t>-</t>
        </is>
      </c>
      <c r="E941" s="4" t="inlineStr">
        <is>
          <t>26º PAV.</t>
        </is>
      </c>
      <c r="F941" s="118" t="n">
        <v>46720</v>
      </c>
      <c r="G941" s="118" t="n">
        <v>46731</v>
      </c>
      <c r="H941" s="118" t="n">
        <v>46289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IF(E941="","",IF(LEFT(E941,7)="SUBSOLO",-1,IF(LEFT(E941,6)="TÉRREO",0,IFERROR(VALUE(LEFT(E941,FIND("º",SUBSTITUTE(E941,"°","º"))-1)),""))))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29941041</v>
      </c>
      <c r="C942" s="4" t="inlineStr">
        <is>
          <t>ESTRUTURA</t>
        </is>
      </c>
      <c r="D942" s="4" t="inlineStr">
        <is>
          <t>-</t>
        </is>
      </c>
      <c r="E942" s="4" t="inlineStr">
        <is>
          <t>31º PAV. - COBERTURA LINEAR</t>
        </is>
      </c>
      <c r="F942" s="118" t="n">
        <v>46720</v>
      </c>
      <c r="G942" s="118" t="n">
        <v>46736</v>
      </c>
      <c r="H942" s="118" t="n">
        <v>46289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IF(E942="","",IF(LEFT(E942,7)="SUBSOLO",-1,IF(LEFT(E942,6)="TÉRREO",0,IFERROR(VALUE(LEFT(E942,FIND("º",SUBSTITUTE(E942,"°","º"))-1)),""))))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31529078</v>
      </c>
      <c r="C943" s="4" t="inlineStr">
        <is>
          <t>ESTRUTURA</t>
        </is>
      </c>
      <c r="D943" s="4" t="inlineStr">
        <is>
          <t>Forma</t>
        </is>
      </c>
      <c r="E943" s="4" t="inlineStr">
        <is>
          <t>31º PAV. - COBERTURA LINEAR</t>
        </is>
      </c>
      <c r="F943" s="118" t="n">
        <v>46720</v>
      </c>
      <c r="G943" s="118" t="n">
        <v>46728</v>
      </c>
      <c r="H943" s="118" t="n">
        <v>46289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IF(E943="","",IF(LEFT(E943,7)="SUBSOLO",-1,IF(LEFT(E943,6)="TÉRREO",0,IFERROR(VALUE(LEFT(E943,FIND("º",SUBSTITUTE(E943,"°","º"))-1)),""))))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31529079</v>
      </c>
      <c r="C944" s="4" t="inlineStr">
        <is>
          <t>ESTRUTURA</t>
        </is>
      </c>
      <c r="D944" s="4" t="inlineStr">
        <is>
          <t>Armação</t>
        </is>
      </c>
      <c r="E944" s="4" t="inlineStr">
        <is>
          <t>31º PAV. - COBERTURA LINEAR</t>
        </is>
      </c>
      <c r="F944" s="118" t="n">
        <v>46730</v>
      </c>
      <c r="G944" s="118" t="n">
        <v>46735</v>
      </c>
      <c r="H944" s="118" t="n">
        <v>46289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IF(E944="","",IF(LEFT(E944,7)="SUBSOLO",-1,IF(LEFT(E944,6)="TÉRREO",0,IFERROR(VALUE(LEFT(E944,FIND("º",SUBSTITUTE(E944,"°","º"))-1)),""))))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31529080</v>
      </c>
      <c r="C945" s="4" t="inlineStr">
        <is>
          <t>ESTRUTURA</t>
        </is>
      </c>
      <c r="D945" s="4" t="inlineStr">
        <is>
          <t>Concretagem</t>
        </is>
      </c>
      <c r="E945" s="4" t="inlineStr">
        <is>
          <t>31º PAV. - COBERTURA LINEAR</t>
        </is>
      </c>
      <c r="F945" s="118" t="n">
        <v>46736</v>
      </c>
      <c r="G945" s="118" t="n">
        <v>46736</v>
      </c>
      <c r="H945" s="118" t="n">
        <v>46289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IF(E945="","",IF(LEFT(E945,7)="SUBSOLO",-1,IF(LEFT(E945,6)="TÉRREO",0,IFERROR(VALUE(LEFT(E945,FIND("º",SUBSTITUTE(E945,"°","º"))-1)),""))))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31529081</v>
      </c>
      <c r="C946" s="4" t="inlineStr">
        <is>
          <t>ESTRUTURA</t>
        </is>
      </c>
      <c r="D946" s="4" t="inlineStr">
        <is>
          <t>Polimento</t>
        </is>
      </c>
      <c r="E946" s="4" t="inlineStr">
        <is>
          <t>31º PAV. - COBERTURA LINEAR</t>
        </is>
      </c>
      <c r="F946" s="118" t="n">
        <v>46736</v>
      </c>
      <c r="G946" s="118" t="n">
        <v>46736</v>
      </c>
      <c r="H946" s="118" t="n">
        <v>46289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IF(E946="","",IF(LEFT(E946,7)="SUBSOLO",-1,IF(LEFT(E946,6)="TÉRREO",0,IFERROR(VALUE(LEFT(E946,FIND("º",SUBSTITUTE(E946,"°","º"))-1)),""))))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34179690</v>
      </c>
      <c r="C947" s="4" t="inlineStr">
        <is>
          <t>PASSEIOS, MURETAS E RAMPAS</t>
        </is>
      </c>
      <c r="D947" s="4" t="inlineStr">
        <is>
          <t>-</t>
        </is>
      </c>
      <c r="E947" s="4" t="inlineStr">
        <is>
          <t>TÉRREO ÁREA EXTERNA - COMERCIAL</t>
        </is>
      </c>
      <c r="F947" s="118" t="n">
        <v>46721</v>
      </c>
      <c r="G947" s="118" t="n">
        <v>46821</v>
      </c>
      <c r="H947" s="118" t="n">
        <v>46289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IF(E947="","",IF(LEFT(E947,7)="SUBSOLO",-1,IF(LEFT(E947,6)="TÉRREO",0,IFERROR(VALUE(LEFT(E947,FIND("º",SUBSTITUTE(E947,"°","º"))-1)),""))))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30205760</v>
      </c>
      <c r="C948" s="4" t="inlineStr">
        <is>
          <t>PASSEIOS, MURETAS E RAMPAS</t>
        </is>
      </c>
      <c r="D948" s="4" t="inlineStr">
        <is>
          <t>-</t>
        </is>
      </c>
      <c r="E948" s="4" t="inlineStr">
        <is>
          <t>TÉRREO - ÁREA EXTERNA RESIDENCIAL</t>
        </is>
      </c>
      <c r="F948" s="118" t="n">
        <v>46721</v>
      </c>
      <c r="G948" s="118" t="n">
        <v>46821</v>
      </c>
      <c r="H948" s="118" t="n">
        <v>46289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IF(E948="","",IF(LEFT(E948,7)="SUBSOLO",-1,IF(LEFT(E948,6)="TÉRREO",0,IFERROR(VALUE(LEFT(E948,FIND("º",SUBSTITUTE(E948,"°","º"))-1)),""))))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30205749</v>
      </c>
      <c r="C949" s="4" t="inlineStr">
        <is>
          <t>REVESTIMENTO PORCELANATO PAREDE</t>
        </is>
      </c>
      <c r="D949" s="4" t="inlineStr">
        <is>
          <t>-</t>
        </is>
      </c>
      <c r="E949" s="4" t="inlineStr">
        <is>
          <t>SUBSOLO</t>
        </is>
      </c>
      <c r="F949" s="118" t="n">
        <v>46723</v>
      </c>
      <c r="G949" s="118" t="n">
        <v>46737</v>
      </c>
      <c r="H949" s="118" t="n">
        <v>46289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IF(E949="","",IF(LEFT(E949,7)="SUBSOLO",-1,IF(LEFT(E949,6)="TÉRREO",0,IFERROR(VALUE(LEFT(E949,FIND("º",SUBSTITUTE(E949,"°","º"))-1)),""))))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29980815</v>
      </c>
      <c r="C950" s="4" t="inlineStr">
        <is>
          <t>PRUMADA DE INCÊNDIO</t>
        </is>
      </c>
      <c r="D950" s="4" t="inlineStr">
        <is>
          <t>-</t>
        </is>
      </c>
      <c r="E950" s="4" t="inlineStr">
        <is>
          <t>27º PAV.</t>
        </is>
      </c>
      <c r="F950" s="118" t="n">
        <v>46723</v>
      </c>
      <c r="G950" s="118" t="n">
        <v>46736</v>
      </c>
      <c r="H950" s="118" t="n">
        <v>46289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IF(E950="","",IF(LEFT(E950,7)="SUBSOLO",-1,IF(LEFT(E950,6)="TÉRREO",0,IFERROR(VALUE(LEFT(E950,FIND("º",SUBSTITUTE(E950,"°","º"))-1)),""))))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29980766</v>
      </c>
      <c r="C951" s="4" t="inlineStr">
        <is>
          <t>ALVENARIA</t>
        </is>
      </c>
      <c r="D951" s="4" t="inlineStr">
        <is>
          <t>-</t>
        </is>
      </c>
      <c r="E951" s="4" t="inlineStr">
        <is>
          <t>28º PAV.</t>
        </is>
      </c>
      <c r="F951" s="118" t="n">
        <v>46723</v>
      </c>
      <c r="G951" s="118" t="n">
        <v>46736</v>
      </c>
      <c r="H951" s="118" t="n">
        <v>46289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IF(E951="","",IF(LEFT(E951,7)="SUBSOLO",-1,IF(LEFT(E951,6)="TÉRREO",0,IFERROR(VALUE(LEFT(E951,FIND("º",SUBSTITUTE(E951,"°","º"))-1)),""))))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33898087</v>
      </c>
      <c r="C952" s="4" t="inlineStr">
        <is>
          <t>ESQUADRIA DE ALUMÍNIO</t>
        </is>
      </c>
      <c r="D952" s="4" t="inlineStr">
        <is>
          <t>-</t>
        </is>
      </c>
      <c r="E952" s="4" t="inlineStr">
        <is>
          <t>7º PAV.</t>
        </is>
      </c>
      <c r="F952" s="118" t="n">
        <v>46728</v>
      </c>
      <c r="G952" s="118" t="n">
        <v>46741</v>
      </c>
      <c r="H952" s="118" t="n">
        <v>46289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IF(E952="","",IF(LEFT(E952,7)="SUBSOLO",-1,IF(LEFT(E952,6)="TÉRREO",0,IFERROR(VALUE(LEFT(E952,FIND("º",SUBSTITUTE(E952,"°","º"))-1)),""))))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30205679</v>
      </c>
      <c r="C953" s="4" t="inlineStr">
        <is>
          <t>MASSA CORRIDA</t>
        </is>
      </c>
      <c r="D953" s="4" t="inlineStr">
        <is>
          <t>-</t>
        </is>
      </c>
      <c r="E953" s="4" t="inlineStr">
        <is>
          <t>TÉRREO - LOJA 2</t>
        </is>
      </c>
      <c r="F953" s="118" t="n">
        <v>46730</v>
      </c>
      <c r="G953" s="118" t="n">
        <v>46743</v>
      </c>
      <c r="H953" s="118" t="n">
        <v>46289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IF(E953="","",IF(LEFT(E953,7)="SUBSOLO",-1,IF(LEFT(E953,6)="TÉRREO",0,IFERROR(VALUE(LEFT(E953,FIND("º",SUBSTITUTE(E953,"°","º"))-1)),""))))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30205649</v>
      </c>
      <c r="C954" s="4" t="inlineStr">
        <is>
          <t>FORRO</t>
        </is>
      </c>
      <c r="D954" s="4" t="inlineStr">
        <is>
          <t>-</t>
        </is>
      </c>
      <c r="E954" s="4" t="inlineStr">
        <is>
          <t>TÉRREO - LOJA 3</t>
        </is>
      </c>
      <c r="F954" s="118" t="n">
        <v>46730</v>
      </c>
      <c r="G954" s="118" t="n">
        <v>46743</v>
      </c>
      <c r="H954" s="118" t="n">
        <v>46289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IF(E954="","",IF(LEFT(E954,7)="SUBSOLO",-1,IF(LEFT(E954,6)="TÉRREO",0,IFERROR(VALUE(LEFT(E954,FIND("º",SUBSTITUTE(E954,"°","º"))-1)),""))))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30205621</v>
      </c>
      <c r="C955" s="4" t="inlineStr">
        <is>
          <t>BANCADAS</t>
        </is>
      </c>
      <c r="D955" s="4" t="inlineStr">
        <is>
          <t>-</t>
        </is>
      </c>
      <c r="E955" s="4" t="inlineStr">
        <is>
          <t>TÉRREO - LOJA 4</t>
        </is>
      </c>
      <c r="F955" s="118" t="n">
        <v>46730</v>
      </c>
      <c r="G955" s="118" t="n">
        <v>46743</v>
      </c>
      <c r="H955" s="118" t="n">
        <v>46289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IF(E955="","",IF(LEFT(E955,7)="SUBSOLO",-1,IF(LEFT(E955,6)="TÉRREO",0,IFERROR(VALUE(LEFT(E955,FIND("º",SUBSTITUTE(E955,"°","º"))-1)),""))))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30205596</v>
      </c>
      <c r="C956" s="4" t="inlineStr">
        <is>
          <t>REVESTIMENTOS PORCELANATO PISO</t>
        </is>
      </c>
      <c r="D956" s="4" t="inlineStr">
        <is>
          <t>-</t>
        </is>
      </c>
      <c r="E956" s="4" t="inlineStr">
        <is>
          <t>TÉRREO - LOJA 5</t>
        </is>
      </c>
      <c r="F956" s="118" t="n">
        <v>46730</v>
      </c>
      <c r="G956" s="118" t="n">
        <v>46743</v>
      </c>
      <c r="H956" s="118" t="n">
        <v>46289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IF(E956="","",IF(LEFT(E956,7)="SUBSOLO",-1,IF(LEFT(E956,6)="TÉRREO",0,IFERROR(VALUE(LEFT(E956,FIND("º",SUBSTITUTE(E956,"°","º"))-1)),""))))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30205573</v>
      </c>
      <c r="C957" s="4" t="inlineStr">
        <is>
          <t>REVESTIMENTO PORCELANATO PAREDE</t>
        </is>
      </c>
      <c r="D957" s="4" t="inlineStr">
        <is>
          <t>-</t>
        </is>
      </c>
      <c r="E957" s="4" t="inlineStr">
        <is>
          <t>TÉRREO - LOJA 6</t>
        </is>
      </c>
      <c r="F957" s="118" t="n">
        <v>46730</v>
      </c>
      <c r="G957" s="118" t="n">
        <v>46743</v>
      </c>
      <c r="H957" s="118" t="n">
        <v>46289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IF(E957="","",IF(LEFT(E957,7)="SUBSOLO",-1,IF(LEFT(E957,6)="TÉRREO",0,IFERROR(VALUE(LEFT(E957,FIND("º",SUBSTITUTE(E957,"°","º"))-1)),""))))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30205539</v>
      </c>
      <c r="C958" s="4" t="inlineStr">
        <is>
          <t>DRYWALL</t>
        </is>
      </c>
      <c r="D958" s="4" t="inlineStr">
        <is>
          <t>-</t>
        </is>
      </c>
      <c r="E958" s="4" t="inlineStr">
        <is>
          <t>TÉRREO - LOJA 7</t>
        </is>
      </c>
      <c r="F958" s="118" t="n">
        <v>46730</v>
      </c>
      <c r="G958" s="118" t="n">
        <v>46743</v>
      </c>
      <c r="H958" s="118" t="n">
        <v>46289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IF(E958="","",IF(LEFT(E958,7)="SUBSOLO",-1,IF(LEFT(E958,6)="TÉRREO",0,IFERROR(VALUE(LEFT(E958,FIND("º",SUBSTITUTE(E958,"°","º"))-1)),""))))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30205788</v>
      </c>
      <c r="C959" s="4" t="inlineStr">
        <is>
          <t>REBOCO INTERNO</t>
        </is>
      </c>
      <c r="D959" s="4" t="inlineStr">
        <is>
          <t>-</t>
        </is>
      </c>
      <c r="E959" s="4" t="inlineStr">
        <is>
          <t>TÉRREO - ACESSO COMERCIAL + DML + ARS + ÁREA TEC + LAVABO + DISPENSA</t>
        </is>
      </c>
      <c r="F959" s="118" t="n">
        <v>46730</v>
      </c>
      <c r="G959" s="118" t="n">
        <v>46758</v>
      </c>
      <c r="H959" s="118" t="n">
        <v>46289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IF(E959="","",IF(LEFT(E959,7)="SUBSOLO",-1,IF(LEFT(E959,6)="TÉRREO",0,IFERROR(VALUE(LEFT(E959,FIND("º",SUBSTITUTE(E959,"°","º"))-1)),""))))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30205811</v>
      </c>
      <c r="C960" s="4" t="inlineStr">
        <is>
          <t>DISTRIBUIÇÃO ELÉTRICA / QUADRO</t>
        </is>
      </c>
      <c r="D960" s="4" t="inlineStr">
        <is>
          <t>-</t>
        </is>
      </c>
      <c r="E960" s="4" t="inlineStr">
        <is>
          <t>TÉRREO - HALL SOCIAL + ECLUSA + CIRCULAÇÃO</t>
        </is>
      </c>
      <c r="F960" s="118" t="n">
        <v>46730</v>
      </c>
      <c r="G960" s="118" t="n">
        <v>46738</v>
      </c>
      <c r="H960" s="118" t="n">
        <v>46289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IF(E960="","",IF(LEFT(E960,7)="SUBSOLO",-1,IF(LEFT(E960,6)="TÉRREO",0,IFERROR(VALUE(LEFT(E960,FIND("º",SUBSTITUTE(E960,"°","º"))-1)),""))))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30205812</v>
      </c>
      <c r="C961" s="4" t="inlineStr">
        <is>
          <t>DISTRIBUIÇÃO HIDRÁULICA</t>
        </is>
      </c>
      <c r="D961" s="4" t="inlineStr">
        <is>
          <t>-</t>
        </is>
      </c>
      <c r="E961" s="4" t="inlineStr">
        <is>
          <t>TÉRREO - HALL SOCIAL + ECLUSA + CIRCULAÇÃO</t>
        </is>
      </c>
      <c r="F961" s="118" t="n">
        <v>46730</v>
      </c>
      <c r="G961" s="118" t="n">
        <v>46743</v>
      </c>
      <c r="H961" s="118" t="n">
        <v>46289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IF(E961="","",IF(LEFT(E961,7)="SUBSOLO",-1,IF(LEFT(E961,6)="TÉRREO",0,IFERROR(VALUE(LEFT(E961,FIND("º",SUBSTITUTE(E961,"°","º"))-1)),""))))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30205841</v>
      </c>
      <c r="C962" s="4" t="inlineStr">
        <is>
          <t>TALISCAMENTO</t>
        </is>
      </c>
      <c r="D962" s="4" t="inlineStr">
        <is>
          <t>-</t>
        </is>
      </c>
      <c r="E962" s="4" t="inlineStr">
        <is>
          <t>1º PAV. (INTERMEDIÁRIO)</t>
        </is>
      </c>
      <c r="F962" s="118" t="n">
        <v>46730</v>
      </c>
      <c r="G962" s="118" t="n">
        <v>46743</v>
      </c>
      <c r="H962" s="118" t="n">
        <v>46289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IF(E962="","",IF(LEFT(E962,7)="SUBSOLO",-1,IF(LEFT(E962,6)="TÉRREO",0,IFERROR(VALUE(LEFT(E962,FIND("º",SUBSTITUTE(E962,"°","º"))-1)),""))))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29981403</v>
      </c>
      <c r="C963" s="4" t="inlineStr">
        <is>
          <t>FORRO</t>
        </is>
      </c>
      <c r="D963" s="4" t="inlineStr">
        <is>
          <t>-</t>
        </is>
      </c>
      <c r="E963" s="4" t="inlineStr">
        <is>
          <t>11º PAV.</t>
        </is>
      </c>
      <c r="F963" s="118" t="n">
        <v>46730</v>
      </c>
      <c r="G963" s="118" t="n">
        <v>46742</v>
      </c>
      <c r="H963" s="118" t="n">
        <v>46289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IF(E963="","",IF(LEFT(E963,7)="SUBSOLO",-1,IF(LEFT(E963,6)="TÉRREO",0,IFERROR(VALUE(LEFT(E963,FIND("º",SUBSTITUTE(E963,"°","º"))-1)),""))))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29981364</v>
      </c>
      <c r="C964" s="4" t="inlineStr">
        <is>
          <t>FIAÇÃO ELÉTRICA</t>
        </is>
      </c>
      <c r="D964" s="4" t="inlineStr">
        <is>
          <t>-</t>
        </is>
      </c>
      <c r="E964" s="4" t="inlineStr">
        <is>
          <t>12º PAV.</t>
        </is>
      </c>
      <c r="F964" s="118" t="n">
        <v>46730</v>
      </c>
      <c r="G964" s="118" t="n">
        <v>46742</v>
      </c>
      <c r="H964" s="118" t="n">
        <v>46289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IF(E964="","",IF(LEFT(E964,7)="SUBSOLO",-1,IF(LEFT(E964,6)="TÉRREO",0,IFERROR(VALUE(LEFT(E964,FIND("º",SUBSTITUTE(E964,"°","º"))-1)),""))))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29981369</v>
      </c>
      <c r="C965" s="4" t="inlineStr">
        <is>
          <t>PRUMADA ELÉTRICA - CABOS</t>
        </is>
      </c>
      <c r="D965" s="4" t="inlineStr">
        <is>
          <t>-</t>
        </is>
      </c>
      <c r="E965" s="4" t="inlineStr">
        <is>
          <t>12º PAV.</t>
        </is>
      </c>
      <c r="F965" s="118" t="n">
        <v>46730</v>
      </c>
      <c r="G965" s="118" t="n">
        <v>46742</v>
      </c>
      <c r="H965" s="118" t="n">
        <v>46289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IF(E965="","",IF(LEFT(E965,7)="SUBSOLO",-1,IF(LEFT(E965,6)="TÉRREO",0,IFERROR(VALUE(LEFT(E965,FIND("º",SUBSTITUTE(E965,"°","º"))-1)),""))))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30214074</v>
      </c>
      <c r="C966" s="4" t="inlineStr">
        <is>
          <t>FIAÇÃO TELECOM/DADOS</t>
        </is>
      </c>
      <c r="D966" s="4" t="inlineStr">
        <is>
          <t>-</t>
        </is>
      </c>
      <c r="E966" s="4" t="inlineStr">
        <is>
          <t>12º PAV.</t>
        </is>
      </c>
      <c r="F966" s="118" t="n">
        <v>46730</v>
      </c>
      <c r="G966" s="118" t="n">
        <v>46743</v>
      </c>
      <c r="H966" s="118" t="n">
        <v>46289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IF(E966="","",IF(LEFT(E966,7)="SUBSOLO",-1,IF(LEFT(E966,6)="TÉRREO",0,IFERROR(VALUE(LEFT(E966,FIND("º",SUBSTITUTE(E966,"°","º"))-1)),""))))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29981311</v>
      </c>
      <c r="C967" s="4" t="inlineStr">
        <is>
          <t>BANCADAS</t>
        </is>
      </c>
      <c r="D967" s="4" t="inlineStr">
        <is>
          <t>-</t>
        </is>
      </c>
      <c r="E967" s="4" t="inlineStr">
        <is>
          <t>13º PAV.</t>
        </is>
      </c>
      <c r="F967" s="118" t="n">
        <v>46730</v>
      </c>
      <c r="G967" s="118" t="n">
        <v>46742</v>
      </c>
      <c r="H967" s="118" t="n">
        <v>46289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IF(E967="","",IF(LEFT(E967,7)="SUBSOLO",-1,IF(LEFT(E967,6)="TÉRREO",0,IFERROR(VALUE(LEFT(E967,FIND("º",SUBSTITUTE(E967,"°","º"))-1)),""))))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29981273</v>
      </c>
      <c r="C968" s="4" t="inlineStr">
        <is>
          <t>REVESTIMENTOS PORCELANATO PISO</t>
        </is>
      </c>
      <c r="D968" s="4" t="inlineStr">
        <is>
          <t>-</t>
        </is>
      </c>
      <c r="E968" s="4" t="inlineStr">
        <is>
          <t>14º PAV.</t>
        </is>
      </c>
      <c r="F968" s="118" t="n">
        <v>46730</v>
      </c>
      <c r="G968" s="118" t="n">
        <v>46742</v>
      </c>
      <c r="H968" s="118" t="n">
        <v>46289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IF(E968="","",IF(LEFT(E968,7)="SUBSOLO",-1,IF(LEFT(E968,6)="TÉRREO",0,IFERROR(VALUE(LEFT(E968,FIND("º",SUBSTITUTE(E968,"°","º"))-1)),""))))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29981252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15º PAV.</t>
        </is>
      </c>
      <c r="F969" s="118" t="n">
        <v>46730</v>
      </c>
      <c r="G969" s="118" t="n">
        <v>46742</v>
      </c>
      <c r="H969" s="118" t="n">
        <v>46289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IF(E969="","",IF(LEFT(E969,7)="SUBSOLO",-1,IF(LEFT(E969,6)="TÉRREO",0,IFERROR(VALUE(LEFT(E969,FIND("º",SUBSTITUTE(E969,"°","º"))-1)),""))))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29981213</v>
      </c>
      <c r="C970" s="4" t="inlineStr">
        <is>
          <t>IMPERMEABILIZAÇÃO</t>
        </is>
      </c>
      <c r="D970" s="4" t="inlineStr">
        <is>
          <t>-</t>
        </is>
      </c>
      <c r="E970" s="4" t="inlineStr">
        <is>
          <t>16º PAV.</t>
        </is>
      </c>
      <c r="F970" s="118" t="n">
        <v>46730</v>
      </c>
      <c r="G970" s="118" t="n">
        <v>46742</v>
      </c>
      <c r="H970" s="118" t="n">
        <v>46289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IF(E970="","",IF(LEFT(E970,7)="SUBSOLO",-1,IF(LEFT(E970,6)="TÉRREO",0,IFERROR(VALUE(LEFT(E970,FIND("º",SUBSTITUTE(E970,"°","º"))-1)),""))))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32750443</v>
      </c>
      <c r="C971" s="4" t="inlineStr">
        <is>
          <t>DRYWALL 2º FACE</t>
        </is>
      </c>
      <c r="D971" s="4" t="inlineStr">
        <is>
          <t>-</t>
        </is>
      </c>
      <c r="E971" s="4" t="inlineStr">
        <is>
          <t>17º PAV.</t>
        </is>
      </c>
      <c r="F971" s="118" t="n">
        <v>46730</v>
      </c>
      <c r="G971" s="118" t="n">
        <v>46742</v>
      </c>
      <c r="H971" s="118" t="n">
        <v>46289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IF(E971="","",IF(LEFT(E971,7)="SUBSOLO",-1,IF(LEFT(E971,6)="TÉRREO",0,IFERROR(VALUE(LEFT(E971,FIND("º",SUBSTITUTE(E971,"°","º"))-1)),""))))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32750366</v>
      </c>
      <c r="C972" s="4" t="inlineStr">
        <is>
          <t>DISTRIBUIÇÃO DE GÁS - DRYWALL</t>
        </is>
      </c>
      <c r="D972" s="4" t="inlineStr">
        <is>
          <t>-</t>
        </is>
      </c>
      <c r="E972" s="4" t="inlineStr">
        <is>
          <t>18º PAV.</t>
        </is>
      </c>
      <c r="F972" s="118" t="n">
        <v>46730</v>
      </c>
      <c r="G972" s="118" t="n">
        <v>46742</v>
      </c>
      <c r="H972" s="118" t="n">
        <v>46289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IF(E972="","",IF(LEFT(E972,7)="SUBSOLO",-1,IF(LEFT(E972,6)="TÉRREO",0,IFERROR(VALUE(LEFT(E972,FIND("º",SUBSTITUTE(E972,"°","º"))-1)),""))))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32750392</v>
      </c>
      <c r="C973" s="4" t="inlineStr">
        <is>
          <t>DISTRIBUIÇÃO ELÉTRICA/QUADRO - DRYWALL</t>
        </is>
      </c>
      <c r="D973" s="4" t="inlineStr">
        <is>
          <t>-</t>
        </is>
      </c>
      <c r="E973" s="4" t="inlineStr">
        <is>
          <t>18º PAV.</t>
        </is>
      </c>
      <c r="F973" s="118" t="n">
        <v>46730</v>
      </c>
      <c r="G973" s="118" t="n">
        <v>46742</v>
      </c>
      <c r="H973" s="118" t="n">
        <v>46289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IF(E973="","",IF(LEFT(E973,7)="SUBSOLO",-1,IF(LEFT(E973,6)="TÉRREO",0,IFERROR(VALUE(LEFT(E973,FIND("º",SUBSTITUTE(E973,"°","º"))-1)),""))))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32750418</v>
      </c>
      <c r="C974" s="4" t="inlineStr">
        <is>
          <t>DISTRIBUIÇÃO HIDRÁULICA - DRYWALL</t>
        </is>
      </c>
      <c r="D974" s="4" t="inlineStr">
        <is>
          <t>-</t>
        </is>
      </c>
      <c r="E974" s="4" t="inlineStr">
        <is>
          <t>18º PAV.</t>
        </is>
      </c>
      <c r="F974" s="118" t="n">
        <v>46730</v>
      </c>
      <c r="G974" s="118" t="n">
        <v>46742</v>
      </c>
      <c r="H974" s="118" t="n">
        <v>46289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IF(E974="","",IF(LEFT(E974,7)="SUBSOLO",-1,IF(LEFT(E974,6)="TÉRREO",0,IFERROR(VALUE(LEFT(E974,FIND("º",SUBSTITUTE(E974,"°","º"))-1)),""))))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33896836</v>
      </c>
      <c r="C975" s="4" t="inlineStr">
        <is>
          <t>INFRAESTRUTURA - AR CONDICIONADO</t>
        </is>
      </c>
      <c r="D975" s="4" t="inlineStr">
        <is>
          <t>-</t>
        </is>
      </c>
      <c r="E975" s="4" t="inlineStr">
        <is>
          <t>18º PAV.</t>
        </is>
      </c>
      <c r="F975" s="118" t="n">
        <v>46730</v>
      </c>
      <c r="G975" s="118" t="n">
        <v>46742</v>
      </c>
      <c r="H975" s="118" t="n">
        <v>46289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IF(E975="","",IF(LEFT(E975,7)="SUBSOLO",-1,IF(LEFT(E975,6)="TÉRREO",0,IFERROR(VALUE(LEFT(E975,FIND("º",SUBSTITUTE(E975,"°","º"))-1)),""))))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32749863</v>
      </c>
      <c r="C976" s="4" t="inlineStr">
        <is>
          <t>DRYWALL 1º FACE</t>
        </is>
      </c>
      <c r="D976" s="4" t="inlineStr">
        <is>
          <t>-</t>
        </is>
      </c>
      <c r="E976" s="4" t="inlineStr">
        <is>
          <t>20º PAV.</t>
        </is>
      </c>
      <c r="F976" s="118" t="n">
        <v>46730</v>
      </c>
      <c r="G976" s="118" t="n">
        <v>46742</v>
      </c>
      <c r="H976" s="118" t="n">
        <v>46289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IF(E976="","",IF(LEFT(E976,7)="SUBSOLO",-1,IF(LEFT(E976,6)="TÉRREO",0,IFERROR(VALUE(LEFT(E976,FIND("º",SUBSTITUTE(E976,"°","º"))-1)),""))))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29981029</v>
      </c>
      <c r="C977" s="4" t="inlineStr">
        <is>
          <t>CONTRAPISO</t>
        </is>
      </c>
      <c r="D977" s="4" t="inlineStr">
        <is>
          <t>-</t>
        </is>
      </c>
      <c r="E977" s="4" t="inlineStr">
        <is>
          <t>21º PAV.</t>
        </is>
      </c>
      <c r="F977" s="118" t="n">
        <v>46730</v>
      </c>
      <c r="G977" s="118" t="n">
        <v>46742</v>
      </c>
      <c r="H977" s="118" t="n">
        <v>46289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IF(E977="","",IF(LEFT(E977,7)="SUBSOLO",-1,IF(LEFT(E977,6)="TÉRREO",0,IFERROR(VALUE(LEFT(E977,FIND("º",SUBSTITUTE(E977,"°","º"))-1)),""))))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29980969</v>
      </c>
      <c r="C978" s="4" t="inlineStr">
        <is>
          <t>SHAFT INTERNO INST. HIDRAÚLICAS</t>
        </is>
      </c>
      <c r="D978" s="4" t="inlineStr">
        <is>
          <t>-</t>
        </is>
      </c>
      <c r="E978" s="4" t="inlineStr">
        <is>
          <t>22º PAV.</t>
        </is>
      </c>
      <c r="F978" s="118" t="n">
        <v>46730</v>
      </c>
      <c r="G978" s="118" t="n">
        <v>46742</v>
      </c>
      <c r="H978" s="118" t="n">
        <v>46289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IF(E978="","",IF(LEFT(E978,7)="SUBSOLO",-1,IF(LEFT(E978,6)="TÉRREO",0,IFERROR(VALUE(LEFT(E978,FIND("º",SUBSTITUTE(E978,"°","º"))-1)),""))))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29981002</v>
      </c>
      <c r="C979" s="4" t="inlineStr">
        <is>
          <t>PRUMADA ELÉTRICA - INFRA</t>
        </is>
      </c>
      <c r="D979" s="4" t="inlineStr">
        <is>
          <t>-</t>
        </is>
      </c>
      <c r="E979" s="4" t="inlineStr">
        <is>
          <t>22º PAV.</t>
        </is>
      </c>
      <c r="F979" s="118" t="n">
        <v>46730</v>
      </c>
      <c r="G979" s="118" t="n">
        <v>46742</v>
      </c>
      <c r="H979" s="118" t="n">
        <v>46289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IF(E979="","",IF(LEFT(E979,7)="SUBSOLO",-1,IF(LEFT(E979,6)="TÉRREO",0,IFERROR(VALUE(LEFT(E979,FIND("º",SUBSTITUTE(E979,"°","º"))-1)),""))))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29980931</v>
      </c>
      <c r="C980" s="4" t="inlineStr">
        <is>
          <t>REBOCO INTERNO</t>
        </is>
      </c>
      <c r="D980" s="4" t="inlineStr">
        <is>
          <t>-</t>
        </is>
      </c>
      <c r="E980" s="4" t="inlineStr">
        <is>
          <t>23º PAV.</t>
        </is>
      </c>
      <c r="F980" s="118" t="n">
        <v>46730</v>
      </c>
      <c r="G980" s="118" t="n">
        <v>46742</v>
      </c>
      <c r="H980" s="118" t="n">
        <v>46289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IF(E980="","",IF(LEFT(E980,7)="SUBSOLO",-1,IF(LEFT(E980,6)="TÉRREO",0,IFERROR(VALUE(LEFT(E980,FIND("º",SUBSTITUTE(E980,"°","º"))-1)),""))))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29980897</v>
      </c>
      <c r="C981" s="4" t="inlineStr">
        <is>
          <t>CONTRAMARCO</t>
        </is>
      </c>
      <c r="D981" s="4" t="inlineStr">
        <is>
          <t>-</t>
        </is>
      </c>
      <c r="E981" s="4" t="inlineStr">
        <is>
          <t>24º PAV.</t>
        </is>
      </c>
      <c r="F981" s="118" t="n">
        <v>46730</v>
      </c>
      <c r="G981" s="118" t="n">
        <v>46742</v>
      </c>
      <c r="H981" s="118" t="n">
        <v>46289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IF(E981="","",IF(LEFT(E981,7)="SUBSOLO",-1,IF(LEFT(E981,6)="TÉRREO",0,IFERROR(VALUE(LEFT(E981,FIND("º",SUBSTITUTE(E981,"°","º"))-1)),""))))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29980890</v>
      </c>
      <c r="C982" s="4" t="inlineStr">
        <is>
          <t>DISTRIBUIÇÃO HIDROSSANITÁRIA</t>
        </is>
      </c>
      <c r="D982" s="4" t="inlineStr">
        <is>
          <t>-</t>
        </is>
      </c>
      <c r="E982" s="4" t="inlineStr">
        <is>
          <t>25º PAV.</t>
        </is>
      </c>
      <c r="F982" s="118" t="n">
        <v>46730</v>
      </c>
      <c r="G982" s="118" t="n">
        <v>46742</v>
      </c>
      <c r="H982" s="118" t="n">
        <v>46289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IF(E982="","",IF(LEFT(E982,7)="SUBSOLO",-1,IF(LEFT(E982,6)="TÉRREO",0,IFERROR(VALUE(LEFT(E982,FIND("º",SUBSTITUTE(E982,"°","º"))-1)),""))))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29980859</v>
      </c>
      <c r="C983" s="4" t="inlineStr">
        <is>
          <t>DISTRIBUIÇÃO ELÉTRICA / QUADRO</t>
        </is>
      </c>
      <c r="D983" s="4" t="inlineStr">
        <is>
          <t>-</t>
        </is>
      </c>
      <c r="E983" s="4" t="inlineStr">
        <is>
          <t>25º PAV.</t>
        </is>
      </c>
      <c r="F983" s="118" t="n">
        <v>46730</v>
      </c>
      <c r="G983" s="118" t="n">
        <v>46742</v>
      </c>
      <c r="H983" s="118" t="n">
        <v>46289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IF(E983="","",IF(LEFT(E983,7)="SUBSOLO",-1,IF(LEFT(E983,6)="TÉRREO",0,IFERROR(VALUE(LEFT(E983,FIND("º",SUBSTITUTE(E983,"°","º"))-1)),""))))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29980892</v>
      </c>
      <c r="C984" s="4" t="inlineStr">
        <is>
          <t>DISTRIBUIÇÃO DE GÁS</t>
        </is>
      </c>
      <c r="D984" s="4" t="inlineStr">
        <is>
          <t>-</t>
        </is>
      </c>
      <c r="E984" s="4" t="inlineStr">
        <is>
          <t>25º PAV.</t>
        </is>
      </c>
      <c r="F984" s="118" t="n">
        <v>46730</v>
      </c>
      <c r="G984" s="118" t="n">
        <v>46742</v>
      </c>
      <c r="H984" s="118" t="n">
        <v>46289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IF(E984="","",IF(LEFT(E984,7)="SUBSOLO",-1,IF(LEFT(E984,6)="TÉRREO",0,IFERROR(VALUE(LEFT(E984,FIND("º",SUBSTITUTE(E984,"°","º"))-1)),""))))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29980839</v>
      </c>
      <c r="C985" s="4" t="inlineStr">
        <is>
          <t>TALISCAMENTO</t>
        </is>
      </c>
      <c r="D985" s="4" t="inlineStr">
        <is>
          <t>-</t>
        </is>
      </c>
      <c r="E985" s="4" t="inlineStr">
        <is>
          <t>26º PAV.</t>
        </is>
      </c>
      <c r="F985" s="118" t="n">
        <v>46730</v>
      </c>
      <c r="G985" s="118" t="n">
        <v>46742</v>
      </c>
      <c r="H985" s="118" t="n">
        <v>46289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IF(E985="","",IF(LEFT(E985,7)="SUBSOLO",-1,IF(LEFT(E985,6)="TÉRREO",0,IFERROR(VALUE(LEFT(E985,FIND("º",SUBSTITUTE(E985,"°","º"))-1)),""))))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29980805</v>
      </c>
      <c r="C986" s="4" t="inlineStr">
        <is>
          <t>PRUMADA HIDROSSANITÁRIA</t>
        </is>
      </c>
      <c r="D986" s="4" t="inlineStr">
        <is>
          <t>-</t>
        </is>
      </c>
      <c r="E986" s="4" t="inlineStr">
        <is>
          <t>27º PAV.</t>
        </is>
      </c>
      <c r="F986" s="118" t="n">
        <v>46730</v>
      </c>
      <c r="G986" s="118" t="n">
        <v>46742</v>
      </c>
      <c r="H986" s="118" t="n">
        <v>46289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IF(E986="","",IF(LEFT(E986,7)="SUBSOLO",-1,IF(LEFT(E986,6)="TÉRREO",0,IFERROR(VALUE(LEFT(E986,FIND("º",SUBSTITUTE(E986,"°","º"))-1)),""))))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29980804</v>
      </c>
      <c r="C987" s="4" t="inlineStr">
        <is>
          <t>ENCUNHAMENTO</t>
        </is>
      </c>
      <c r="D987" s="4" t="inlineStr">
        <is>
          <t>-</t>
        </is>
      </c>
      <c r="E987" s="4" t="inlineStr">
        <is>
          <t>27º PAV.</t>
        </is>
      </c>
      <c r="F987" s="118" t="n">
        <v>46734</v>
      </c>
      <c r="G987" s="118" t="n">
        <v>46744</v>
      </c>
      <c r="H987" s="118" t="n">
        <v>46289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IF(E987="","",IF(LEFT(E987,7)="SUBSOLO",-1,IF(LEFT(E987,6)="TÉRREO",0,IFERROR(VALUE(LEFT(E987,FIND("º",SUBSTITUTE(E987,"°","º"))-1)),""))))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31789533</v>
      </c>
      <c r="C988" s="4" t="inlineStr">
        <is>
          <t>PREPARAÇÃO PARA FACHADA AERADA - F5 (1º ETAPA)</t>
        </is>
      </c>
      <c r="D988" s="4" t="inlineStr">
        <is>
          <t>-</t>
        </is>
      </c>
      <c r="E988" s="4" t="inlineStr">
        <is>
          <t>FACHADA</t>
        </is>
      </c>
      <c r="F988" s="118" t="n">
        <v>46735</v>
      </c>
      <c r="G988" s="118" t="n">
        <v>46763</v>
      </c>
      <c r="H988" s="118" t="n">
        <v>46289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IF(E988="","",IF(LEFT(E988,7)="SUBSOLO",-1,IF(LEFT(E988,6)="TÉRREO",0,IFERROR(VALUE(LEFT(E988,FIND("º",SUBSTITUTE(E988,"°","º"))-1)),""))))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30205931</v>
      </c>
      <c r="C989" s="4" t="inlineStr">
        <is>
          <t>IMPERMEABILIZAÇÃO</t>
        </is>
      </c>
      <c r="D989" s="4" t="inlineStr">
        <is>
          <t>-</t>
        </is>
      </c>
      <c r="E989" s="4" t="inlineStr">
        <is>
          <t>3º PAV - GARAGEM</t>
        </is>
      </c>
      <c r="F989" s="118" t="n">
        <v>46737</v>
      </c>
      <c r="G989" s="118" t="n">
        <v>46758</v>
      </c>
      <c r="H989" s="118" t="n">
        <v>46289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IF(E989="","",IF(LEFT(E989,7)="SUBSOLO",-1,IF(LEFT(E989,6)="TÉRREO",0,IFERROR(VALUE(LEFT(E989,FIND("º",SUBSTITUTE(E989,"°","º"))-1)),""))))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30171443</v>
      </c>
      <c r="C990" s="4" t="inlineStr">
        <is>
          <t>PRUMADA HIDROSSANITÁRIA</t>
        </is>
      </c>
      <c r="D990" s="4" t="inlineStr">
        <is>
          <t>-</t>
        </is>
      </c>
      <c r="E990" s="4" t="inlineStr">
        <is>
          <t>3º PAV - GARAGEM</t>
        </is>
      </c>
      <c r="F990" s="118" t="n">
        <v>46737</v>
      </c>
      <c r="G990" s="118" t="n">
        <v>46772</v>
      </c>
      <c r="H990" s="118" t="n">
        <v>46289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IF(E990="","",IF(LEFT(E990,7)="SUBSOLO",-1,IF(LEFT(E990,6)="TÉRREO",0,IFERROR(VALUE(LEFT(E990,FIND("º",SUBSTITUTE(E990,"°","º"))-1)),""))))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30171444</v>
      </c>
      <c r="C991" s="4" t="inlineStr">
        <is>
          <t>PRUMADA ELÉTRICA - INFRA</t>
        </is>
      </c>
      <c r="D991" s="4" t="inlineStr">
        <is>
          <t>-</t>
        </is>
      </c>
      <c r="E991" s="4" t="inlineStr">
        <is>
          <t>3º PAV - GARAGEM</t>
        </is>
      </c>
      <c r="F991" s="118" t="n">
        <v>46737</v>
      </c>
      <c r="G991" s="118" t="n">
        <v>46772</v>
      </c>
      <c r="H991" s="118" t="n">
        <v>46289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IF(E991="","",IF(LEFT(E991,7)="SUBSOLO",-1,IF(LEFT(E991,6)="TÉRREO",0,IFERROR(VALUE(LEFT(E991,FIND("º",SUBSTITUTE(E991,"°","º"))-1)),""))))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30171456</v>
      </c>
      <c r="C992" s="4" t="inlineStr">
        <is>
          <t>INSTALAÇÕES DE INCÊNDIO</t>
        </is>
      </c>
      <c r="D992" s="4" t="inlineStr">
        <is>
          <t>-</t>
        </is>
      </c>
      <c r="E992" s="4" t="inlineStr">
        <is>
          <t>3º PAV - GARAGEM</t>
        </is>
      </c>
      <c r="F992" s="118" t="n">
        <v>46737</v>
      </c>
      <c r="G992" s="118" t="n">
        <v>46772</v>
      </c>
      <c r="H992" s="118" t="n">
        <v>46289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IF(E992="","",IF(LEFT(E992,7)="SUBSOLO",-1,IF(LEFT(E992,6)="TÉRREO",0,IFERROR(VALUE(LEFT(E992,FIND("º",SUBSTITUTE(E992,"°","º"))-1)),""))))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30171421</v>
      </c>
      <c r="C993" s="4" t="inlineStr">
        <is>
          <t>SERRALHERIA</t>
        </is>
      </c>
      <c r="D993" s="4" t="inlineStr">
        <is>
          <t>-</t>
        </is>
      </c>
      <c r="E993" s="4" t="inlineStr">
        <is>
          <t>4º PAV - GARAGEM</t>
        </is>
      </c>
      <c r="F993" s="118" t="n">
        <v>46737</v>
      </c>
      <c r="G993" s="118" t="n">
        <v>46758</v>
      </c>
      <c r="H993" s="118" t="n">
        <v>46289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IF(E993="","",IF(LEFT(E993,7)="SUBSOLO",-1,IF(LEFT(E993,6)="TÉRREO",0,IFERROR(VALUE(LEFT(E993,FIND("º",SUBSTITUTE(E993,"°","º"))-1)),""))))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30171422</v>
      </c>
      <c r="C994" s="4" t="inlineStr">
        <is>
          <t>REBOCO INTERNO</t>
        </is>
      </c>
      <c r="D994" s="4" t="inlineStr">
        <is>
          <t>-</t>
        </is>
      </c>
      <c r="E994" s="4" t="inlineStr">
        <is>
          <t>4º PAV - GARAGEM</t>
        </is>
      </c>
      <c r="F994" s="118" t="n">
        <v>46737</v>
      </c>
      <c r="G994" s="118" t="n">
        <v>46806</v>
      </c>
      <c r="H994" s="118" t="n">
        <v>46289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IF(E994="","",IF(LEFT(E994,7)="SUBSOLO",-1,IF(LEFT(E994,6)="TÉRREO",0,IFERROR(VALUE(LEFT(E994,FIND("º",SUBSTITUTE(E994,"°","º"))-1)),""))))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29980778</v>
      </c>
      <c r="C995" s="4" t="inlineStr">
        <is>
          <t>PRUMADA DE INCÊNDIO</t>
        </is>
      </c>
      <c r="D995" s="4" t="inlineStr">
        <is>
          <t>-</t>
        </is>
      </c>
      <c r="E995" s="4" t="inlineStr">
        <is>
          <t>28º PAV.</t>
        </is>
      </c>
      <c r="F995" s="118" t="n">
        <v>46737</v>
      </c>
      <c r="G995" s="118" t="n">
        <v>46757</v>
      </c>
      <c r="H995" s="118" t="n">
        <v>46289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IF(E995="","",IF(LEFT(E995,7)="SUBSOLO",-1,IF(LEFT(E995,6)="TÉRREO",0,IFERROR(VALUE(LEFT(E995,FIND("º",SUBSTITUTE(E995,"°","º"))-1)),""))))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29980729</v>
      </c>
      <c r="C996" s="4" t="inlineStr">
        <is>
          <t>ALVENARIA</t>
        </is>
      </c>
      <c r="D996" s="4" t="inlineStr">
        <is>
          <t>-</t>
        </is>
      </c>
      <c r="E996" s="4" t="inlineStr">
        <is>
          <t>29º PAV.</t>
        </is>
      </c>
      <c r="F996" s="118" t="n">
        <v>46737</v>
      </c>
      <c r="G996" s="118" t="n">
        <v>46757</v>
      </c>
      <c r="H996" s="118" t="n">
        <v>46289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IF(E996="","",IF(LEFT(E996,7)="SUBSOLO",-1,IF(LEFT(E996,6)="TÉRREO",0,IFERROR(VALUE(LEFT(E996,FIND("º",SUBSTITUTE(E996,"°","º"))-1)),""))))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29941166</v>
      </c>
      <c r="C997" s="4" t="inlineStr">
        <is>
          <t>ESTRUTURA</t>
        </is>
      </c>
      <c r="D997" s="4" t="inlineStr">
        <is>
          <t>-</t>
        </is>
      </c>
      <c r="E997" s="4" t="inlineStr">
        <is>
          <t>32º PAV - COBERTURA GERAL</t>
        </is>
      </c>
      <c r="F997" s="118" t="n">
        <v>46737</v>
      </c>
      <c r="G997" s="118" t="n">
        <v>46757</v>
      </c>
      <c r="H997" s="118" t="n">
        <v>46289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IF(E997="","",IF(LEFT(E997,7)="SUBSOLO",-1,IF(LEFT(E997,6)="TÉRREO",0,IFERROR(VALUE(LEFT(E997,FIND("º",SUBSTITUTE(E997,"°","º"))-1)),""))))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31529082</v>
      </c>
      <c r="C998" s="4" t="inlineStr">
        <is>
          <t>ESTRUTURA</t>
        </is>
      </c>
      <c r="D998" s="4" t="inlineStr">
        <is>
          <t>Forma</t>
        </is>
      </c>
      <c r="E998" s="4" t="inlineStr">
        <is>
          <t>32º PAV - COBERTURA GERAL</t>
        </is>
      </c>
      <c r="F998" s="118" t="n">
        <v>46737</v>
      </c>
      <c r="G998" s="118" t="n">
        <v>46743</v>
      </c>
      <c r="H998" s="118" t="n">
        <v>46289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IF(E998="","",IF(LEFT(E998,7)="SUBSOLO",-1,IF(LEFT(E998,6)="TÉRREO",0,IFERROR(VALUE(LEFT(E998,FIND("º",SUBSTITUTE(E998,"°","º"))-1)),""))))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31529083</v>
      </c>
      <c r="C999" s="4" t="inlineStr">
        <is>
          <t>ESTRUTURA</t>
        </is>
      </c>
      <c r="D999" s="4" t="inlineStr">
        <is>
          <t>Armação</t>
        </is>
      </c>
      <c r="E999" s="4" t="inlineStr">
        <is>
          <t>32º PAV - COBERTURA GERAL</t>
        </is>
      </c>
      <c r="F999" s="118" t="n">
        <v>46744</v>
      </c>
      <c r="G999" s="118" t="n">
        <v>46756</v>
      </c>
      <c r="H999" s="118" t="n">
        <v>46289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IF(E999="","",IF(LEFT(E999,7)="SUBSOLO",-1,IF(LEFT(E999,6)="TÉRREO",0,IFERROR(VALUE(LEFT(E999,FIND("º",SUBSTITUTE(E999,"°","º"))-1)),""))))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31529084</v>
      </c>
      <c r="C1000" s="4" t="inlineStr">
        <is>
          <t>ESTRUTURA</t>
        </is>
      </c>
      <c r="D1000" s="4" t="inlineStr">
        <is>
          <t>Concretagem</t>
        </is>
      </c>
      <c r="E1000" s="4" t="inlineStr">
        <is>
          <t>32º PAV - COBERTURA GERAL</t>
        </is>
      </c>
      <c r="F1000" s="118" t="n">
        <v>46757</v>
      </c>
      <c r="G1000" s="118" t="n">
        <v>46757</v>
      </c>
      <c r="H1000" s="118" t="n">
        <v>46289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IF(E1000="","",IF(LEFT(E1000,7)="SUBSOLO",-1,IF(LEFT(E1000,6)="TÉRREO",0,IFERROR(VALUE(LEFT(E1000,FIND("º",SUBSTITUTE(E1000,"°","º"))-1)),""))))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31529085</v>
      </c>
      <c r="C1001" s="4" t="inlineStr">
        <is>
          <t>ESTRUTURA</t>
        </is>
      </c>
      <c r="D1001" s="4" t="inlineStr">
        <is>
          <t>Polimento</t>
        </is>
      </c>
      <c r="E1001" s="4" t="inlineStr">
        <is>
          <t>32º PAV - COBERTURA GERAL</t>
        </is>
      </c>
      <c r="F1001" s="118" t="n">
        <v>46757</v>
      </c>
      <c r="G1001" s="118" t="n">
        <v>46757</v>
      </c>
      <c r="H1001" s="118" t="n">
        <v>46289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IF(E1001="","",IF(LEFT(E1001,7)="SUBSOLO",-1,IF(LEFT(E1001,6)="TÉRREO",0,IFERROR(VALUE(LEFT(E1001,FIND("º",SUBSTITUTE(E1001,"°","º"))-1)),""))))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30205750</v>
      </c>
      <c r="C1002" s="4" t="inlineStr">
        <is>
          <t>REVESTIMENTOS PORCELANATO PISO</t>
        </is>
      </c>
      <c r="D1002" s="4" t="inlineStr">
        <is>
          <t>-</t>
        </is>
      </c>
      <c r="E1002" s="4" t="inlineStr">
        <is>
          <t>SUBSOLO</t>
        </is>
      </c>
      <c r="F1002" s="118" t="n">
        <v>46738</v>
      </c>
      <c r="G1002" s="118" t="n">
        <v>46759</v>
      </c>
      <c r="H1002" s="118" t="n">
        <v>46289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IF(E1002="","",IF(LEFT(E1002,7)="SUBSOLO",-1,IF(LEFT(E1002,6)="TÉRREO",0,IFERROR(VALUE(LEFT(E1002,FIND("º",SUBSTITUTE(E1002,"°","º"))-1)),""))))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29981553</v>
      </c>
      <c r="C1003" s="4" t="inlineStr">
        <is>
          <t>MASSA CORRIDA</t>
        </is>
      </c>
      <c r="D1003" s="4" t="inlineStr">
        <is>
          <t>-</t>
        </is>
      </c>
      <c r="E1003" s="4" t="inlineStr">
        <is>
          <t>7º PAV.</t>
        </is>
      </c>
      <c r="F1003" s="118" t="n">
        <v>46742</v>
      </c>
      <c r="G1003" s="118" t="n">
        <v>46762</v>
      </c>
      <c r="H1003" s="118" t="n">
        <v>46289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IF(E1003="","",IF(LEFT(E1003,7)="SUBSOLO",-1,IF(LEFT(E1003,6)="TÉRREO",0,IFERROR(VALUE(LEFT(E1003,FIND("º",SUBSTITUTE(E1003,"°","º"))-1)),""))))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33898089</v>
      </c>
      <c r="C1004" s="4" t="inlineStr">
        <is>
          <t>ESQUADRIA DE ALUMÍNIO</t>
        </is>
      </c>
      <c r="D1004" s="4" t="inlineStr">
        <is>
          <t>-</t>
        </is>
      </c>
      <c r="E1004" s="4" t="inlineStr">
        <is>
          <t>8º PAV.</t>
        </is>
      </c>
      <c r="F1004" s="118" t="n">
        <v>46742</v>
      </c>
      <c r="G1004" s="118" t="n">
        <v>46762</v>
      </c>
      <c r="H1004" s="118" t="n">
        <v>46289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IF(E1004="","",IF(LEFT(E1004,7)="SUBSOLO",-1,IF(LEFT(E1004,6)="TÉRREO",0,IFERROR(VALUE(LEFT(E1004,FIND("º",SUBSTITUTE(E1004,"°","º"))-1)),""))))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30171398</v>
      </c>
      <c r="C1005" s="4" t="inlineStr">
        <is>
          <t>TALISCAMENTO</t>
        </is>
      </c>
      <c r="D1005" s="4" t="inlineStr">
        <is>
          <t>-</t>
        </is>
      </c>
      <c r="E1005" s="4" t="inlineStr">
        <is>
          <t>5º PAV - GARAGEM</t>
        </is>
      </c>
      <c r="F1005" s="118" t="n">
        <v>46743</v>
      </c>
      <c r="G1005" s="118" t="n">
        <v>46764</v>
      </c>
      <c r="H1005" s="118" t="n">
        <v>46289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IF(E1005="","",IF(LEFT(E1005,7)="SUBSOLO",-1,IF(LEFT(E1005,6)="TÉRREO",0,IFERROR(VALUE(LEFT(E1005,FIND("º",SUBSTITUTE(E1005,"°","º"))-1)),""))))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30171404</v>
      </c>
      <c r="C1006" s="4" t="inlineStr">
        <is>
          <t>CHUMBAMENTO DE PCF</t>
        </is>
      </c>
      <c r="D1006" s="4" t="inlineStr">
        <is>
          <t>-</t>
        </is>
      </c>
      <c r="E1006" s="4" t="inlineStr">
        <is>
          <t>5º PAV - GARAGEM</t>
        </is>
      </c>
      <c r="F1006" s="118" t="n">
        <v>46743</v>
      </c>
      <c r="G1006" s="118" t="n">
        <v>46764</v>
      </c>
      <c r="H1006" s="118" t="n">
        <v>46289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IF(E1006="","",IF(LEFT(E1006,7)="SUBSOLO",-1,IF(LEFT(E1006,6)="TÉRREO",0,IFERROR(VALUE(LEFT(E1006,FIND("º",SUBSTITUTE(E1006,"°","º"))-1)),""))))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30205878</v>
      </c>
      <c r="C1007" s="4" t="inlineStr">
        <is>
          <t>ALVENARIA</t>
        </is>
      </c>
      <c r="D1007" s="4" t="inlineStr">
        <is>
          <t>-</t>
        </is>
      </c>
      <c r="E1007" s="4" t="inlineStr">
        <is>
          <t>6º PAV (PILOTIS) - PLAYGROUND + TERRAÇO DESCOBERTO + QUADRA DE RECREAÇÃO</t>
        </is>
      </c>
      <c r="F1007" s="118" t="n">
        <v>46743</v>
      </c>
      <c r="G1007" s="118" t="n">
        <v>46780</v>
      </c>
      <c r="H1007" s="118" t="n">
        <v>46289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IF(E1007="","",IF(LEFT(E1007,7)="SUBSOLO",-1,IF(LEFT(E1007,6)="TÉRREO",0,IFERROR(VALUE(LEFT(E1007,FIND("º",SUBSTITUTE(E1007,"°","º"))-1)),""))))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30206119</v>
      </c>
      <c r="C1008" s="4" t="inlineStr">
        <is>
          <t>ALVENARIA</t>
        </is>
      </c>
      <c r="D1008" s="4" t="inlineStr">
        <is>
          <t>-</t>
        </is>
      </c>
      <c r="E1008" s="4" t="inlineStr">
        <is>
          <t>6º PAV (PILOTIS) - ACADEMIA</t>
        </is>
      </c>
      <c r="F1008" s="118" t="n">
        <v>46743</v>
      </c>
      <c r="G1008" s="118" t="n">
        <v>46780</v>
      </c>
      <c r="H1008" s="118" t="n">
        <v>46289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IF(E1008="","",IF(LEFT(E1008,7)="SUBSOLO",-1,IF(LEFT(E1008,6)="TÉRREO",0,IFERROR(VALUE(LEFT(E1008,FIND("º",SUBSTITUTE(E1008,"°","º"))-1)),""))))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30206082</v>
      </c>
      <c r="C1009" s="4" t="inlineStr">
        <is>
          <t>ALVENARIA</t>
        </is>
      </c>
      <c r="D1009" s="4" t="inlineStr">
        <is>
          <t>-</t>
        </is>
      </c>
      <c r="E1009" s="4" t="inlineStr">
        <is>
          <t>6º PAV (PILOTIS) - SAUNA + DUCHA</t>
        </is>
      </c>
      <c r="F1009" s="118" t="n">
        <v>46743</v>
      </c>
      <c r="G1009" s="118" t="n">
        <v>46780</v>
      </c>
      <c r="H1009" s="118" t="n">
        <v>46289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IF(E1009="","",IF(LEFT(E1009,7)="SUBSOLO",-1,IF(LEFT(E1009,6)="TÉRREO",0,IFERROR(VALUE(LEFT(E1009,FIND("º",SUBSTITUTE(E1009,"°","º"))-1)),""))))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30206045</v>
      </c>
      <c r="C1010" s="4" t="inlineStr">
        <is>
          <t>ALVENARIA</t>
        </is>
      </c>
      <c r="D1010" s="4" t="inlineStr">
        <is>
          <t>-</t>
        </is>
      </c>
      <c r="E1010" s="4" t="inlineStr">
        <is>
          <t>6º PAV (PILOTIS) - CHURRASQUEIRA + IS MASC. PCD + IS FEM. PCD + CIRCULAÇÃO 1 + HALL 1</t>
        </is>
      </c>
      <c r="F1010" s="118" t="n">
        <v>46743</v>
      </c>
      <c r="G1010" s="118" t="n">
        <v>46780</v>
      </c>
      <c r="H1010" s="118" t="n">
        <v>46289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IF(E1010="","",IF(LEFT(E1010,7)="SUBSOLO",-1,IF(LEFT(E1010,6)="TÉRREO",0,IFERROR(VALUE(LEFT(E1010,FIND("º",SUBSTITUTE(E1010,"°","º"))-1)),""))))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30206008</v>
      </c>
      <c r="C1011" s="4" t="inlineStr">
        <is>
          <t>ALVENARIA</t>
        </is>
      </c>
      <c r="D1011" s="4" t="inlineStr">
        <is>
          <t>-</t>
        </is>
      </c>
      <c r="E1011" s="4" t="inlineStr">
        <is>
          <t>6º PAV (PILOTIS) - COWORKING 1 E 2 + CIRC. 2 + HALL 2 + DML + VEST. MASC. + VEST. FEM</t>
        </is>
      </c>
      <c r="F1011" s="118" t="n">
        <v>46743</v>
      </c>
      <c r="G1011" s="118" t="n">
        <v>46780</v>
      </c>
      <c r="H1011" s="118" t="n">
        <v>46289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IF(E1011="","",IF(LEFT(E1011,7)="SUBSOLO",-1,IF(LEFT(E1011,6)="TÉRREO",0,IFERROR(VALUE(LEFT(E1011,FIND("º",SUBSTITUTE(E1011,"°","º"))-1)),""))))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30205971</v>
      </c>
      <c r="C1012" s="4" t="inlineStr">
        <is>
          <t>ALVENARIA</t>
        </is>
      </c>
      <c r="D1012" s="4" t="inlineStr">
        <is>
          <t>-</t>
        </is>
      </c>
      <c r="E1012" s="4" t="inlineStr">
        <is>
          <t>6º PAV (PILOTIS) - LOUNGE + SALÃO + COZINHA + GOURMET + ESPAÇO KIDS</t>
        </is>
      </c>
      <c r="F1012" s="118" t="n">
        <v>46743</v>
      </c>
      <c r="G1012" s="118" t="n">
        <v>46780</v>
      </c>
      <c r="H1012" s="118" t="n">
        <v>46289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IF(E1012="","",IF(LEFT(E1012,7)="SUBSOLO",-1,IF(LEFT(E1012,6)="TÉRREO",0,IFERROR(VALUE(LEFT(E1012,FIND("º",SUBSTITUTE(E1012,"°","º"))-1)),""))))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29981366</v>
      </c>
      <c r="C1013" s="4" t="inlineStr">
        <is>
          <t>FORRO</t>
        </is>
      </c>
      <c r="D1013" s="4" t="inlineStr">
        <is>
          <t>-</t>
        </is>
      </c>
      <c r="E1013" s="4" t="inlineStr">
        <is>
          <t>12º PAV.</t>
        </is>
      </c>
      <c r="F1013" s="118" t="n">
        <v>46743</v>
      </c>
      <c r="G1013" s="118" t="n">
        <v>46763</v>
      </c>
      <c r="H1013" s="118" t="n">
        <v>46289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IF(E1013="","",IF(LEFT(E1013,7)="SUBSOLO",-1,IF(LEFT(E1013,6)="TÉRREO",0,IFERROR(VALUE(LEFT(E1013,FIND("º",SUBSTITUTE(E1013,"°","º"))-1)),""))))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29981327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13º PAV.</t>
        </is>
      </c>
      <c r="F1014" s="118" t="n">
        <v>46743</v>
      </c>
      <c r="G1014" s="118" t="n">
        <v>46763</v>
      </c>
      <c r="H1014" s="118" t="n">
        <v>46289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IF(E1014="","",IF(LEFT(E1014,7)="SUBSOLO",-1,IF(LEFT(E1014,6)="TÉRREO",0,IFERROR(VALUE(LEFT(E1014,FIND("º",SUBSTITUTE(E1014,"°","º"))-1)),""))))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29981332</v>
      </c>
      <c r="C1015" s="4" t="inlineStr">
        <is>
          <t>PRUMADA ELÉTRICA - CABOS</t>
        </is>
      </c>
      <c r="D1015" s="4" t="inlineStr">
        <is>
          <t>-</t>
        </is>
      </c>
      <c r="E1015" s="4" t="inlineStr">
        <is>
          <t>13º PAV.</t>
        </is>
      </c>
      <c r="F1015" s="118" t="n">
        <v>46743</v>
      </c>
      <c r="G1015" s="118" t="n">
        <v>46763</v>
      </c>
      <c r="H1015" s="118" t="n">
        <v>46289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IF(E1015="","",IF(LEFT(E1015,7)="SUBSOLO",-1,IF(LEFT(E1015,6)="TÉRREO",0,IFERROR(VALUE(LEFT(E1015,FIND("º",SUBSTITUTE(E1015,"°","º"))-1)),""))))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30214075</v>
      </c>
      <c r="C1016" s="4" t="inlineStr">
        <is>
          <t>FIAÇÃO TELECOM/DADOS</t>
        </is>
      </c>
      <c r="D1016" s="4" t="inlineStr">
        <is>
          <t>-</t>
        </is>
      </c>
      <c r="E1016" s="4" t="inlineStr">
        <is>
          <t>13º PAV.</t>
        </is>
      </c>
      <c r="F1016" s="118" t="n">
        <v>46743</v>
      </c>
      <c r="G1016" s="118" t="n">
        <v>46764</v>
      </c>
      <c r="H1016" s="118" t="n">
        <v>46289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IF(E1016="","",IF(LEFT(E1016,7)="SUBSOLO",-1,IF(LEFT(E1016,6)="TÉRREO",0,IFERROR(VALUE(LEFT(E1016,FIND("º",SUBSTITUTE(E1016,"°","º"))-1)),""))))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29981274</v>
      </c>
      <c r="C1017" s="4" t="inlineStr">
        <is>
          <t>BANCADAS</t>
        </is>
      </c>
      <c r="D1017" s="4" t="inlineStr">
        <is>
          <t>-</t>
        </is>
      </c>
      <c r="E1017" s="4" t="inlineStr">
        <is>
          <t>14º PAV.</t>
        </is>
      </c>
      <c r="F1017" s="118" t="n">
        <v>46743</v>
      </c>
      <c r="G1017" s="118" t="n">
        <v>46763</v>
      </c>
      <c r="H1017" s="118" t="n">
        <v>46289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IF(E1017="","",IF(LEFT(E1017,7)="SUBSOLO",-1,IF(LEFT(E1017,6)="TÉRREO",0,IFERROR(VALUE(LEFT(E1017,FIND("º",SUBSTITUTE(E1017,"°","º"))-1)),""))))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29981236</v>
      </c>
      <c r="C1018" s="4" t="inlineStr">
        <is>
          <t>REVESTIMENTOS PORCELANATO PISO</t>
        </is>
      </c>
      <c r="D1018" s="4" t="inlineStr">
        <is>
          <t>-</t>
        </is>
      </c>
      <c r="E1018" s="4" t="inlineStr">
        <is>
          <t>15º PAV.</t>
        </is>
      </c>
      <c r="F1018" s="118" t="n">
        <v>46743</v>
      </c>
      <c r="G1018" s="118" t="n">
        <v>46763</v>
      </c>
      <c r="H1018" s="118" t="n">
        <v>46289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IF(E1018="","",IF(LEFT(E1018,7)="SUBSOLO",-1,IF(LEFT(E1018,6)="TÉRREO",0,IFERROR(VALUE(LEFT(E1018,FIND("º",SUBSTITUTE(E1018,"°","º"))-1)),""))))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29981215</v>
      </c>
      <c r="C1019" s="4" t="inlineStr">
        <is>
          <t>REVESTIMENTO PORCELANATO PAREDE</t>
        </is>
      </c>
      <c r="D1019" s="4" t="inlineStr">
        <is>
          <t>-</t>
        </is>
      </c>
      <c r="E1019" s="4" t="inlineStr">
        <is>
          <t>16º PAV.</t>
        </is>
      </c>
      <c r="F1019" s="118" t="n">
        <v>46743</v>
      </c>
      <c r="G1019" s="118" t="n">
        <v>46763</v>
      </c>
      <c r="H1019" s="118" t="n">
        <v>46289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IF(E1019="","",IF(LEFT(E1019,7)="SUBSOLO",-1,IF(LEFT(E1019,6)="TÉRREO",0,IFERROR(VALUE(LEFT(E1019,FIND("º",SUBSTITUTE(E1019,"°","º"))-1)),""))))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29981176</v>
      </c>
      <c r="C1020" s="4" t="inlineStr">
        <is>
          <t>IMPERMEABILIZAÇÃO</t>
        </is>
      </c>
      <c r="D1020" s="4" t="inlineStr">
        <is>
          <t>-</t>
        </is>
      </c>
      <c r="E1020" s="4" t="inlineStr">
        <is>
          <t>17º PAV.</t>
        </is>
      </c>
      <c r="F1020" s="118" t="n">
        <v>46743</v>
      </c>
      <c r="G1020" s="118" t="n">
        <v>46763</v>
      </c>
      <c r="H1020" s="118" t="n">
        <v>46289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IF(E1020="","",IF(LEFT(E1020,7)="SUBSOLO",-1,IF(LEFT(E1020,6)="TÉRREO",0,IFERROR(VALUE(LEFT(E1020,FIND("º",SUBSTITUTE(E1020,"°","º"))-1)),""))))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32750444</v>
      </c>
      <c r="C1021" s="4" t="inlineStr">
        <is>
          <t>DRYWALL 2º FACE</t>
        </is>
      </c>
      <c r="D1021" s="4" t="inlineStr">
        <is>
          <t>-</t>
        </is>
      </c>
      <c r="E1021" s="4" t="inlineStr">
        <is>
          <t>18º PAV.</t>
        </is>
      </c>
      <c r="F1021" s="118" t="n">
        <v>46743</v>
      </c>
      <c r="G1021" s="118" t="n">
        <v>46763</v>
      </c>
      <c r="H1021" s="118" t="n">
        <v>46289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IF(E1021="","",IF(LEFT(E1021,7)="SUBSOLO",-1,IF(LEFT(E1021,6)="TÉRREO",0,IFERROR(VALUE(LEFT(E1021,FIND("º",SUBSTITUTE(E1021,"°","º"))-1)),""))))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32750368</v>
      </c>
      <c r="C1022" s="4" t="inlineStr">
        <is>
          <t>DISTRIBUIÇÃO DE GÁS - DRYWALL</t>
        </is>
      </c>
      <c r="D1022" s="4" t="inlineStr">
        <is>
          <t>-</t>
        </is>
      </c>
      <c r="E1022" s="4" t="inlineStr">
        <is>
          <t>20º PAV.</t>
        </is>
      </c>
      <c r="F1022" s="118" t="n">
        <v>46743</v>
      </c>
      <c r="G1022" s="118" t="n">
        <v>46763</v>
      </c>
      <c r="H1022" s="118" t="n">
        <v>46289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IF(E1022="","",IF(LEFT(E1022,7)="SUBSOLO",-1,IF(LEFT(E1022,6)="TÉRREO",0,IFERROR(VALUE(LEFT(E1022,FIND("º",SUBSTITUTE(E1022,"°","º"))-1)),""))))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32750394</v>
      </c>
      <c r="C1023" s="4" t="inlineStr">
        <is>
          <t>DISTRIBUIÇÃO ELÉTRICA/QUADRO - DRYWALL</t>
        </is>
      </c>
      <c r="D1023" s="4" t="inlineStr">
        <is>
          <t>-</t>
        </is>
      </c>
      <c r="E1023" s="4" t="inlineStr">
        <is>
          <t>20º PAV.</t>
        </is>
      </c>
      <c r="F1023" s="118" t="n">
        <v>46743</v>
      </c>
      <c r="G1023" s="118" t="n">
        <v>46763</v>
      </c>
      <c r="H1023" s="118" t="n">
        <v>46289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IF(E1023="","",IF(LEFT(E1023,7)="SUBSOLO",-1,IF(LEFT(E1023,6)="TÉRREO",0,IFERROR(VALUE(LEFT(E1023,FIND("º",SUBSTITUTE(E1023,"°","º"))-1)),""))))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32750420</v>
      </c>
      <c r="C1024" s="4" t="inlineStr">
        <is>
          <t>DISTRIBUIÇÃO HIDRÁULICA - DRYWALL</t>
        </is>
      </c>
      <c r="D1024" s="4" t="inlineStr">
        <is>
          <t>-</t>
        </is>
      </c>
      <c r="E1024" s="4" t="inlineStr">
        <is>
          <t>20º PAV.</t>
        </is>
      </c>
      <c r="F1024" s="118" t="n">
        <v>46743</v>
      </c>
      <c r="G1024" s="118" t="n">
        <v>46763</v>
      </c>
      <c r="H1024" s="118" t="n">
        <v>46289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IF(E1024="","",IF(LEFT(E1024,7)="SUBSOLO",-1,IF(LEFT(E1024,6)="TÉRREO",0,IFERROR(VALUE(LEFT(E1024,FIND("º",SUBSTITUTE(E1024,"°","º"))-1)),""))))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33896838</v>
      </c>
      <c r="C1025" s="4" t="inlineStr">
        <is>
          <t>INFRAESTRUTURA - AR CONDICIONADO</t>
        </is>
      </c>
      <c r="D1025" s="4" t="inlineStr">
        <is>
          <t>-</t>
        </is>
      </c>
      <c r="E1025" s="4" t="inlineStr">
        <is>
          <t>20º PAV.</t>
        </is>
      </c>
      <c r="F1025" s="118" t="n">
        <v>46743</v>
      </c>
      <c r="G1025" s="118" t="n">
        <v>46763</v>
      </c>
      <c r="H1025" s="118" t="n">
        <v>46289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IF(E1025="","",IF(LEFT(E1025,7)="SUBSOLO",-1,IF(LEFT(E1025,6)="TÉRREO",0,IFERROR(VALUE(LEFT(E1025,FIND("º",SUBSTITUTE(E1025,"°","º"))-1)),""))))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32749864</v>
      </c>
      <c r="C1026" s="4" t="inlineStr">
        <is>
          <t>DRYWALL 1º FACE</t>
        </is>
      </c>
      <c r="D1026" s="4" t="inlineStr">
        <is>
          <t>-</t>
        </is>
      </c>
      <c r="E1026" s="4" t="inlineStr">
        <is>
          <t>21º PAV.</t>
        </is>
      </c>
      <c r="F1026" s="118" t="n">
        <v>46743</v>
      </c>
      <c r="G1026" s="118" t="n">
        <v>46763</v>
      </c>
      <c r="H1026" s="118" t="n">
        <v>46289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IF(E1026="","",IF(LEFT(E1026,7)="SUBSOLO",-1,IF(LEFT(E1026,6)="TÉRREO",0,IFERROR(VALUE(LEFT(E1026,FIND("º",SUBSTITUTE(E1026,"°","º"))-1)),""))))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29980992</v>
      </c>
      <c r="C1027" s="4" t="inlineStr">
        <is>
          <t>CONTRAPISO</t>
        </is>
      </c>
      <c r="D1027" s="4" t="inlineStr">
        <is>
          <t>-</t>
        </is>
      </c>
      <c r="E1027" s="4" t="inlineStr">
        <is>
          <t>22º PAV.</t>
        </is>
      </c>
      <c r="F1027" s="118" t="n">
        <v>46743</v>
      </c>
      <c r="G1027" s="118" t="n">
        <v>46763</v>
      </c>
      <c r="H1027" s="118" t="n">
        <v>46289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IF(E1027="","",IF(LEFT(E1027,7)="SUBSOLO",-1,IF(LEFT(E1027,6)="TÉRREO",0,IFERROR(VALUE(LEFT(E1027,FIND("º",SUBSTITUTE(E1027,"°","º"))-1)),""))))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29980932</v>
      </c>
      <c r="C1028" s="4" t="inlineStr">
        <is>
          <t>SHAFT INTERNO INST. HIDRAÚLICAS</t>
        </is>
      </c>
      <c r="D1028" s="4" t="inlineStr">
        <is>
          <t>-</t>
        </is>
      </c>
      <c r="E1028" s="4" t="inlineStr">
        <is>
          <t>23º PAV.</t>
        </is>
      </c>
      <c r="F1028" s="118" t="n">
        <v>46743</v>
      </c>
      <c r="G1028" s="118" t="n">
        <v>46763</v>
      </c>
      <c r="H1028" s="118" t="n">
        <v>46289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IF(E1028="","",IF(LEFT(E1028,7)="SUBSOLO",-1,IF(LEFT(E1028,6)="TÉRREO",0,IFERROR(VALUE(LEFT(E1028,FIND("º",SUBSTITUTE(E1028,"°","º"))-1)),""))))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29980965</v>
      </c>
      <c r="C1029" s="4" t="inlineStr">
        <is>
          <t>PRUMADA ELÉTRICA - INFRA</t>
        </is>
      </c>
      <c r="D1029" s="4" t="inlineStr">
        <is>
          <t>-</t>
        </is>
      </c>
      <c r="E1029" s="4" t="inlineStr">
        <is>
          <t>23º PAV.</t>
        </is>
      </c>
      <c r="F1029" s="118" t="n">
        <v>46743</v>
      </c>
      <c r="G1029" s="118" t="n">
        <v>46763</v>
      </c>
      <c r="H1029" s="118" t="n">
        <v>46289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IF(E1029="","",IF(LEFT(E1029,7)="SUBSOLO",-1,IF(LEFT(E1029,6)="TÉRREO",0,IFERROR(VALUE(LEFT(E1029,FIND("º",SUBSTITUTE(E1029,"°","º"))-1)),""))))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29980894</v>
      </c>
      <c r="C1030" s="4" t="inlineStr">
        <is>
          <t>REBOCO INTERNO</t>
        </is>
      </c>
      <c r="D1030" s="4" t="inlineStr">
        <is>
          <t>-</t>
        </is>
      </c>
      <c r="E1030" s="4" t="inlineStr">
        <is>
          <t>24º PAV.</t>
        </is>
      </c>
      <c r="F1030" s="118" t="n">
        <v>46743</v>
      </c>
      <c r="G1030" s="118" t="n">
        <v>46763</v>
      </c>
      <c r="H1030" s="118" t="n">
        <v>46289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IF(E1030="","",IF(LEFT(E1030,7)="SUBSOLO",-1,IF(LEFT(E1030,6)="TÉRREO",0,IFERROR(VALUE(LEFT(E1030,FIND("º",SUBSTITUTE(E1030,"°","º"))-1)),""))))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29980860</v>
      </c>
      <c r="C1031" s="4" t="inlineStr">
        <is>
          <t>CONTRAMARCO</t>
        </is>
      </c>
      <c r="D1031" s="4" t="inlineStr">
        <is>
          <t>-</t>
        </is>
      </c>
      <c r="E1031" s="4" t="inlineStr">
        <is>
          <t>25º PAV.</t>
        </is>
      </c>
      <c r="F1031" s="118" t="n">
        <v>46743</v>
      </c>
      <c r="G1031" s="118" t="n">
        <v>46763</v>
      </c>
      <c r="H1031" s="118" t="n">
        <v>46289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IF(E1031="","",IF(LEFT(E1031,7)="SUBSOLO",-1,IF(LEFT(E1031,6)="TÉRREO",0,IFERROR(VALUE(LEFT(E1031,FIND("º",SUBSTITUTE(E1031,"°","º"))-1)),""))))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29980853</v>
      </c>
      <c r="C1032" s="4" t="inlineStr">
        <is>
          <t>DISTRIBUIÇÃO HIDROSSANITÁRIA</t>
        </is>
      </c>
      <c r="D1032" s="4" t="inlineStr">
        <is>
          <t>-</t>
        </is>
      </c>
      <c r="E1032" s="4" t="inlineStr">
        <is>
          <t>26º PAV.</t>
        </is>
      </c>
      <c r="F1032" s="118" t="n">
        <v>46743</v>
      </c>
      <c r="G1032" s="118" t="n">
        <v>46763</v>
      </c>
      <c r="H1032" s="118" t="n">
        <v>46289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IF(E1032="","",IF(LEFT(E1032,7)="SUBSOLO",-1,IF(LEFT(E1032,6)="TÉRREO",0,IFERROR(VALUE(LEFT(E1032,FIND("º",SUBSTITUTE(E1032,"°","º"))-1)),""))))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29980822</v>
      </c>
      <c r="C1033" s="4" t="inlineStr">
        <is>
          <t>DISTRIBUIÇÃO ELÉTRICA / QUADRO</t>
        </is>
      </c>
      <c r="D1033" s="4" t="inlineStr">
        <is>
          <t>-</t>
        </is>
      </c>
      <c r="E1033" s="4" t="inlineStr">
        <is>
          <t>26º PAV.</t>
        </is>
      </c>
      <c r="F1033" s="118" t="n">
        <v>46743</v>
      </c>
      <c r="G1033" s="118" t="n">
        <v>46763</v>
      </c>
      <c r="H1033" s="118" t="n">
        <v>46289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IF(E1033="","",IF(LEFT(E1033,7)="SUBSOLO",-1,IF(LEFT(E1033,6)="TÉRREO",0,IFERROR(VALUE(LEFT(E1033,FIND("º",SUBSTITUTE(E1033,"°","º"))-1)),""))))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29980855</v>
      </c>
      <c r="C1034" s="4" t="inlineStr">
        <is>
          <t>DISTRIBUIÇÃO DE GÁS</t>
        </is>
      </c>
      <c r="D1034" s="4" t="inlineStr">
        <is>
          <t>-</t>
        </is>
      </c>
      <c r="E1034" s="4" t="inlineStr">
        <is>
          <t>26º PAV.</t>
        </is>
      </c>
      <c r="F1034" s="118" t="n">
        <v>46743</v>
      </c>
      <c r="G1034" s="118" t="n">
        <v>46763</v>
      </c>
      <c r="H1034" s="118" t="n">
        <v>46289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IF(E1034="","",IF(LEFT(E1034,7)="SUBSOLO",-1,IF(LEFT(E1034,6)="TÉRREO",0,IFERROR(VALUE(LEFT(E1034,FIND("º",SUBSTITUTE(E1034,"°","º"))-1)),""))))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29980802</v>
      </c>
      <c r="C1035" s="4" t="inlineStr">
        <is>
          <t>TALISCAMENTO</t>
        </is>
      </c>
      <c r="D1035" s="4" t="inlineStr">
        <is>
          <t>-</t>
        </is>
      </c>
      <c r="E1035" s="4" t="inlineStr">
        <is>
          <t>27º PAV.</t>
        </is>
      </c>
      <c r="F1035" s="118" t="n">
        <v>46743</v>
      </c>
      <c r="G1035" s="118" t="n">
        <v>46763</v>
      </c>
      <c r="H1035" s="118" t="n">
        <v>46289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IF(E1035="","",IF(LEFT(E1035,7)="SUBSOLO",-1,IF(LEFT(E1035,6)="TÉRREO",0,IFERROR(VALUE(LEFT(E1035,FIND("º",SUBSTITUTE(E1035,"°","º"))-1)),""))))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29980768</v>
      </c>
      <c r="C1036" s="4" t="inlineStr">
        <is>
          <t>PRUMADA HIDROSSANITÁRIA</t>
        </is>
      </c>
      <c r="D1036" s="4" t="inlineStr">
        <is>
          <t>-</t>
        </is>
      </c>
      <c r="E1036" s="4" t="inlineStr">
        <is>
          <t>28º PAV.</t>
        </is>
      </c>
      <c r="F1036" s="118" t="n">
        <v>46743</v>
      </c>
      <c r="G1036" s="118" t="n">
        <v>46763</v>
      </c>
      <c r="H1036" s="118" t="n">
        <v>46289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IF(E1036="","",IF(LEFT(E1036,7)="SUBSOLO",-1,IF(LEFT(E1036,6)="TÉRREO",0,IFERROR(VALUE(LEFT(E1036,FIND("º",SUBSTITUTE(E1036,"°","º"))-1)),""))))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30205652</v>
      </c>
      <c r="C1037" s="4" t="inlineStr">
        <is>
          <t>MASSA CORRIDA</t>
        </is>
      </c>
      <c r="D1037" s="4" t="inlineStr">
        <is>
          <t>-</t>
        </is>
      </c>
      <c r="E1037" s="4" t="inlineStr">
        <is>
          <t>TÉRREO - LOJA 3</t>
        </is>
      </c>
      <c r="F1037" s="118" t="n">
        <v>46744</v>
      </c>
      <c r="G1037" s="118" t="n">
        <v>46765</v>
      </c>
      <c r="H1037" s="118" t="n">
        <v>46289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IF(E1037="","",IF(LEFT(E1037,7)="SUBSOLO",-1,IF(LEFT(E1037,6)="TÉRREO",0,IFERROR(VALUE(LEFT(E1037,FIND("º",SUBSTITUTE(E1037,"°","º"))-1)),""))))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30205622</v>
      </c>
      <c r="C1038" s="4" t="inlineStr">
        <is>
          <t>FORRO</t>
        </is>
      </c>
      <c r="D1038" s="4" t="inlineStr">
        <is>
          <t>-</t>
        </is>
      </c>
      <c r="E1038" s="4" t="inlineStr">
        <is>
          <t>TÉRREO - LOJA 4</t>
        </is>
      </c>
      <c r="F1038" s="118" t="n">
        <v>46744</v>
      </c>
      <c r="G1038" s="118" t="n">
        <v>46765</v>
      </c>
      <c r="H1038" s="118" t="n">
        <v>46289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IF(E1038="","",IF(LEFT(E1038,7)="SUBSOLO",-1,IF(LEFT(E1038,6)="TÉRREO",0,IFERROR(VALUE(LEFT(E1038,FIND("º",SUBSTITUTE(E1038,"°","º"))-1)),""))))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30205594</v>
      </c>
      <c r="C1039" s="4" t="inlineStr">
        <is>
          <t>BANCADAS</t>
        </is>
      </c>
      <c r="D1039" s="4" t="inlineStr">
        <is>
          <t>-</t>
        </is>
      </c>
      <c r="E1039" s="4" t="inlineStr">
        <is>
          <t>TÉRREO - LOJA 5</t>
        </is>
      </c>
      <c r="F1039" s="118" t="n">
        <v>46744</v>
      </c>
      <c r="G1039" s="118" t="n">
        <v>46765</v>
      </c>
      <c r="H1039" s="118" t="n">
        <v>46289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IF(E1039="","",IF(LEFT(E1039,7)="SUBSOLO",-1,IF(LEFT(E1039,6)="TÉRREO",0,IFERROR(VALUE(LEFT(E1039,FIND("º",SUBSTITUTE(E1039,"°","º"))-1)),""))))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30205569</v>
      </c>
      <c r="C1040" s="4" t="inlineStr">
        <is>
          <t>REVESTIMENTOS PORCELANATO PISO</t>
        </is>
      </c>
      <c r="D1040" s="4" t="inlineStr">
        <is>
          <t>-</t>
        </is>
      </c>
      <c r="E1040" s="4" t="inlineStr">
        <is>
          <t>TÉRREO - LOJA 6</t>
        </is>
      </c>
      <c r="F1040" s="118" t="n">
        <v>46744</v>
      </c>
      <c r="G1040" s="118" t="n">
        <v>46765</v>
      </c>
      <c r="H1040" s="118" t="n">
        <v>46289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IF(E1040="","",IF(LEFT(E1040,7)="SUBSOLO",-1,IF(LEFT(E1040,6)="TÉRREO",0,IFERROR(VALUE(LEFT(E1040,FIND("º",SUBSTITUTE(E1040,"°","º"))-1)),""))))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30205546</v>
      </c>
      <c r="C1041" s="4" t="inlineStr">
        <is>
          <t>REVESTIMENTO PORCELANATO PAREDE</t>
        </is>
      </c>
      <c r="D1041" s="4" t="inlineStr">
        <is>
          <t>-</t>
        </is>
      </c>
      <c r="E1041" s="4" t="inlineStr">
        <is>
          <t>TÉRREO - LOJA 7</t>
        </is>
      </c>
      <c r="F1041" s="118" t="n">
        <v>46744</v>
      </c>
      <c r="G1041" s="118" t="n">
        <v>46765</v>
      </c>
      <c r="H1041" s="118" t="n">
        <v>46289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IF(E1041="","",IF(LEFT(E1041,7)="SUBSOLO",-1,IF(LEFT(E1041,6)="TÉRREO",0,IFERROR(VALUE(LEFT(E1041,FIND("º",SUBSTITUTE(E1041,"°","º"))-1)),""))))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30205842</v>
      </c>
      <c r="C1042" s="4" t="inlineStr">
        <is>
          <t>DISTRIBUIÇÃO ELÉTRICA / QUADRO</t>
        </is>
      </c>
      <c r="D1042" s="4" t="inlineStr">
        <is>
          <t>-</t>
        </is>
      </c>
      <c r="E1042" s="4" t="inlineStr">
        <is>
          <t>1º PAV. (INTERMEDIÁRIO)</t>
        </is>
      </c>
      <c r="F1042" s="118" t="n">
        <v>46744</v>
      </c>
      <c r="G1042" s="118" t="n">
        <v>46762</v>
      </c>
      <c r="H1042" s="118" t="n">
        <v>46289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IF(E1042="","",IF(LEFT(E1042,7)="SUBSOLO",-1,IF(LEFT(E1042,6)="TÉRREO",0,IFERROR(VALUE(LEFT(E1042,FIND("º",SUBSTITUTE(E1042,"°","º"))-1)),""))))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30205843</v>
      </c>
      <c r="C1043" s="4" t="inlineStr">
        <is>
          <t>DISTRIBUIÇÃO HIDRÁULICA</t>
        </is>
      </c>
      <c r="D1043" s="4" t="inlineStr">
        <is>
          <t>-</t>
        </is>
      </c>
      <c r="E1043" s="4" t="inlineStr">
        <is>
          <t>1º PAV. (INTERMEDIÁRIO)</t>
        </is>
      </c>
      <c r="F1043" s="118" t="n">
        <v>46744</v>
      </c>
      <c r="G1043" s="118" t="n">
        <v>46765</v>
      </c>
      <c r="H1043" s="118" t="n">
        <v>46289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IF(E1043="","",IF(LEFT(E1043,7)="SUBSOLO",-1,IF(LEFT(E1043,6)="TÉRREO",0,IFERROR(VALUE(LEFT(E1043,FIND("º",SUBSTITUTE(E1043,"°","º"))-1)),""))))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30208607</v>
      </c>
      <c r="C1044" s="4" t="inlineStr">
        <is>
          <t>ALVENARIA</t>
        </is>
      </c>
      <c r="D1044" s="4" t="inlineStr">
        <is>
          <t>-</t>
        </is>
      </c>
      <c r="E1044" s="4" t="inlineStr">
        <is>
          <t>6º PAV (PILOTIS) - PISCINA + PRAINHA + DECK</t>
        </is>
      </c>
      <c r="F1044" s="118" t="n">
        <v>46755</v>
      </c>
      <c r="G1044" s="118" t="n">
        <v>46784</v>
      </c>
      <c r="H1044" s="118" t="n">
        <v>46289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IF(E1044="","",IF(LEFT(E1044,7)="SUBSOLO",-1,IF(LEFT(E1044,6)="TÉRREO",0,IFERROR(VALUE(LEFT(E1044,FIND("º",SUBSTITUTE(E1044,"°","º"))-1)),""))))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29980767</v>
      </c>
      <c r="C1045" s="4" t="inlineStr">
        <is>
          <t>ENCUNHAMENTO</t>
        </is>
      </c>
      <c r="D1045" s="4" t="inlineStr">
        <is>
          <t>-</t>
        </is>
      </c>
      <c r="E1045" s="4" t="inlineStr">
        <is>
          <t>28º PAV.</t>
        </is>
      </c>
      <c r="F1045" s="118" t="n">
        <v>46755</v>
      </c>
      <c r="G1045" s="118" t="n">
        <v>46765</v>
      </c>
      <c r="H1045" s="118" t="n">
        <v>46289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IF(E1045="","",IF(LEFT(E1045,7)="SUBSOLO",-1,IF(LEFT(E1045,6)="TÉRREO",0,IFERROR(VALUE(LEFT(E1045,FIND("º",SUBSTITUTE(E1045,"°","º"))-1)),""))))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31790140</v>
      </c>
      <c r="C1046" s="4" t="inlineStr">
        <is>
          <t>PEITORIS E REQUADROS DE FACHADA - F3 + F4 (1º ETAPA)</t>
        </is>
      </c>
      <c r="D1046" s="4" t="inlineStr">
        <is>
          <t>-</t>
        </is>
      </c>
      <c r="E1046" s="4" t="inlineStr">
        <is>
          <t>FACHADA</t>
        </is>
      </c>
      <c r="F1046" s="118" t="n">
        <v>46757</v>
      </c>
      <c r="G1046" s="118" t="n">
        <v>46784</v>
      </c>
      <c r="H1046" s="118" t="n">
        <v>46289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IF(E1046="","",IF(LEFT(E1046,7)="SUBSOLO",-1,IF(LEFT(E1046,6)="TÉRREO",0,IFERROR(VALUE(LEFT(E1046,FIND("º",SUBSTITUTE(E1046,"°","º"))-1)),""))))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29980741</v>
      </c>
      <c r="C1047" s="4" t="inlineStr">
        <is>
          <t>PRUMADA DE INCÊNDIO</t>
        </is>
      </c>
      <c r="D1047" s="4" t="inlineStr">
        <is>
          <t>-</t>
        </is>
      </c>
      <c r="E1047" s="4" t="inlineStr">
        <is>
          <t>29º PAV.</t>
        </is>
      </c>
      <c r="F1047" s="118" t="n">
        <v>46758</v>
      </c>
      <c r="G1047" s="118" t="n">
        <v>46770</v>
      </c>
      <c r="H1047" s="118" t="n">
        <v>46289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IF(E1047="","",IF(LEFT(E1047,7)="SUBSOLO",-1,IF(LEFT(E1047,6)="TÉRREO",0,IFERROR(VALUE(LEFT(E1047,FIND("º",SUBSTITUTE(E1047,"°","º"))-1)),""))))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29980692</v>
      </c>
      <c r="C1048" s="4" t="inlineStr">
        <is>
          <t>ALVENARIA</t>
        </is>
      </c>
      <c r="D1048" s="4" t="inlineStr">
        <is>
          <t>-</t>
        </is>
      </c>
      <c r="E1048" s="4" t="inlineStr">
        <is>
          <t>30º PAV.</t>
        </is>
      </c>
      <c r="F1048" s="118" t="n">
        <v>46758</v>
      </c>
      <c r="G1048" s="118" t="n">
        <v>46770</v>
      </c>
      <c r="H1048" s="118" t="n">
        <v>46289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IF(E1048="","",IF(LEFT(E1048,7)="SUBSOLO",-1,IF(LEFT(E1048,6)="TÉRREO",0,IFERROR(VALUE(LEFT(E1048,FIND("º",SUBSTITUTE(E1048,"°","º"))-1)),""))))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29941193</v>
      </c>
      <c r="C1049" s="4" t="inlineStr">
        <is>
          <t>ESTRUTURA</t>
        </is>
      </c>
      <c r="D1049" s="4" t="inlineStr">
        <is>
          <t>-</t>
        </is>
      </c>
      <c r="E1049" s="4" t="inlineStr">
        <is>
          <t>33º PAV - BARRILETE</t>
        </is>
      </c>
      <c r="F1049" s="118" t="n">
        <v>46758</v>
      </c>
      <c r="G1049" s="118" t="n">
        <v>46770</v>
      </c>
      <c r="H1049" s="118" t="n">
        <v>46289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IF(E1049="","",IF(LEFT(E1049,7)="SUBSOLO",-1,IF(LEFT(E1049,6)="TÉRREO",0,IFERROR(VALUE(LEFT(E1049,FIND("º",SUBSTITUTE(E1049,"°","º"))-1)),""))))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31529086</v>
      </c>
      <c r="C1050" s="4" t="inlineStr">
        <is>
          <t>ESTRUTURA</t>
        </is>
      </c>
      <c r="D1050" s="4" t="inlineStr">
        <is>
          <t>Forma</t>
        </is>
      </c>
      <c r="E1050" s="4" t="inlineStr">
        <is>
          <t>33º PAV - BARRILETE</t>
        </is>
      </c>
      <c r="F1050" s="118" t="n">
        <v>46758</v>
      </c>
      <c r="G1050" s="118" t="n">
        <v>46764</v>
      </c>
      <c r="H1050" s="118" t="n">
        <v>46289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IF(E1050="","",IF(LEFT(E1050,7)="SUBSOLO",-1,IF(LEFT(E1050,6)="TÉRREO",0,IFERROR(VALUE(LEFT(E1050,FIND("º",SUBSTITUTE(E1050,"°","º"))-1)),""))))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31529087</v>
      </c>
      <c r="C1051" s="4" t="inlineStr">
        <is>
          <t>ESTRUTURA</t>
        </is>
      </c>
      <c r="D1051" s="4" t="inlineStr">
        <is>
          <t>Armação</t>
        </is>
      </c>
      <c r="E1051" s="4" t="inlineStr">
        <is>
          <t>33º PAV - BARRILETE</t>
        </is>
      </c>
      <c r="F1051" s="118" t="n">
        <v>46765</v>
      </c>
      <c r="G1051" s="118" t="n">
        <v>46769</v>
      </c>
      <c r="H1051" s="118" t="n">
        <v>46289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IF(E1051="","",IF(LEFT(E1051,7)="SUBSOLO",-1,IF(LEFT(E1051,6)="TÉRREO",0,IFERROR(VALUE(LEFT(E1051,FIND("º",SUBSTITUTE(E1051,"°","º"))-1)),""))))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31529088</v>
      </c>
      <c r="C1052" s="4" t="inlineStr">
        <is>
          <t>ESTRUTURA</t>
        </is>
      </c>
      <c r="D1052" s="4" t="inlineStr">
        <is>
          <t>Concretagem</t>
        </is>
      </c>
      <c r="E1052" s="4" t="inlineStr">
        <is>
          <t>33º PAV - BARRILETE</t>
        </is>
      </c>
      <c r="F1052" s="118" t="n">
        <v>46770</v>
      </c>
      <c r="G1052" s="118" t="n">
        <v>46770</v>
      </c>
      <c r="H1052" s="118" t="n">
        <v>46289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IF(E1052="","",IF(LEFT(E1052,7)="SUBSOLO",-1,IF(LEFT(E1052,6)="TÉRREO",0,IFERROR(VALUE(LEFT(E1052,FIND("º",SUBSTITUTE(E1052,"°","º"))-1)),""))))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31529089</v>
      </c>
      <c r="C1053" s="4" t="inlineStr">
        <is>
          <t>ESTRUTURA</t>
        </is>
      </c>
      <c r="D1053" s="4" t="inlineStr">
        <is>
          <t>Polimento</t>
        </is>
      </c>
      <c r="E1053" s="4" t="inlineStr">
        <is>
          <t>33º PAV - BARRILETE</t>
        </is>
      </c>
      <c r="F1053" s="118" t="n">
        <v>46770</v>
      </c>
      <c r="G1053" s="118" t="n">
        <v>46770</v>
      </c>
      <c r="H1053" s="118" t="n">
        <v>46289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IF(E1053="","",IF(LEFT(E1053,7)="SUBSOLO",-1,IF(LEFT(E1053,6)="TÉRREO",0,IFERROR(VALUE(LEFT(E1053,FIND("º",SUBSTITUTE(E1053,"°","º"))-1)),""))))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30205792</v>
      </c>
      <c r="C1054" s="4" t="inlineStr">
        <is>
          <t>CONTRAPISO</t>
        </is>
      </c>
      <c r="D1054" s="4" t="inlineStr">
        <is>
          <t>-</t>
        </is>
      </c>
      <c r="E1054" s="4" t="inlineStr">
        <is>
          <t>TÉRREO - ACESSO COMERCIAL + DML + ARS + ÁREA TEC + LAVABO + DISPENSA</t>
        </is>
      </c>
      <c r="F1054" s="118" t="n">
        <v>46759</v>
      </c>
      <c r="G1054" s="118" t="n">
        <v>46772</v>
      </c>
      <c r="H1054" s="118" t="n">
        <v>46289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IF(E1054="","",IF(LEFT(E1054,7)="SUBSOLO",-1,IF(LEFT(E1054,6)="TÉRREO",0,IFERROR(VALUE(LEFT(E1054,FIND("º",SUBSTITUTE(E1054,"°","º"))-1)),""))))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30205815</v>
      </c>
      <c r="C1055" s="4" t="inlineStr">
        <is>
          <t>REBOCO INTERNO</t>
        </is>
      </c>
      <c r="D1055" s="4" t="inlineStr">
        <is>
          <t>-</t>
        </is>
      </c>
      <c r="E1055" s="4" t="inlineStr">
        <is>
          <t>TÉRREO - HALL SOCIAL + ECLUSA + CIRCULAÇÃO</t>
        </is>
      </c>
      <c r="F1055" s="118" t="n">
        <v>46759</v>
      </c>
      <c r="G1055" s="118" t="n">
        <v>46772</v>
      </c>
      <c r="H1055" s="118" t="n">
        <v>46289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IF(E1055="","",IF(LEFT(E1055,7)="SUBSOLO",-1,IF(LEFT(E1055,6)="TÉRREO",0,IFERROR(VALUE(LEFT(E1055,FIND("º",SUBSTITUTE(E1055,"°","º"))-1)),""))))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30171399</v>
      </c>
      <c r="C1056" s="4" t="inlineStr">
        <is>
          <t>ENCUNHAMENTO</t>
        </is>
      </c>
      <c r="D1056" s="4" t="inlineStr">
        <is>
          <t>-</t>
        </is>
      </c>
      <c r="E1056" s="4" t="inlineStr">
        <is>
          <t>5º PAV - GARAGEM</t>
        </is>
      </c>
      <c r="F1056" s="118" t="n">
        <v>46759</v>
      </c>
      <c r="G1056" s="118" t="n">
        <v>46772</v>
      </c>
      <c r="H1056" s="118" t="n">
        <v>46289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IF(E1056="","",IF(LEFT(E1056,7)="SUBSOLO",-1,IF(LEFT(E1056,6)="TÉRREO",0,IFERROR(VALUE(LEFT(E1056,FIND("º",SUBSTITUTE(E1056,"°","º"))-1)),""))))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30205751</v>
      </c>
      <c r="C1057" s="4" t="inlineStr">
        <is>
          <t>BANCADAS</t>
        </is>
      </c>
      <c r="D1057" s="4" t="inlineStr">
        <is>
          <t>-</t>
        </is>
      </c>
      <c r="E1057" s="4" t="inlineStr">
        <is>
          <t>SUBSOLO</t>
        </is>
      </c>
      <c r="F1057" s="118" t="n">
        <v>46762</v>
      </c>
      <c r="G1057" s="118" t="n">
        <v>46773</v>
      </c>
      <c r="H1057" s="118" t="n">
        <v>46289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IF(E1057="","",IF(LEFT(E1057,7)="SUBSOLO",-1,IF(LEFT(E1057,6)="TÉRREO",0,IFERROR(VALUE(LEFT(E1057,FIND("º",SUBSTITUTE(E1057,"°","º"))-1)),""))))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30171512</v>
      </c>
      <c r="C1058" s="4" t="inlineStr">
        <is>
          <t>MASSA CORRIDA</t>
        </is>
      </c>
      <c r="D1058" s="4" t="inlineStr">
        <is>
          <t>-</t>
        </is>
      </c>
      <c r="E1058" s="4" t="inlineStr">
        <is>
          <t>HALL - APTOS</t>
        </is>
      </c>
      <c r="F1058" s="118" t="n">
        <v>46763</v>
      </c>
      <c r="G1058" s="118" t="n">
        <v>47084</v>
      </c>
      <c r="H1058" s="118" t="n">
        <v>46289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IF(E1058="","",IF(LEFT(E1058,7)="SUBSOLO",-1,IF(LEFT(E1058,6)="TÉRREO",0,IFERROR(VALUE(LEFT(E1058,FIND("º",SUBSTITUTE(E1058,"°","º"))-1)),""))))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29981527</v>
      </c>
      <c r="C1059" s="4" t="inlineStr">
        <is>
          <t>PINTURA 1º DEMÃO</t>
        </is>
      </c>
      <c r="D1059" s="4" t="inlineStr">
        <is>
          <t>-</t>
        </is>
      </c>
      <c r="E1059" s="4" t="inlineStr">
        <is>
          <t>7º PAV.</t>
        </is>
      </c>
      <c r="F1059" s="118" t="n">
        <v>46763</v>
      </c>
      <c r="G1059" s="118" t="n">
        <v>46773</v>
      </c>
      <c r="H1059" s="118" t="n">
        <v>46289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IF(E1059="","",IF(LEFT(E1059,7)="SUBSOLO",-1,IF(LEFT(E1059,6)="TÉRREO",0,IFERROR(VALUE(LEFT(E1059,FIND("º",SUBSTITUTE(E1059,"°","º"))-1)),""))))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29981516</v>
      </c>
      <c r="C1060" s="4" t="inlineStr">
        <is>
          <t>MASSA CORRIDA</t>
        </is>
      </c>
      <c r="D1060" s="4" t="inlineStr">
        <is>
          <t>-</t>
        </is>
      </c>
      <c r="E1060" s="4" t="inlineStr">
        <is>
          <t>8º PAV.</t>
        </is>
      </c>
      <c r="F1060" s="118" t="n">
        <v>46763</v>
      </c>
      <c r="G1060" s="118" t="n">
        <v>46773</v>
      </c>
      <c r="H1060" s="118" t="n">
        <v>46289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IF(E1060="","",IF(LEFT(E1060,7)="SUBSOLO",-1,IF(LEFT(E1060,6)="TÉRREO",0,IFERROR(VALUE(LEFT(E1060,FIND("º",SUBSTITUTE(E1060,"°","º"))-1)),""))))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33898090</v>
      </c>
      <c r="C1061" s="4" t="inlineStr">
        <is>
          <t>ESQUADRIA DE ALUMÍNIO</t>
        </is>
      </c>
      <c r="D1061" s="4" t="inlineStr">
        <is>
          <t>-</t>
        </is>
      </c>
      <c r="E1061" s="4" t="inlineStr">
        <is>
          <t>9º PAV.</t>
        </is>
      </c>
      <c r="F1061" s="118" t="n">
        <v>46763</v>
      </c>
      <c r="G1061" s="118" t="n">
        <v>46773</v>
      </c>
      <c r="H1061" s="118" t="n">
        <v>46289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IF(E1061="","",IF(LEFT(E1061,7)="SUBSOLO",-1,IF(LEFT(E1061,6)="TÉRREO",0,IFERROR(VALUE(LEFT(E1061,FIND("º",SUBSTITUTE(E1061,"°","º"))-1)),""))))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29981329</v>
      </c>
      <c r="C1062" s="4" t="inlineStr">
        <is>
          <t>FORRO</t>
        </is>
      </c>
      <c r="D1062" s="4" t="inlineStr">
        <is>
          <t>-</t>
        </is>
      </c>
      <c r="E1062" s="4" t="inlineStr">
        <is>
          <t>13º PAV.</t>
        </is>
      </c>
      <c r="F1062" s="118" t="n">
        <v>46764</v>
      </c>
      <c r="G1062" s="118" t="n">
        <v>46776</v>
      </c>
      <c r="H1062" s="118" t="n">
        <v>46289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IF(E1062="","",IF(LEFT(E1062,7)="SUBSOLO",-1,IF(LEFT(E1062,6)="TÉRREO",0,IFERROR(VALUE(LEFT(E1062,FIND("º",SUBSTITUTE(E1062,"°","º"))-1)),""))))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29981290</v>
      </c>
      <c r="C1063" s="4" t="inlineStr">
        <is>
          <t>FIAÇÃO ELÉTRICA</t>
        </is>
      </c>
      <c r="D1063" s="4" t="inlineStr">
        <is>
          <t>-</t>
        </is>
      </c>
      <c r="E1063" s="4" t="inlineStr">
        <is>
          <t>14º PAV.</t>
        </is>
      </c>
      <c r="F1063" s="118" t="n">
        <v>46764</v>
      </c>
      <c r="G1063" s="118" t="n">
        <v>46776</v>
      </c>
      <c r="H1063" s="118" t="n">
        <v>46289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IF(E1063="","",IF(LEFT(E1063,7)="SUBSOLO",-1,IF(LEFT(E1063,6)="TÉRREO",0,IFERROR(VALUE(LEFT(E1063,FIND("º",SUBSTITUTE(E1063,"°","º"))-1)),""))))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29981295</v>
      </c>
      <c r="C1064" s="4" t="inlineStr">
        <is>
          <t>PRUMADA ELÉTRICA - CABOS</t>
        </is>
      </c>
      <c r="D1064" s="4" t="inlineStr">
        <is>
          <t>-</t>
        </is>
      </c>
      <c r="E1064" s="4" t="inlineStr">
        <is>
          <t>14º PAV.</t>
        </is>
      </c>
      <c r="F1064" s="118" t="n">
        <v>46764</v>
      </c>
      <c r="G1064" s="118" t="n">
        <v>46776</v>
      </c>
      <c r="H1064" s="118" t="n">
        <v>46289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IF(E1064="","",IF(LEFT(E1064,7)="SUBSOLO",-1,IF(LEFT(E1064,6)="TÉRREO",0,IFERROR(VALUE(LEFT(E1064,FIND("º",SUBSTITUTE(E1064,"°","º"))-1)),""))))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30214076</v>
      </c>
      <c r="C1065" s="4" t="inlineStr">
        <is>
          <t>FIAÇÃO TELECOM/DADOS</t>
        </is>
      </c>
      <c r="D1065" s="4" t="inlineStr">
        <is>
          <t>-</t>
        </is>
      </c>
      <c r="E1065" s="4" t="inlineStr">
        <is>
          <t>14º PAV.</t>
        </is>
      </c>
      <c r="F1065" s="118" t="n">
        <v>46764</v>
      </c>
      <c r="G1065" s="118" t="n">
        <v>46777</v>
      </c>
      <c r="H1065" s="118" t="n">
        <v>46289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IF(E1065="","",IF(LEFT(E1065,7)="SUBSOLO",-1,IF(LEFT(E1065,6)="TÉRREO",0,IFERROR(VALUE(LEFT(E1065,FIND("º",SUBSTITUTE(E1065,"°","º"))-1)),""))))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29981237</v>
      </c>
      <c r="C1066" s="4" t="inlineStr">
        <is>
          <t>BANCADAS</t>
        </is>
      </c>
      <c r="D1066" s="4" t="inlineStr">
        <is>
          <t>-</t>
        </is>
      </c>
      <c r="E1066" s="4" t="inlineStr">
        <is>
          <t>15º PAV.</t>
        </is>
      </c>
      <c r="F1066" s="118" t="n">
        <v>46764</v>
      </c>
      <c r="G1066" s="118" t="n">
        <v>46776</v>
      </c>
      <c r="H1066" s="118" t="n">
        <v>46289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IF(E1066="","",IF(LEFT(E1066,7)="SUBSOLO",-1,IF(LEFT(E1066,6)="TÉRREO",0,IFERROR(VALUE(LEFT(E1066,FIND("º",SUBSTITUTE(E1066,"°","º"))-1)),""))))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29981199</v>
      </c>
      <c r="C1067" s="4" t="inlineStr">
        <is>
          <t>REVESTIMENTOS PORCELANATO PISO</t>
        </is>
      </c>
      <c r="D1067" s="4" t="inlineStr">
        <is>
          <t>-</t>
        </is>
      </c>
      <c r="E1067" s="4" t="inlineStr">
        <is>
          <t>16º PAV.</t>
        </is>
      </c>
      <c r="F1067" s="118" t="n">
        <v>46764</v>
      </c>
      <c r="G1067" s="118" t="n">
        <v>46776</v>
      </c>
      <c r="H1067" s="118" t="n">
        <v>46289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IF(E1067="","",IF(LEFT(E1067,7)="SUBSOLO",-1,IF(LEFT(E1067,6)="TÉRREO",0,IFERROR(VALUE(LEFT(E1067,FIND("º",SUBSTITUTE(E1067,"°","º"))-1)),""))))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29981178</v>
      </c>
      <c r="C1068" s="4" t="inlineStr">
        <is>
          <t>REVESTIMENTO PORCELANATO PAREDE</t>
        </is>
      </c>
      <c r="D1068" s="4" t="inlineStr">
        <is>
          <t>-</t>
        </is>
      </c>
      <c r="E1068" s="4" t="inlineStr">
        <is>
          <t>17º PAV.</t>
        </is>
      </c>
      <c r="F1068" s="118" t="n">
        <v>46764</v>
      </c>
      <c r="G1068" s="118" t="n">
        <v>46776</v>
      </c>
      <c r="H1068" s="118" t="n">
        <v>46289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IF(E1068="","",IF(LEFT(E1068,7)="SUBSOLO",-1,IF(LEFT(E1068,6)="TÉRREO",0,IFERROR(VALUE(LEFT(E1068,FIND("º",SUBSTITUTE(E1068,"°","º"))-1)),""))))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29981139</v>
      </c>
      <c r="C1069" s="4" t="inlineStr">
        <is>
          <t>IMPERMEABILIZAÇÃO</t>
        </is>
      </c>
      <c r="D1069" s="4" t="inlineStr">
        <is>
          <t>-</t>
        </is>
      </c>
      <c r="E1069" s="4" t="inlineStr">
        <is>
          <t>18º PAV.</t>
        </is>
      </c>
      <c r="F1069" s="118" t="n">
        <v>46764</v>
      </c>
      <c r="G1069" s="118" t="n">
        <v>46776</v>
      </c>
      <c r="H1069" s="118" t="n">
        <v>46289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IF(E1069="","",IF(LEFT(E1069,7)="SUBSOLO",-1,IF(LEFT(E1069,6)="TÉRREO",0,IFERROR(VALUE(LEFT(E1069,FIND("º",SUBSTITUTE(E1069,"°","º"))-1)),""))))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32750446</v>
      </c>
      <c r="C1070" s="4" t="inlineStr">
        <is>
          <t>DRYWALL 2º FACE</t>
        </is>
      </c>
      <c r="D1070" s="4" t="inlineStr">
        <is>
          <t>-</t>
        </is>
      </c>
      <c r="E1070" s="4" t="inlineStr">
        <is>
          <t>20º PAV.</t>
        </is>
      </c>
      <c r="F1070" s="118" t="n">
        <v>46764</v>
      </c>
      <c r="G1070" s="118" t="n">
        <v>46776</v>
      </c>
      <c r="H1070" s="118" t="n">
        <v>46289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IF(E1070="","",IF(LEFT(E1070,7)="SUBSOLO",-1,IF(LEFT(E1070,6)="TÉRREO",0,IFERROR(VALUE(LEFT(E1070,FIND("º",SUBSTITUTE(E1070,"°","º"))-1)),""))))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32750369</v>
      </c>
      <c r="C1071" s="4" t="inlineStr">
        <is>
          <t>DISTRIBUIÇÃO DE GÁS - DRYWALL</t>
        </is>
      </c>
      <c r="D1071" s="4" t="inlineStr">
        <is>
          <t>-</t>
        </is>
      </c>
      <c r="E1071" s="4" t="inlineStr">
        <is>
          <t>21º PAV.</t>
        </is>
      </c>
      <c r="F1071" s="118" t="n">
        <v>46764</v>
      </c>
      <c r="G1071" s="118" t="n">
        <v>46776</v>
      </c>
      <c r="H1071" s="118" t="n">
        <v>46289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IF(E1071="","",IF(LEFT(E1071,7)="SUBSOLO",-1,IF(LEFT(E1071,6)="TÉRREO",0,IFERROR(VALUE(LEFT(E1071,FIND("º",SUBSTITUTE(E1071,"°","º"))-1)),""))))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32750395</v>
      </c>
      <c r="C1072" s="4" t="inlineStr">
        <is>
          <t>DISTRIBUIÇÃO ELÉTRICA/QUADRO - DRYWALL</t>
        </is>
      </c>
      <c r="D1072" s="4" t="inlineStr">
        <is>
          <t>-</t>
        </is>
      </c>
      <c r="E1072" s="4" t="inlineStr">
        <is>
          <t>21º PAV.</t>
        </is>
      </c>
      <c r="F1072" s="118" t="n">
        <v>46764</v>
      </c>
      <c r="G1072" s="118" t="n">
        <v>46776</v>
      </c>
      <c r="H1072" s="118" t="n">
        <v>46289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IF(E1072="","",IF(LEFT(E1072,7)="SUBSOLO",-1,IF(LEFT(E1072,6)="TÉRREO",0,IFERROR(VALUE(LEFT(E1072,FIND("º",SUBSTITUTE(E1072,"°","º"))-1)),""))))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32750421</v>
      </c>
      <c r="C1073" s="4" t="inlineStr">
        <is>
          <t>DISTRIBUIÇÃO HIDRÁULICA - DRYWALL</t>
        </is>
      </c>
      <c r="D1073" s="4" t="inlineStr">
        <is>
          <t>-</t>
        </is>
      </c>
      <c r="E1073" s="4" t="inlineStr">
        <is>
          <t>21º PAV.</t>
        </is>
      </c>
      <c r="F1073" s="118" t="n">
        <v>46764</v>
      </c>
      <c r="G1073" s="118" t="n">
        <v>46776</v>
      </c>
      <c r="H1073" s="118" t="n">
        <v>46289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IF(E1073="","",IF(LEFT(E1073,7)="SUBSOLO",-1,IF(LEFT(E1073,6)="TÉRREO",0,IFERROR(VALUE(LEFT(E1073,FIND("º",SUBSTITUTE(E1073,"°","º"))-1)),""))))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33896839</v>
      </c>
      <c r="C1074" s="4" t="inlineStr">
        <is>
          <t>INFRAESTRUTURA - AR CONDICIONADO</t>
        </is>
      </c>
      <c r="D1074" s="4" t="inlineStr">
        <is>
          <t>-</t>
        </is>
      </c>
      <c r="E1074" s="4" t="inlineStr">
        <is>
          <t>21º PAV.</t>
        </is>
      </c>
      <c r="F1074" s="118" t="n">
        <v>46764</v>
      </c>
      <c r="G1074" s="118" t="n">
        <v>46776</v>
      </c>
      <c r="H1074" s="118" t="n">
        <v>46289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IF(E1074="","",IF(LEFT(E1074,7)="SUBSOLO",-1,IF(LEFT(E1074,6)="TÉRREO",0,IFERROR(VALUE(LEFT(E1074,FIND("º",SUBSTITUTE(E1074,"°","º"))-1)),""))))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32749865</v>
      </c>
      <c r="C1075" s="4" t="inlineStr">
        <is>
          <t>DRYWALL 1º FACE</t>
        </is>
      </c>
      <c r="D1075" s="4" t="inlineStr">
        <is>
          <t>-</t>
        </is>
      </c>
      <c r="E1075" s="4" t="inlineStr">
        <is>
          <t>22º PAV.</t>
        </is>
      </c>
      <c r="F1075" s="118" t="n">
        <v>46764</v>
      </c>
      <c r="G1075" s="118" t="n">
        <v>46776</v>
      </c>
      <c r="H1075" s="118" t="n">
        <v>46289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IF(E1075="","",IF(LEFT(E1075,7)="SUBSOLO",-1,IF(LEFT(E1075,6)="TÉRREO",0,IFERROR(VALUE(LEFT(E1075,FIND("º",SUBSTITUTE(E1075,"°","º"))-1)),""))))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29980955</v>
      </c>
      <c r="C1076" s="4" t="inlineStr">
        <is>
          <t>CONTRAPISO</t>
        </is>
      </c>
      <c r="D1076" s="4" t="inlineStr">
        <is>
          <t>-</t>
        </is>
      </c>
      <c r="E1076" s="4" t="inlineStr">
        <is>
          <t>23º PAV.</t>
        </is>
      </c>
      <c r="F1076" s="118" t="n">
        <v>46764</v>
      </c>
      <c r="G1076" s="118" t="n">
        <v>46776</v>
      </c>
      <c r="H1076" s="118" t="n">
        <v>46289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IF(E1076="","",IF(LEFT(E1076,7)="SUBSOLO",-1,IF(LEFT(E1076,6)="TÉRREO",0,IFERROR(VALUE(LEFT(E1076,FIND("º",SUBSTITUTE(E1076,"°","º"))-1)),""))))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29980895</v>
      </c>
      <c r="C1077" s="4" t="inlineStr">
        <is>
          <t>SHAFT INTERNO INST. HIDRAÚLICAS</t>
        </is>
      </c>
      <c r="D1077" s="4" t="inlineStr">
        <is>
          <t>-</t>
        </is>
      </c>
      <c r="E1077" s="4" t="inlineStr">
        <is>
          <t>24º PAV.</t>
        </is>
      </c>
      <c r="F1077" s="118" t="n">
        <v>46764</v>
      </c>
      <c r="G1077" s="118" t="n">
        <v>46776</v>
      </c>
      <c r="H1077" s="118" t="n">
        <v>46289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IF(E1077="","",IF(LEFT(E1077,7)="SUBSOLO",-1,IF(LEFT(E1077,6)="TÉRREO",0,IFERROR(VALUE(LEFT(E1077,FIND("º",SUBSTITUTE(E1077,"°","º"))-1)),""))))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29980928</v>
      </c>
      <c r="C1078" s="4" t="inlineStr">
        <is>
          <t>PRUMADA ELÉTRICA - INFRA</t>
        </is>
      </c>
      <c r="D1078" s="4" t="inlineStr">
        <is>
          <t>-</t>
        </is>
      </c>
      <c r="E1078" s="4" t="inlineStr">
        <is>
          <t>24º PAV.</t>
        </is>
      </c>
      <c r="F1078" s="118" t="n">
        <v>46764</v>
      </c>
      <c r="G1078" s="118" t="n">
        <v>46776</v>
      </c>
      <c r="H1078" s="118" t="n">
        <v>46289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IF(E1078="","",IF(LEFT(E1078,7)="SUBSOLO",-1,IF(LEFT(E1078,6)="TÉRREO",0,IFERROR(VALUE(LEFT(E1078,FIND("º",SUBSTITUTE(E1078,"°","º"))-1)),""))))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29980857</v>
      </c>
      <c r="C1079" s="4" t="inlineStr">
        <is>
          <t>REBOCO INTERNO</t>
        </is>
      </c>
      <c r="D1079" s="4" t="inlineStr">
        <is>
          <t>-</t>
        </is>
      </c>
      <c r="E1079" s="4" t="inlineStr">
        <is>
          <t>25º PAV.</t>
        </is>
      </c>
      <c r="F1079" s="118" t="n">
        <v>46764</v>
      </c>
      <c r="G1079" s="118" t="n">
        <v>46776</v>
      </c>
      <c r="H1079" s="118" t="n">
        <v>46289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IF(E1079="","",IF(LEFT(E1079,7)="SUBSOLO",-1,IF(LEFT(E1079,6)="TÉRREO",0,IFERROR(VALUE(LEFT(E1079,FIND("º",SUBSTITUTE(E1079,"°","º"))-1)),""))))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29980823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26º PAV.</t>
        </is>
      </c>
      <c r="F1080" s="118" t="n">
        <v>46764</v>
      </c>
      <c r="G1080" s="118" t="n">
        <v>46776</v>
      </c>
      <c r="H1080" s="118" t="n">
        <v>46289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IF(E1080="","",IF(LEFT(E1080,7)="SUBSOLO",-1,IF(LEFT(E1080,6)="TÉRREO",0,IFERROR(VALUE(LEFT(E1080,FIND("º",SUBSTITUTE(E1080,"°","º"))-1)),""))))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29980816</v>
      </c>
      <c r="C1081" s="4" t="inlineStr">
        <is>
          <t>DISTRIBUIÇÃO HIDROSSANITÁRIA</t>
        </is>
      </c>
      <c r="D1081" s="4" t="inlineStr">
        <is>
          <t>-</t>
        </is>
      </c>
      <c r="E1081" s="4" t="inlineStr">
        <is>
          <t>27º PAV.</t>
        </is>
      </c>
      <c r="F1081" s="118" t="n">
        <v>46764</v>
      </c>
      <c r="G1081" s="118" t="n">
        <v>46776</v>
      </c>
      <c r="H1081" s="118" t="n">
        <v>46289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IF(E1081="","",IF(LEFT(E1081,7)="SUBSOLO",-1,IF(LEFT(E1081,6)="TÉRREO",0,IFERROR(VALUE(LEFT(E1081,FIND("º",SUBSTITUTE(E1081,"°","º"))-1)),""))))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29980785</v>
      </c>
      <c r="C1082" s="4" t="inlineStr">
        <is>
          <t>DISTRIBUIÇÃO ELÉTRICA / QUADRO</t>
        </is>
      </c>
      <c r="D1082" s="4" t="inlineStr">
        <is>
          <t>-</t>
        </is>
      </c>
      <c r="E1082" s="4" t="inlineStr">
        <is>
          <t>27º PAV.</t>
        </is>
      </c>
      <c r="F1082" s="118" t="n">
        <v>46764</v>
      </c>
      <c r="G1082" s="118" t="n">
        <v>46776</v>
      </c>
      <c r="H1082" s="118" t="n">
        <v>46289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IF(E1082="","",IF(LEFT(E1082,7)="SUBSOLO",-1,IF(LEFT(E1082,6)="TÉRREO",0,IFERROR(VALUE(LEFT(E1082,FIND("º",SUBSTITUTE(E1082,"°","º"))-1)),""))))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29980818</v>
      </c>
      <c r="C1083" s="4" t="inlineStr">
        <is>
          <t>DISTRIBUIÇÃO DE GÁS</t>
        </is>
      </c>
      <c r="D1083" s="4" t="inlineStr">
        <is>
          <t>-</t>
        </is>
      </c>
      <c r="E1083" s="4" t="inlineStr">
        <is>
          <t>27º PAV.</t>
        </is>
      </c>
      <c r="F1083" s="118" t="n">
        <v>46764</v>
      </c>
      <c r="G1083" s="118" t="n">
        <v>46776</v>
      </c>
      <c r="H1083" s="118" t="n">
        <v>46289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IF(E1083="","",IF(LEFT(E1083,7)="SUBSOLO",-1,IF(LEFT(E1083,6)="TÉRREO",0,IFERROR(VALUE(LEFT(E1083,FIND("º",SUBSTITUTE(E1083,"°","º"))-1)),""))))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29980765</v>
      </c>
      <c r="C1084" s="4" t="inlineStr">
        <is>
          <t>TALISCAMENTO</t>
        </is>
      </c>
      <c r="D1084" s="4" t="inlineStr">
        <is>
          <t>-</t>
        </is>
      </c>
      <c r="E1084" s="4" t="inlineStr">
        <is>
          <t>28º PAV.</t>
        </is>
      </c>
      <c r="F1084" s="118" t="n">
        <v>46764</v>
      </c>
      <c r="G1084" s="118" t="n">
        <v>46776</v>
      </c>
      <c r="H1084" s="118" t="n">
        <v>46289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IF(E1084="","",IF(LEFT(E1084,7)="SUBSOLO",-1,IF(LEFT(E1084,6)="TÉRREO",0,IFERROR(VALUE(LEFT(E1084,FIND("º",SUBSTITUTE(E1084,"°","º"))-1)),""))))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29980731</v>
      </c>
      <c r="C1085" s="4" t="inlineStr">
        <is>
          <t>PRUMADA HIDROSSANITÁRIA</t>
        </is>
      </c>
      <c r="D1085" s="4" t="inlineStr">
        <is>
          <t>-</t>
        </is>
      </c>
      <c r="E1085" s="4" t="inlineStr">
        <is>
          <t>29º PAV.</t>
        </is>
      </c>
      <c r="F1085" s="118" t="n">
        <v>46764</v>
      </c>
      <c r="G1085" s="118" t="n">
        <v>46776</v>
      </c>
      <c r="H1085" s="118" t="n">
        <v>46289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IF(E1085="","",IF(LEFT(E1085,7)="SUBSOLO",-1,IF(LEFT(E1085,6)="TÉRREO",0,IFERROR(VALUE(LEFT(E1085,FIND("º",SUBSTITUTE(E1085,"°","º"))-1)),""))))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30171407</v>
      </c>
      <c r="C1086" s="4" t="inlineStr">
        <is>
          <t>DISTRIBUIÇÃO ELÉTRICA / QUADRO</t>
        </is>
      </c>
      <c r="D1086" s="4" t="inlineStr">
        <is>
          <t>-</t>
        </is>
      </c>
      <c r="E1086" s="4" t="inlineStr">
        <is>
          <t>5º PAV - GARAGEM</t>
        </is>
      </c>
      <c r="F1086" s="118" t="n">
        <v>46765</v>
      </c>
      <c r="G1086" s="118" t="n">
        <v>46806</v>
      </c>
      <c r="H1086" s="118" t="n">
        <v>46289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IF(E1086="","",IF(LEFT(E1086,7)="SUBSOLO",-1,IF(LEFT(E1086,6)="TÉRREO",0,IFERROR(VALUE(LEFT(E1086,FIND("º",SUBSTITUTE(E1086,"°","º"))-1)),""))))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30171392</v>
      </c>
      <c r="C1087" s="4" t="inlineStr">
        <is>
          <t>DISTRIBUIÇÃO HIDRÁULICA</t>
        </is>
      </c>
      <c r="D1087" s="4" t="inlineStr">
        <is>
          <t>-</t>
        </is>
      </c>
      <c r="E1087" s="4" t="inlineStr">
        <is>
          <t>5º PAV - GARAGEM</t>
        </is>
      </c>
      <c r="F1087" s="118" t="n">
        <v>46765</v>
      </c>
      <c r="G1087" s="118" t="n">
        <v>46806</v>
      </c>
      <c r="H1087" s="118" t="n">
        <v>46289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IF(E1087="","",IF(LEFT(E1087,7)="SUBSOLO",-1,IF(LEFT(E1087,6)="TÉRREO",0,IFERROR(VALUE(LEFT(E1087,FIND("º",SUBSTITUTE(E1087,"°","º"))-1)),""))))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31789531</v>
      </c>
      <c r="C1088" s="4" t="inlineStr">
        <is>
          <t>FACHADA AERADA - F5 (1º ETAPA)</t>
        </is>
      </c>
      <c r="D1088" s="4" t="inlineStr">
        <is>
          <t>-</t>
        </is>
      </c>
      <c r="E1088" s="4" t="inlineStr">
        <is>
          <t>FACHADA</t>
        </is>
      </c>
      <c r="F1088" s="118" t="n">
        <v>46765</v>
      </c>
      <c r="G1088" s="118" t="n">
        <v>46834</v>
      </c>
      <c r="H1088" s="118" t="n">
        <v>46289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IF(E1088="","",IF(LEFT(E1088,7)="SUBSOLO",-1,IF(LEFT(E1088,6)="TÉRREO",0,IFERROR(VALUE(LEFT(E1088,FIND("º",SUBSTITUTE(E1088,"°","º"))-1)),""))))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30205625</v>
      </c>
      <c r="C1089" s="4" t="inlineStr">
        <is>
          <t>MASSA CORRIDA</t>
        </is>
      </c>
      <c r="D1089" s="4" t="inlineStr">
        <is>
          <t>-</t>
        </is>
      </c>
      <c r="E1089" s="4" t="inlineStr">
        <is>
          <t>TÉRREO - LOJA 4</t>
        </is>
      </c>
      <c r="F1089" s="118" t="n">
        <v>46766</v>
      </c>
      <c r="G1089" s="118" t="n">
        <v>46779</v>
      </c>
      <c r="H1089" s="118" t="n">
        <v>46289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IF(E1089="","",IF(LEFT(E1089,7)="SUBSOLO",-1,IF(LEFT(E1089,6)="TÉRREO",0,IFERROR(VALUE(LEFT(E1089,FIND("º",SUBSTITUTE(E1089,"°","º"))-1)),""))))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30205595</v>
      </c>
      <c r="C1090" s="4" t="inlineStr">
        <is>
          <t>FORRO</t>
        </is>
      </c>
      <c r="D1090" s="4" t="inlineStr">
        <is>
          <t>-</t>
        </is>
      </c>
      <c r="E1090" s="4" t="inlineStr">
        <is>
          <t>TÉRREO - LOJA 5</t>
        </is>
      </c>
      <c r="F1090" s="118" t="n">
        <v>46766</v>
      </c>
      <c r="G1090" s="118" t="n">
        <v>46779</v>
      </c>
      <c r="H1090" s="118" t="n">
        <v>46289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IF(E1090="","",IF(LEFT(E1090,7)="SUBSOLO",-1,IF(LEFT(E1090,6)="TÉRREO",0,IFERROR(VALUE(LEFT(E1090,FIND("º",SUBSTITUTE(E1090,"°","º"))-1)),""))))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30205567</v>
      </c>
      <c r="C1091" s="4" t="inlineStr">
        <is>
          <t>BANCADAS</t>
        </is>
      </c>
      <c r="D1091" s="4" t="inlineStr">
        <is>
          <t>-</t>
        </is>
      </c>
      <c r="E1091" s="4" t="inlineStr">
        <is>
          <t>TÉRREO - LOJA 6</t>
        </is>
      </c>
      <c r="F1091" s="118" t="n">
        <v>46766</v>
      </c>
      <c r="G1091" s="118" t="n">
        <v>46779</v>
      </c>
      <c r="H1091" s="118" t="n">
        <v>46289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IF(E1091="","",IF(LEFT(E1091,7)="SUBSOLO",-1,IF(LEFT(E1091,6)="TÉRREO",0,IFERROR(VALUE(LEFT(E1091,FIND("º",SUBSTITUTE(E1091,"°","º"))-1)),""))))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30205542</v>
      </c>
      <c r="C1092" s="4" t="inlineStr">
        <is>
          <t>REVESTIMENTOS PORCELANATO PISO</t>
        </is>
      </c>
      <c r="D1092" s="4" t="inlineStr">
        <is>
          <t>-</t>
        </is>
      </c>
      <c r="E1092" s="4" t="inlineStr">
        <is>
          <t>TÉRREO - LOJA 7</t>
        </is>
      </c>
      <c r="F1092" s="118" t="n">
        <v>46766</v>
      </c>
      <c r="G1092" s="118" t="n">
        <v>46779</v>
      </c>
      <c r="H1092" s="118" t="n">
        <v>46289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IF(E1092="","",IF(LEFT(E1092,7)="SUBSOLO",-1,IF(LEFT(E1092,6)="TÉRREO",0,IFERROR(VALUE(LEFT(E1092,FIND("º",SUBSTITUTE(E1092,"°","º"))-1)),""))))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30205846</v>
      </c>
      <c r="C1093" s="4" t="inlineStr">
        <is>
          <t>REBOCO INTERNO</t>
        </is>
      </c>
      <c r="D1093" s="4" t="inlineStr">
        <is>
          <t>-</t>
        </is>
      </c>
      <c r="E1093" s="4" t="inlineStr">
        <is>
          <t>1º PAV. (INTERMEDIÁRIO)</t>
        </is>
      </c>
      <c r="F1093" s="118" t="n">
        <v>46766</v>
      </c>
      <c r="G1093" s="118" t="n">
        <v>46786</v>
      </c>
      <c r="H1093" s="118" t="n">
        <v>46289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IF(E1093="","",IF(LEFT(E1093,7)="SUBSOLO",-1,IF(LEFT(E1093,6)="TÉRREO",0,IFERROR(VALUE(LEFT(E1093,FIND("º",SUBSTITUTE(E1093,"°","º"))-1)),""))))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29980730</v>
      </c>
      <c r="C1094" s="4" t="inlineStr">
        <is>
          <t>ENCUNHAMENTO</t>
        </is>
      </c>
      <c r="D1094" s="4" t="inlineStr">
        <is>
          <t>-</t>
        </is>
      </c>
      <c r="E1094" s="4" t="inlineStr">
        <is>
          <t>29º PAV.</t>
        </is>
      </c>
      <c r="F1094" s="118" t="n">
        <v>46766</v>
      </c>
      <c r="G1094" s="118" t="n">
        <v>46778</v>
      </c>
      <c r="H1094" s="118" t="n">
        <v>46289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IF(E1094="","",IF(LEFT(E1094,7)="SUBSOLO",-1,IF(LEFT(E1094,6)="TÉRREO",0,IFERROR(VALUE(LEFT(E1094,FIND("º",SUBSTITUTE(E1094,"°","º"))-1)),""))))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30205754</v>
      </c>
      <c r="C1095" s="4" t="inlineStr">
        <is>
          <t>GERADOR/TRANSFORMADOR</t>
        </is>
      </c>
      <c r="D1095" s="4" t="inlineStr">
        <is>
          <t>-</t>
        </is>
      </c>
      <c r="E1095" s="4" t="inlineStr">
        <is>
          <t>SUBSOLO</t>
        </is>
      </c>
      <c r="F1095" s="118" t="n">
        <v>46769</v>
      </c>
      <c r="G1095" s="118" t="n">
        <v>46813</v>
      </c>
      <c r="H1095" s="118" t="n">
        <v>46289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IF(E1095="","",IF(LEFT(E1095,7)="SUBSOLO",-1,IF(LEFT(E1095,6)="TÉRREO",0,IFERROR(VALUE(LEFT(E1095,FIND("º",SUBSTITUTE(E1095,"°","º"))-1)),""))))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29980704</v>
      </c>
      <c r="C1096" s="4" t="inlineStr">
        <is>
          <t>PRUMADA DE INCÊNDIO</t>
        </is>
      </c>
      <c r="D1096" s="4" t="inlineStr">
        <is>
          <t>-</t>
        </is>
      </c>
      <c r="E1096" s="4" t="inlineStr">
        <is>
          <t>30º PAV.</t>
        </is>
      </c>
      <c r="F1096" s="118" t="n">
        <v>46771</v>
      </c>
      <c r="G1096" s="118" t="n">
        <v>46783</v>
      </c>
      <c r="H1096" s="118" t="n">
        <v>46289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IF(E1096="","",IF(LEFT(E1096,7)="SUBSOLO",-1,IF(LEFT(E1096,6)="TÉRREO",0,IFERROR(VALUE(LEFT(E1096,FIND("º",SUBSTITUTE(E1096,"°","º"))-1)),""))))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29980655</v>
      </c>
      <c r="C1097" s="4" t="inlineStr">
        <is>
          <t>ALVENARIA</t>
        </is>
      </c>
      <c r="D1097" s="4" t="inlineStr">
        <is>
          <t>-</t>
        </is>
      </c>
      <c r="E1097" s="4" t="inlineStr">
        <is>
          <t>31º PAV. - COBERTURA LINEAR</t>
        </is>
      </c>
      <c r="F1097" s="118" t="n">
        <v>46771</v>
      </c>
      <c r="G1097" s="118" t="n">
        <v>46783</v>
      </c>
      <c r="H1097" s="118" t="n">
        <v>46289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IF(E1097="","",IF(LEFT(E1097,7)="SUBSOLO",-1,IF(LEFT(E1097,6)="TÉRREO",0,IFERROR(VALUE(LEFT(E1097,FIND("º",SUBSTITUTE(E1097,"°","º"))-1)),""))))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29941196</v>
      </c>
      <c r="C1098" s="4" t="inlineStr">
        <is>
          <t>ESTRUTURA</t>
        </is>
      </c>
      <c r="D1098" s="4" t="inlineStr">
        <is>
          <t>-</t>
        </is>
      </c>
      <c r="E1098" s="4" t="inlineStr">
        <is>
          <t>34º PAV - RESERVATÓRIO</t>
        </is>
      </c>
      <c r="F1098" s="118" t="n">
        <v>46771</v>
      </c>
      <c r="G1098" s="118" t="n">
        <v>46794</v>
      </c>
      <c r="H1098" s="118" t="n">
        <v>46289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IF(E1098="","",IF(LEFT(E1098,7)="SUBSOLO",-1,IF(LEFT(E1098,6)="TÉRREO",0,IFERROR(VALUE(LEFT(E1098,FIND("º",SUBSTITUTE(E1098,"°","º"))-1)),""))))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31529090</v>
      </c>
      <c r="C1099" s="4" t="inlineStr">
        <is>
          <t>ESTRUTURA</t>
        </is>
      </c>
      <c r="D1099" s="4" t="inlineStr">
        <is>
          <t>Forma</t>
        </is>
      </c>
      <c r="E1099" s="4" t="inlineStr">
        <is>
          <t>34º PAV - RESERVATÓRIO</t>
        </is>
      </c>
      <c r="F1099" s="118" t="n">
        <v>46771</v>
      </c>
      <c r="G1099" s="118" t="n">
        <v>46786</v>
      </c>
      <c r="H1099" s="118" t="n">
        <v>46289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IF(E1099="","",IF(LEFT(E1099,7)="SUBSOLO",-1,IF(LEFT(E1099,6)="TÉRREO",0,IFERROR(VALUE(LEFT(E1099,FIND("º",SUBSTITUTE(E1099,"°","º"))-1)),""))))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31529091</v>
      </c>
      <c r="C1100" s="4" t="inlineStr">
        <is>
          <t>ESTRUTURA</t>
        </is>
      </c>
      <c r="D1100" s="4" t="inlineStr">
        <is>
          <t>Armação</t>
        </is>
      </c>
      <c r="E1100" s="4" t="inlineStr">
        <is>
          <t>34º PAV - RESERVATÓRIO</t>
        </is>
      </c>
      <c r="F1100" s="118" t="n">
        <v>46787</v>
      </c>
      <c r="G1100" s="118" t="n">
        <v>46793</v>
      </c>
      <c r="H1100" s="118" t="n">
        <v>46289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IF(E1100="","",IF(LEFT(E1100,7)="SUBSOLO",-1,IF(LEFT(E1100,6)="TÉRREO",0,IFERROR(VALUE(LEFT(E1100,FIND("º",SUBSTITUTE(E1100,"°","º"))-1)),""))))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31529092</v>
      </c>
      <c r="C1101" s="4" t="inlineStr">
        <is>
          <t>ESTRUTURA</t>
        </is>
      </c>
      <c r="D1101" s="4" t="inlineStr">
        <is>
          <t>Concretagem</t>
        </is>
      </c>
      <c r="E1101" s="4" t="inlineStr">
        <is>
          <t>34º PAV - RESERVATÓRIO</t>
        </is>
      </c>
      <c r="F1101" s="118" t="n">
        <v>46794</v>
      </c>
      <c r="G1101" s="118" t="n">
        <v>46794</v>
      </c>
      <c r="H1101" s="118" t="n">
        <v>46289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IF(E1101="","",IF(LEFT(E1101,7)="SUBSOLO",-1,IF(LEFT(E1101,6)="TÉRREO",0,IFERROR(VALUE(LEFT(E1101,FIND("º",SUBSTITUTE(E1101,"°","º"))-1)),""))))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31529093</v>
      </c>
      <c r="C1102" s="4" t="inlineStr">
        <is>
          <t>ESTRUTURA</t>
        </is>
      </c>
      <c r="D1102" s="4" t="inlineStr">
        <is>
          <t>Polimento</t>
        </is>
      </c>
      <c r="E1102" s="4" t="inlineStr">
        <is>
          <t>34º PAV - RESERVATÓRIO</t>
        </is>
      </c>
      <c r="F1102" s="118" t="n">
        <v>46794</v>
      </c>
      <c r="G1102" s="118" t="n">
        <v>46794</v>
      </c>
      <c r="H1102" s="118" t="n">
        <v>46289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IF(E1102="","",IF(LEFT(E1102,7)="SUBSOLO",-1,IF(LEFT(E1102,6)="TÉRREO",0,IFERROR(VALUE(LEFT(E1102,FIND("º",SUBSTITUTE(E1102,"°","º"))-1)),""))))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30205793</v>
      </c>
      <c r="C1103" s="4" t="inlineStr">
        <is>
          <t>DRYWALL</t>
        </is>
      </c>
      <c r="D1103" s="4" t="inlineStr">
        <is>
          <t>-</t>
        </is>
      </c>
      <c r="E1103" s="4" t="inlineStr">
        <is>
          <t>TÉRREO - ACESSO COMERCIAL + DML + ARS + ÁREA TEC + LAVABO + DISPENSA</t>
        </is>
      </c>
      <c r="F1103" s="118" t="n">
        <v>46773</v>
      </c>
      <c r="G1103" s="118" t="n">
        <v>46786</v>
      </c>
      <c r="H1103" s="118" t="n">
        <v>46289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IF(E1103="","",IF(LEFT(E1103,7)="SUBSOLO",-1,IF(LEFT(E1103,6)="TÉRREO",0,IFERROR(VALUE(LEFT(E1103,FIND("º",SUBSTITUTE(E1103,"°","º"))-1)),""))))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30205819</v>
      </c>
      <c r="C1104" s="4" t="inlineStr">
        <is>
          <t>CONTRAPISO</t>
        </is>
      </c>
      <c r="D1104" s="4" t="inlineStr">
        <is>
          <t>-</t>
        </is>
      </c>
      <c r="E1104" s="4" t="inlineStr">
        <is>
          <t>TÉRREO - HALL SOCIAL + ECLUSA + CIRCULAÇÃO</t>
        </is>
      </c>
      <c r="F1104" s="118" t="n">
        <v>46773</v>
      </c>
      <c r="G1104" s="118" t="n">
        <v>46786</v>
      </c>
      <c r="H1104" s="118" t="n">
        <v>46289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IF(E1104="","",IF(LEFT(E1104,7)="SUBSOLO",-1,IF(LEFT(E1104,6)="TÉRREO",0,IFERROR(VALUE(LEFT(E1104,FIND("º",SUBSTITUTE(E1104,"°","º"))-1)),""))))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30171470</v>
      </c>
      <c r="C1105" s="4" t="inlineStr">
        <is>
          <t>DISJUNTORES / MIOLOS</t>
        </is>
      </c>
      <c r="D1105" s="4" t="inlineStr">
        <is>
          <t>-</t>
        </is>
      </c>
      <c r="E1105" s="4" t="inlineStr">
        <is>
          <t>2º PAV - GARAGEM</t>
        </is>
      </c>
      <c r="F1105" s="118" t="n">
        <v>46773</v>
      </c>
      <c r="G1105" s="118" t="n">
        <v>46800</v>
      </c>
      <c r="H1105" s="118" t="n">
        <v>46289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IF(E1105="","",IF(LEFT(E1105,7)="SUBSOLO",-1,IF(LEFT(E1105,6)="TÉRREO",0,IFERROR(VALUE(LEFT(E1105,FIND("º",SUBSTITUTE(E1105,"°","º"))-1)),""))))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30171467</v>
      </c>
      <c r="C1106" s="4" t="inlineStr">
        <is>
          <t>INSTALAÇÃO DE LUMINÁRIAS E SENSORES</t>
        </is>
      </c>
      <c r="D1106" s="4" t="inlineStr">
        <is>
          <t>-</t>
        </is>
      </c>
      <c r="E1106" s="4" t="inlineStr">
        <is>
          <t>2º PAV - GARAGEM</t>
        </is>
      </c>
      <c r="F1106" s="118" t="n">
        <v>46773</v>
      </c>
      <c r="G1106" s="118" t="n">
        <v>46800</v>
      </c>
      <c r="H1106" s="118" t="n">
        <v>46289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IF(E1106="","",IF(LEFT(E1106,7)="SUBSOLO",-1,IF(LEFT(E1106,6)="TÉRREO",0,IFERROR(VALUE(LEFT(E1106,FIND("º",SUBSTITUTE(E1106,"°","º"))-1)),""))))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30171438</v>
      </c>
      <c r="C1107" s="4" t="inlineStr">
        <is>
          <t>FIAÇÃO ELÉTRICA</t>
        </is>
      </c>
      <c r="D1107" s="4" t="inlineStr">
        <is>
          <t>-</t>
        </is>
      </c>
      <c r="E1107" s="4" t="inlineStr">
        <is>
          <t>3º PAV - GARAGEM</t>
        </is>
      </c>
      <c r="F1107" s="118" t="n">
        <v>46773</v>
      </c>
      <c r="G1107" s="118" t="n">
        <v>46834</v>
      </c>
      <c r="H1107" s="118" t="n">
        <v>46289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IF(E1107="","",IF(LEFT(E1107,7)="SUBSOLO",-1,IF(LEFT(E1107,6)="TÉRREO",0,IFERROR(VALUE(LEFT(E1107,FIND("º",SUBSTITUTE(E1107,"°","º"))-1)),""))))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30171457</v>
      </c>
      <c r="C1108" s="4" t="inlineStr">
        <is>
          <t>PRUMADA ELÉTRICA - CABOS</t>
        </is>
      </c>
      <c r="D1108" s="4" t="inlineStr">
        <is>
          <t>-</t>
        </is>
      </c>
      <c r="E1108" s="4" t="inlineStr">
        <is>
          <t>3º PAV - GARAGEM</t>
        </is>
      </c>
      <c r="F1108" s="118" t="n">
        <v>46773</v>
      </c>
      <c r="G1108" s="118" t="n">
        <v>46834</v>
      </c>
      <c r="H1108" s="118" t="n">
        <v>46289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IF(E1108="","",IF(LEFT(E1108,7)="SUBSOLO",-1,IF(LEFT(E1108,6)="TÉRREO",0,IFERROR(VALUE(LEFT(E1108,FIND("º",SUBSTITUTE(E1108,"°","º"))-1)),""))))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30171440</v>
      </c>
      <c r="C1109" s="4" t="inlineStr">
        <is>
          <t>SHAFT</t>
        </is>
      </c>
      <c r="D1109" s="4" t="inlineStr">
        <is>
          <t>-</t>
        </is>
      </c>
      <c r="E1109" s="4" t="inlineStr">
        <is>
          <t>3º PAV - GARAGEM</t>
        </is>
      </c>
      <c r="F1109" s="118" t="n">
        <v>46773</v>
      </c>
      <c r="G1109" s="118" t="n">
        <v>46800</v>
      </c>
      <c r="H1109" s="118" t="n">
        <v>46289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IF(E1109="","",IF(LEFT(E1109,7)="SUBSOLO",-1,IF(LEFT(E1109,6)="TÉRREO",0,IFERROR(VALUE(LEFT(E1109,FIND("º",SUBSTITUTE(E1109,"°","º"))-1)),""))))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30214060</v>
      </c>
      <c r="C1110" s="4" t="inlineStr">
        <is>
          <t>FIAÇÃO TELECOM/DADOS</t>
        </is>
      </c>
      <c r="D1110" s="4" t="inlineStr">
        <is>
          <t>-</t>
        </is>
      </c>
      <c r="E1110" s="4" t="inlineStr">
        <is>
          <t>3º PAV - GARAGEM</t>
        </is>
      </c>
      <c r="F1110" s="118" t="n">
        <v>46773</v>
      </c>
      <c r="G1110" s="118" t="n">
        <v>46786</v>
      </c>
      <c r="H1110" s="118" t="n">
        <v>46289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IF(E1110="","",IF(LEFT(E1110,7)="SUBSOLO",-1,IF(LEFT(E1110,6)="TÉRREO",0,IFERROR(VALUE(LEFT(E1110,FIND("º",SUBSTITUTE(E1110,"°","º"))-1)),""))))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30205710</v>
      </c>
      <c r="C1111" s="4" t="inlineStr">
        <is>
          <t>FIAÇÃO ELÉTRICA</t>
        </is>
      </c>
      <c r="D1111" s="4" t="inlineStr">
        <is>
          <t>-</t>
        </is>
      </c>
      <c r="E1111" s="4" t="inlineStr">
        <is>
          <t>SUBSOLO</t>
        </is>
      </c>
      <c r="F1111" s="118" t="n">
        <v>46776</v>
      </c>
      <c r="G1111" s="118" t="n">
        <v>46805</v>
      </c>
      <c r="H1111" s="118" t="n">
        <v>46289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IF(E1111="","",IF(LEFT(E1111,7)="SUBSOLO",-1,IF(LEFT(E1111,6)="TÉRREO",0,IFERROR(VALUE(LEFT(E1111,FIND("º",SUBSTITUTE(E1111,"°","º"))-1)),""))))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30214057</v>
      </c>
      <c r="C1112" s="4" t="inlineStr">
        <is>
          <t>FIAÇÃO TELECOM/DADOS</t>
        </is>
      </c>
      <c r="D1112" s="4" t="inlineStr">
        <is>
          <t>-</t>
        </is>
      </c>
      <c r="E1112" s="4" t="inlineStr">
        <is>
          <t>SUBSOLO</t>
        </is>
      </c>
      <c r="F1112" s="118" t="n">
        <v>46776</v>
      </c>
      <c r="G1112" s="118" t="n">
        <v>46787</v>
      </c>
      <c r="H1112" s="118" t="n">
        <v>46289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IF(E1112="","",IF(LEFT(E1112,7)="SUBSOLO",-1,IF(LEFT(E1112,6)="TÉRREO",0,IFERROR(VALUE(LEFT(E1112,FIND("º",SUBSTITUTE(E1112,"°","º"))-1)),""))))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30171506</v>
      </c>
      <c r="C1113" s="4" t="inlineStr">
        <is>
          <t>PINTURA 1º DEMÃO</t>
        </is>
      </c>
      <c r="D1113" s="4" t="inlineStr">
        <is>
          <t>-</t>
        </is>
      </c>
      <c r="E1113" s="4" t="inlineStr">
        <is>
          <t>HALL - APTOS</t>
        </is>
      </c>
      <c r="F1113" s="118" t="n">
        <v>46776</v>
      </c>
      <c r="G1113" s="118" t="n">
        <v>47123</v>
      </c>
      <c r="H1113" s="118" t="n">
        <v>46289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IF(E1113="","",IF(LEFT(E1113,7)="SUBSOLO",-1,IF(LEFT(E1113,6)="TÉRREO",0,IFERROR(VALUE(LEFT(E1113,FIND("º",SUBSTITUTE(E1113,"°","º"))-1)),""))))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29981528</v>
      </c>
      <c r="C1114" s="4" t="inlineStr">
        <is>
          <t>PISO VINÍLICO / LAMINADO</t>
        </is>
      </c>
      <c r="D1114" s="4" t="inlineStr">
        <is>
          <t>-</t>
        </is>
      </c>
      <c r="E1114" s="4" t="inlineStr">
        <is>
          <t>7º PAV.</t>
        </is>
      </c>
      <c r="F1114" s="118" t="n">
        <v>46776</v>
      </c>
      <c r="G1114" s="118" t="n">
        <v>46786</v>
      </c>
      <c r="H1114" s="118" t="n">
        <v>46289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IF(E1114="","",IF(LEFT(E1114,7)="SUBSOLO",-1,IF(LEFT(E1114,6)="TÉRREO",0,IFERROR(VALUE(LEFT(E1114,FIND("º",SUBSTITUTE(E1114,"°","º"))-1)),""))))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29981490</v>
      </c>
      <c r="C1115" s="4" t="inlineStr">
        <is>
          <t>PINTURA 1º DEMÃO</t>
        </is>
      </c>
      <c r="D1115" s="4" t="inlineStr">
        <is>
          <t>-</t>
        </is>
      </c>
      <c r="E1115" s="4" t="inlineStr">
        <is>
          <t>8º PAV.</t>
        </is>
      </c>
      <c r="F1115" s="118" t="n">
        <v>46776</v>
      </c>
      <c r="G1115" s="118" t="n">
        <v>46786</v>
      </c>
      <c r="H1115" s="118" t="n">
        <v>46289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IF(E1115="","",IF(LEFT(E1115,7)="SUBSOLO",-1,IF(LEFT(E1115,6)="TÉRREO",0,IFERROR(VALUE(LEFT(E1115,FIND("º",SUBSTITUTE(E1115,"°","º"))-1)),""))))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29981479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9º PAV.</t>
        </is>
      </c>
      <c r="F1116" s="118" t="n">
        <v>46776</v>
      </c>
      <c r="G1116" s="118" t="n">
        <v>46786</v>
      </c>
      <c r="H1116" s="118" t="n">
        <v>46289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IF(E1116="","",IF(LEFT(E1116,7)="SUBSOLO",-1,IF(LEFT(E1116,6)="TÉRREO",0,IFERROR(VALUE(LEFT(E1116,FIND("º",SUBSTITUTE(E1116,"°","º"))-1)),""))))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33898091</v>
      </c>
      <c r="C1117" s="4" t="inlineStr">
        <is>
          <t>ESQUADRIA DE ALUMÍNIO</t>
        </is>
      </c>
      <c r="D1117" s="4" t="inlineStr">
        <is>
          <t>-</t>
        </is>
      </c>
      <c r="E1117" s="4" t="inlineStr">
        <is>
          <t>10º PAV.</t>
        </is>
      </c>
      <c r="F1117" s="118" t="n">
        <v>46776</v>
      </c>
      <c r="G1117" s="118" t="n">
        <v>46786</v>
      </c>
      <c r="H1117" s="118" t="n">
        <v>46289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IF(E1117="","",IF(LEFT(E1117,7)="SUBSOLO",-1,IF(LEFT(E1117,6)="TÉRREO",0,IFERROR(VALUE(LEFT(E1117,FIND("º",SUBSTITUTE(E1117,"°","º"))-1)),""))))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29981292</v>
      </c>
      <c r="C1118" s="4" t="inlineStr">
        <is>
          <t>FORRO</t>
        </is>
      </c>
      <c r="D1118" s="4" t="inlineStr">
        <is>
          <t>-</t>
        </is>
      </c>
      <c r="E1118" s="4" t="inlineStr">
        <is>
          <t>14º PAV.</t>
        </is>
      </c>
      <c r="F1118" s="118" t="n">
        <v>46777</v>
      </c>
      <c r="G1118" s="118" t="n">
        <v>46787</v>
      </c>
      <c r="H1118" s="118" t="n">
        <v>46289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IF(E1118="","",IF(LEFT(E1118,7)="SUBSOLO",-1,IF(LEFT(E1118,6)="TÉRREO",0,IFERROR(VALUE(LEFT(E1118,FIND("º",SUBSTITUTE(E1118,"°","º"))-1)),""))))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29981253</v>
      </c>
      <c r="C1119" s="4" t="inlineStr">
        <is>
          <t>FIAÇÃO ELÉTRICA</t>
        </is>
      </c>
      <c r="D1119" s="4" t="inlineStr">
        <is>
          <t>-</t>
        </is>
      </c>
      <c r="E1119" s="4" t="inlineStr">
        <is>
          <t>15º PAV.</t>
        </is>
      </c>
      <c r="F1119" s="118" t="n">
        <v>46777</v>
      </c>
      <c r="G1119" s="118" t="n">
        <v>46787</v>
      </c>
      <c r="H1119" s="118" t="n">
        <v>46289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IF(E1119="","",IF(LEFT(E1119,7)="SUBSOLO",-1,IF(LEFT(E1119,6)="TÉRREO",0,IFERROR(VALUE(LEFT(E1119,FIND("º",SUBSTITUTE(E1119,"°","º"))-1)),""))))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29981258</v>
      </c>
      <c r="C1120" s="4" t="inlineStr">
        <is>
          <t>PRUMADA ELÉTRICA - CABOS</t>
        </is>
      </c>
      <c r="D1120" s="4" t="inlineStr">
        <is>
          <t>-</t>
        </is>
      </c>
      <c r="E1120" s="4" t="inlineStr">
        <is>
          <t>15º PAV.</t>
        </is>
      </c>
      <c r="F1120" s="118" t="n">
        <v>46777</v>
      </c>
      <c r="G1120" s="118" t="n">
        <v>46787</v>
      </c>
      <c r="H1120" s="118" t="n">
        <v>46289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IF(E1120="","",IF(LEFT(E1120,7)="SUBSOLO",-1,IF(LEFT(E1120,6)="TÉRREO",0,IFERROR(VALUE(LEFT(E1120,FIND("º",SUBSTITUTE(E1120,"°","º"))-1)),""))))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30214077</v>
      </c>
      <c r="C1121" s="4" t="inlineStr">
        <is>
          <t>FIAÇÃO TELECOM/DADOS</t>
        </is>
      </c>
      <c r="D1121" s="4" t="inlineStr">
        <is>
          <t>-</t>
        </is>
      </c>
      <c r="E1121" s="4" t="inlineStr">
        <is>
          <t>15º PAV.</t>
        </is>
      </c>
      <c r="F1121" s="118" t="n">
        <v>46777</v>
      </c>
      <c r="G1121" s="118" t="n">
        <v>46790</v>
      </c>
      <c r="H1121" s="118" t="n">
        <v>46289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IF(E1121="","",IF(LEFT(E1121,7)="SUBSOLO",-1,IF(LEFT(E1121,6)="TÉRREO",0,IFERROR(VALUE(LEFT(E1121,FIND("º",SUBSTITUTE(E1121,"°","º"))-1)),""))))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29981200</v>
      </c>
      <c r="C1122" s="4" t="inlineStr">
        <is>
          <t>BANCADAS</t>
        </is>
      </c>
      <c r="D1122" s="4" t="inlineStr">
        <is>
          <t>-</t>
        </is>
      </c>
      <c r="E1122" s="4" t="inlineStr">
        <is>
          <t>16º PAV.</t>
        </is>
      </c>
      <c r="F1122" s="118" t="n">
        <v>46777</v>
      </c>
      <c r="G1122" s="118" t="n">
        <v>46787</v>
      </c>
      <c r="H1122" s="118" t="n">
        <v>46289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IF(E1122="","",IF(LEFT(E1122,7)="SUBSOLO",-1,IF(LEFT(E1122,6)="TÉRREO",0,IFERROR(VALUE(LEFT(E1122,FIND("º",SUBSTITUTE(E1122,"°","º"))-1)),""))))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29981162</v>
      </c>
      <c r="C1123" s="4" t="inlineStr">
        <is>
          <t>REVESTIMENTOS PORCELANATO PISO</t>
        </is>
      </c>
      <c r="D1123" s="4" t="inlineStr">
        <is>
          <t>-</t>
        </is>
      </c>
      <c r="E1123" s="4" t="inlineStr">
        <is>
          <t>17º PAV.</t>
        </is>
      </c>
      <c r="F1123" s="118" t="n">
        <v>46777</v>
      </c>
      <c r="G1123" s="118" t="n">
        <v>46787</v>
      </c>
      <c r="H1123" s="118" t="n">
        <v>46289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IF(E1123="","",IF(LEFT(E1123,7)="SUBSOLO",-1,IF(LEFT(E1123,6)="TÉRREO",0,IFERROR(VALUE(LEFT(E1123,FIND("º",SUBSTITUTE(E1123,"°","º"))-1)),""))))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29981141</v>
      </c>
      <c r="C1124" s="4" t="inlineStr">
        <is>
          <t>REVESTIMENTO PORCELANATO PAREDE</t>
        </is>
      </c>
      <c r="D1124" s="4" t="inlineStr">
        <is>
          <t>-</t>
        </is>
      </c>
      <c r="E1124" s="4" t="inlineStr">
        <is>
          <t>18º PAV.</t>
        </is>
      </c>
      <c r="F1124" s="118" t="n">
        <v>46777</v>
      </c>
      <c r="G1124" s="118" t="n">
        <v>46787</v>
      </c>
      <c r="H1124" s="118" t="n">
        <v>46289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IF(E1124="","",IF(LEFT(E1124,7)="SUBSOLO",-1,IF(LEFT(E1124,6)="TÉRREO",0,IFERROR(VALUE(LEFT(E1124,FIND("º",SUBSTITUTE(E1124,"°","º"))-1)),""))))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29981065</v>
      </c>
      <c r="C1125" s="4" t="inlineStr">
        <is>
          <t>IMPERMEABILIZAÇÃO</t>
        </is>
      </c>
      <c r="D1125" s="4" t="inlineStr">
        <is>
          <t>-</t>
        </is>
      </c>
      <c r="E1125" s="4" t="inlineStr">
        <is>
          <t>20º PAV.</t>
        </is>
      </c>
      <c r="F1125" s="118" t="n">
        <v>46777</v>
      </c>
      <c r="G1125" s="118" t="n">
        <v>46787</v>
      </c>
      <c r="H1125" s="118" t="n">
        <v>46289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IF(E1125="","",IF(LEFT(E1125,7)="SUBSOLO",-1,IF(LEFT(E1125,6)="TÉRREO",0,IFERROR(VALUE(LEFT(E1125,FIND("º",SUBSTITUTE(E1125,"°","º"))-1)),""))))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32750447</v>
      </c>
      <c r="C1126" s="4" t="inlineStr">
        <is>
          <t>DRYWALL 2º FACE</t>
        </is>
      </c>
      <c r="D1126" s="4" t="inlineStr">
        <is>
          <t>-</t>
        </is>
      </c>
      <c r="E1126" s="4" t="inlineStr">
        <is>
          <t>21º PAV.</t>
        </is>
      </c>
      <c r="F1126" s="118" t="n">
        <v>46777</v>
      </c>
      <c r="G1126" s="118" t="n">
        <v>46787</v>
      </c>
      <c r="H1126" s="118" t="n">
        <v>46289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IF(E1126="","",IF(LEFT(E1126,7)="SUBSOLO",-1,IF(LEFT(E1126,6)="TÉRREO",0,IFERROR(VALUE(LEFT(E1126,FIND("º",SUBSTITUTE(E1126,"°","º"))-1)),""))))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32750370</v>
      </c>
      <c r="C1127" s="4" t="inlineStr">
        <is>
          <t>DISTRIBUIÇÃO DE GÁS - DRYWALL</t>
        </is>
      </c>
      <c r="D1127" s="4" t="inlineStr">
        <is>
          <t>-</t>
        </is>
      </c>
      <c r="E1127" s="4" t="inlineStr">
        <is>
          <t>22º PAV.</t>
        </is>
      </c>
      <c r="F1127" s="118" t="n">
        <v>46777</v>
      </c>
      <c r="G1127" s="118" t="n">
        <v>46787</v>
      </c>
      <c r="H1127" s="118" t="n">
        <v>46289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IF(E1127="","",IF(LEFT(E1127,7)="SUBSOLO",-1,IF(LEFT(E1127,6)="TÉRREO",0,IFERROR(VALUE(LEFT(E1127,FIND("º",SUBSTITUTE(E1127,"°","º"))-1)),""))))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32750396</v>
      </c>
      <c r="C1128" s="4" t="inlineStr">
        <is>
          <t>DISTRIBUIÇÃO ELÉTRICA/QUADRO - DRYWALL</t>
        </is>
      </c>
      <c r="D1128" s="4" t="inlineStr">
        <is>
          <t>-</t>
        </is>
      </c>
      <c r="E1128" s="4" t="inlineStr">
        <is>
          <t>22º PAV.</t>
        </is>
      </c>
      <c r="F1128" s="118" t="n">
        <v>46777</v>
      </c>
      <c r="G1128" s="118" t="n">
        <v>46787</v>
      </c>
      <c r="H1128" s="118" t="n">
        <v>46289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IF(E1128="","",IF(LEFT(E1128,7)="SUBSOLO",-1,IF(LEFT(E1128,6)="TÉRREO",0,IFERROR(VALUE(LEFT(E1128,FIND("º",SUBSTITUTE(E1128,"°","º"))-1)),""))))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32750422</v>
      </c>
      <c r="C1129" s="4" t="inlineStr">
        <is>
          <t>DISTRIBUIÇÃO HIDRÁULICA - DRYWALL</t>
        </is>
      </c>
      <c r="D1129" s="4" t="inlineStr">
        <is>
          <t>-</t>
        </is>
      </c>
      <c r="E1129" s="4" t="inlineStr">
        <is>
          <t>22º PAV.</t>
        </is>
      </c>
      <c r="F1129" s="118" t="n">
        <v>46777</v>
      </c>
      <c r="G1129" s="118" t="n">
        <v>46787</v>
      </c>
      <c r="H1129" s="118" t="n">
        <v>46289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IF(E1129="","",IF(LEFT(E1129,7)="SUBSOLO",-1,IF(LEFT(E1129,6)="TÉRREO",0,IFERROR(VALUE(LEFT(E1129,FIND("º",SUBSTITUTE(E1129,"°","º"))-1)),""))))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33896840</v>
      </c>
      <c r="C1130" s="4" t="inlineStr">
        <is>
          <t>INFRAESTRUTURA - AR CONDICIONADO</t>
        </is>
      </c>
      <c r="D1130" s="4" t="inlineStr">
        <is>
          <t>-</t>
        </is>
      </c>
      <c r="E1130" s="4" t="inlineStr">
        <is>
          <t>22º PAV.</t>
        </is>
      </c>
      <c r="F1130" s="118" t="n">
        <v>46777</v>
      </c>
      <c r="G1130" s="118" t="n">
        <v>46787</v>
      </c>
      <c r="H1130" s="118" t="n">
        <v>46289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IF(E1130="","",IF(LEFT(E1130,7)="SUBSOLO",-1,IF(LEFT(E1130,6)="TÉRREO",0,IFERROR(VALUE(LEFT(E1130,FIND("º",SUBSTITUTE(E1130,"°","º"))-1)),""))))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32749866</v>
      </c>
      <c r="C1131" s="4" t="inlineStr">
        <is>
          <t>DRYWALL 1º FACE</t>
        </is>
      </c>
      <c r="D1131" s="4" t="inlineStr">
        <is>
          <t>-</t>
        </is>
      </c>
      <c r="E1131" s="4" t="inlineStr">
        <is>
          <t>23º PAV.</t>
        </is>
      </c>
      <c r="F1131" s="118" t="n">
        <v>46777</v>
      </c>
      <c r="G1131" s="118" t="n">
        <v>46787</v>
      </c>
      <c r="H1131" s="118" t="n">
        <v>46289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IF(E1131="","",IF(LEFT(E1131,7)="SUBSOLO",-1,IF(LEFT(E1131,6)="TÉRREO",0,IFERROR(VALUE(LEFT(E1131,FIND("º",SUBSTITUTE(E1131,"°","º"))-1)),""))))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29980918</v>
      </c>
      <c r="C1132" s="4" t="inlineStr">
        <is>
          <t>CONTRAPISO</t>
        </is>
      </c>
      <c r="D1132" s="4" t="inlineStr">
        <is>
          <t>-</t>
        </is>
      </c>
      <c r="E1132" s="4" t="inlineStr">
        <is>
          <t>24º PAV.</t>
        </is>
      </c>
      <c r="F1132" s="118" t="n">
        <v>46777</v>
      </c>
      <c r="G1132" s="118" t="n">
        <v>46787</v>
      </c>
      <c r="H1132" s="118" t="n">
        <v>46289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IF(E1132="","",IF(LEFT(E1132,7)="SUBSOLO",-1,IF(LEFT(E1132,6)="TÉRREO",0,IFERROR(VALUE(LEFT(E1132,FIND("º",SUBSTITUTE(E1132,"°","º"))-1)),""))))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29980858</v>
      </c>
      <c r="C1133" s="4" t="inlineStr">
        <is>
          <t>SHAFT INTERNO INST. HIDRAÚLICAS</t>
        </is>
      </c>
      <c r="D1133" s="4" t="inlineStr">
        <is>
          <t>-</t>
        </is>
      </c>
      <c r="E1133" s="4" t="inlineStr">
        <is>
          <t>25º PAV.</t>
        </is>
      </c>
      <c r="F1133" s="118" t="n">
        <v>46777</v>
      </c>
      <c r="G1133" s="118" t="n">
        <v>46787</v>
      </c>
      <c r="H1133" s="118" t="n">
        <v>46289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IF(E1133="","",IF(LEFT(E1133,7)="SUBSOLO",-1,IF(LEFT(E1133,6)="TÉRREO",0,IFERROR(VALUE(LEFT(E1133,FIND("º",SUBSTITUTE(E1133,"°","º"))-1)),""))))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29980891</v>
      </c>
      <c r="C1134" s="4" t="inlineStr">
        <is>
          <t>PRUMADA ELÉTRICA - INFRA</t>
        </is>
      </c>
      <c r="D1134" s="4" t="inlineStr">
        <is>
          <t>-</t>
        </is>
      </c>
      <c r="E1134" s="4" t="inlineStr">
        <is>
          <t>25º PAV.</t>
        </is>
      </c>
      <c r="F1134" s="118" t="n">
        <v>46777</v>
      </c>
      <c r="G1134" s="118" t="n">
        <v>46787</v>
      </c>
      <c r="H1134" s="118" t="n">
        <v>46289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IF(E1134="","",IF(LEFT(E1134,7)="SUBSOLO",-1,IF(LEFT(E1134,6)="TÉRREO",0,IFERROR(VALUE(LEFT(E1134,FIND("º",SUBSTITUTE(E1134,"°","º"))-1)),""))))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29980820</v>
      </c>
      <c r="C1135" s="4" t="inlineStr">
        <is>
          <t>REBOCO INTERNO</t>
        </is>
      </c>
      <c r="D1135" s="4" t="inlineStr">
        <is>
          <t>-</t>
        </is>
      </c>
      <c r="E1135" s="4" t="inlineStr">
        <is>
          <t>26º PAV.</t>
        </is>
      </c>
      <c r="F1135" s="118" t="n">
        <v>46777</v>
      </c>
      <c r="G1135" s="118" t="n">
        <v>46787</v>
      </c>
      <c r="H1135" s="118" t="n">
        <v>46289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IF(E1135="","",IF(LEFT(E1135,7)="SUBSOLO",-1,IF(LEFT(E1135,6)="TÉRREO",0,IFERROR(VALUE(LEFT(E1135,FIND("º",SUBSTITUTE(E1135,"°","º"))-1)),""))))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29980786</v>
      </c>
      <c r="C1136" s="4" t="inlineStr">
        <is>
          <t>CONTRAMARCO</t>
        </is>
      </c>
      <c r="D1136" s="4" t="inlineStr">
        <is>
          <t>-</t>
        </is>
      </c>
      <c r="E1136" s="4" t="inlineStr">
        <is>
          <t>27º PAV.</t>
        </is>
      </c>
      <c r="F1136" s="118" t="n">
        <v>46777</v>
      </c>
      <c r="G1136" s="118" t="n">
        <v>46787</v>
      </c>
      <c r="H1136" s="118" t="n">
        <v>46289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IF(E1136="","",IF(LEFT(E1136,7)="SUBSOLO",-1,IF(LEFT(E1136,6)="TÉRREO",0,IFERROR(VALUE(LEFT(E1136,FIND("º",SUBSTITUTE(E1136,"°","º"))-1)),""))))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29980779</v>
      </c>
      <c r="C1137" s="4" t="inlineStr">
        <is>
          <t>DISTRIBUIÇÃO HIDROSSANITÁRIA</t>
        </is>
      </c>
      <c r="D1137" s="4" t="inlineStr">
        <is>
          <t>-</t>
        </is>
      </c>
      <c r="E1137" s="4" t="inlineStr">
        <is>
          <t>28º PAV.</t>
        </is>
      </c>
      <c r="F1137" s="118" t="n">
        <v>46777</v>
      </c>
      <c r="G1137" s="118" t="n">
        <v>46787</v>
      </c>
      <c r="H1137" s="118" t="n">
        <v>46289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IF(E1137="","",IF(LEFT(E1137,7)="SUBSOLO",-1,IF(LEFT(E1137,6)="TÉRREO",0,IFERROR(VALUE(LEFT(E1137,FIND("º",SUBSTITUTE(E1137,"°","º"))-1)),""))))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29980748</v>
      </c>
      <c r="C1138" s="4" t="inlineStr">
        <is>
          <t>DISTRIBUIÇÃO ELÉTRICA / QUADRO</t>
        </is>
      </c>
      <c r="D1138" s="4" t="inlineStr">
        <is>
          <t>-</t>
        </is>
      </c>
      <c r="E1138" s="4" t="inlineStr">
        <is>
          <t>28º PAV.</t>
        </is>
      </c>
      <c r="F1138" s="118" t="n">
        <v>46777</v>
      </c>
      <c r="G1138" s="118" t="n">
        <v>46787</v>
      </c>
      <c r="H1138" s="118" t="n">
        <v>46289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IF(E1138="","",IF(LEFT(E1138,7)="SUBSOLO",-1,IF(LEFT(E1138,6)="TÉRREO",0,IFERROR(VALUE(LEFT(E1138,FIND("º",SUBSTITUTE(E1138,"°","º"))-1)),""))))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29980781</v>
      </c>
      <c r="C1139" s="4" t="inlineStr">
        <is>
          <t>DISTRIBUIÇÃO DE GÁS</t>
        </is>
      </c>
      <c r="D1139" s="4" t="inlineStr">
        <is>
          <t>-</t>
        </is>
      </c>
      <c r="E1139" s="4" t="inlineStr">
        <is>
          <t>28º PAV.</t>
        </is>
      </c>
      <c r="F1139" s="118" t="n">
        <v>46777</v>
      </c>
      <c r="G1139" s="118" t="n">
        <v>46787</v>
      </c>
      <c r="H1139" s="118" t="n">
        <v>46289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IF(E1139="","",IF(LEFT(E1139,7)="SUBSOLO",-1,IF(LEFT(E1139,6)="TÉRREO",0,IFERROR(VALUE(LEFT(E1139,FIND("º",SUBSTITUTE(E1139,"°","º"))-1)),""))))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29980728</v>
      </c>
      <c r="C1140" s="4" t="inlineStr">
        <is>
          <t>TALISCAMENTO</t>
        </is>
      </c>
      <c r="D1140" s="4" t="inlineStr">
        <is>
          <t>-</t>
        </is>
      </c>
      <c r="E1140" s="4" t="inlineStr">
        <is>
          <t>29º PAV.</t>
        </is>
      </c>
      <c r="F1140" s="118" t="n">
        <v>46777</v>
      </c>
      <c r="G1140" s="118" t="n">
        <v>46787</v>
      </c>
      <c r="H1140" s="118" t="n">
        <v>46289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IF(E1140="","",IF(LEFT(E1140,7)="SUBSOLO",-1,IF(LEFT(E1140,6)="TÉRREO",0,IFERROR(VALUE(LEFT(E1140,FIND("º",SUBSTITUTE(E1140,"°","º"))-1)),""))))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29980694</v>
      </c>
      <c r="C1141" s="4" t="inlineStr">
        <is>
          <t>PRUMADA HIDROSSANITÁRIA</t>
        </is>
      </c>
      <c r="D1141" s="4" t="inlineStr">
        <is>
          <t>-</t>
        </is>
      </c>
      <c r="E1141" s="4" t="inlineStr">
        <is>
          <t>30º PAV.</t>
        </is>
      </c>
      <c r="F1141" s="118" t="n">
        <v>46777</v>
      </c>
      <c r="G1141" s="118" t="n">
        <v>46787</v>
      </c>
      <c r="H1141" s="118" t="n">
        <v>46289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IF(E1141="","",IF(LEFT(E1141,7)="SUBSOLO",-1,IF(LEFT(E1141,6)="TÉRREO",0,IFERROR(VALUE(LEFT(E1141,FIND("º",SUBSTITUTE(E1141,"°","º"))-1)),""))))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29980693</v>
      </c>
      <c r="C1142" s="4" t="inlineStr">
        <is>
          <t>ENCUNHAMENTO</t>
        </is>
      </c>
      <c r="D1142" s="4" t="inlineStr">
        <is>
          <t>-</t>
        </is>
      </c>
      <c r="E1142" s="4" t="inlineStr">
        <is>
          <t>30º PAV.</t>
        </is>
      </c>
      <c r="F1142" s="118" t="n">
        <v>46779</v>
      </c>
      <c r="G1142" s="118" t="n">
        <v>46791</v>
      </c>
      <c r="H1142" s="118" t="n">
        <v>46289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IF(E1142="","",IF(LEFT(E1142,7)="SUBSOLO",-1,IF(LEFT(E1142,6)="TÉRREO",0,IFERROR(VALUE(LEFT(E1142,FIND("º",SUBSTITUTE(E1142,"°","º"))-1)),""))))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30205598</v>
      </c>
      <c r="C1143" s="4" t="inlineStr">
        <is>
          <t>MASSA CORRIDA</t>
        </is>
      </c>
      <c r="D1143" s="4" t="inlineStr">
        <is>
          <t>-</t>
        </is>
      </c>
      <c r="E1143" s="4" t="inlineStr">
        <is>
          <t>TÉRREO - LOJA 5</t>
        </is>
      </c>
      <c r="F1143" s="118" t="n">
        <v>46780</v>
      </c>
      <c r="G1143" s="118" t="n">
        <v>46793</v>
      </c>
      <c r="H1143" s="118" t="n">
        <v>46289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IF(E1143="","",IF(LEFT(E1143,7)="SUBSOLO",-1,IF(LEFT(E1143,6)="TÉRREO",0,IFERROR(VALUE(LEFT(E1143,FIND("º",SUBSTITUTE(E1143,"°","º"))-1)),""))))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30205568</v>
      </c>
      <c r="C1144" s="4" t="inlineStr">
        <is>
          <t>FORRO</t>
        </is>
      </c>
      <c r="D1144" s="4" t="inlineStr">
        <is>
          <t>-</t>
        </is>
      </c>
      <c r="E1144" s="4" t="inlineStr">
        <is>
          <t>TÉRREO - LOJA 6</t>
        </is>
      </c>
      <c r="F1144" s="118" t="n">
        <v>46780</v>
      </c>
      <c r="G1144" s="118" t="n">
        <v>46793</v>
      </c>
      <c r="H1144" s="118" t="n">
        <v>46289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IF(E1144="","",IF(LEFT(E1144,7)="SUBSOLO",-1,IF(LEFT(E1144,6)="TÉRREO",0,IFERROR(VALUE(LEFT(E1144,FIND("º",SUBSTITUTE(E1144,"°","º"))-1)),""))))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30205540</v>
      </c>
      <c r="C1145" s="4" t="inlineStr">
        <is>
          <t>BANCADAS</t>
        </is>
      </c>
      <c r="D1145" s="4" t="inlineStr">
        <is>
          <t>-</t>
        </is>
      </c>
      <c r="E1145" s="4" t="inlineStr">
        <is>
          <t>TÉRREO - LOJA 7</t>
        </is>
      </c>
      <c r="F1145" s="118" t="n">
        <v>46780</v>
      </c>
      <c r="G1145" s="118" t="n">
        <v>46793</v>
      </c>
      <c r="H1145" s="118" t="n">
        <v>46289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IF(E1145="","",IF(LEFT(E1145,7)="SUBSOLO",-1,IF(LEFT(E1145,6)="TÉRREO",0,IFERROR(VALUE(LEFT(E1145,FIND("º",SUBSTITUTE(E1145,"°","º"))-1)),""))))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30206136</v>
      </c>
      <c r="C1146" s="4" t="inlineStr">
        <is>
          <t>INSTALAÇÕES INCÊNDIO</t>
        </is>
      </c>
      <c r="D1146" s="4" t="inlineStr">
        <is>
          <t>-</t>
        </is>
      </c>
      <c r="E1146" s="4" t="inlineStr">
        <is>
          <t>6º PAV - PILOTIS</t>
        </is>
      </c>
      <c r="F1146" s="118" t="n">
        <v>46783</v>
      </c>
      <c r="G1146" s="118" t="n">
        <v>46801</v>
      </c>
      <c r="H1146" s="118" t="n">
        <v>46289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IF(E1146="","",IF(LEFT(E1146,7)="SUBSOLO",-1,IF(LEFT(E1146,6)="TÉRREO",0,IFERROR(VALUE(LEFT(E1146,FIND("º",SUBSTITUTE(E1146,"°","º"))-1)),""))))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30205876</v>
      </c>
      <c r="C1147" s="4" t="inlineStr">
        <is>
          <t>INSTALAÇÕES ELÉTRICAS</t>
        </is>
      </c>
      <c r="D1147" s="4" t="inlineStr">
        <is>
          <t>-</t>
        </is>
      </c>
      <c r="E1147" s="4" t="inlineStr">
        <is>
          <t>6º PAV (PILOTIS) - PLAYGROUND + TERRAÇO DESCOBERTO + QUADRA DE RECREAÇÃO</t>
        </is>
      </c>
      <c r="F1147" s="118" t="n">
        <v>46783</v>
      </c>
      <c r="G1147" s="118" t="n">
        <v>46827</v>
      </c>
      <c r="H1147" s="118" t="n">
        <v>46289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IF(E1147="","",IF(LEFT(E1147,7)="SUBSOLO",-1,IF(LEFT(E1147,6)="TÉRREO",0,IFERROR(VALUE(LEFT(E1147,FIND("º",SUBSTITUTE(E1147,"°","º"))-1)),""))))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30205877</v>
      </c>
      <c r="C1148" s="4" t="inlineStr">
        <is>
          <t>INSTALAÇÕES HIDRÁULICAS</t>
        </is>
      </c>
      <c r="D1148" s="4" t="inlineStr">
        <is>
          <t>-</t>
        </is>
      </c>
      <c r="E1148" s="4" t="inlineStr">
        <is>
          <t>6º PAV (PILOTIS) - PLAYGROUND + TERRAÇO DESCOBERTO + QUADRA DE RECREAÇÃO</t>
        </is>
      </c>
      <c r="F1148" s="118" t="n">
        <v>46783</v>
      </c>
      <c r="G1148" s="118" t="n">
        <v>46827</v>
      </c>
      <c r="H1148" s="118" t="n">
        <v>46289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IF(E1148="","",IF(LEFT(E1148,7)="SUBSOLO",-1,IF(LEFT(E1148,6)="TÉRREO",0,IFERROR(VALUE(LEFT(E1148,FIND("º",SUBSTITUTE(E1148,"°","º"))-1)),""))))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30206121</v>
      </c>
      <c r="C1149" s="4" t="inlineStr">
        <is>
          <t>PRUMADA HIDROSSANITÁRIA</t>
        </is>
      </c>
      <c r="D1149" s="4" t="inlineStr">
        <is>
          <t>-</t>
        </is>
      </c>
      <c r="E1149" s="4" t="inlineStr">
        <is>
          <t>6º PAV (PILOTIS) - ACADEMIA</t>
        </is>
      </c>
      <c r="F1149" s="118" t="n">
        <v>46783</v>
      </c>
      <c r="G1149" s="118" t="n">
        <v>46794</v>
      </c>
      <c r="H1149" s="118" t="n">
        <v>46289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IF(E1149="","",IF(LEFT(E1149,7)="SUBSOLO",-1,IF(LEFT(E1149,6)="TÉRREO",0,IFERROR(VALUE(LEFT(E1149,FIND("º",SUBSTITUTE(E1149,"°","º"))-1)),""))))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30206047</v>
      </c>
      <c r="C1150" s="4" t="inlineStr">
        <is>
          <t>PRUMADA HIDROSSANITÁRIA</t>
        </is>
      </c>
      <c r="D1150" s="4" t="inlineStr">
        <is>
          <t>-</t>
        </is>
      </c>
      <c r="E1150" s="4" t="inlineStr">
        <is>
          <t>6º PAV (PILOTIS) - CHURRASQUEIRA + IS MASC. PCD + IS FEM. PCD + CIRCULAÇÃO 1 + HALL 1</t>
        </is>
      </c>
      <c r="F1150" s="118" t="n">
        <v>46783</v>
      </c>
      <c r="G1150" s="118" t="n">
        <v>46794</v>
      </c>
      <c r="H1150" s="118" t="n">
        <v>46289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IF(E1150="","",IF(LEFT(E1150,7)="SUBSOLO",-1,IF(LEFT(E1150,6)="TÉRREO",0,IFERROR(VALUE(LEFT(E1150,FIND("º",SUBSTITUTE(E1150,"°","º"))-1)),""))))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30209539</v>
      </c>
      <c r="C1151" s="4" t="inlineStr">
        <is>
          <t>INST. MÓDULOS CHURRASQUEIRA</t>
        </is>
      </c>
      <c r="D1151" s="4" t="inlineStr">
        <is>
          <t>-</t>
        </is>
      </c>
      <c r="E1151" s="4" t="inlineStr">
        <is>
          <t>6º PAV (PILOTIS) - CHURRASQUEIRA + IS MASC. PCD + IS FEM. PCD + CIRCULAÇÃO 1 + HALL 1</t>
        </is>
      </c>
      <c r="F1151" s="118" t="n">
        <v>46783</v>
      </c>
      <c r="G1151" s="118" t="n">
        <v>46787</v>
      </c>
      <c r="H1151" s="118" t="n">
        <v>46289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IF(E1151="","",IF(LEFT(E1151,7)="SUBSOLO",-1,IF(LEFT(E1151,6)="TÉRREO",0,IFERROR(VALUE(LEFT(E1151,FIND("º",SUBSTITUTE(E1151,"°","º"))-1)),""))))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29980667</v>
      </c>
      <c r="C1152" s="4" t="inlineStr">
        <is>
          <t>PRUMADA DE INCÊNDIO</t>
        </is>
      </c>
      <c r="D1152" s="4" t="inlineStr">
        <is>
          <t>-</t>
        </is>
      </c>
      <c r="E1152" s="4" t="inlineStr">
        <is>
          <t>31º PAV. - COBERTURA LINEAR</t>
        </is>
      </c>
      <c r="F1152" s="118" t="n">
        <v>46784</v>
      </c>
      <c r="G1152" s="118" t="n">
        <v>46794</v>
      </c>
      <c r="H1152" s="118" t="n">
        <v>46289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IF(E1152="","",IF(LEFT(E1152,7)="SUBSOLO",-1,IF(LEFT(E1152,6)="TÉRREO",0,IFERROR(VALUE(LEFT(E1152,FIND("º",SUBSTITUTE(E1152,"°","º"))-1)),""))))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29980618</v>
      </c>
      <c r="C1153" s="4" t="inlineStr">
        <is>
          <t>ALVENARIA</t>
        </is>
      </c>
      <c r="D1153" s="4" t="inlineStr">
        <is>
          <t>-</t>
        </is>
      </c>
      <c r="E1153" s="4" t="inlineStr">
        <is>
          <t>32º PAV - COBERTURA GERAL</t>
        </is>
      </c>
      <c r="F1153" s="118" t="n">
        <v>46784</v>
      </c>
      <c r="G1153" s="118" t="n">
        <v>46794</v>
      </c>
      <c r="H1153" s="118" t="n">
        <v>46289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IF(E1153="","",IF(LEFT(E1153,7)="SUBSOLO",-1,IF(LEFT(E1153,6)="TÉRREO",0,IFERROR(VALUE(LEFT(E1153,FIND("º",SUBSTITUTE(E1153,"°","º"))-1)),""))))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30208605</v>
      </c>
      <c r="C1154" s="4" t="inlineStr">
        <is>
          <t>INSTALAÇÕES ELÉTRICAS</t>
        </is>
      </c>
      <c r="D1154" s="4" t="inlineStr">
        <is>
          <t>-</t>
        </is>
      </c>
      <c r="E1154" s="4" t="inlineStr">
        <is>
          <t>6º PAV (PILOTIS) - PISCINA + PRAINHA + DECK</t>
        </is>
      </c>
      <c r="F1154" s="118" t="n">
        <v>46785</v>
      </c>
      <c r="G1154" s="118" t="n">
        <v>46814</v>
      </c>
      <c r="H1154" s="118" t="n">
        <v>46289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IF(E1154="","",IF(LEFT(E1154,7)="SUBSOLO",-1,IF(LEFT(E1154,6)="TÉRREO",0,IFERROR(VALUE(LEFT(E1154,FIND("º",SUBSTITUTE(E1154,"°","º"))-1)),""))))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30208606</v>
      </c>
      <c r="C1155" s="4" t="inlineStr">
        <is>
          <t>INSTALAÇÕES HIDRÁULICAS</t>
        </is>
      </c>
      <c r="D1155" s="4" t="inlineStr">
        <is>
          <t>-</t>
        </is>
      </c>
      <c r="E1155" s="4" t="inlineStr">
        <is>
          <t>6º PAV (PILOTIS) - PISCINA + PRAINHA + DECK</t>
        </is>
      </c>
      <c r="F1155" s="118" t="n">
        <v>46785</v>
      </c>
      <c r="G1155" s="118" t="n">
        <v>46814</v>
      </c>
      <c r="H1155" s="118" t="n">
        <v>46289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IF(E1155="","",IF(LEFT(E1155,7)="SUBSOLO",-1,IF(LEFT(E1155,6)="TÉRREO",0,IFERROR(VALUE(LEFT(E1155,FIND("º",SUBSTITUTE(E1155,"°","º"))-1)),""))))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30205800</v>
      </c>
      <c r="C1156" s="4" t="inlineStr">
        <is>
          <t>REVESTIMENTO PORCELANATO PAREDE</t>
        </is>
      </c>
      <c r="D1156" s="4" t="inlineStr">
        <is>
          <t>-</t>
        </is>
      </c>
      <c r="E1156" s="4" t="inlineStr">
        <is>
          <t>TÉRREO - ACESSO COMERCIAL + DML + ARS + ÁREA TEC + LAVABO + DISPENSA</t>
        </is>
      </c>
      <c r="F1156" s="118" t="n">
        <v>46787</v>
      </c>
      <c r="G1156" s="118" t="n">
        <v>46800</v>
      </c>
      <c r="H1156" s="118" t="n">
        <v>46289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IF(E1156="","",IF(LEFT(E1156,7)="SUBSOLO",-1,IF(LEFT(E1156,6)="TÉRREO",0,IFERROR(VALUE(LEFT(E1156,FIND("º",SUBSTITUTE(E1156,"°","º"))-1)),""))))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30205820</v>
      </c>
      <c r="C1157" s="4" t="inlineStr">
        <is>
          <t>DRYWALL</t>
        </is>
      </c>
      <c r="D1157" s="4" t="inlineStr">
        <is>
          <t>-</t>
        </is>
      </c>
      <c r="E1157" s="4" t="inlineStr">
        <is>
          <t>TÉRREO - HALL SOCIAL + ECLUSA + CIRCULAÇÃO</t>
        </is>
      </c>
      <c r="F1157" s="118" t="n">
        <v>46787</v>
      </c>
      <c r="G1157" s="118" t="n">
        <v>46800</v>
      </c>
      <c r="H1157" s="118" t="n">
        <v>46289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IF(E1157="","",IF(LEFT(E1157,7)="SUBSOLO",-1,IF(LEFT(E1157,6)="TÉRREO",0,IFERROR(VALUE(LEFT(E1157,FIND("º",SUBSTITUTE(E1157,"°","º"))-1)),""))))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30205850</v>
      </c>
      <c r="C1158" s="4" t="inlineStr">
        <is>
          <t>CONTRAPISO</t>
        </is>
      </c>
      <c r="D1158" s="4" t="inlineStr">
        <is>
          <t>-</t>
        </is>
      </c>
      <c r="E1158" s="4" t="inlineStr">
        <is>
          <t>1º PAV. (INTERMEDIÁRIO)</t>
        </is>
      </c>
      <c r="F1158" s="118" t="n">
        <v>46787</v>
      </c>
      <c r="G1158" s="118" t="n">
        <v>46800</v>
      </c>
      <c r="H1158" s="118" t="n">
        <v>46289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IF(E1158="","",IF(LEFT(E1158,7)="SUBSOLO",-1,IF(LEFT(E1158,6)="TÉRREO",0,IFERROR(VALUE(LEFT(E1158,FIND("º",SUBSTITUTE(E1158,"°","º"))-1)),""))))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30208601</v>
      </c>
      <c r="C1159" s="4" t="inlineStr">
        <is>
          <t>PRUMADA ELÉTRICA - INFRA</t>
        </is>
      </c>
      <c r="D1159" s="4" t="inlineStr">
        <is>
          <t>-</t>
        </is>
      </c>
      <c r="E1159" s="4" t="inlineStr">
        <is>
          <t>1º PAV. (INTERMEDIÁRIO)</t>
        </is>
      </c>
      <c r="F1159" s="118" t="n">
        <v>46787</v>
      </c>
      <c r="G1159" s="118" t="n">
        <v>46800</v>
      </c>
      <c r="H1159" s="118" t="n">
        <v>46289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IF(E1159="","",IF(LEFT(E1159,7)="SUBSOLO",-1,IF(LEFT(E1159,6)="TÉRREO",0,IFERROR(VALUE(LEFT(E1159,FIND("º",SUBSTITUTE(E1159,"°","º"))-1)),""))))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29981529</v>
      </c>
      <c r="C1160" s="4" t="inlineStr">
        <is>
          <t>ESQUADRIA MADEIRA</t>
        </is>
      </c>
      <c r="D1160" s="4" t="inlineStr">
        <is>
          <t>-</t>
        </is>
      </c>
      <c r="E1160" s="4" t="inlineStr">
        <is>
          <t>7º PAV.</t>
        </is>
      </c>
      <c r="F1160" s="118" t="n">
        <v>46787</v>
      </c>
      <c r="G1160" s="118" t="n">
        <v>46799</v>
      </c>
      <c r="H1160" s="118" t="n">
        <v>46289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IF(E1160="","",IF(LEFT(E1160,7)="SUBSOLO",-1,IF(LEFT(E1160,6)="TÉRREO",0,IFERROR(VALUE(LEFT(E1160,FIND("º",SUBSTITUTE(E1160,"°","º"))-1)),""))))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29981491</v>
      </c>
      <c r="C1161" s="4" t="inlineStr">
        <is>
          <t>PISO VINÍLICO / LAMINADO</t>
        </is>
      </c>
      <c r="D1161" s="4" t="inlineStr">
        <is>
          <t>-</t>
        </is>
      </c>
      <c r="E1161" s="4" t="inlineStr">
        <is>
          <t>8º PAV.</t>
        </is>
      </c>
      <c r="F1161" s="118" t="n">
        <v>46787</v>
      </c>
      <c r="G1161" s="118" t="n">
        <v>46799</v>
      </c>
      <c r="H1161" s="118" t="n">
        <v>46289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IF(E1161="","",IF(LEFT(E1161,7)="SUBSOLO",-1,IF(LEFT(E1161,6)="TÉRREO",0,IFERROR(VALUE(LEFT(E1161,FIND("º",SUBSTITUTE(E1161,"°","º"))-1)),""))))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29981453</v>
      </c>
      <c r="C1162" s="4" t="inlineStr">
        <is>
          <t>PINTURA 1º DEMÃO</t>
        </is>
      </c>
      <c r="D1162" s="4" t="inlineStr">
        <is>
          <t>-</t>
        </is>
      </c>
      <c r="E1162" s="4" t="inlineStr">
        <is>
          <t>9º PAV.</t>
        </is>
      </c>
      <c r="F1162" s="118" t="n">
        <v>46787</v>
      </c>
      <c r="G1162" s="118" t="n">
        <v>46799</v>
      </c>
      <c r="H1162" s="118" t="n">
        <v>46289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IF(E1162="","",IF(LEFT(E1162,7)="SUBSOLO",-1,IF(LEFT(E1162,6)="TÉRREO",0,IFERROR(VALUE(LEFT(E1162,FIND("º",SUBSTITUTE(E1162,"°","º"))-1)),""))))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29981442</v>
      </c>
      <c r="C1163" s="4" t="inlineStr">
        <is>
          <t>MASSA CORRIDA</t>
        </is>
      </c>
      <c r="D1163" s="4" t="inlineStr">
        <is>
          <t>-</t>
        </is>
      </c>
      <c r="E1163" s="4" t="inlineStr">
        <is>
          <t>10º PAV.</t>
        </is>
      </c>
      <c r="F1163" s="118" t="n">
        <v>46787</v>
      </c>
      <c r="G1163" s="118" t="n">
        <v>46799</v>
      </c>
      <c r="H1163" s="118" t="n">
        <v>46289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IF(E1163="","",IF(LEFT(E1163,7)="SUBSOLO",-1,IF(LEFT(E1163,6)="TÉRREO",0,IFERROR(VALUE(LEFT(E1163,FIND("º",SUBSTITUTE(E1163,"°","º"))-1)),""))))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33898092</v>
      </c>
      <c r="C1164" s="4" t="inlineStr">
        <is>
          <t>ESQUADRIA DE ALUMÍNIO</t>
        </is>
      </c>
      <c r="D1164" s="4" t="inlineStr">
        <is>
          <t>-</t>
        </is>
      </c>
      <c r="E1164" s="4" t="inlineStr">
        <is>
          <t>11º PAV.</t>
        </is>
      </c>
      <c r="F1164" s="118" t="n">
        <v>46787</v>
      </c>
      <c r="G1164" s="118" t="n">
        <v>46799</v>
      </c>
      <c r="H1164" s="118" t="n">
        <v>46289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IF(E1164="","",IF(LEFT(E1164,7)="SUBSOLO",-1,IF(LEFT(E1164,6)="TÉRREO",0,IFERROR(VALUE(LEFT(E1164,FIND("º",SUBSTITUTE(E1164,"°","º"))-1)),""))))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29981255</v>
      </c>
      <c r="C1165" s="4" t="inlineStr">
        <is>
          <t>FORRO</t>
        </is>
      </c>
      <c r="D1165" s="4" t="inlineStr">
        <is>
          <t>-</t>
        </is>
      </c>
      <c r="E1165" s="4" t="inlineStr">
        <is>
          <t>15º PAV.</t>
        </is>
      </c>
      <c r="F1165" s="118" t="n">
        <v>46790</v>
      </c>
      <c r="G1165" s="118" t="n">
        <v>46800</v>
      </c>
      <c r="H1165" s="118" t="n">
        <v>46289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IF(E1165="","",IF(LEFT(E1165,7)="SUBSOLO",-1,IF(LEFT(E1165,6)="TÉRREO",0,IFERROR(VALUE(LEFT(E1165,FIND("º",SUBSTITUTE(E1165,"°","º"))-1)),""))))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29981216</v>
      </c>
      <c r="C1166" s="4" t="inlineStr">
        <is>
          <t>FIAÇÃO ELÉTRICA</t>
        </is>
      </c>
      <c r="D1166" s="4" t="inlineStr">
        <is>
          <t>-</t>
        </is>
      </c>
      <c r="E1166" s="4" t="inlineStr">
        <is>
          <t>16º PAV.</t>
        </is>
      </c>
      <c r="F1166" s="118" t="n">
        <v>46790</v>
      </c>
      <c r="G1166" s="118" t="n">
        <v>46800</v>
      </c>
      <c r="H1166" s="118" t="n">
        <v>46289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IF(E1166="","",IF(LEFT(E1166,7)="SUBSOLO",-1,IF(LEFT(E1166,6)="TÉRREO",0,IFERROR(VALUE(LEFT(E1166,FIND("º",SUBSTITUTE(E1166,"°","º"))-1)),""))))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29981221</v>
      </c>
      <c r="C1167" s="4" t="inlineStr">
        <is>
          <t>PRUMADA ELÉTRICA - CABOS</t>
        </is>
      </c>
      <c r="D1167" s="4" t="inlineStr">
        <is>
          <t>-</t>
        </is>
      </c>
      <c r="E1167" s="4" t="inlineStr">
        <is>
          <t>16º PAV.</t>
        </is>
      </c>
      <c r="F1167" s="118" t="n">
        <v>46790</v>
      </c>
      <c r="G1167" s="118" t="n">
        <v>46800</v>
      </c>
      <c r="H1167" s="118" t="n">
        <v>46289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IF(E1167="","",IF(LEFT(E1167,7)="SUBSOLO",-1,IF(LEFT(E1167,6)="TÉRREO",0,IFERROR(VALUE(LEFT(E1167,FIND("º",SUBSTITUTE(E1167,"°","º"))-1)),""))))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30214078</v>
      </c>
      <c r="C1168" s="4" t="inlineStr">
        <is>
          <t>FIAÇÃO TELECOM/DADOS</t>
        </is>
      </c>
      <c r="D1168" s="4" t="inlineStr">
        <is>
          <t>-</t>
        </is>
      </c>
      <c r="E1168" s="4" t="inlineStr">
        <is>
          <t>16º PAV.</t>
        </is>
      </c>
      <c r="F1168" s="118" t="n">
        <v>46790</v>
      </c>
      <c r="G1168" s="118" t="n">
        <v>46801</v>
      </c>
      <c r="H1168" s="118" t="n">
        <v>46289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IF(E1168="","",IF(LEFT(E1168,7)="SUBSOLO",-1,IF(LEFT(E1168,6)="TÉRREO",0,IFERROR(VALUE(LEFT(E1168,FIND("º",SUBSTITUTE(E1168,"°","º"))-1)),""))))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29981163</v>
      </c>
      <c r="C1169" s="4" t="inlineStr">
        <is>
          <t>BANCADAS</t>
        </is>
      </c>
      <c r="D1169" s="4" t="inlineStr">
        <is>
          <t>-</t>
        </is>
      </c>
      <c r="E1169" s="4" t="inlineStr">
        <is>
          <t>17º PAV.</t>
        </is>
      </c>
      <c r="F1169" s="118" t="n">
        <v>46790</v>
      </c>
      <c r="G1169" s="118" t="n">
        <v>46800</v>
      </c>
      <c r="H1169" s="118" t="n">
        <v>46289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IF(E1169="","",IF(LEFT(E1169,7)="SUBSOLO",-1,IF(LEFT(E1169,6)="TÉRREO",0,IFERROR(VALUE(LEFT(E1169,FIND("º",SUBSTITUTE(E1169,"°","º"))-1)),""))))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29981125</v>
      </c>
      <c r="C1170" s="4" t="inlineStr">
        <is>
          <t>REVESTIMENTOS PORCELANATO PISO</t>
        </is>
      </c>
      <c r="D1170" s="4" t="inlineStr">
        <is>
          <t>-</t>
        </is>
      </c>
      <c r="E1170" s="4" t="inlineStr">
        <is>
          <t>18º PAV.</t>
        </is>
      </c>
      <c r="F1170" s="118" t="n">
        <v>46790</v>
      </c>
      <c r="G1170" s="118" t="n">
        <v>46800</v>
      </c>
      <c r="H1170" s="118" t="n">
        <v>46289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IF(E1170="","",IF(LEFT(E1170,7)="SUBSOLO",-1,IF(LEFT(E1170,6)="TÉRREO",0,IFERROR(VALUE(LEFT(E1170,FIND("º",SUBSTITUTE(E1170,"°","º"))-1)),""))))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29981067</v>
      </c>
      <c r="C1171" s="4" t="inlineStr">
        <is>
          <t>REVESTIMENTO PORCELANATO PAREDE</t>
        </is>
      </c>
      <c r="D1171" s="4" t="inlineStr">
        <is>
          <t>-</t>
        </is>
      </c>
      <c r="E1171" s="4" t="inlineStr">
        <is>
          <t>20º PAV.</t>
        </is>
      </c>
      <c r="F1171" s="118" t="n">
        <v>46790</v>
      </c>
      <c r="G1171" s="118" t="n">
        <v>46800</v>
      </c>
      <c r="H1171" s="118" t="n">
        <v>46289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IF(E1171="","",IF(LEFT(E1171,7)="SUBSOLO",-1,IF(LEFT(E1171,6)="TÉRREO",0,IFERROR(VALUE(LEFT(E1171,FIND("º",SUBSTITUTE(E1171,"°","º"))-1)),""))))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29981028</v>
      </c>
      <c r="C1172" s="4" t="inlineStr">
        <is>
          <t>IMPERMEABILIZAÇÃO</t>
        </is>
      </c>
      <c r="D1172" s="4" t="inlineStr">
        <is>
          <t>-</t>
        </is>
      </c>
      <c r="E1172" s="4" t="inlineStr">
        <is>
          <t>21º PAV.</t>
        </is>
      </c>
      <c r="F1172" s="118" t="n">
        <v>46790</v>
      </c>
      <c r="G1172" s="118" t="n">
        <v>46800</v>
      </c>
      <c r="H1172" s="118" t="n">
        <v>46289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IF(E1172="","",IF(LEFT(E1172,7)="SUBSOLO",-1,IF(LEFT(E1172,6)="TÉRREO",0,IFERROR(VALUE(LEFT(E1172,FIND("º",SUBSTITUTE(E1172,"°","º"))-1)),""))))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32750448</v>
      </c>
      <c r="C1173" s="4" t="inlineStr">
        <is>
          <t>DRYWALL 2º FACE</t>
        </is>
      </c>
      <c r="D1173" s="4" t="inlineStr">
        <is>
          <t>-</t>
        </is>
      </c>
      <c r="E1173" s="4" t="inlineStr">
        <is>
          <t>22º PAV.</t>
        </is>
      </c>
      <c r="F1173" s="118" t="n">
        <v>46790</v>
      </c>
      <c r="G1173" s="118" t="n">
        <v>46800</v>
      </c>
      <c r="H1173" s="118" t="n">
        <v>46289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IF(E1173="","",IF(LEFT(E1173,7)="SUBSOLO",-1,IF(LEFT(E1173,6)="TÉRREO",0,IFERROR(VALUE(LEFT(E1173,FIND("º",SUBSTITUTE(E1173,"°","º"))-1)),""))))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32750371</v>
      </c>
      <c r="C1174" s="4" t="inlineStr">
        <is>
          <t>DISTRIBUIÇÃO DE GÁS - DRYWALL</t>
        </is>
      </c>
      <c r="D1174" s="4" t="inlineStr">
        <is>
          <t>-</t>
        </is>
      </c>
      <c r="E1174" s="4" t="inlineStr">
        <is>
          <t>23º PAV.</t>
        </is>
      </c>
      <c r="F1174" s="118" t="n">
        <v>46790</v>
      </c>
      <c r="G1174" s="118" t="n">
        <v>46800</v>
      </c>
      <c r="H1174" s="118" t="n">
        <v>46289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IF(E1174="","",IF(LEFT(E1174,7)="SUBSOLO",-1,IF(LEFT(E1174,6)="TÉRREO",0,IFERROR(VALUE(LEFT(E1174,FIND("º",SUBSTITUTE(E1174,"°","º"))-1)),""))))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32750397</v>
      </c>
      <c r="C1175" s="4" t="inlineStr">
        <is>
          <t>DISTRIBUIÇÃO ELÉTRICA/QUADRO - DRYWALL</t>
        </is>
      </c>
      <c r="D1175" s="4" t="inlineStr">
        <is>
          <t>-</t>
        </is>
      </c>
      <c r="E1175" s="4" t="inlineStr">
        <is>
          <t>23º PAV.</t>
        </is>
      </c>
      <c r="F1175" s="118" t="n">
        <v>46790</v>
      </c>
      <c r="G1175" s="118" t="n">
        <v>46800</v>
      </c>
      <c r="H1175" s="118" t="n">
        <v>46289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IF(E1175="","",IF(LEFT(E1175,7)="SUBSOLO",-1,IF(LEFT(E1175,6)="TÉRREO",0,IFERROR(VALUE(LEFT(E1175,FIND("º",SUBSTITUTE(E1175,"°","º"))-1)),""))))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32750423</v>
      </c>
      <c r="C1176" s="4" t="inlineStr">
        <is>
          <t>DISTRIBUIÇÃO HIDRÁULICA - DRYWALL</t>
        </is>
      </c>
      <c r="D1176" s="4" t="inlineStr">
        <is>
          <t>-</t>
        </is>
      </c>
      <c r="E1176" s="4" t="inlineStr">
        <is>
          <t>23º PAV.</t>
        </is>
      </c>
      <c r="F1176" s="118" t="n">
        <v>46790</v>
      </c>
      <c r="G1176" s="118" t="n">
        <v>46800</v>
      </c>
      <c r="H1176" s="118" t="n">
        <v>46289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IF(E1176="","",IF(LEFT(E1176,7)="SUBSOLO",-1,IF(LEFT(E1176,6)="TÉRREO",0,IFERROR(VALUE(LEFT(E1176,FIND("º",SUBSTITUTE(E1176,"°","º"))-1)),""))))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33896841</v>
      </c>
      <c r="C1177" s="4" t="inlineStr">
        <is>
          <t>INFRAESTRUTURA - AR CONDICIONADO</t>
        </is>
      </c>
      <c r="D1177" s="4" t="inlineStr">
        <is>
          <t>-</t>
        </is>
      </c>
      <c r="E1177" s="4" t="inlineStr">
        <is>
          <t>23º PAV.</t>
        </is>
      </c>
      <c r="F1177" s="118" t="n">
        <v>46790</v>
      </c>
      <c r="G1177" s="118" t="n">
        <v>46800</v>
      </c>
      <c r="H1177" s="118" t="n">
        <v>46289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IF(E1177="","",IF(LEFT(E1177,7)="SUBSOLO",-1,IF(LEFT(E1177,6)="TÉRREO",0,IFERROR(VALUE(LEFT(E1177,FIND("º",SUBSTITUTE(E1177,"°","º"))-1)),""))))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32749867</v>
      </c>
      <c r="C1178" s="4" t="inlineStr">
        <is>
          <t>DRYWALL 1º FACE</t>
        </is>
      </c>
      <c r="D1178" s="4" t="inlineStr">
        <is>
          <t>-</t>
        </is>
      </c>
      <c r="E1178" s="4" t="inlineStr">
        <is>
          <t>24º PAV.</t>
        </is>
      </c>
      <c r="F1178" s="118" t="n">
        <v>46790</v>
      </c>
      <c r="G1178" s="118" t="n">
        <v>46800</v>
      </c>
      <c r="H1178" s="118" t="n">
        <v>46289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IF(E1178="","",IF(LEFT(E1178,7)="SUBSOLO",-1,IF(LEFT(E1178,6)="TÉRREO",0,IFERROR(VALUE(LEFT(E1178,FIND("º",SUBSTITUTE(E1178,"°","º"))-1)),""))))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29980881</v>
      </c>
      <c r="C1179" s="4" t="inlineStr">
        <is>
          <t>CONTRAPISO</t>
        </is>
      </c>
      <c r="D1179" s="4" t="inlineStr">
        <is>
          <t>-</t>
        </is>
      </c>
      <c r="E1179" s="4" t="inlineStr">
        <is>
          <t>25º PAV.</t>
        </is>
      </c>
      <c r="F1179" s="118" t="n">
        <v>46790</v>
      </c>
      <c r="G1179" s="118" t="n">
        <v>46800</v>
      </c>
      <c r="H1179" s="118" t="n">
        <v>46289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IF(E1179="","",IF(LEFT(E1179,7)="SUBSOLO",-1,IF(LEFT(E1179,6)="TÉRREO",0,IFERROR(VALUE(LEFT(E1179,FIND("º",SUBSTITUTE(E1179,"°","º"))-1)),""))))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29980821</v>
      </c>
      <c r="C1180" s="4" t="inlineStr">
        <is>
          <t>SHAFT INTERNO INST. HIDRAÚLICAS</t>
        </is>
      </c>
      <c r="D1180" s="4" t="inlineStr">
        <is>
          <t>-</t>
        </is>
      </c>
      <c r="E1180" s="4" t="inlineStr">
        <is>
          <t>26º PAV.</t>
        </is>
      </c>
      <c r="F1180" s="118" t="n">
        <v>46790</v>
      </c>
      <c r="G1180" s="118" t="n">
        <v>46800</v>
      </c>
      <c r="H1180" s="118" t="n">
        <v>46289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IF(E1180="","",IF(LEFT(E1180,7)="SUBSOLO",-1,IF(LEFT(E1180,6)="TÉRREO",0,IFERROR(VALUE(LEFT(E1180,FIND("º",SUBSTITUTE(E1180,"°","º"))-1)),""))))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29980854</v>
      </c>
      <c r="C1181" s="4" t="inlineStr">
        <is>
          <t>PRUMADA ELÉTRICA - INFRA</t>
        </is>
      </c>
      <c r="D1181" s="4" t="inlineStr">
        <is>
          <t>-</t>
        </is>
      </c>
      <c r="E1181" s="4" t="inlineStr">
        <is>
          <t>26º PAV.</t>
        </is>
      </c>
      <c r="F1181" s="118" t="n">
        <v>46790</v>
      </c>
      <c r="G1181" s="118" t="n">
        <v>46800</v>
      </c>
      <c r="H1181" s="118" t="n">
        <v>46289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IF(E1181="","",IF(LEFT(E1181,7)="SUBSOLO",-1,IF(LEFT(E1181,6)="TÉRREO",0,IFERROR(VALUE(LEFT(E1181,FIND("º",SUBSTITUTE(E1181,"°","º"))-1)),""))))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29980783</v>
      </c>
      <c r="C1182" s="4" t="inlineStr">
        <is>
          <t>REBOCO INTERNO</t>
        </is>
      </c>
      <c r="D1182" s="4" t="inlineStr">
        <is>
          <t>-</t>
        </is>
      </c>
      <c r="E1182" s="4" t="inlineStr">
        <is>
          <t>27º PAV.</t>
        </is>
      </c>
      <c r="F1182" s="118" t="n">
        <v>46790</v>
      </c>
      <c r="G1182" s="118" t="n">
        <v>46800</v>
      </c>
      <c r="H1182" s="118" t="n">
        <v>46289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IF(E1182="","",IF(LEFT(E1182,7)="SUBSOLO",-1,IF(LEFT(E1182,6)="TÉRREO",0,IFERROR(VALUE(LEFT(E1182,FIND("º",SUBSTITUTE(E1182,"°","º"))-1)),""))))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29980749</v>
      </c>
      <c r="C1183" s="4" t="inlineStr">
        <is>
          <t>CONTRAMARCO</t>
        </is>
      </c>
      <c r="D1183" s="4" t="inlineStr">
        <is>
          <t>-</t>
        </is>
      </c>
      <c r="E1183" s="4" t="inlineStr">
        <is>
          <t>28º PAV.</t>
        </is>
      </c>
      <c r="F1183" s="118" t="n">
        <v>46790</v>
      </c>
      <c r="G1183" s="118" t="n">
        <v>46800</v>
      </c>
      <c r="H1183" s="118" t="n">
        <v>46289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IF(E1183="","",IF(LEFT(E1183,7)="SUBSOLO",-1,IF(LEFT(E1183,6)="TÉRREO",0,IFERROR(VALUE(LEFT(E1183,FIND("º",SUBSTITUTE(E1183,"°","º"))-1)),""))))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29980742</v>
      </c>
      <c r="C1184" s="4" t="inlineStr">
        <is>
          <t>DISTRIBUIÇÃO HIDROSSANITÁRIA</t>
        </is>
      </c>
      <c r="D1184" s="4" t="inlineStr">
        <is>
          <t>-</t>
        </is>
      </c>
      <c r="E1184" s="4" t="inlineStr">
        <is>
          <t>29º PAV.</t>
        </is>
      </c>
      <c r="F1184" s="118" t="n">
        <v>46790</v>
      </c>
      <c r="G1184" s="118" t="n">
        <v>46800</v>
      </c>
      <c r="H1184" s="118" t="n">
        <v>46289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IF(E1184="","",IF(LEFT(E1184,7)="SUBSOLO",-1,IF(LEFT(E1184,6)="TÉRREO",0,IFERROR(VALUE(LEFT(E1184,FIND("º",SUBSTITUTE(E1184,"°","º"))-1)),""))))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29980711</v>
      </c>
      <c r="C1185" s="4" t="inlineStr">
        <is>
          <t>DISTRIBUIÇÃO ELÉTRICA / QUADRO</t>
        </is>
      </c>
      <c r="D1185" s="4" t="inlineStr">
        <is>
          <t>-</t>
        </is>
      </c>
      <c r="E1185" s="4" t="inlineStr">
        <is>
          <t>29º PAV.</t>
        </is>
      </c>
      <c r="F1185" s="118" t="n">
        <v>46790</v>
      </c>
      <c r="G1185" s="118" t="n">
        <v>46800</v>
      </c>
      <c r="H1185" s="118" t="n">
        <v>46289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IF(E1185="","",IF(LEFT(E1185,7)="SUBSOLO",-1,IF(LEFT(E1185,6)="TÉRREO",0,IFERROR(VALUE(LEFT(E1185,FIND("º",SUBSTITUTE(E1185,"°","º"))-1)),""))))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29980744</v>
      </c>
      <c r="C1186" s="4" t="inlineStr">
        <is>
          <t>DISTRIBUIÇÃO DE GÁS</t>
        </is>
      </c>
      <c r="D1186" s="4" t="inlineStr">
        <is>
          <t>-</t>
        </is>
      </c>
      <c r="E1186" s="4" t="inlineStr">
        <is>
          <t>29º PAV.</t>
        </is>
      </c>
      <c r="F1186" s="118" t="n">
        <v>46790</v>
      </c>
      <c r="G1186" s="118" t="n">
        <v>46800</v>
      </c>
      <c r="H1186" s="118" t="n">
        <v>46289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IF(E1186="","",IF(LEFT(E1186,7)="SUBSOLO",-1,IF(LEFT(E1186,6)="TÉRREO",0,IFERROR(VALUE(LEFT(E1186,FIND("º",SUBSTITUTE(E1186,"°","º"))-1)),""))))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29980691</v>
      </c>
      <c r="C1187" s="4" t="inlineStr">
        <is>
          <t>TALISCAMENTO</t>
        </is>
      </c>
      <c r="D1187" s="4" t="inlineStr">
        <is>
          <t>-</t>
        </is>
      </c>
      <c r="E1187" s="4" t="inlineStr">
        <is>
          <t>30º PAV.</t>
        </is>
      </c>
      <c r="F1187" s="118" t="n">
        <v>46790</v>
      </c>
      <c r="G1187" s="118" t="n">
        <v>46800</v>
      </c>
      <c r="H1187" s="118" t="n">
        <v>46289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IF(E1187="","",IF(LEFT(E1187,7)="SUBSOLO",-1,IF(LEFT(E1187,6)="TÉRREO",0,IFERROR(VALUE(LEFT(E1187,FIND("º",SUBSTITUTE(E1187,"°","º"))-1)),""))))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29980657</v>
      </c>
      <c r="C1188" s="4" t="inlineStr">
        <is>
          <t>PRUMADA HIDROSSANITÁRIA</t>
        </is>
      </c>
      <c r="D1188" s="4" t="inlineStr">
        <is>
          <t>-</t>
        </is>
      </c>
      <c r="E1188" s="4" t="inlineStr">
        <is>
          <t>31º PAV. - COBERTURA LINEAR</t>
        </is>
      </c>
      <c r="F1188" s="118" t="n">
        <v>46790</v>
      </c>
      <c r="G1188" s="118" t="n">
        <v>46800</v>
      </c>
      <c r="H1188" s="118" t="n">
        <v>46289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IF(E1188="","",IF(LEFT(E1188,7)="SUBSOLO",-1,IF(LEFT(E1188,6)="TÉRREO",0,IFERROR(VALUE(LEFT(E1188,FIND("º",SUBSTITUTE(E1188,"°","º"))-1)),""))))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30206120</v>
      </c>
      <c r="C1189" s="4" t="inlineStr">
        <is>
          <t>ENCUNHAMENTO</t>
        </is>
      </c>
      <c r="D1189" s="4" t="inlineStr">
        <is>
          <t>-</t>
        </is>
      </c>
      <c r="E1189" s="4" t="inlineStr">
        <is>
          <t>6º PAV (PILOTIS) - ACADEMIA</t>
        </is>
      </c>
      <c r="F1189" s="118" t="n">
        <v>46791</v>
      </c>
      <c r="G1189" s="118" t="n">
        <v>46804</v>
      </c>
      <c r="H1189" s="118" t="n">
        <v>46289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IF(E1189="","",IF(LEFT(E1189,7)="SUBSOLO",-1,IF(LEFT(E1189,6)="TÉRREO",0,IFERROR(VALUE(LEFT(E1189,FIND("º",SUBSTITUTE(E1189,"°","º"))-1)),""))))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29980656</v>
      </c>
      <c r="C1190" s="4" t="inlineStr">
        <is>
          <t>ENCUNHAMENTO</t>
        </is>
      </c>
      <c r="D1190" s="4" t="inlineStr">
        <is>
          <t>-</t>
        </is>
      </c>
      <c r="E1190" s="4" t="inlineStr">
        <is>
          <t>31º PAV. - COBERTURA LINEAR</t>
        </is>
      </c>
      <c r="F1190" s="118" t="n">
        <v>46792</v>
      </c>
      <c r="G1190" s="118" t="n">
        <v>46804</v>
      </c>
      <c r="H1190" s="118" t="n">
        <v>46289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IF(E1190="","",IF(LEFT(E1190,7)="SUBSOLO",-1,IF(LEFT(E1190,6)="TÉRREO",0,IFERROR(VALUE(LEFT(E1190,FIND("º",SUBSTITUTE(E1190,"°","º"))-1)),""))))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30205571</v>
      </c>
      <c r="C1191" s="4" t="inlineStr">
        <is>
          <t>MASSA CORRIDA</t>
        </is>
      </c>
      <c r="D1191" s="4" t="inlineStr">
        <is>
          <t>-</t>
        </is>
      </c>
      <c r="E1191" s="4" t="inlineStr">
        <is>
          <t>TÉRREO - LOJA 6</t>
        </is>
      </c>
      <c r="F1191" s="118" t="n">
        <v>46794</v>
      </c>
      <c r="G1191" s="118" t="n">
        <v>46807</v>
      </c>
      <c r="H1191" s="118" t="n">
        <v>46289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IF(E1191="","",IF(LEFT(E1191,7)="SUBSOLO",-1,IF(LEFT(E1191,6)="TÉRREO",0,IFERROR(VALUE(LEFT(E1191,FIND("º",SUBSTITUTE(E1191,"°","º"))-1)),""))))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30205541</v>
      </c>
      <c r="C1192" s="4" t="inlineStr">
        <is>
          <t>FORRO</t>
        </is>
      </c>
      <c r="D1192" s="4" t="inlineStr">
        <is>
          <t>-</t>
        </is>
      </c>
      <c r="E1192" s="4" t="inlineStr">
        <is>
          <t>TÉRREO - LOJA 7</t>
        </is>
      </c>
      <c r="F1192" s="118" t="n">
        <v>46794</v>
      </c>
      <c r="G1192" s="118" t="n">
        <v>46807</v>
      </c>
      <c r="H1192" s="118" t="n">
        <v>46289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IF(E1192="","",IF(LEFT(E1192,7)="SUBSOLO",-1,IF(LEFT(E1192,6)="TÉRREO",0,IFERROR(VALUE(LEFT(E1192,FIND("º",SUBSTITUTE(E1192,"°","º"))-1)),""))))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30171514</v>
      </c>
      <c r="C1193" s="4" t="inlineStr">
        <is>
          <t>PLACAS E IDEINTIFIC. VISUAIS</t>
        </is>
      </c>
      <c r="D1193" s="4" t="inlineStr">
        <is>
          <t>-</t>
        </is>
      </c>
      <c r="E1193" s="4" t="inlineStr">
        <is>
          <t>HALL - APTOS</t>
        </is>
      </c>
      <c r="F1193" s="118" t="n">
        <v>46794</v>
      </c>
      <c r="G1193" s="118" t="n">
        <v>47143</v>
      </c>
      <c r="H1193" s="118" t="n">
        <v>46289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IF(E1193="","",IF(LEFT(E1193,7)="SUBSOLO",-1,IF(LEFT(E1193,6)="TÉRREO",0,IFERROR(VALUE(LEFT(E1193,FIND("º",SUBSTITUTE(E1193,"°","º"))-1)),""))))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30171507</v>
      </c>
      <c r="C1194" s="4" t="inlineStr">
        <is>
          <t>INSTALAÇÃO DE LUMINÁRIAS</t>
        </is>
      </c>
      <c r="D1194" s="4" t="inlineStr">
        <is>
          <t>-</t>
        </is>
      </c>
      <c r="E1194" s="4" t="inlineStr">
        <is>
          <t>HALL - APTOS</t>
        </is>
      </c>
      <c r="F1194" s="118" t="n">
        <v>46794</v>
      </c>
      <c r="G1194" s="118" t="n">
        <v>47143</v>
      </c>
      <c r="H1194" s="118" t="n">
        <v>46289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IF(E1194="","",IF(LEFT(E1194,7)="SUBSOLO",-1,IF(LEFT(E1194,6)="TÉRREO",0,IFERROR(VALUE(LEFT(E1194,FIND("º",SUBSTITUTE(E1194,"°","º"))-1)),""))))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30206118</v>
      </c>
      <c r="C1195" s="4" t="inlineStr">
        <is>
          <t>TALISCAMENTO</t>
        </is>
      </c>
      <c r="D1195" s="4" t="inlineStr">
        <is>
          <t>-</t>
        </is>
      </c>
      <c r="E1195" s="4" t="inlineStr">
        <is>
          <t>6º PAV (PILOTIS) - ACADEMIA</t>
        </is>
      </c>
      <c r="F1195" s="118" t="n">
        <v>46797</v>
      </c>
      <c r="G1195" s="118" t="n">
        <v>46808</v>
      </c>
      <c r="H1195" s="118" t="n">
        <v>46289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IF(E1195="","",IF(LEFT(E1195,7)="SUBSOLO",-1,IF(LEFT(E1195,6)="TÉRREO",0,IFERROR(VALUE(LEFT(E1195,FIND("º",SUBSTITUTE(E1195,"°","º"))-1)),""))))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30206084</v>
      </c>
      <c r="C1196" s="4" t="inlineStr">
        <is>
          <t>PRUMADA HIDROSSANITÁRIA</t>
        </is>
      </c>
      <c r="D1196" s="4" t="inlineStr">
        <is>
          <t>-</t>
        </is>
      </c>
      <c r="E1196" s="4" t="inlineStr">
        <is>
          <t>6º PAV (PILOTIS) - SAUNA + DUCHA</t>
        </is>
      </c>
      <c r="F1196" s="118" t="n">
        <v>46797</v>
      </c>
      <c r="G1196" s="118" t="n">
        <v>46808</v>
      </c>
      <c r="H1196" s="118" t="n">
        <v>46289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IF(E1196="","",IF(LEFT(E1196,7)="SUBSOLO",-1,IF(LEFT(E1196,6)="TÉRREO",0,IFERROR(VALUE(LEFT(E1196,FIND("º",SUBSTITUTE(E1196,"°","º"))-1)),""))))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30206010</v>
      </c>
      <c r="C1197" s="4" t="inlineStr">
        <is>
          <t>PRUMADA HIDROSSANITÁRIA</t>
        </is>
      </c>
      <c r="D1197" s="4" t="inlineStr">
        <is>
          <t>-</t>
        </is>
      </c>
      <c r="E1197" s="4" t="inlineStr">
        <is>
          <t>6º PAV (PILOTIS) - COWORKING 1 E 2 + CIRC. 2 + HALL 2 + DML + VEST. MASC. + VEST. FEM</t>
        </is>
      </c>
      <c r="F1197" s="118" t="n">
        <v>46797</v>
      </c>
      <c r="G1197" s="118" t="n">
        <v>46808</v>
      </c>
      <c r="H1197" s="118" t="n">
        <v>46289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IF(E1197="","",IF(LEFT(E1197,7)="SUBSOLO",-1,IF(LEFT(E1197,6)="TÉRREO",0,IFERROR(VALUE(LEFT(E1197,FIND("º",SUBSTITUTE(E1197,"°","º"))-1)),""))))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30171513</v>
      </c>
      <c r="C1198" s="4" t="inlineStr">
        <is>
          <t>INSTALAÇÃO DE PCF (FOLHA)</t>
        </is>
      </c>
      <c r="D1198" s="4" t="inlineStr">
        <is>
          <t>-</t>
        </is>
      </c>
      <c r="E1198" s="4" t="inlineStr">
        <is>
          <t>HALL - APTOS</t>
        </is>
      </c>
      <c r="F1198" s="118" t="n">
        <v>46797</v>
      </c>
      <c r="G1198" s="118" t="n">
        <v>47134</v>
      </c>
      <c r="H1198" s="118" t="n">
        <v>46289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IF(E1198="","",IF(LEFT(E1198,7)="SUBSOLO",-1,IF(LEFT(E1198,6)="TÉRREO",0,IFERROR(VALUE(LEFT(E1198,FIND("º",SUBSTITUTE(E1198,"°","º"))-1)),""))))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30171515</v>
      </c>
      <c r="C1199" s="4" t="inlineStr">
        <is>
          <t>MARCENARIA - SHAFTS</t>
        </is>
      </c>
      <c r="D1199" s="4" t="inlineStr">
        <is>
          <t>-</t>
        </is>
      </c>
      <c r="E1199" s="4" t="inlineStr">
        <is>
          <t>HALL - APTOS</t>
        </is>
      </c>
      <c r="F1199" s="118" t="n">
        <v>46797</v>
      </c>
      <c r="G1199" s="118" t="n">
        <v>47134</v>
      </c>
      <c r="H1199" s="118" t="n">
        <v>46289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IF(E1199="","",IF(LEFT(E1199,7)="SUBSOLO",-1,IF(LEFT(E1199,6)="TÉRREO",0,IFERROR(VALUE(LEFT(E1199,FIND("º",SUBSTITUTE(E1199,"°","º"))-1)),""))))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29980630</v>
      </c>
      <c r="C1200" s="4" t="inlineStr">
        <is>
          <t>PRUMADA DE INCÊNDIO</t>
        </is>
      </c>
      <c r="D1200" s="4" t="inlineStr">
        <is>
          <t>-</t>
        </is>
      </c>
      <c r="E1200" s="4" t="inlineStr">
        <is>
          <t>32º PAV - COBERTURA GERAL</t>
        </is>
      </c>
      <c r="F1200" s="118" t="n">
        <v>46797</v>
      </c>
      <c r="G1200" s="118" t="n">
        <v>46807</v>
      </c>
      <c r="H1200" s="118" t="n">
        <v>46289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IF(E1200="","",IF(LEFT(E1200,7)="SUBSOLO",-1,IF(LEFT(E1200,6)="TÉRREO",0,IFERROR(VALUE(LEFT(E1200,FIND("º",SUBSTITUTE(E1200,"°","º"))-1)),""))))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30210365</v>
      </c>
      <c r="C1201" s="4" t="inlineStr">
        <is>
          <t>PREPARAÇÃO - POÇO DE ELEVADOR</t>
        </is>
      </c>
      <c r="D1201" s="4" t="inlineStr">
        <is>
          <t>-</t>
        </is>
      </c>
      <c r="E1201" s="4" t="inlineStr">
        <is>
          <t>ELEVADORES</t>
        </is>
      </c>
      <c r="F1201" s="118" t="n">
        <v>46797</v>
      </c>
      <c r="G1201" s="118" t="n">
        <v>46891</v>
      </c>
      <c r="H1201" s="118" t="n">
        <v>46289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IF(E1201="","",IF(LEFT(E1201,7)="SUBSOLO",-1,IF(LEFT(E1201,6)="TÉRREO",0,IFERROR(VALUE(LEFT(E1201,FIND("º",SUBSTITUTE(E1201,"°","º"))-1)),""))))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31790050</v>
      </c>
      <c r="C1202" s="4" t="inlineStr">
        <is>
          <t>PREPARAÇÃO PARA FACHADA AERADA - F1 + F2 (2º ETAPA)</t>
        </is>
      </c>
      <c r="D1202" s="4" t="inlineStr">
        <is>
          <t>-</t>
        </is>
      </c>
      <c r="E1202" s="4" t="inlineStr">
        <is>
          <t>FACHADA</t>
        </is>
      </c>
      <c r="F1202" s="118" t="n">
        <v>46797</v>
      </c>
      <c r="G1202" s="118" t="n">
        <v>46822</v>
      </c>
      <c r="H1202" s="118" t="n">
        <v>46289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IF(E1202="","",IF(LEFT(E1202,7)="SUBSOLO",-1,IF(LEFT(E1202,6)="TÉRREO",0,IFERROR(VALUE(LEFT(E1202,FIND("º",SUBSTITUTE(E1202,"°","º"))-1)),""))))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30205698</v>
      </c>
      <c r="C1203" s="4" t="inlineStr">
        <is>
          <t>ESQUADRIA DE ALUMÍNIO</t>
        </is>
      </c>
      <c r="D1203" s="4" t="inlineStr">
        <is>
          <t>-</t>
        </is>
      </c>
      <c r="E1203" s="4" t="inlineStr">
        <is>
          <t>TÉRREO - LOJA 1</t>
        </is>
      </c>
      <c r="F1203" s="118" t="n">
        <v>46799</v>
      </c>
      <c r="G1203" s="118" t="n">
        <v>46826</v>
      </c>
      <c r="H1203" s="118" t="n">
        <v>46289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IF(E1203="","",IF(LEFT(E1203,7)="SUBSOLO",-1,IF(LEFT(E1203,6)="TÉRREO",0,IFERROR(VALUE(LEFT(E1203,FIND("º",SUBSTITUTE(E1203,"°","º"))-1)),""))))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30205671</v>
      </c>
      <c r="C1204" s="4" t="inlineStr">
        <is>
          <t>ESQUADRIA DE ALUMÍNIO</t>
        </is>
      </c>
      <c r="D1204" s="4" t="inlineStr">
        <is>
          <t>-</t>
        </is>
      </c>
      <c r="E1204" s="4" t="inlineStr">
        <is>
          <t>TÉRREO - LOJA 2</t>
        </is>
      </c>
      <c r="F1204" s="118" t="n">
        <v>46799</v>
      </c>
      <c r="G1204" s="118" t="n">
        <v>46826</v>
      </c>
      <c r="H1204" s="118" t="n">
        <v>46289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IF(E1204="","",IF(LEFT(E1204,7)="SUBSOLO",-1,IF(LEFT(E1204,6)="TÉRREO",0,IFERROR(VALUE(LEFT(E1204,FIND("º",SUBSTITUTE(E1204,"°","º"))-1)),""))))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30205644</v>
      </c>
      <c r="C1205" s="4" t="inlineStr">
        <is>
          <t>ESQUADRIA DE ALUMÍNIO</t>
        </is>
      </c>
      <c r="D1205" s="4" t="inlineStr">
        <is>
          <t>-</t>
        </is>
      </c>
      <c r="E1205" s="4" t="inlineStr">
        <is>
          <t>TÉRREO - LOJA 3</t>
        </is>
      </c>
      <c r="F1205" s="118" t="n">
        <v>46799</v>
      </c>
      <c r="G1205" s="118" t="n">
        <v>46826</v>
      </c>
      <c r="H1205" s="118" t="n">
        <v>46289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IF(E1205="","",IF(LEFT(E1205,7)="SUBSOLO",-1,IF(LEFT(E1205,6)="TÉRREO",0,IFERROR(VALUE(LEFT(E1205,FIND("º",SUBSTITUTE(E1205,"°","º"))-1)),""))))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30205617</v>
      </c>
      <c r="C1206" s="4" t="inlineStr">
        <is>
          <t>ESQUADRIA DE ALUMÍNIO</t>
        </is>
      </c>
      <c r="D1206" s="4" t="inlineStr">
        <is>
          <t>-</t>
        </is>
      </c>
      <c r="E1206" s="4" t="inlineStr">
        <is>
          <t>TÉRREO - LOJA 4</t>
        </is>
      </c>
      <c r="F1206" s="118" t="n">
        <v>46799</v>
      </c>
      <c r="G1206" s="118" t="n">
        <v>46826</v>
      </c>
      <c r="H1206" s="118" t="n">
        <v>46289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IF(E1206="","",IF(LEFT(E1206,7)="SUBSOLO",-1,IF(LEFT(E1206,6)="TÉRREO",0,IFERROR(VALUE(LEFT(E1206,FIND("º",SUBSTITUTE(E1206,"°","º"))-1)),""))))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30205590</v>
      </c>
      <c r="C1207" s="4" t="inlineStr">
        <is>
          <t>ESQUADRIA DE ALUMÍNIO</t>
        </is>
      </c>
      <c r="D1207" s="4" t="inlineStr">
        <is>
          <t>-</t>
        </is>
      </c>
      <c r="E1207" s="4" t="inlineStr">
        <is>
          <t>TÉRREO - LOJA 5</t>
        </is>
      </c>
      <c r="F1207" s="118" t="n">
        <v>46799</v>
      </c>
      <c r="G1207" s="118" t="n">
        <v>46826</v>
      </c>
      <c r="H1207" s="118" t="n">
        <v>46289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IF(E1207="","",IF(LEFT(E1207,7)="SUBSOLO",-1,IF(LEFT(E1207,6)="TÉRREO",0,IFERROR(VALUE(LEFT(E1207,FIND("º",SUBSTITUTE(E1207,"°","º"))-1)),""))))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29981530</v>
      </c>
      <c r="C1208" s="4" t="inlineStr">
        <is>
          <t>RODAPÉ MADEIRA / PVC</t>
        </is>
      </c>
      <c r="D1208" s="4" t="inlineStr">
        <is>
          <t>-</t>
        </is>
      </c>
      <c r="E1208" s="4" t="inlineStr">
        <is>
          <t>7º PAV.</t>
        </is>
      </c>
      <c r="F1208" s="118" t="n">
        <v>46800</v>
      </c>
      <c r="G1208" s="118" t="n">
        <v>46812</v>
      </c>
      <c r="H1208" s="118" t="n">
        <v>46289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IF(E1208="","",IF(LEFT(E1208,7)="SUBSOLO",-1,IF(LEFT(E1208,6)="TÉRREO",0,IFERROR(VALUE(LEFT(E1208,FIND("º",SUBSTITUTE(E1208,"°","º"))-1)),""))))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29981492</v>
      </c>
      <c r="C1209" s="4" t="inlineStr">
        <is>
          <t>ESQUADRIA MADEIRA</t>
        </is>
      </c>
      <c r="D1209" s="4" t="inlineStr">
        <is>
          <t>-</t>
        </is>
      </c>
      <c r="E1209" s="4" t="inlineStr">
        <is>
          <t>8º PAV.</t>
        </is>
      </c>
      <c r="F1209" s="118" t="n">
        <v>46800</v>
      </c>
      <c r="G1209" s="118" t="n">
        <v>46812</v>
      </c>
      <c r="H1209" s="118" t="n">
        <v>46289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IF(E1209="","",IF(LEFT(E1209,7)="SUBSOLO",-1,IF(LEFT(E1209,6)="TÉRREO",0,IFERROR(VALUE(LEFT(E1209,FIND("º",SUBSTITUTE(E1209,"°","º"))-1)),""))))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29981454</v>
      </c>
      <c r="C1210" s="4" t="inlineStr">
        <is>
          <t>PISO VINÍLICO / LAMINADO</t>
        </is>
      </c>
      <c r="D1210" s="4" t="inlineStr">
        <is>
          <t>-</t>
        </is>
      </c>
      <c r="E1210" s="4" t="inlineStr">
        <is>
          <t>9º PAV.</t>
        </is>
      </c>
      <c r="F1210" s="118" t="n">
        <v>46800</v>
      </c>
      <c r="G1210" s="118" t="n">
        <v>46812</v>
      </c>
      <c r="H1210" s="118" t="n">
        <v>46289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IF(E1210="","",IF(LEFT(E1210,7)="SUBSOLO",-1,IF(LEFT(E1210,6)="TÉRREO",0,IFERROR(VALUE(LEFT(E1210,FIND("º",SUBSTITUTE(E1210,"°","º"))-1)),""))))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29981416</v>
      </c>
      <c r="C1211" s="4" t="inlineStr">
        <is>
          <t>PINTURA 1º DEMÃO</t>
        </is>
      </c>
      <c r="D1211" s="4" t="inlineStr">
        <is>
          <t>-</t>
        </is>
      </c>
      <c r="E1211" s="4" t="inlineStr">
        <is>
          <t>10º PAV.</t>
        </is>
      </c>
      <c r="F1211" s="118" t="n">
        <v>46800</v>
      </c>
      <c r="G1211" s="118" t="n">
        <v>46812</v>
      </c>
      <c r="H1211" s="118" t="n">
        <v>46289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IF(E1211="","",IF(LEFT(E1211,7)="SUBSOLO",-1,IF(LEFT(E1211,6)="TÉRREO",0,IFERROR(VALUE(LEFT(E1211,FIND("º",SUBSTITUTE(E1211,"°","º"))-1)),""))))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29981405</v>
      </c>
      <c r="C1212" s="4" t="inlineStr">
        <is>
          <t>MASSA CORRIDA</t>
        </is>
      </c>
      <c r="D1212" s="4" t="inlineStr">
        <is>
          <t>-</t>
        </is>
      </c>
      <c r="E1212" s="4" t="inlineStr">
        <is>
          <t>11º PAV.</t>
        </is>
      </c>
      <c r="F1212" s="118" t="n">
        <v>46800</v>
      </c>
      <c r="G1212" s="118" t="n">
        <v>46812</v>
      </c>
      <c r="H1212" s="118" t="n">
        <v>46289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IF(E1212="","",IF(LEFT(E1212,7)="SUBSOLO",-1,IF(LEFT(E1212,6)="TÉRREO",0,IFERROR(VALUE(LEFT(E1212,FIND("º",SUBSTITUTE(E1212,"°","º"))-1)),""))))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33898093</v>
      </c>
      <c r="C1213" s="4" t="inlineStr">
        <is>
          <t>ESQUADRIA DE ALUMÍNIO</t>
        </is>
      </c>
      <c r="D1213" s="4" t="inlineStr">
        <is>
          <t>-</t>
        </is>
      </c>
      <c r="E1213" s="4" t="inlineStr">
        <is>
          <t>12º PAV.</t>
        </is>
      </c>
      <c r="F1213" s="118" t="n">
        <v>46800</v>
      </c>
      <c r="G1213" s="118" t="n">
        <v>46812</v>
      </c>
      <c r="H1213" s="118" t="n">
        <v>46289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IF(E1213="","",IF(LEFT(E1213,7)="SUBSOLO",-1,IF(LEFT(E1213,6)="TÉRREO",0,IFERROR(VALUE(LEFT(E1213,FIND("º",SUBSTITUTE(E1213,"°","º"))-1)),""))))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30205796</v>
      </c>
      <c r="C1214" s="4" t="inlineStr">
        <is>
          <t>REVESTIMENTOS PORCELANATO PISO</t>
        </is>
      </c>
      <c r="D1214" s="4" t="inlineStr">
        <is>
          <t>-</t>
        </is>
      </c>
      <c r="E1214" s="4" t="inlineStr">
        <is>
          <t>TÉRREO - ACESSO COMERCIAL + DML + ARS + ÁREA TEC + LAVABO + DISPENSA</t>
        </is>
      </c>
      <c r="F1214" s="118" t="n">
        <v>46801</v>
      </c>
      <c r="G1214" s="118" t="n">
        <v>46821</v>
      </c>
      <c r="H1214" s="118" t="n">
        <v>46289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IF(E1214="","",IF(LEFT(E1214,7)="SUBSOLO",-1,IF(LEFT(E1214,6)="TÉRREO",0,IFERROR(VALUE(LEFT(E1214,FIND("º",SUBSTITUTE(E1214,"°","º"))-1)),""))))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30205851</v>
      </c>
      <c r="C1215" s="4" t="inlineStr">
        <is>
          <t>DRYWALL</t>
        </is>
      </c>
      <c r="D1215" s="4" t="inlineStr">
        <is>
          <t>-</t>
        </is>
      </c>
      <c r="E1215" s="4" t="inlineStr">
        <is>
          <t>1º PAV. (INTERMEDIÁRIO)</t>
        </is>
      </c>
      <c r="F1215" s="118" t="n">
        <v>46801</v>
      </c>
      <c r="G1215" s="118" t="n">
        <v>46814</v>
      </c>
      <c r="H1215" s="118" t="n">
        <v>46289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IF(E1215="","",IF(LEFT(E1215,7)="SUBSOLO",-1,IF(LEFT(E1215,6)="TÉRREO",0,IFERROR(VALUE(LEFT(E1215,FIND("º",SUBSTITUTE(E1215,"°","º"))-1)),""))))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29981218</v>
      </c>
      <c r="C1216" s="4" t="inlineStr">
        <is>
          <t>FORRO</t>
        </is>
      </c>
      <c r="D1216" s="4" t="inlineStr">
        <is>
          <t>-</t>
        </is>
      </c>
      <c r="E1216" s="4" t="inlineStr">
        <is>
          <t>16º PAV.</t>
        </is>
      </c>
      <c r="F1216" s="118" t="n">
        <v>46801</v>
      </c>
      <c r="G1216" s="118" t="n">
        <v>46813</v>
      </c>
      <c r="H1216" s="118" t="n">
        <v>46289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IF(E1216="","",IF(LEFT(E1216,7)="SUBSOLO",-1,IF(LEFT(E1216,6)="TÉRREO",0,IFERROR(VALUE(LEFT(E1216,FIND("º",SUBSTITUTE(E1216,"°","º"))-1)),""))))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29981179</v>
      </c>
      <c r="C1217" s="4" t="inlineStr">
        <is>
          <t>FIAÇÃO ELÉTRICA</t>
        </is>
      </c>
      <c r="D1217" s="4" t="inlineStr">
        <is>
          <t>-</t>
        </is>
      </c>
      <c r="E1217" s="4" t="inlineStr">
        <is>
          <t>17º PAV.</t>
        </is>
      </c>
      <c r="F1217" s="118" t="n">
        <v>46801</v>
      </c>
      <c r="G1217" s="118" t="n">
        <v>46813</v>
      </c>
      <c r="H1217" s="118" t="n">
        <v>46289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IF(E1217="","",IF(LEFT(E1217,7)="SUBSOLO",-1,IF(LEFT(E1217,6)="TÉRREO",0,IFERROR(VALUE(LEFT(E1217,FIND("º",SUBSTITUTE(E1217,"°","º"))-1)),""))))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29981184</v>
      </c>
      <c r="C1218" s="4" t="inlineStr">
        <is>
          <t>PRUMADA ELÉTRICA - CABOS</t>
        </is>
      </c>
      <c r="D1218" s="4" t="inlineStr">
        <is>
          <t>-</t>
        </is>
      </c>
      <c r="E1218" s="4" t="inlineStr">
        <is>
          <t>17º PAV.</t>
        </is>
      </c>
      <c r="F1218" s="118" t="n">
        <v>46801</v>
      </c>
      <c r="G1218" s="118" t="n">
        <v>46813</v>
      </c>
      <c r="H1218" s="118" t="n">
        <v>46289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IF(E1218="","",IF(LEFT(E1218,7)="SUBSOLO",-1,IF(LEFT(E1218,6)="TÉRREO",0,IFERROR(VALUE(LEFT(E1218,FIND("º",SUBSTITUTE(E1218,"°","º"))-1)),""))))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30214079</v>
      </c>
      <c r="C1219" s="4" t="inlineStr">
        <is>
          <t>FIAÇÃO TELECOM/DADOS</t>
        </is>
      </c>
      <c r="D1219" s="4" t="inlineStr">
        <is>
          <t>-</t>
        </is>
      </c>
      <c r="E1219" s="4" t="inlineStr">
        <is>
          <t>17º PAV.</t>
        </is>
      </c>
      <c r="F1219" s="118" t="n">
        <v>46801</v>
      </c>
      <c r="G1219" s="118" t="n">
        <v>46814</v>
      </c>
      <c r="H1219" s="118" t="n">
        <v>46289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IF(E1219="","",IF(LEFT(E1219,7)="SUBSOLO",-1,IF(LEFT(E1219,6)="TÉRREO",0,IFERROR(VALUE(LEFT(E1219,FIND("º",SUBSTITUTE(E1219,"°","º"))-1)),""))))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29981126</v>
      </c>
      <c r="C1220" s="4" t="inlineStr">
        <is>
          <t>BANCADAS</t>
        </is>
      </c>
      <c r="D1220" s="4" t="inlineStr">
        <is>
          <t>-</t>
        </is>
      </c>
      <c r="E1220" s="4" t="inlineStr">
        <is>
          <t>18º PAV.</t>
        </is>
      </c>
      <c r="F1220" s="118" t="n">
        <v>46801</v>
      </c>
      <c r="G1220" s="118" t="n">
        <v>46813</v>
      </c>
      <c r="H1220" s="118" t="n">
        <v>46289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IF(E1220="","",IF(LEFT(E1220,7)="SUBSOLO",-1,IF(LEFT(E1220,6)="TÉRREO",0,IFERROR(VALUE(LEFT(E1220,FIND("º",SUBSTITUTE(E1220,"°","º"))-1)),""))))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29981051</v>
      </c>
      <c r="C1221" s="4" t="inlineStr">
        <is>
          <t>REVESTIMENTOS PORCELANATO PISO</t>
        </is>
      </c>
      <c r="D1221" s="4" t="inlineStr">
        <is>
          <t>-</t>
        </is>
      </c>
      <c r="E1221" s="4" t="inlineStr">
        <is>
          <t>20º PAV.</t>
        </is>
      </c>
      <c r="F1221" s="118" t="n">
        <v>46801</v>
      </c>
      <c r="G1221" s="118" t="n">
        <v>46813</v>
      </c>
      <c r="H1221" s="118" t="n">
        <v>46289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IF(E1221="","",IF(LEFT(E1221,7)="SUBSOLO",-1,IF(LEFT(E1221,6)="TÉRREO",0,IFERROR(VALUE(LEFT(E1221,FIND("º",SUBSTITUTE(E1221,"°","º"))-1)),""))))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29981030</v>
      </c>
      <c r="C1222" s="4" t="inlineStr">
        <is>
          <t>REVESTIMENTO PORCELANATO PAREDE</t>
        </is>
      </c>
      <c r="D1222" s="4" t="inlineStr">
        <is>
          <t>-</t>
        </is>
      </c>
      <c r="E1222" s="4" t="inlineStr">
        <is>
          <t>21º PAV.</t>
        </is>
      </c>
      <c r="F1222" s="118" t="n">
        <v>46801</v>
      </c>
      <c r="G1222" s="118" t="n">
        <v>46813</v>
      </c>
      <c r="H1222" s="118" t="n">
        <v>46289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IF(E1222="","",IF(LEFT(E1222,7)="SUBSOLO",-1,IF(LEFT(E1222,6)="TÉRREO",0,IFERROR(VALUE(LEFT(E1222,FIND("º",SUBSTITUTE(E1222,"°","º"))-1)),""))))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29980991</v>
      </c>
      <c r="C1223" s="4" t="inlineStr">
        <is>
          <t>IMPERMEABILIZAÇÃO</t>
        </is>
      </c>
      <c r="D1223" s="4" t="inlineStr">
        <is>
          <t>-</t>
        </is>
      </c>
      <c r="E1223" s="4" t="inlineStr">
        <is>
          <t>22º PAV.</t>
        </is>
      </c>
      <c r="F1223" s="118" t="n">
        <v>46801</v>
      </c>
      <c r="G1223" s="118" t="n">
        <v>46813</v>
      </c>
      <c r="H1223" s="118" t="n">
        <v>46289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IF(E1223="","",IF(LEFT(E1223,7)="SUBSOLO",-1,IF(LEFT(E1223,6)="TÉRREO",0,IFERROR(VALUE(LEFT(E1223,FIND("º",SUBSTITUTE(E1223,"°","º"))-1)),""))))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32750449</v>
      </c>
      <c r="C1224" s="4" t="inlineStr">
        <is>
          <t>DRYWALL 2º FACE</t>
        </is>
      </c>
      <c r="D1224" s="4" t="inlineStr">
        <is>
          <t>-</t>
        </is>
      </c>
      <c r="E1224" s="4" t="inlineStr">
        <is>
          <t>23º PAV.</t>
        </is>
      </c>
      <c r="F1224" s="118" t="n">
        <v>46801</v>
      </c>
      <c r="G1224" s="118" t="n">
        <v>46813</v>
      </c>
      <c r="H1224" s="118" t="n">
        <v>46289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IF(E1224="","",IF(LEFT(E1224,7)="SUBSOLO",-1,IF(LEFT(E1224,6)="TÉRREO",0,IFERROR(VALUE(LEFT(E1224,FIND("º",SUBSTITUTE(E1224,"°","º"))-1)),""))))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32750372</v>
      </c>
      <c r="C1225" s="4" t="inlineStr">
        <is>
          <t>DISTRIBUIÇÃO DE GÁS - DRYWALL</t>
        </is>
      </c>
      <c r="D1225" s="4" t="inlineStr">
        <is>
          <t>-</t>
        </is>
      </c>
      <c r="E1225" s="4" t="inlineStr">
        <is>
          <t>24º PAV.</t>
        </is>
      </c>
      <c r="F1225" s="118" t="n">
        <v>46801</v>
      </c>
      <c r="G1225" s="118" t="n">
        <v>46813</v>
      </c>
      <c r="H1225" s="118" t="n">
        <v>46289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IF(E1225="","",IF(LEFT(E1225,7)="SUBSOLO",-1,IF(LEFT(E1225,6)="TÉRREO",0,IFERROR(VALUE(LEFT(E1225,FIND("º",SUBSTITUTE(E1225,"°","º"))-1)),""))))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32750398</v>
      </c>
      <c r="C1226" s="4" t="inlineStr">
        <is>
          <t>DISTRIBUIÇÃO ELÉTRICA/QUADRO - DRYWALL</t>
        </is>
      </c>
      <c r="D1226" s="4" t="inlineStr">
        <is>
          <t>-</t>
        </is>
      </c>
      <c r="E1226" s="4" t="inlineStr">
        <is>
          <t>24º PAV.</t>
        </is>
      </c>
      <c r="F1226" s="118" t="n">
        <v>46801</v>
      </c>
      <c r="G1226" s="118" t="n">
        <v>46813</v>
      </c>
      <c r="H1226" s="118" t="n">
        <v>46289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IF(E1226="","",IF(LEFT(E1226,7)="SUBSOLO",-1,IF(LEFT(E1226,6)="TÉRREO",0,IFERROR(VALUE(LEFT(E1226,FIND("º",SUBSTITUTE(E1226,"°","º"))-1)),""))))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32750424</v>
      </c>
      <c r="C1227" s="4" t="inlineStr">
        <is>
          <t>DISTRIBUIÇÃO HIDRÁULICA - DRYWALL</t>
        </is>
      </c>
      <c r="D1227" s="4" t="inlineStr">
        <is>
          <t>-</t>
        </is>
      </c>
      <c r="E1227" s="4" t="inlineStr">
        <is>
          <t>24º PAV.</t>
        </is>
      </c>
      <c r="F1227" s="118" t="n">
        <v>46801</v>
      </c>
      <c r="G1227" s="118" t="n">
        <v>46813</v>
      </c>
      <c r="H1227" s="118" t="n">
        <v>46289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IF(E1227="","",IF(LEFT(E1227,7)="SUBSOLO",-1,IF(LEFT(E1227,6)="TÉRREO",0,IFERROR(VALUE(LEFT(E1227,FIND("º",SUBSTITUTE(E1227,"°","º"))-1)),""))))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33896842</v>
      </c>
      <c r="C1228" s="4" t="inlineStr">
        <is>
          <t>INFRAESTRUTURA - AR CONDICIONADO</t>
        </is>
      </c>
      <c r="D1228" s="4" t="inlineStr">
        <is>
          <t>-</t>
        </is>
      </c>
      <c r="E1228" s="4" t="inlineStr">
        <is>
          <t>24º PAV.</t>
        </is>
      </c>
      <c r="F1228" s="118" t="n">
        <v>46801</v>
      </c>
      <c r="G1228" s="118" t="n">
        <v>46813</v>
      </c>
      <c r="H1228" s="118" t="n">
        <v>46289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IF(E1228="","",IF(LEFT(E1228,7)="SUBSOLO",-1,IF(LEFT(E1228,6)="TÉRREO",0,IFERROR(VALUE(LEFT(E1228,FIND("º",SUBSTITUTE(E1228,"°","º"))-1)),""))))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32749868</v>
      </c>
      <c r="C1229" s="4" t="inlineStr">
        <is>
          <t>DRYWALL 1º FACE</t>
        </is>
      </c>
      <c r="D1229" s="4" t="inlineStr">
        <is>
          <t>-</t>
        </is>
      </c>
      <c r="E1229" s="4" t="inlineStr">
        <is>
          <t>25º PAV.</t>
        </is>
      </c>
      <c r="F1229" s="118" t="n">
        <v>46801</v>
      </c>
      <c r="G1229" s="118" t="n">
        <v>46813</v>
      </c>
      <c r="H1229" s="118" t="n">
        <v>46289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IF(E1229="","",IF(LEFT(E1229,7)="SUBSOLO",-1,IF(LEFT(E1229,6)="TÉRREO",0,IFERROR(VALUE(LEFT(E1229,FIND("º",SUBSTITUTE(E1229,"°","º"))-1)),""))))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29980844</v>
      </c>
      <c r="C1230" s="4" t="inlineStr">
        <is>
          <t>CONTRAPISO</t>
        </is>
      </c>
      <c r="D1230" s="4" t="inlineStr">
        <is>
          <t>-</t>
        </is>
      </c>
      <c r="E1230" s="4" t="inlineStr">
        <is>
          <t>26º PAV.</t>
        </is>
      </c>
      <c r="F1230" s="118" t="n">
        <v>46801</v>
      </c>
      <c r="G1230" s="118" t="n">
        <v>46813</v>
      </c>
      <c r="H1230" s="118" t="n">
        <v>46289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IF(E1230="","",IF(LEFT(E1230,7)="SUBSOLO",-1,IF(LEFT(E1230,6)="TÉRREO",0,IFERROR(VALUE(LEFT(E1230,FIND("º",SUBSTITUTE(E1230,"°","º"))-1)),""))))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29980784</v>
      </c>
      <c r="C1231" s="4" t="inlineStr">
        <is>
          <t>SHAFT INTERNO INST. HIDRAÚLICAS</t>
        </is>
      </c>
      <c r="D1231" s="4" t="inlineStr">
        <is>
          <t>-</t>
        </is>
      </c>
      <c r="E1231" s="4" t="inlineStr">
        <is>
          <t>27º PAV.</t>
        </is>
      </c>
      <c r="F1231" s="118" t="n">
        <v>46801</v>
      </c>
      <c r="G1231" s="118" t="n">
        <v>46813</v>
      </c>
      <c r="H1231" s="118" t="n">
        <v>46289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IF(E1231="","",IF(LEFT(E1231,7)="SUBSOLO",-1,IF(LEFT(E1231,6)="TÉRREO",0,IFERROR(VALUE(LEFT(E1231,FIND("º",SUBSTITUTE(E1231,"°","º"))-1)),""))))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29980817</v>
      </c>
      <c r="C1232" s="4" t="inlineStr">
        <is>
          <t>PRUMADA ELÉTRICA - INFRA</t>
        </is>
      </c>
      <c r="D1232" s="4" t="inlineStr">
        <is>
          <t>-</t>
        </is>
      </c>
      <c r="E1232" s="4" t="inlineStr">
        <is>
          <t>27º PAV.</t>
        </is>
      </c>
      <c r="F1232" s="118" t="n">
        <v>46801</v>
      </c>
      <c r="G1232" s="118" t="n">
        <v>46813</v>
      </c>
      <c r="H1232" s="118" t="n">
        <v>46289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IF(E1232="","",IF(LEFT(E1232,7)="SUBSOLO",-1,IF(LEFT(E1232,6)="TÉRREO",0,IFERROR(VALUE(LEFT(E1232,FIND("º",SUBSTITUTE(E1232,"°","º"))-1)),""))))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29980746</v>
      </c>
      <c r="C1233" s="4" t="inlineStr">
        <is>
          <t>REBOCO INTERNO</t>
        </is>
      </c>
      <c r="D1233" s="4" t="inlineStr">
        <is>
          <t>-</t>
        </is>
      </c>
      <c r="E1233" s="4" t="inlineStr">
        <is>
          <t>28º PAV.</t>
        </is>
      </c>
      <c r="F1233" s="118" t="n">
        <v>46801</v>
      </c>
      <c r="G1233" s="118" t="n">
        <v>46813</v>
      </c>
      <c r="H1233" s="118" t="n">
        <v>46289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IF(E1233="","",IF(LEFT(E1233,7)="SUBSOLO",-1,IF(LEFT(E1233,6)="TÉRREO",0,IFERROR(VALUE(LEFT(E1233,FIND("º",SUBSTITUTE(E1233,"°","º"))-1)),""))))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29980712</v>
      </c>
      <c r="C1234" s="4" t="inlineStr">
        <is>
          <t>CONTRAMARCO</t>
        </is>
      </c>
      <c r="D1234" s="4" t="inlineStr">
        <is>
          <t>-</t>
        </is>
      </c>
      <c r="E1234" s="4" t="inlineStr">
        <is>
          <t>29º PAV.</t>
        </is>
      </c>
      <c r="F1234" s="118" t="n">
        <v>46801</v>
      </c>
      <c r="G1234" s="118" t="n">
        <v>46813</v>
      </c>
      <c r="H1234" s="118" t="n">
        <v>46289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IF(E1234="","",IF(LEFT(E1234,7)="SUBSOLO",-1,IF(LEFT(E1234,6)="TÉRREO",0,IFERROR(VALUE(LEFT(E1234,FIND("º",SUBSTITUTE(E1234,"°","º"))-1)),""))))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29980705</v>
      </c>
      <c r="C1235" s="4" t="inlineStr">
        <is>
          <t>DISTRIBUIÇÃO HIDROSSANITÁRIA</t>
        </is>
      </c>
      <c r="D1235" s="4" t="inlineStr">
        <is>
          <t>-</t>
        </is>
      </c>
      <c r="E1235" s="4" t="inlineStr">
        <is>
          <t>30º PAV.</t>
        </is>
      </c>
      <c r="F1235" s="118" t="n">
        <v>46801</v>
      </c>
      <c r="G1235" s="118" t="n">
        <v>46813</v>
      </c>
      <c r="H1235" s="118" t="n">
        <v>46289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IF(E1235="","",IF(LEFT(E1235,7)="SUBSOLO",-1,IF(LEFT(E1235,6)="TÉRREO",0,IFERROR(VALUE(LEFT(E1235,FIND("º",SUBSTITUTE(E1235,"°","º"))-1)),""))))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29980674</v>
      </c>
      <c r="C1236" s="4" t="inlineStr">
        <is>
          <t>DISTRIBUIÇÃO ELÉTRICA / QUADRO</t>
        </is>
      </c>
      <c r="D1236" s="4" t="inlineStr">
        <is>
          <t>-</t>
        </is>
      </c>
      <c r="E1236" s="4" t="inlineStr">
        <is>
          <t>30º PAV.</t>
        </is>
      </c>
      <c r="F1236" s="118" t="n">
        <v>46801</v>
      </c>
      <c r="G1236" s="118" t="n">
        <v>46813</v>
      </c>
      <c r="H1236" s="118" t="n">
        <v>46289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IF(E1236="","",IF(LEFT(E1236,7)="SUBSOLO",-1,IF(LEFT(E1236,6)="TÉRREO",0,IFERROR(VALUE(LEFT(E1236,FIND("º",SUBSTITUTE(E1236,"°","º"))-1)),""))))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29980707</v>
      </c>
      <c r="C1237" s="4" t="inlineStr">
        <is>
          <t>DISTRIBUIÇÃO DE GÁS</t>
        </is>
      </c>
      <c r="D1237" s="4" t="inlineStr">
        <is>
          <t>-</t>
        </is>
      </c>
      <c r="E1237" s="4" t="inlineStr">
        <is>
          <t>30º PAV.</t>
        </is>
      </c>
      <c r="F1237" s="118" t="n">
        <v>46801</v>
      </c>
      <c r="G1237" s="118" t="n">
        <v>46813</v>
      </c>
      <c r="H1237" s="118" t="n">
        <v>46289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IF(E1237="","",IF(LEFT(E1237,7)="SUBSOLO",-1,IF(LEFT(E1237,6)="TÉRREO",0,IFERROR(VALUE(LEFT(E1237,FIND("º",SUBSTITUTE(E1237,"°","º"))-1)),""))))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29980654</v>
      </c>
      <c r="C1238" s="4" t="inlineStr">
        <is>
          <t>TALISCAMENTO</t>
        </is>
      </c>
      <c r="D1238" s="4" t="inlineStr">
        <is>
          <t>-</t>
        </is>
      </c>
      <c r="E1238" s="4" t="inlineStr">
        <is>
          <t>31º PAV. - COBERTURA LINEAR</t>
        </is>
      </c>
      <c r="F1238" s="118" t="n">
        <v>46801</v>
      </c>
      <c r="G1238" s="118" t="n">
        <v>46813</v>
      </c>
      <c r="H1238" s="118" t="n">
        <v>46289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IF(E1238="","",IF(LEFT(E1238,7)="SUBSOLO",-1,IF(LEFT(E1238,6)="TÉRREO",0,IFERROR(VALUE(LEFT(E1238,FIND("º",SUBSTITUTE(E1238,"°","º"))-1)),""))))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29980620</v>
      </c>
      <c r="C1239" s="4" t="inlineStr">
        <is>
          <t>PRUMADA HIDROSSANITÁRIA</t>
        </is>
      </c>
      <c r="D1239" s="4" t="inlineStr">
        <is>
          <t>-</t>
        </is>
      </c>
      <c r="E1239" s="4" t="inlineStr">
        <is>
          <t>32º PAV - COBERTURA GERAL</t>
        </is>
      </c>
      <c r="F1239" s="118" t="n">
        <v>46801</v>
      </c>
      <c r="G1239" s="118" t="n">
        <v>46813</v>
      </c>
      <c r="H1239" s="118" t="n">
        <v>46289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IF(E1239="","",IF(LEFT(E1239,7)="SUBSOLO",-1,IF(LEFT(E1239,6)="TÉRREO",0,IFERROR(VALUE(LEFT(E1239,FIND("º",SUBSTITUTE(E1239,"°","º"))-1)),""))))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30206083</v>
      </c>
      <c r="C1240" s="4" t="inlineStr">
        <is>
          <t>ENCUNHAMENTO</t>
        </is>
      </c>
      <c r="D1240" s="4" t="inlineStr">
        <is>
          <t>-</t>
        </is>
      </c>
      <c r="E1240" s="4" t="inlineStr">
        <is>
          <t>6º PAV (PILOTIS) - SAUNA + DUCHA</t>
        </is>
      </c>
      <c r="F1240" s="118" t="n">
        <v>46805</v>
      </c>
      <c r="G1240" s="118" t="n">
        <v>46818</v>
      </c>
      <c r="H1240" s="118" t="n">
        <v>46289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IF(E1240="","",IF(LEFT(E1240,7)="SUBSOLO",-1,IF(LEFT(E1240,6)="TÉRREO",0,IFERROR(VALUE(LEFT(E1240,FIND("º",SUBSTITUTE(E1240,"°","º"))-1)),""))))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30171651</v>
      </c>
      <c r="C1241" s="4" t="inlineStr">
        <is>
          <t>INSTALAÇÃO DE CORRIMÃO (SERRALHERIA)</t>
        </is>
      </c>
      <c r="D1241" s="4" t="inlineStr">
        <is>
          <t>-</t>
        </is>
      </c>
      <c r="E1241" s="4" t="inlineStr">
        <is>
          <t>CX DE ESCADA DE INCÊND.</t>
        </is>
      </c>
      <c r="F1241" s="118" t="n">
        <v>46805</v>
      </c>
      <c r="G1241" s="118" t="n">
        <v>46877</v>
      </c>
      <c r="H1241" s="118" t="n">
        <v>46289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IF(E1241="","",IF(LEFT(E1241,7)="SUBSOLO",-1,IF(LEFT(E1241,6)="TÉRREO",0,IFERROR(VALUE(LEFT(E1241,FIND("º",SUBSTITUTE(E1241,"°","º"))-1)),""))))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29980619</v>
      </c>
      <c r="C1242" s="4" t="inlineStr">
        <is>
          <t>ENCUNHAMENTO</t>
        </is>
      </c>
      <c r="D1242" s="4" t="inlineStr">
        <is>
          <t>-</t>
        </is>
      </c>
      <c r="E1242" s="4" t="inlineStr">
        <is>
          <t>32º PAV - COBERTURA GERAL</t>
        </is>
      </c>
      <c r="F1242" s="118" t="n">
        <v>46805</v>
      </c>
      <c r="G1242" s="118" t="n">
        <v>46815</v>
      </c>
      <c r="H1242" s="118" t="n">
        <v>46289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IF(E1242="","",IF(LEFT(E1242,7)="SUBSOLO",-1,IF(LEFT(E1242,6)="TÉRREO",0,IFERROR(VALUE(LEFT(E1242,FIND("º",SUBSTITUTE(E1242,"°","º"))-1)),""))))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30205748</v>
      </c>
      <c r="C1243" s="4" t="inlineStr">
        <is>
          <t>FORRO</t>
        </is>
      </c>
      <c r="D1243" s="4" t="inlineStr">
        <is>
          <t>-</t>
        </is>
      </c>
      <c r="E1243" s="4" t="inlineStr">
        <is>
          <t>SUBSOLO</t>
        </is>
      </c>
      <c r="F1243" s="118" t="n">
        <v>46806</v>
      </c>
      <c r="G1243" s="118" t="n">
        <v>46850</v>
      </c>
      <c r="H1243" s="118" t="n">
        <v>46289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IF(E1243="","",IF(LEFT(E1243,7)="SUBSOLO",-1,IF(LEFT(E1243,6)="TÉRREO",0,IFERROR(VALUE(LEFT(E1243,FIND("º",SUBSTITUTE(E1243,"°","º"))-1)),""))))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30205714</v>
      </c>
      <c r="C1244" s="4" t="inlineStr">
        <is>
          <t>DISJUNTORES / MIOLOS</t>
        </is>
      </c>
      <c r="D1244" s="4" t="inlineStr">
        <is>
          <t>-</t>
        </is>
      </c>
      <c r="E1244" s="4" t="inlineStr">
        <is>
          <t>SUBSOLO</t>
        </is>
      </c>
      <c r="F1244" s="118" t="n">
        <v>46806</v>
      </c>
      <c r="G1244" s="118" t="n">
        <v>46835</v>
      </c>
      <c r="H1244" s="118" t="n">
        <v>46289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IF(E1244="","",IF(LEFT(E1244,7)="SUBSOLO",-1,IF(LEFT(E1244,6)="TÉRREO",0,IFERROR(VALUE(LEFT(E1244,FIND("º",SUBSTITUTE(E1244,"°","º"))-1)),""))))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30205711</v>
      </c>
      <c r="C1245" s="4" t="inlineStr">
        <is>
          <t>INSTALAÇÃO DE LUMINÁRIAS E SENSORES</t>
        </is>
      </c>
      <c r="D1245" s="4" t="inlineStr">
        <is>
          <t>-</t>
        </is>
      </c>
      <c r="E1245" s="4" t="inlineStr">
        <is>
          <t>SUBSOLO</t>
        </is>
      </c>
      <c r="F1245" s="118" t="n">
        <v>46806</v>
      </c>
      <c r="G1245" s="118" t="n">
        <v>46812</v>
      </c>
      <c r="H1245" s="118" t="n">
        <v>46289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IF(E1245="","",IF(LEFT(E1245,7)="SUBSOLO",-1,IF(LEFT(E1245,6)="TÉRREO",0,IFERROR(VALUE(LEFT(E1245,FIND("º",SUBSTITUTE(E1245,"°","º"))-1)),""))))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30205932</v>
      </c>
      <c r="C1246" s="4" t="inlineStr">
        <is>
          <t>IMPERMEABILIZAÇÃO</t>
        </is>
      </c>
      <c r="D1246" s="4" t="inlineStr">
        <is>
          <t>-</t>
        </is>
      </c>
      <c r="E1246" s="4" t="inlineStr">
        <is>
          <t>4º PAV - GARAGEM</t>
        </is>
      </c>
      <c r="F1246" s="118" t="n">
        <v>46807</v>
      </c>
      <c r="G1246" s="118" t="n">
        <v>46820</v>
      </c>
      <c r="H1246" s="118" t="n">
        <v>46289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IF(E1246="","",IF(LEFT(E1246,7)="SUBSOLO",-1,IF(LEFT(E1246,6)="TÉRREO",0,IFERROR(VALUE(LEFT(E1246,FIND("º",SUBSTITUTE(E1246,"°","º"))-1)),""))))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30171415</v>
      </c>
      <c r="C1247" s="4" t="inlineStr">
        <is>
          <t>PRUMADA HIDROSSANITÁRIA</t>
        </is>
      </c>
      <c r="D1247" s="4" t="inlineStr">
        <is>
          <t>-</t>
        </is>
      </c>
      <c r="E1247" s="4" t="inlineStr">
        <is>
          <t>4º PAV - GARAGEM</t>
        </is>
      </c>
      <c r="F1247" s="118" t="n">
        <v>46807</v>
      </c>
      <c r="G1247" s="118" t="n">
        <v>46834</v>
      </c>
      <c r="H1247" s="118" t="n">
        <v>46289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IF(E1247="","",IF(LEFT(E1247,7)="SUBSOLO",-1,IF(LEFT(E1247,6)="TÉRREO",0,IFERROR(VALUE(LEFT(E1247,FIND("º",SUBSTITUTE(E1247,"°","º"))-1)),""))))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30171416</v>
      </c>
      <c r="C1248" s="4" t="inlineStr">
        <is>
          <t>PRUMADA ELÉTRICA - INFRA</t>
        </is>
      </c>
      <c r="D1248" s="4" t="inlineStr">
        <is>
          <t>-</t>
        </is>
      </c>
      <c r="E1248" s="4" t="inlineStr">
        <is>
          <t>4º PAV - GARAGEM</t>
        </is>
      </c>
      <c r="F1248" s="118" t="n">
        <v>46807</v>
      </c>
      <c r="G1248" s="118" t="n">
        <v>46834</v>
      </c>
      <c r="H1248" s="118" t="n">
        <v>46289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IF(E1248="","",IF(LEFT(E1248,7)="SUBSOLO",-1,IF(LEFT(E1248,6)="TÉRREO",0,IFERROR(VALUE(LEFT(E1248,FIND("º",SUBSTITUTE(E1248,"°","º"))-1)),""))))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30171428</v>
      </c>
      <c r="C1249" s="4" t="inlineStr">
        <is>
          <t>INSTALAÇÕES DE INCÊNDIO</t>
        </is>
      </c>
      <c r="D1249" s="4" t="inlineStr">
        <is>
          <t>-</t>
        </is>
      </c>
      <c r="E1249" s="4" t="inlineStr">
        <is>
          <t>4º PAV - GARAGEM</t>
        </is>
      </c>
      <c r="F1249" s="118" t="n">
        <v>46807</v>
      </c>
      <c r="G1249" s="118" t="n">
        <v>46834</v>
      </c>
      <c r="H1249" s="118" t="n">
        <v>46289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IF(E1249="","",IF(LEFT(E1249,7)="SUBSOLO",-1,IF(LEFT(E1249,6)="TÉRREO",0,IFERROR(VALUE(LEFT(E1249,FIND("º",SUBSTITUTE(E1249,"°","º"))-1)),""))))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30171393</v>
      </c>
      <c r="C1250" s="4" t="inlineStr">
        <is>
          <t>SERRALHERIA</t>
        </is>
      </c>
      <c r="D1250" s="4" t="inlineStr">
        <is>
          <t>-</t>
        </is>
      </c>
      <c r="E1250" s="4" t="inlineStr">
        <is>
          <t>5º PAV - GARAGEM</t>
        </is>
      </c>
      <c r="F1250" s="118" t="n">
        <v>46807</v>
      </c>
      <c r="G1250" s="118" t="n">
        <v>46820</v>
      </c>
      <c r="H1250" s="118" t="n">
        <v>46289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IF(E1250="","",IF(LEFT(E1250,7)="SUBSOLO",-1,IF(LEFT(E1250,6)="TÉRREO",0,IFERROR(VALUE(LEFT(E1250,FIND("º",SUBSTITUTE(E1250,"°","º"))-1)),""))))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30171394</v>
      </c>
      <c r="C1251" s="4" t="inlineStr">
        <is>
          <t>REBOCO INTERNO</t>
        </is>
      </c>
      <c r="D1251" s="4" t="inlineStr">
        <is>
          <t>-</t>
        </is>
      </c>
      <c r="E1251" s="4" t="inlineStr">
        <is>
          <t>5º PAV - GARAGEM</t>
        </is>
      </c>
      <c r="F1251" s="118" t="n">
        <v>46807</v>
      </c>
      <c r="G1251" s="118" t="n">
        <v>46870</v>
      </c>
      <c r="H1251" s="118" t="n">
        <v>46289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IF(E1251="","",IF(LEFT(E1251,7)="SUBSOLO",-1,IF(LEFT(E1251,6)="TÉRREO",0,IFERROR(VALUE(LEFT(E1251,FIND("º",SUBSTITUTE(E1251,"°","º"))-1)),""))))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30205563</v>
      </c>
      <c r="C1252" s="4" t="inlineStr">
        <is>
          <t>ESQUADRIA DE ALUMÍNIO</t>
        </is>
      </c>
      <c r="D1252" s="4" t="inlineStr">
        <is>
          <t>-</t>
        </is>
      </c>
      <c r="E1252" s="4" t="inlineStr">
        <is>
          <t>TÉRREO - LOJA 6</t>
        </is>
      </c>
      <c r="F1252" s="118" t="n">
        <v>46808</v>
      </c>
      <c r="G1252" s="118" t="n">
        <v>46835</v>
      </c>
      <c r="H1252" s="118" t="n">
        <v>46289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IF(E1252="","",IF(LEFT(E1252,7)="SUBSOLO",-1,IF(LEFT(E1252,6)="TÉRREO",0,IFERROR(VALUE(LEFT(E1252,FIND("º",SUBSTITUTE(E1252,"°","º"))-1)),""))))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30205544</v>
      </c>
      <c r="C1253" s="4" t="inlineStr">
        <is>
          <t>MASSA CORRIDA</t>
        </is>
      </c>
      <c r="D1253" s="4" t="inlineStr">
        <is>
          <t>-</t>
        </is>
      </c>
      <c r="E1253" s="4" t="inlineStr">
        <is>
          <t>TÉRREO - LOJA 7</t>
        </is>
      </c>
      <c r="F1253" s="118" t="n">
        <v>46808</v>
      </c>
      <c r="G1253" s="118" t="n">
        <v>46821</v>
      </c>
      <c r="H1253" s="118" t="n">
        <v>46289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IF(E1253="","",IF(LEFT(E1253,7)="SUBSOLO",-1,IF(LEFT(E1253,6)="TÉRREO",0,IFERROR(VALUE(LEFT(E1253,FIND("º",SUBSTITUTE(E1253,"°","º"))-1)),""))))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30206130</v>
      </c>
      <c r="C1254" s="4" t="inlineStr">
        <is>
          <t>DISTRIBUIÇÃO HIDROSSANITÁRIA</t>
        </is>
      </c>
      <c r="D1254" s="4" t="inlineStr">
        <is>
          <t>-</t>
        </is>
      </c>
      <c r="E1254" s="4" t="inlineStr">
        <is>
          <t>6º PAV (PILOTIS) - ACADEMIA</t>
        </is>
      </c>
      <c r="F1254" s="118" t="n">
        <v>46811</v>
      </c>
      <c r="G1254" s="118" t="n">
        <v>46822</v>
      </c>
      <c r="H1254" s="118" t="n">
        <v>46289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IF(E1254="","",IF(LEFT(E1254,7)="SUBSOLO",-1,IF(LEFT(E1254,6)="TÉRREO",0,IFERROR(VALUE(LEFT(E1254,FIND("º",SUBSTITUTE(E1254,"°","º"))-1)),""))))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30206101</v>
      </c>
      <c r="C1255" s="4" t="inlineStr">
        <is>
          <t>DISTRIBUIÇÃO ELÉTRICA / QUADRO</t>
        </is>
      </c>
      <c r="D1255" s="4" t="inlineStr">
        <is>
          <t>-</t>
        </is>
      </c>
      <c r="E1255" s="4" t="inlineStr">
        <is>
          <t>6º PAV (PILOTIS) - ACADEMIA</t>
        </is>
      </c>
      <c r="F1255" s="118" t="n">
        <v>46811</v>
      </c>
      <c r="G1255" s="118" t="n">
        <v>46822</v>
      </c>
      <c r="H1255" s="118" t="n">
        <v>46289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IF(E1255="","",IF(LEFT(E1255,7)="SUBSOLO",-1,IF(LEFT(E1255,6)="TÉRREO",0,IFERROR(VALUE(LEFT(E1255,FIND("º",SUBSTITUTE(E1255,"°","º"))-1)),""))))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30206081</v>
      </c>
      <c r="C1256" s="4" t="inlineStr">
        <is>
          <t>TALISCAMENTO</t>
        </is>
      </c>
      <c r="D1256" s="4" t="inlineStr">
        <is>
          <t>-</t>
        </is>
      </c>
      <c r="E1256" s="4" t="inlineStr">
        <is>
          <t>6º PAV (PILOTIS) - SAUNA + DUCHA</t>
        </is>
      </c>
      <c r="F1256" s="118" t="n">
        <v>46811</v>
      </c>
      <c r="G1256" s="118" t="n">
        <v>46822</v>
      </c>
      <c r="H1256" s="118" t="n">
        <v>46289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IF(E1256="","",IF(LEFT(E1256,7)="SUBSOLO",-1,IF(LEFT(E1256,6)="TÉRREO",0,IFERROR(VALUE(LEFT(E1256,FIND("º",SUBSTITUTE(E1256,"°","º"))-1)),""))))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30205973</v>
      </c>
      <c r="C1257" s="4" t="inlineStr">
        <is>
          <t>PRUMADA HIDROSSANITÁRIA</t>
        </is>
      </c>
      <c r="D1257" s="4" t="inlineStr">
        <is>
          <t>-</t>
        </is>
      </c>
      <c r="E1257" s="4" t="inlineStr">
        <is>
          <t>6º PAV (PILOTIS) - LOUNGE + SALÃO + COZINHA + GOURMET + ESPAÇO KIDS</t>
        </is>
      </c>
      <c r="F1257" s="118" t="n">
        <v>46811</v>
      </c>
      <c r="G1257" s="118" t="n">
        <v>46822</v>
      </c>
      <c r="H1257" s="118" t="n">
        <v>46289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IF(E1257="","",IF(LEFT(E1257,7)="SUBSOLO",-1,IF(LEFT(E1257,6)="TÉRREO",0,IFERROR(VALUE(LEFT(E1257,FIND("º",SUBSTITUTE(E1257,"°","º"))-1)),""))))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29981531</v>
      </c>
      <c r="C1258" s="4" t="inlineStr">
        <is>
          <t>LOUÇAS</t>
        </is>
      </c>
      <c r="D1258" s="4" t="inlineStr">
        <is>
          <t>-</t>
        </is>
      </c>
      <c r="E1258" s="4" t="inlineStr">
        <is>
          <t>7º PAV.</t>
        </is>
      </c>
      <c r="F1258" s="118" t="n">
        <v>46813</v>
      </c>
      <c r="G1258" s="118" t="n">
        <v>46825</v>
      </c>
      <c r="H1258" s="118" t="n">
        <v>46289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IF(E1258="","",IF(LEFT(E1258,7)="SUBSOLO",-1,IF(LEFT(E1258,6)="TÉRREO",0,IFERROR(VALUE(LEFT(E1258,FIND("º",SUBSTITUTE(E1258,"°","º"))-1)),""))))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29981536</v>
      </c>
      <c r="C1259" s="4" t="inlineStr">
        <is>
          <t>METAIS</t>
        </is>
      </c>
      <c r="D1259" s="4" t="inlineStr">
        <is>
          <t>-</t>
        </is>
      </c>
      <c r="E1259" s="4" t="inlineStr">
        <is>
          <t>7º PAV.</t>
        </is>
      </c>
      <c r="F1259" s="118" t="n">
        <v>46813</v>
      </c>
      <c r="G1259" s="118" t="n">
        <v>46825</v>
      </c>
      <c r="H1259" s="118" t="n">
        <v>46289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IF(E1259="","",IF(LEFT(E1259,7)="SUBSOLO",-1,IF(LEFT(E1259,6)="TÉRREO",0,IFERROR(VALUE(LEFT(E1259,FIND("º",SUBSTITUTE(E1259,"°","º"))-1)),""))))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29981535</v>
      </c>
      <c r="C1260" s="4" t="inlineStr">
        <is>
          <t>DISJUNTORES / MIOLOS</t>
        </is>
      </c>
      <c r="D1260" s="4" t="inlineStr">
        <is>
          <t>-</t>
        </is>
      </c>
      <c r="E1260" s="4" t="inlineStr">
        <is>
          <t>7º PAV.</t>
        </is>
      </c>
      <c r="F1260" s="118" t="n">
        <v>46813</v>
      </c>
      <c r="G1260" s="118" t="n">
        <v>46825</v>
      </c>
      <c r="H1260" s="118" t="n">
        <v>46289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IF(E1260="","",IF(LEFT(E1260,7)="SUBSOLO",-1,IF(LEFT(E1260,6)="TÉRREO",0,IFERROR(VALUE(LEFT(E1260,FIND("º",SUBSTITUTE(E1260,"°","º"))-1)),""))))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29981534</v>
      </c>
      <c r="C1261" s="4" t="inlineStr">
        <is>
          <t>COMUNICAÇÃO E ALARME</t>
        </is>
      </c>
      <c r="D1261" s="4" t="inlineStr">
        <is>
          <t>-</t>
        </is>
      </c>
      <c r="E1261" s="4" t="inlineStr">
        <is>
          <t>7º PAV.</t>
        </is>
      </c>
      <c r="F1261" s="118" t="n">
        <v>46813</v>
      </c>
      <c r="G1261" s="118" t="n">
        <v>46825</v>
      </c>
      <c r="H1261" s="118" t="n">
        <v>46289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IF(E1261="","",IF(LEFT(E1261,7)="SUBSOLO",-1,IF(LEFT(E1261,6)="TÉRREO",0,IFERROR(VALUE(LEFT(E1261,FIND("º",SUBSTITUTE(E1261,"°","º"))-1)),""))))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29981493</v>
      </c>
      <c r="C1262" s="4" t="inlineStr">
        <is>
          <t>RODAPÉ MADEIRA / PVC</t>
        </is>
      </c>
      <c r="D1262" s="4" t="inlineStr">
        <is>
          <t>-</t>
        </is>
      </c>
      <c r="E1262" s="4" t="inlineStr">
        <is>
          <t>8º PAV.</t>
        </is>
      </c>
      <c r="F1262" s="118" t="n">
        <v>46813</v>
      </c>
      <c r="G1262" s="118" t="n">
        <v>46825</v>
      </c>
      <c r="H1262" s="118" t="n">
        <v>46289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IF(E1262="","",IF(LEFT(E1262,7)="SUBSOLO",-1,IF(LEFT(E1262,6)="TÉRREO",0,IFERROR(VALUE(LEFT(E1262,FIND("º",SUBSTITUTE(E1262,"°","º"))-1)),""))))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29981455</v>
      </c>
      <c r="C1263" s="4" t="inlineStr">
        <is>
          <t>ESQUADRIA MADEIRA</t>
        </is>
      </c>
      <c r="D1263" s="4" t="inlineStr">
        <is>
          <t>-</t>
        </is>
      </c>
      <c r="E1263" s="4" t="inlineStr">
        <is>
          <t>9º PAV.</t>
        </is>
      </c>
      <c r="F1263" s="118" t="n">
        <v>46813</v>
      </c>
      <c r="G1263" s="118" t="n">
        <v>46825</v>
      </c>
      <c r="H1263" s="118" t="n">
        <v>46289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IF(E1263="","",IF(LEFT(E1263,7)="SUBSOLO",-1,IF(LEFT(E1263,6)="TÉRREO",0,IFERROR(VALUE(LEFT(E1263,FIND("º",SUBSTITUTE(E1263,"°","º"))-1)),""))))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29981417</v>
      </c>
      <c r="C1264" s="4" t="inlineStr">
        <is>
          <t>PISO VINÍLICO / LAMINADO</t>
        </is>
      </c>
      <c r="D1264" s="4" t="inlineStr">
        <is>
          <t>-</t>
        </is>
      </c>
      <c r="E1264" s="4" t="inlineStr">
        <is>
          <t>10º PAV.</t>
        </is>
      </c>
      <c r="F1264" s="118" t="n">
        <v>46813</v>
      </c>
      <c r="G1264" s="118" t="n">
        <v>46825</v>
      </c>
      <c r="H1264" s="118" t="n">
        <v>46289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IF(E1264="","",IF(LEFT(E1264,7)="SUBSOLO",-1,IF(LEFT(E1264,6)="TÉRREO",0,IFERROR(VALUE(LEFT(E1264,FIND("º",SUBSTITUTE(E1264,"°","º"))-1)),""))))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29981379</v>
      </c>
      <c r="C1265" s="4" t="inlineStr">
        <is>
          <t>PINTURA 1º DEMÃO</t>
        </is>
      </c>
      <c r="D1265" s="4" t="inlineStr">
        <is>
          <t>-</t>
        </is>
      </c>
      <c r="E1265" s="4" t="inlineStr">
        <is>
          <t>11º PAV.</t>
        </is>
      </c>
      <c r="F1265" s="118" t="n">
        <v>46813</v>
      </c>
      <c r="G1265" s="118" t="n">
        <v>46825</v>
      </c>
      <c r="H1265" s="118" t="n">
        <v>46289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IF(E1265="","",IF(LEFT(E1265,7)="SUBSOLO",-1,IF(LEFT(E1265,6)="TÉRREO",0,IFERROR(VALUE(LEFT(E1265,FIND("º",SUBSTITUTE(E1265,"°","º"))-1)),""))))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29981368</v>
      </c>
      <c r="C1266" s="4" t="inlineStr">
        <is>
          <t>MASSA CORRIDA</t>
        </is>
      </c>
      <c r="D1266" s="4" t="inlineStr">
        <is>
          <t>-</t>
        </is>
      </c>
      <c r="E1266" s="4" t="inlineStr">
        <is>
          <t>12º PAV.</t>
        </is>
      </c>
      <c r="F1266" s="118" t="n">
        <v>46813</v>
      </c>
      <c r="G1266" s="118" t="n">
        <v>46825</v>
      </c>
      <c r="H1266" s="118" t="n">
        <v>46289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IF(E1266="","",IF(LEFT(E1266,7)="SUBSOLO",-1,IF(LEFT(E1266,6)="TÉRREO",0,IFERROR(VALUE(LEFT(E1266,FIND("º",SUBSTITUTE(E1266,"°","º"))-1)),""))))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33898094</v>
      </c>
      <c r="C1267" s="4" t="inlineStr">
        <is>
          <t>ESQUADRIA DE ALUMÍNIO</t>
        </is>
      </c>
      <c r="D1267" s="4" t="inlineStr">
        <is>
          <t>-</t>
        </is>
      </c>
      <c r="E1267" s="4" t="inlineStr">
        <is>
          <t>13º PAV.</t>
        </is>
      </c>
      <c r="F1267" s="118" t="n">
        <v>46813</v>
      </c>
      <c r="G1267" s="118" t="n">
        <v>46825</v>
      </c>
      <c r="H1267" s="118" t="n">
        <v>46289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IF(E1267="","",IF(LEFT(E1267,7)="SUBSOLO",-1,IF(LEFT(E1267,6)="TÉRREO",0,IFERROR(VALUE(LEFT(E1267,FIND("º",SUBSTITUTE(E1267,"°","º"))-1)),""))))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30205729</v>
      </c>
      <c r="C1268" s="4" t="inlineStr">
        <is>
          <t>PRUMADA ELÉTRICA - CABOS</t>
        </is>
      </c>
      <c r="D1268" s="4" t="inlineStr">
        <is>
          <t>-</t>
        </is>
      </c>
      <c r="E1268" s="4" t="inlineStr">
        <is>
          <t>SUBSOLO</t>
        </is>
      </c>
      <c r="F1268" s="118" t="n">
        <v>46814</v>
      </c>
      <c r="G1268" s="118" t="n">
        <v>46843</v>
      </c>
      <c r="H1268" s="118" t="n">
        <v>46289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IF(E1268="","",IF(LEFT(E1268,7)="SUBSOLO",-1,IF(LEFT(E1268,6)="TÉRREO",0,IFERROR(VALUE(LEFT(E1268,FIND("º",SUBSTITUTE(E1268,"°","º"))-1)),""))))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29981181</v>
      </c>
      <c r="C1269" s="4" t="inlineStr">
        <is>
          <t>FORRO</t>
        </is>
      </c>
      <c r="D1269" s="4" t="inlineStr">
        <is>
          <t>-</t>
        </is>
      </c>
      <c r="E1269" s="4" t="inlineStr">
        <is>
          <t>17º PAV.</t>
        </is>
      </c>
      <c r="F1269" s="118" t="n">
        <v>46814</v>
      </c>
      <c r="G1269" s="118" t="n">
        <v>46826</v>
      </c>
      <c r="H1269" s="118" t="n">
        <v>46289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IF(E1269="","",IF(LEFT(E1269,7)="SUBSOLO",-1,IF(LEFT(E1269,6)="TÉRREO",0,IFERROR(VALUE(LEFT(E1269,FIND("º",SUBSTITUTE(E1269,"°","º"))-1)),""))))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29981142</v>
      </c>
      <c r="C1270" s="4" t="inlineStr">
        <is>
          <t>FIAÇÃO ELÉTRICA</t>
        </is>
      </c>
      <c r="D1270" s="4" t="inlineStr">
        <is>
          <t>-</t>
        </is>
      </c>
      <c r="E1270" s="4" t="inlineStr">
        <is>
          <t>18º PAV.</t>
        </is>
      </c>
      <c r="F1270" s="118" t="n">
        <v>46814</v>
      </c>
      <c r="G1270" s="118" t="n">
        <v>46826</v>
      </c>
      <c r="H1270" s="118" t="n">
        <v>46289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IF(E1270="","",IF(LEFT(E1270,7)="SUBSOLO",-1,IF(LEFT(E1270,6)="TÉRREO",0,IFERROR(VALUE(LEFT(E1270,FIND("º",SUBSTITUTE(E1270,"°","º"))-1)),""))))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29981147</v>
      </c>
      <c r="C1271" s="4" t="inlineStr">
        <is>
          <t>PRUMADA ELÉTRICA - CABOS</t>
        </is>
      </c>
      <c r="D1271" s="4" t="inlineStr">
        <is>
          <t>-</t>
        </is>
      </c>
      <c r="E1271" s="4" t="inlineStr">
        <is>
          <t>18º PAV.</t>
        </is>
      </c>
      <c r="F1271" s="118" t="n">
        <v>46814</v>
      </c>
      <c r="G1271" s="118" t="n">
        <v>46826</v>
      </c>
      <c r="H1271" s="118" t="n">
        <v>46289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IF(E1271="","",IF(LEFT(E1271,7)="SUBSOLO",-1,IF(LEFT(E1271,6)="TÉRREO",0,IFERROR(VALUE(LEFT(E1271,FIND("º",SUBSTITUTE(E1271,"°","º"))-1)),""))))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30214080</v>
      </c>
      <c r="C1272" s="4" t="inlineStr">
        <is>
          <t>FIAÇÃO TELECOM/DADOS</t>
        </is>
      </c>
      <c r="D1272" s="4" t="inlineStr">
        <is>
          <t>-</t>
        </is>
      </c>
      <c r="E1272" s="4" t="inlineStr">
        <is>
          <t>18º PAV.</t>
        </is>
      </c>
      <c r="F1272" s="118" t="n">
        <v>46814</v>
      </c>
      <c r="G1272" s="118" t="n">
        <v>46827</v>
      </c>
      <c r="H1272" s="118" t="n">
        <v>46289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IF(E1272="","",IF(LEFT(E1272,7)="SUBSOLO",-1,IF(LEFT(E1272,6)="TÉRREO",0,IFERROR(VALUE(LEFT(E1272,FIND("º",SUBSTITUTE(E1272,"°","º"))-1)),""))))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29981052</v>
      </c>
      <c r="C1273" s="4" t="inlineStr">
        <is>
          <t>BANCADAS</t>
        </is>
      </c>
      <c r="D1273" s="4" t="inlineStr">
        <is>
          <t>-</t>
        </is>
      </c>
      <c r="E1273" s="4" t="inlineStr">
        <is>
          <t>20º PAV.</t>
        </is>
      </c>
      <c r="F1273" s="118" t="n">
        <v>46814</v>
      </c>
      <c r="G1273" s="118" t="n">
        <v>46826</v>
      </c>
      <c r="H1273" s="118" t="n">
        <v>46289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IF(E1273="","",IF(LEFT(E1273,7)="SUBSOLO",-1,IF(LEFT(E1273,6)="TÉRREO",0,IFERROR(VALUE(LEFT(E1273,FIND("º",SUBSTITUTE(E1273,"°","º"))-1)),""))))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29981014</v>
      </c>
      <c r="C1274" s="4" t="inlineStr">
        <is>
          <t>REVESTIMENTOS PORCELANATO PISO</t>
        </is>
      </c>
      <c r="D1274" s="4" t="inlineStr">
        <is>
          <t>-</t>
        </is>
      </c>
      <c r="E1274" s="4" t="inlineStr">
        <is>
          <t>21º PAV.</t>
        </is>
      </c>
      <c r="F1274" s="118" t="n">
        <v>46814</v>
      </c>
      <c r="G1274" s="118" t="n">
        <v>46826</v>
      </c>
      <c r="H1274" s="118" t="n">
        <v>46289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IF(E1274="","",IF(LEFT(E1274,7)="SUBSOLO",-1,IF(LEFT(E1274,6)="TÉRREO",0,IFERROR(VALUE(LEFT(E1274,FIND("º",SUBSTITUTE(E1274,"°","º"))-1)),""))))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29980993</v>
      </c>
      <c r="C1275" s="4" t="inlineStr">
        <is>
          <t>REVESTIMENTO PORCELANATO PAREDE</t>
        </is>
      </c>
      <c r="D1275" s="4" t="inlineStr">
        <is>
          <t>-</t>
        </is>
      </c>
      <c r="E1275" s="4" t="inlineStr">
        <is>
          <t>22º PAV.</t>
        </is>
      </c>
      <c r="F1275" s="118" t="n">
        <v>46814</v>
      </c>
      <c r="G1275" s="118" t="n">
        <v>46826</v>
      </c>
      <c r="H1275" s="118" t="n">
        <v>46289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IF(E1275="","",IF(LEFT(E1275,7)="SUBSOLO",-1,IF(LEFT(E1275,6)="TÉRREO",0,IFERROR(VALUE(LEFT(E1275,FIND("º",SUBSTITUTE(E1275,"°","º"))-1)),""))))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29980954</v>
      </c>
      <c r="C1276" s="4" t="inlineStr">
        <is>
          <t>IMPERMEABILIZAÇÃO</t>
        </is>
      </c>
      <c r="D1276" s="4" t="inlineStr">
        <is>
          <t>-</t>
        </is>
      </c>
      <c r="E1276" s="4" t="inlineStr">
        <is>
          <t>23º PAV.</t>
        </is>
      </c>
      <c r="F1276" s="118" t="n">
        <v>46814</v>
      </c>
      <c r="G1276" s="118" t="n">
        <v>46826</v>
      </c>
      <c r="H1276" s="118" t="n">
        <v>46289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IF(E1276="","",IF(LEFT(E1276,7)="SUBSOLO",-1,IF(LEFT(E1276,6)="TÉRREO",0,IFERROR(VALUE(LEFT(E1276,FIND("º",SUBSTITUTE(E1276,"°","º"))-1)),""))))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32750450</v>
      </c>
      <c r="C1277" s="4" t="inlineStr">
        <is>
          <t>DRYWALL 2º FACE</t>
        </is>
      </c>
      <c r="D1277" s="4" t="inlineStr">
        <is>
          <t>-</t>
        </is>
      </c>
      <c r="E1277" s="4" t="inlineStr">
        <is>
          <t>24º PAV.</t>
        </is>
      </c>
      <c r="F1277" s="118" t="n">
        <v>46814</v>
      </c>
      <c r="G1277" s="118" t="n">
        <v>46826</v>
      </c>
      <c r="H1277" s="118" t="n">
        <v>46289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IF(E1277="","",IF(LEFT(E1277,7)="SUBSOLO",-1,IF(LEFT(E1277,6)="TÉRREO",0,IFERROR(VALUE(LEFT(E1277,FIND("º",SUBSTITUTE(E1277,"°","º"))-1)),""))))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32750373</v>
      </c>
      <c r="C1278" s="4" t="inlineStr">
        <is>
          <t>DISTRIBUIÇÃO DE GÁS - DRYWALL</t>
        </is>
      </c>
      <c r="D1278" s="4" t="inlineStr">
        <is>
          <t>-</t>
        </is>
      </c>
      <c r="E1278" s="4" t="inlineStr">
        <is>
          <t>25º PAV.</t>
        </is>
      </c>
      <c r="F1278" s="118" t="n">
        <v>46814</v>
      </c>
      <c r="G1278" s="118" t="n">
        <v>46826</v>
      </c>
      <c r="H1278" s="118" t="n">
        <v>46289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IF(E1278="","",IF(LEFT(E1278,7)="SUBSOLO",-1,IF(LEFT(E1278,6)="TÉRREO",0,IFERROR(VALUE(LEFT(E1278,FIND("º",SUBSTITUTE(E1278,"°","º"))-1)),""))))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32750399</v>
      </c>
      <c r="C1279" s="4" t="inlineStr">
        <is>
          <t>DISTRIBUIÇÃO ELÉTRICA/QUADRO - DRYWALL</t>
        </is>
      </c>
      <c r="D1279" s="4" t="inlineStr">
        <is>
          <t>-</t>
        </is>
      </c>
      <c r="E1279" s="4" t="inlineStr">
        <is>
          <t>25º PAV.</t>
        </is>
      </c>
      <c r="F1279" s="118" t="n">
        <v>46814</v>
      </c>
      <c r="G1279" s="118" t="n">
        <v>46826</v>
      </c>
      <c r="H1279" s="118" t="n">
        <v>46289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IF(E1279="","",IF(LEFT(E1279,7)="SUBSOLO",-1,IF(LEFT(E1279,6)="TÉRREO",0,IFERROR(VALUE(LEFT(E1279,FIND("º",SUBSTITUTE(E1279,"°","º"))-1)),""))))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32750425</v>
      </c>
      <c r="C1280" s="4" t="inlineStr">
        <is>
          <t>DISTRIBUIÇÃO HIDRÁULICA - DRYWALL</t>
        </is>
      </c>
      <c r="D1280" s="4" t="inlineStr">
        <is>
          <t>-</t>
        </is>
      </c>
      <c r="E1280" s="4" t="inlineStr">
        <is>
          <t>25º PAV.</t>
        </is>
      </c>
      <c r="F1280" s="118" t="n">
        <v>46814</v>
      </c>
      <c r="G1280" s="118" t="n">
        <v>46826</v>
      </c>
      <c r="H1280" s="118" t="n">
        <v>46289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IF(E1280="","",IF(LEFT(E1280,7)="SUBSOLO",-1,IF(LEFT(E1280,6)="TÉRREO",0,IFERROR(VALUE(LEFT(E1280,FIND("º",SUBSTITUTE(E1280,"°","º"))-1)),""))))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33896843</v>
      </c>
      <c r="C1281" s="4" t="inlineStr">
        <is>
          <t>INFRAESTRUTURA - AR CONDICIONADO</t>
        </is>
      </c>
      <c r="D1281" s="4" t="inlineStr">
        <is>
          <t>-</t>
        </is>
      </c>
      <c r="E1281" s="4" t="inlineStr">
        <is>
          <t>25º PAV.</t>
        </is>
      </c>
      <c r="F1281" s="118" t="n">
        <v>46814</v>
      </c>
      <c r="G1281" s="118" t="n">
        <v>46826</v>
      </c>
      <c r="H1281" s="118" t="n">
        <v>46289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IF(E1281="","",IF(LEFT(E1281,7)="SUBSOLO",-1,IF(LEFT(E1281,6)="TÉRREO",0,IFERROR(VALUE(LEFT(E1281,FIND("º",SUBSTITUTE(E1281,"°","º"))-1)),""))))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32749869</v>
      </c>
      <c r="C1282" s="4" t="inlineStr">
        <is>
          <t>DRYWALL 1º FACE</t>
        </is>
      </c>
      <c r="D1282" s="4" t="inlineStr">
        <is>
          <t>-</t>
        </is>
      </c>
      <c r="E1282" s="4" t="inlineStr">
        <is>
          <t>26º PAV.</t>
        </is>
      </c>
      <c r="F1282" s="118" t="n">
        <v>46814</v>
      </c>
      <c r="G1282" s="118" t="n">
        <v>46826</v>
      </c>
      <c r="H1282" s="118" t="n">
        <v>46289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IF(E1282="","",IF(LEFT(E1282,7)="SUBSOLO",-1,IF(LEFT(E1282,6)="TÉRREO",0,IFERROR(VALUE(LEFT(E1282,FIND("º",SUBSTITUTE(E1282,"°","º"))-1)),""))))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29980807</v>
      </c>
      <c r="C1283" s="4" t="inlineStr">
        <is>
          <t>CONTRAPISO</t>
        </is>
      </c>
      <c r="D1283" s="4" t="inlineStr">
        <is>
          <t>-</t>
        </is>
      </c>
      <c r="E1283" s="4" t="inlineStr">
        <is>
          <t>27º PAV.</t>
        </is>
      </c>
      <c r="F1283" s="118" t="n">
        <v>46814</v>
      </c>
      <c r="G1283" s="118" t="n">
        <v>46826</v>
      </c>
      <c r="H1283" s="118" t="n">
        <v>46289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IF(E1283="","",IF(LEFT(E1283,7)="SUBSOLO",-1,IF(LEFT(E1283,6)="TÉRREO",0,IFERROR(VALUE(LEFT(E1283,FIND("º",SUBSTITUTE(E1283,"°","º"))-1)),""))))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29980747</v>
      </c>
      <c r="C1284" s="4" t="inlineStr">
        <is>
          <t>SHAFT INTERNO INST. HIDRAÚLICAS</t>
        </is>
      </c>
      <c r="D1284" s="4" t="inlineStr">
        <is>
          <t>-</t>
        </is>
      </c>
      <c r="E1284" s="4" t="inlineStr">
        <is>
          <t>28º PAV.</t>
        </is>
      </c>
      <c r="F1284" s="118" t="n">
        <v>46814</v>
      </c>
      <c r="G1284" s="118" t="n">
        <v>46826</v>
      </c>
      <c r="H1284" s="118" t="n">
        <v>46289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IF(E1284="","",IF(LEFT(E1284,7)="SUBSOLO",-1,IF(LEFT(E1284,6)="TÉRREO",0,IFERROR(VALUE(LEFT(E1284,FIND("º",SUBSTITUTE(E1284,"°","º"))-1)),""))))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29980780</v>
      </c>
      <c r="C1285" s="4" t="inlineStr">
        <is>
          <t>PRUMADA ELÉTRICA - INFRA</t>
        </is>
      </c>
      <c r="D1285" s="4" t="inlineStr">
        <is>
          <t>-</t>
        </is>
      </c>
      <c r="E1285" s="4" t="inlineStr">
        <is>
          <t>28º PAV.</t>
        </is>
      </c>
      <c r="F1285" s="118" t="n">
        <v>46814</v>
      </c>
      <c r="G1285" s="118" t="n">
        <v>46826</v>
      </c>
      <c r="H1285" s="118" t="n">
        <v>46289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IF(E1285="","",IF(LEFT(E1285,7)="SUBSOLO",-1,IF(LEFT(E1285,6)="TÉRREO",0,IFERROR(VALUE(LEFT(E1285,FIND("º",SUBSTITUTE(E1285,"°","º"))-1)),""))))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29980709</v>
      </c>
      <c r="C1286" s="4" t="inlineStr">
        <is>
          <t>REBOCO INTERNO</t>
        </is>
      </c>
      <c r="D1286" s="4" t="inlineStr">
        <is>
          <t>-</t>
        </is>
      </c>
      <c r="E1286" s="4" t="inlineStr">
        <is>
          <t>29º PAV.</t>
        </is>
      </c>
      <c r="F1286" s="118" t="n">
        <v>46814</v>
      </c>
      <c r="G1286" s="118" t="n">
        <v>46826</v>
      </c>
      <c r="H1286" s="118" t="n">
        <v>46289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IF(E1286="","",IF(LEFT(E1286,7)="SUBSOLO",-1,IF(LEFT(E1286,6)="TÉRREO",0,IFERROR(VALUE(LEFT(E1286,FIND("º",SUBSTITUTE(E1286,"°","º"))-1)),""))))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29980675</v>
      </c>
      <c r="C1287" s="4" t="inlineStr">
        <is>
          <t>CONTRAMARCO</t>
        </is>
      </c>
      <c r="D1287" s="4" t="inlineStr">
        <is>
          <t>-</t>
        </is>
      </c>
      <c r="E1287" s="4" t="inlineStr">
        <is>
          <t>30º PAV.</t>
        </is>
      </c>
      <c r="F1287" s="118" t="n">
        <v>46814</v>
      </c>
      <c r="G1287" s="118" t="n">
        <v>46826</v>
      </c>
      <c r="H1287" s="118" t="n">
        <v>46289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IF(E1287="","",IF(LEFT(E1287,7)="SUBSOLO",-1,IF(LEFT(E1287,6)="TÉRREO",0,IFERROR(VALUE(LEFT(E1287,FIND("º",SUBSTITUTE(E1287,"°","º"))-1)),""))))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29980668</v>
      </c>
      <c r="C1288" s="4" t="inlineStr">
        <is>
          <t>DISTRIBUIÇÃO HIDROSSANITÁRIA</t>
        </is>
      </c>
      <c r="D1288" s="4" t="inlineStr">
        <is>
          <t>-</t>
        </is>
      </c>
      <c r="E1288" s="4" t="inlineStr">
        <is>
          <t>31º PAV. - COBERTURA LINEAR</t>
        </is>
      </c>
      <c r="F1288" s="118" t="n">
        <v>46814</v>
      </c>
      <c r="G1288" s="118" t="n">
        <v>46826</v>
      </c>
      <c r="H1288" s="118" t="n">
        <v>46289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IF(E1288="","",IF(LEFT(E1288,7)="SUBSOLO",-1,IF(LEFT(E1288,6)="TÉRREO",0,IFERROR(VALUE(LEFT(E1288,FIND("º",SUBSTITUTE(E1288,"°","º"))-1)),""))))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29980637</v>
      </c>
      <c r="C1289" s="4" t="inlineStr">
        <is>
          <t>DISTRIBUIÇÃO ELÉTRICA / QUADRO</t>
        </is>
      </c>
      <c r="D1289" s="4" t="inlineStr">
        <is>
          <t>-</t>
        </is>
      </c>
      <c r="E1289" s="4" t="inlineStr">
        <is>
          <t>31º PAV. - COBERTURA LINEAR</t>
        </is>
      </c>
      <c r="F1289" s="118" t="n">
        <v>46814</v>
      </c>
      <c r="G1289" s="118" t="n">
        <v>46826</v>
      </c>
      <c r="H1289" s="118" t="n">
        <v>46289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IF(E1289="","",IF(LEFT(E1289,7)="SUBSOLO",-1,IF(LEFT(E1289,6)="TÉRREO",0,IFERROR(VALUE(LEFT(E1289,FIND("º",SUBSTITUTE(E1289,"°","º"))-1)),""))))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29980670</v>
      </c>
      <c r="C1290" s="4" t="inlineStr">
        <is>
          <t>DISTRIBUIÇÃO DE GÁS</t>
        </is>
      </c>
      <c r="D1290" s="4" t="inlineStr">
        <is>
          <t>-</t>
        </is>
      </c>
      <c r="E1290" s="4" t="inlineStr">
        <is>
          <t>31º PAV. - COBERTURA LINEAR</t>
        </is>
      </c>
      <c r="F1290" s="118" t="n">
        <v>46814</v>
      </c>
      <c r="G1290" s="118" t="n">
        <v>46826</v>
      </c>
      <c r="H1290" s="118" t="n">
        <v>46289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IF(E1290="","",IF(LEFT(E1290,7)="SUBSOLO",-1,IF(LEFT(E1290,6)="TÉRREO",0,IFERROR(VALUE(LEFT(E1290,FIND("º",SUBSTITUTE(E1290,"°","º"))-1)),""))))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29980617</v>
      </c>
      <c r="C1291" s="4" t="inlineStr">
        <is>
          <t>TALISCAMENTO</t>
        </is>
      </c>
      <c r="D1291" s="4" t="inlineStr">
        <is>
          <t>-</t>
        </is>
      </c>
      <c r="E1291" s="4" t="inlineStr">
        <is>
          <t>32º PAV - COBERTURA GERAL</t>
        </is>
      </c>
      <c r="F1291" s="118" t="n">
        <v>46814</v>
      </c>
      <c r="G1291" s="118" t="n">
        <v>46826</v>
      </c>
      <c r="H1291" s="118" t="n">
        <v>46289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IF(E1291="","",IF(LEFT(E1291,7)="SUBSOLO",-1,IF(LEFT(E1291,6)="TÉRREO",0,IFERROR(VALUE(LEFT(E1291,FIND("º",SUBSTITUTE(E1291,"°","º"))-1)),""))))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30205858</v>
      </c>
      <c r="C1292" s="4" t="inlineStr">
        <is>
          <t>REVESTIMENTO PORCELANATO PAREDE</t>
        </is>
      </c>
      <c r="D1292" s="4" t="inlineStr">
        <is>
          <t>-</t>
        </is>
      </c>
      <c r="E1292" s="4" t="inlineStr">
        <is>
          <t>1º PAV. (INTERMEDIÁRIO)</t>
        </is>
      </c>
      <c r="F1292" s="118" t="n">
        <v>46815</v>
      </c>
      <c r="G1292" s="118" t="n">
        <v>46835</v>
      </c>
      <c r="H1292" s="118" t="n">
        <v>46289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IF(E1292="","",IF(LEFT(E1292,7)="SUBSOLO",-1,IF(LEFT(E1292,6)="TÉRREO",0,IFERROR(VALUE(LEFT(E1292,FIND("º",SUBSTITUTE(E1292,"°","º"))-1)),""))))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30208608</v>
      </c>
      <c r="C1293" s="4" t="inlineStr">
        <is>
          <t>REBOCO EXTERNO</t>
        </is>
      </c>
      <c r="D1293" s="4" t="inlineStr">
        <is>
          <t>-</t>
        </is>
      </c>
      <c r="E1293" s="4" t="inlineStr">
        <is>
          <t>6º PAV (PILOTIS) - PISCINA + PRAINHA + DECK</t>
        </is>
      </c>
      <c r="F1293" s="118" t="n">
        <v>46815</v>
      </c>
      <c r="G1293" s="118" t="n">
        <v>46828</v>
      </c>
      <c r="H1293" s="118" t="n">
        <v>46289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IF(E1293="","",IF(LEFT(E1293,7)="SUBSOLO",-1,IF(LEFT(E1293,6)="TÉRREO",0,IFERROR(VALUE(LEFT(E1293,FIND("º",SUBSTITUTE(E1293,"°","º"))-1)),""))))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30206046</v>
      </c>
      <c r="C1294" s="4" t="inlineStr">
        <is>
          <t>ENCUNHAMENTO</t>
        </is>
      </c>
      <c r="D1294" s="4" t="inlineStr">
        <is>
          <t>-</t>
        </is>
      </c>
      <c r="E1294" s="4" t="inlineStr">
        <is>
          <t>6º PAV (PILOTIS) - CHURRASQUEIRA + IS MASC. PCD + IS FEM. PCD + CIRCULAÇÃO 1 + HALL 1</t>
        </is>
      </c>
      <c r="F1294" s="118" t="n">
        <v>46819</v>
      </c>
      <c r="G1294" s="118" t="n">
        <v>46832</v>
      </c>
      <c r="H1294" s="118" t="n">
        <v>46289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IF(E1294="","",IF(LEFT(E1294,7)="SUBSOLO",-1,IF(LEFT(E1294,6)="TÉRREO",0,IFERROR(VALUE(LEFT(E1294,FIND("º",SUBSTITUTE(E1294,"°","º"))-1)),""))))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30205536</v>
      </c>
      <c r="C1295" s="4" t="inlineStr">
        <is>
          <t>ESQUADRIA DE ALUMÍNIO</t>
        </is>
      </c>
      <c r="D1295" s="4" t="inlineStr">
        <is>
          <t>-</t>
        </is>
      </c>
      <c r="E1295" s="4" t="inlineStr">
        <is>
          <t>TÉRREO - LOJA 7</t>
        </is>
      </c>
      <c r="F1295" s="118" t="n">
        <v>46822</v>
      </c>
      <c r="G1295" s="118" t="n">
        <v>46849</v>
      </c>
      <c r="H1295" s="118" t="n">
        <v>46289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IF(E1295="","",IF(LEFT(E1295,7)="SUBSOLO",-1,IF(LEFT(E1295,6)="TÉRREO",0,IFERROR(VALUE(LEFT(E1295,FIND("º",SUBSTITUTE(E1295,"°","º"))-1)),""))))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30205794</v>
      </c>
      <c r="C1296" s="4" t="inlineStr">
        <is>
          <t>BANCADAS</t>
        </is>
      </c>
      <c r="D1296" s="4" t="inlineStr">
        <is>
          <t>-</t>
        </is>
      </c>
      <c r="E1296" s="4" t="inlineStr">
        <is>
          <t>TÉRREO - ACESSO COMERCIAL + DML + ARS + ÁREA TEC + LAVABO + DISPENSA</t>
        </is>
      </c>
      <c r="F1296" s="118" t="n">
        <v>46822</v>
      </c>
      <c r="G1296" s="118" t="n">
        <v>46835</v>
      </c>
      <c r="H1296" s="118" t="n">
        <v>46289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IF(E1296="","",IF(LEFT(E1296,7)="SUBSOLO",-1,IF(LEFT(E1296,6)="TÉRREO",0,IFERROR(VALUE(LEFT(E1296,FIND("º",SUBSTITUTE(E1296,"°","º"))-1)),""))))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30205827</v>
      </c>
      <c r="C1297" s="4" t="inlineStr">
        <is>
          <t>REVESTIMENTO PORCELANATO PAREDE</t>
        </is>
      </c>
      <c r="D1297" s="4" t="inlineStr">
        <is>
          <t>-</t>
        </is>
      </c>
      <c r="E1297" s="4" t="inlineStr">
        <is>
          <t>TÉRREO - HALL SOCIAL + ECLUSA + CIRCULAÇÃO</t>
        </is>
      </c>
      <c r="F1297" s="118" t="n">
        <v>46822</v>
      </c>
      <c r="G1297" s="118" t="n">
        <v>46835</v>
      </c>
      <c r="H1297" s="118" t="n">
        <v>46289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IF(E1297="","",IF(LEFT(E1297,7)="SUBSOLO",-1,IF(LEFT(E1297,6)="TÉRREO",0,IFERROR(VALUE(LEFT(E1297,FIND("º",SUBSTITUTE(E1297,"°","º"))-1)),""))))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34179693</v>
      </c>
      <c r="C1298" s="4" t="inlineStr">
        <is>
          <t>IMPERMEABILIZAÇÃO</t>
        </is>
      </c>
      <c r="D1298" s="4" t="inlineStr">
        <is>
          <t>-</t>
        </is>
      </c>
      <c r="E1298" s="4" t="inlineStr">
        <is>
          <t>TÉRREO ÁREA EXTERNA - COMERCIAL</t>
        </is>
      </c>
      <c r="F1298" s="118" t="n">
        <v>46822</v>
      </c>
      <c r="G1298" s="118" t="n">
        <v>46918</v>
      </c>
      <c r="H1298" s="118" t="n">
        <v>46289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IF(E1298="","",IF(LEFT(E1298,7)="SUBSOLO",-1,IF(LEFT(E1298,6)="TÉRREO",0,IFERROR(VALUE(LEFT(E1298,FIND("º",SUBSTITUTE(E1298,"°","º"))-1)),""))))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30205759</v>
      </c>
      <c r="C1299" s="4" t="inlineStr">
        <is>
          <t>IMPERMEABILIZAÇÃO</t>
        </is>
      </c>
      <c r="D1299" s="4" t="inlineStr">
        <is>
          <t>-</t>
        </is>
      </c>
      <c r="E1299" s="4" t="inlineStr">
        <is>
          <t>TÉRREO - ÁREA EXTERNA RESIDENCIAL</t>
        </is>
      </c>
      <c r="F1299" s="118" t="n">
        <v>46822</v>
      </c>
      <c r="G1299" s="118" t="n">
        <v>46918</v>
      </c>
      <c r="H1299" s="118" t="n">
        <v>46289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IF(E1299="","",IF(LEFT(E1299,7)="SUBSOLO",-1,IF(LEFT(E1299,6)="TÉRREO",0,IFERROR(VALUE(LEFT(E1299,FIND("º",SUBSTITUTE(E1299,"°","º"))-1)),""))))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30206102</v>
      </c>
      <c r="C1300" s="4" t="inlineStr">
        <is>
          <t>CONTRAMARCO</t>
        </is>
      </c>
      <c r="D1300" s="4" t="inlineStr">
        <is>
          <t>-</t>
        </is>
      </c>
      <c r="E1300" s="4" t="inlineStr">
        <is>
          <t>6º PAV (PILOTIS) - ACADEMIA</t>
        </is>
      </c>
      <c r="F1300" s="118" t="n">
        <v>46825</v>
      </c>
      <c r="G1300" s="118" t="n">
        <v>46829</v>
      </c>
      <c r="H1300" s="118" t="n">
        <v>46289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IF(E1300="","",IF(LEFT(E1300,7)="SUBSOLO",-1,IF(LEFT(E1300,6)="TÉRREO",0,IFERROR(VALUE(LEFT(E1300,FIND("º",SUBSTITUTE(E1300,"°","º"))-1)),""))))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30206093</v>
      </c>
      <c r="C1301" s="4" t="inlineStr">
        <is>
          <t>DISTRIBUIÇÃO HIDROSSANITÁRIA</t>
        </is>
      </c>
      <c r="D1301" s="4" t="inlineStr">
        <is>
          <t>-</t>
        </is>
      </c>
      <c r="E1301" s="4" t="inlineStr">
        <is>
          <t>6º PAV (PILOTIS) - SAUNA + DUCHA</t>
        </is>
      </c>
      <c r="F1301" s="118" t="n">
        <v>46825</v>
      </c>
      <c r="G1301" s="118" t="n">
        <v>46836</v>
      </c>
      <c r="H1301" s="118" t="n">
        <v>46289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IF(E1301="","",IF(LEFT(E1301,7)="SUBSOLO",-1,IF(LEFT(E1301,6)="TÉRREO",0,IFERROR(VALUE(LEFT(E1301,FIND("º",SUBSTITUTE(E1301,"°","º"))-1)),""))))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30206064</v>
      </c>
      <c r="C1302" s="4" t="inlineStr">
        <is>
          <t>DISTRIBUIÇÃO ELÉTRICA / QUADRO</t>
        </is>
      </c>
      <c r="D1302" s="4" t="inlineStr">
        <is>
          <t>-</t>
        </is>
      </c>
      <c r="E1302" s="4" t="inlineStr">
        <is>
          <t>6º PAV (PILOTIS) - SAUNA + DUCHA</t>
        </is>
      </c>
      <c r="F1302" s="118" t="n">
        <v>46825</v>
      </c>
      <c r="G1302" s="118" t="n">
        <v>46836</v>
      </c>
      <c r="H1302" s="118" t="n">
        <v>46289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IF(E1302="","",IF(LEFT(E1302,7)="SUBSOLO",-1,IF(LEFT(E1302,6)="TÉRREO",0,IFERROR(VALUE(LEFT(E1302,FIND("º",SUBSTITUTE(E1302,"°","º"))-1)),""))))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30206044</v>
      </c>
      <c r="C1303" s="4" t="inlineStr">
        <is>
          <t>TALISCAMENTO</t>
        </is>
      </c>
      <c r="D1303" s="4" t="inlineStr">
        <is>
          <t>-</t>
        </is>
      </c>
      <c r="E1303" s="4" t="inlineStr">
        <is>
          <t>6º PAV (PILOTIS) - CHURRASQUEIRA + IS MASC. PCD + IS FEM. PCD + CIRCULAÇÃO 1 + HALL 1</t>
        </is>
      </c>
      <c r="F1303" s="118" t="n">
        <v>46825</v>
      </c>
      <c r="G1303" s="118" t="n">
        <v>46836</v>
      </c>
      <c r="H1303" s="118" t="n">
        <v>46289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IF(E1303="","",IF(LEFT(E1303,7)="SUBSOLO",-1,IF(LEFT(E1303,6)="TÉRREO",0,IFERROR(VALUE(LEFT(E1303,FIND("º",SUBSTITUTE(E1303,"°","º"))-1)),""))))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31790592</v>
      </c>
      <c r="C1304" s="4" t="inlineStr">
        <is>
          <t>FACHADA AERADA - F1 + F2 (2º ETAPA)</t>
        </is>
      </c>
      <c r="D1304" s="4" t="inlineStr">
        <is>
          <t>-</t>
        </is>
      </c>
      <c r="E1304" s="4" t="inlineStr">
        <is>
          <t>FACHADA</t>
        </is>
      </c>
      <c r="F1304" s="118" t="n">
        <v>46825</v>
      </c>
      <c r="G1304" s="118" t="n">
        <v>46868</v>
      </c>
      <c r="H1304" s="118" t="n">
        <v>46289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IF(E1304="","",IF(LEFT(E1304,7)="SUBSOLO",-1,IF(LEFT(E1304,6)="TÉRREO",0,IFERROR(VALUE(LEFT(E1304,FIND("º",SUBSTITUTE(E1304,"°","º"))-1)),""))))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29981537</v>
      </c>
      <c r="C1305" s="4" t="inlineStr">
        <is>
          <t>LIMPEZA GROSSA</t>
        </is>
      </c>
      <c r="D1305" s="4" t="inlineStr">
        <is>
          <t>-</t>
        </is>
      </c>
      <c r="E1305" s="4" t="inlineStr">
        <is>
          <t>7º PAV.</t>
        </is>
      </c>
      <c r="F1305" s="118" t="n">
        <v>46826</v>
      </c>
      <c r="G1305" s="118" t="n">
        <v>46836</v>
      </c>
      <c r="H1305" s="118" t="n">
        <v>46289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IF(E1305="","",IF(LEFT(E1305,7)="SUBSOLO",-1,IF(LEFT(E1305,6)="TÉRREO",0,IFERROR(VALUE(LEFT(E1305,FIND("º",SUBSTITUTE(E1305,"°","º"))-1)),""))))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29981494</v>
      </c>
      <c r="C1306" s="4" t="inlineStr">
        <is>
          <t>LOUÇAS</t>
        </is>
      </c>
      <c r="D1306" s="4" t="inlineStr">
        <is>
          <t>-</t>
        </is>
      </c>
      <c r="E1306" s="4" t="inlineStr">
        <is>
          <t>8º PAV.</t>
        </is>
      </c>
      <c r="F1306" s="118" t="n">
        <v>46826</v>
      </c>
      <c r="G1306" s="118" t="n">
        <v>46836</v>
      </c>
      <c r="H1306" s="118" t="n">
        <v>46289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IF(E1306="","",IF(LEFT(E1306,7)="SUBSOLO",-1,IF(LEFT(E1306,6)="TÉRREO",0,IFERROR(VALUE(LEFT(E1306,FIND("º",SUBSTITUTE(E1306,"°","º"))-1)),""))))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29981499</v>
      </c>
      <c r="C1307" s="4" t="inlineStr">
        <is>
          <t>METAIS</t>
        </is>
      </c>
      <c r="D1307" s="4" t="inlineStr">
        <is>
          <t>-</t>
        </is>
      </c>
      <c r="E1307" s="4" t="inlineStr">
        <is>
          <t>8º PAV.</t>
        </is>
      </c>
      <c r="F1307" s="118" t="n">
        <v>46826</v>
      </c>
      <c r="G1307" s="118" t="n">
        <v>46836</v>
      </c>
      <c r="H1307" s="118" t="n">
        <v>46289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IF(E1307="","",IF(LEFT(E1307,7)="SUBSOLO",-1,IF(LEFT(E1307,6)="TÉRREO",0,IFERROR(VALUE(LEFT(E1307,FIND("º",SUBSTITUTE(E1307,"°","º"))-1)),""))))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29981498</v>
      </c>
      <c r="C1308" s="4" t="inlineStr">
        <is>
          <t>DISJUNTORES / MIOLOS</t>
        </is>
      </c>
      <c r="D1308" s="4" t="inlineStr">
        <is>
          <t>-</t>
        </is>
      </c>
      <c r="E1308" s="4" t="inlineStr">
        <is>
          <t>8º PAV.</t>
        </is>
      </c>
      <c r="F1308" s="118" t="n">
        <v>46826</v>
      </c>
      <c r="G1308" s="118" t="n">
        <v>46836</v>
      </c>
      <c r="H1308" s="118" t="n">
        <v>46289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IF(E1308="","",IF(LEFT(E1308,7)="SUBSOLO",-1,IF(LEFT(E1308,6)="TÉRREO",0,IFERROR(VALUE(LEFT(E1308,FIND("º",SUBSTITUTE(E1308,"°","º"))-1)),""))))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29981497</v>
      </c>
      <c r="C1309" s="4" t="inlineStr">
        <is>
          <t>COMUNICAÇÃO E ALARME</t>
        </is>
      </c>
      <c r="D1309" s="4" t="inlineStr">
        <is>
          <t>-</t>
        </is>
      </c>
      <c r="E1309" s="4" t="inlineStr">
        <is>
          <t>8º PAV.</t>
        </is>
      </c>
      <c r="F1309" s="118" t="n">
        <v>46826</v>
      </c>
      <c r="G1309" s="118" t="n">
        <v>46836</v>
      </c>
      <c r="H1309" s="118" t="n">
        <v>46289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IF(E1309="","",IF(LEFT(E1309,7)="SUBSOLO",-1,IF(LEFT(E1309,6)="TÉRREO",0,IFERROR(VALUE(LEFT(E1309,FIND("º",SUBSTITUTE(E1309,"°","º"))-1)),""))))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29981456</v>
      </c>
      <c r="C1310" s="4" t="inlineStr">
        <is>
          <t>RODAPÉ MADEIRA / PVC</t>
        </is>
      </c>
      <c r="D1310" s="4" t="inlineStr">
        <is>
          <t>-</t>
        </is>
      </c>
      <c r="E1310" s="4" t="inlineStr">
        <is>
          <t>9º PAV.</t>
        </is>
      </c>
      <c r="F1310" s="118" t="n">
        <v>46826</v>
      </c>
      <c r="G1310" s="118" t="n">
        <v>46836</v>
      </c>
      <c r="H1310" s="118" t="n">
        <v>46289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IF(E1310="","",IF(LEFT(E1310,7)="SUBSOLO",-1,IF(LEFT(E1310,6)="TÉRREO",0,IFERROR(VALUE(LEFT(E1310,FIND("º",SUBSTITUTE(E1310,"°","º"))-1)),""))))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29981418</v>
      </c>
      <c r="C1311" s="4" t="inlineStr">
        <is>
          <t>ESQUADRIA MADEIRA</t>
        </is>
      </c>
      <c r="D1311" s="4" t="inlineStr">
        <is>
          <t>-</t>
        </is>
      </c>
      <c r="E1311" s="4" t="inlineStr">
        <is>
          <t>10º PAV.</t>
        </is>
      </c>
      <c r="F1311" s="118" t="n">
        <v>46826</v>
      </c>
      <c r="G1311" s="118" t="n">
        <v>46836</v>
      </c>
      <c r="H1311" s="118" t="n">
        <v>46289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IF(E1311="","",IF(LEFT(E1311,7)="SUBSOLO",-1,IF(LEFT(E1311,6)="TÉRREO",0,IFERROR(VALUE(LEFT(E1311,FIND("º",SUBSTITUTE(E1311,"°","º"))-1)),""))))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29981380</v>
      </c>
      <c r="C1312" s="4" t="inlineStr">
        <is>
          <t>PISO VINÍLICO / LAMINADO</t>
        </is>
      </c>
      <c r="D1312" s="4" t="inlineStr">
        <is>
          <t>-</t>
        </is>
      </c>
      <c r="E1312" s="4" t="inlineStr">
        <is>
          <t>11º PAV.</t>
        </is>
      </c>
      <c r="F1312" s="118" t="n">
        <v>46826</v>
      </c>
      <c r="G1312" s="118" t="n">
        <v>46836</v>
      </c>
      <c r="H1312" s="118" t="n">
        <v>46289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IF(E1312="","",IF(LEFT(E1312,7)="SUBSOLO",-1,IF(LEFT(E1312,6)="TÉRREO",0,IFERROR(VALUE(LEFT(E1312,FIND("º",SUBSTITUTE(E1312,"°","º"))-1)),""))))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29981342</v>
      </c>
      <c r="C1313" s="4" t="inlineStr">
        <is>
          <t>PINTURA 1º DEMÃO</t>
        </is>
      </c>
      <c r="D1313" s="4" t="inlineStr">
        <is>
          <t>-</t>
        </is>
      </c>
      <c r="E1313" s="4" t="inlineStr">
        <is>
          <t>12º PAV.</t>
        </is>
      </c>
      <c r="F1313" s="118" t="n">
        <v>46826</v>
      </c>
      <c r="G1313" s="118" t="n">
        <v>46836</v>
      </c>
      <c r="H1313" s="118" t="n">
        <v>46289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IF(E1313="","",IF(LEFT(E1313,7)="SUBSOLO",-1,IF(LEFT(E1313,6)="TÉRREO",0,IFERROR(VALUE(LEFT(E1313,FIND("º",SUBSTITUTE(E1313,"°","º"))-1)),""))))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29981331</v>
      </c>
      <c r="C1314" s="4" t="inlineStr">
        <is>
          <t>MASSA CORRIDA</t>
        </is>
      </c>
      <c r="D1314" s="4" t="inlineStr">
        <is>
          <t>-</t>
        </is>
      </c>
      <c r="E1314" s="4" t="inlineStr">
        <is>
          <t>13º PAV.</t>
        </is>
      </c>
      <c r="F1314" s="118" t="n">
        <v>46826</v>
      </c>
      <c r="G1314" s="118" t="n">
        <v>46836</v>
      </c>
      <c r="H1314" s="118" t="n">
        <v>46289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IF(E1314="","",IF(LEFT(E1314,7)="SUBSOLO",-1,IF(LEFT(E1314,6)="TÉRREO",0,IFERROR(VALUE(LEFT(E1314,FIND("º",SUBSTITUTE(E1314,"°","º"))-1)),""))))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33898095</v>
      </c>
      <c r="C1315" s="4" t="inlineStr">
        <is>
          <t>ESQUADRIA DE ALUMÍNIO</t>
        </is>
      </c>
      <c r="D1315" s="4" t="inlineStr">
        <is>
          <t>-</t>
        </is>
      </c>
      <c r="E1315" s="4" t="inlineStr">
        <is>
          <t>14º PAV.</t>
        </is>
      </c>
      <c r="F1315" s="118" t="n">
        <v>46826</v>
      </c>
      <c r="G1315" s="118" t="n">
        <v>46836</v>
      </c>
      <c r="H1315" s="118" t="n">
        <v>46289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IF(E1315="","",IF(LEFT(E1315,7)="SUBSOLO",-1,IF(LEFT(E1315,6)="TÉRREO",0,IFERROR(VALUE(LEFT(E1315,FIND("º",SUBSTITUTE(E1315,"°","º"))-1)),""))))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30205699</v>
      </c>
      <c r="C1316" s="4" t="inlineStr">
        <is>
          <t>PINTURA 1º DEMÃO</t>
        </is>
      </c>
      <c r="D1316" s="4" t="inlineStr">
        <is>
          <t>-</t>
        </is>
      </c>
      <c r="E1316" s="4" t="inlineStr">
        <is>
          <t>TÉRREO - LOJA 1</t>
        </is>
      </c>
      <c r="F1316" s="118" t="n">
        <v>46827</v>
      </c>
      <c r="G1316" s="118" t="n">
        <v>46840</v>
      </c>
      <c r="H1316" s="118" t="n">
        <v>46289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IF(E1316="","",IF(LEFT(E1316,7)="SUBSOLO",-1,IF(LEFT(E1316,6)="TÉRREO",0,IFERROR(VALUE(LEFT(E1316,FIND("º",SUBSTITUTE(E1316,"°","º"))-1)),""))))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29981144</v>
      </c>
      <c r="C1317" s="4" t="inlineStr">
        <is>
          <t>FORRO</t>
        </is>
      </c>
      <c r="D1317" s="4" t="inlineStr">
        <is>
          <t>-</t>
        </is>
      </c>
      <c r="E1317" s="4" t="inlineStr">
        <is>
          <t>18º PAV.</t>
        </is>
      </c>
      <c r="F1317" s="118" t="n">
        <v>46827</v>
      </c>
      <c r="G1317" s="118" t="n">
        <v>46839</v>
      </c>
      <c r="H1317" s="118" t="n">
        <v>46289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IF(E1317="","",IF(LEFT(E1317,7)="SUBSOLO",-1,IF(LEFT(E1317,6)="TÉRREO",0,IFERROR(VALUE(LEFT(E1317,FIND("º",SUBSTITUTE(E1317,"°","º"))-1)),""))))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29981068</v>
      </c>
      <c r="C1318" s="4" t="inlineStr">
        <is>
          <t>FIAÇÃO ELÉTRICA</t>
        </is>
      </c>
      <c r="D1318" s="4" t="inlineStr">
        <is>
          <t>-</t>
        </is>
      </c>
      <c r="E1318" s="4" t="inlineStr">
        <is>
          <t>20º PAV.</t>
        </is>
      </c>
      <c r="F1318" s="118" t="n">
        <v>46827</v>
      </c>
      <c r="G1318" s="118" t="n">
        <v>46839</v>
      </c>
      <c r="H1318" s="118" t="n">
        <v>46289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IF(E1318="","",IF(LEFT(E1318,7)="SUBSOLO",-1,IF(LEFT(E1318,6)="TÉRREO",0,IFERROR(VALUE(LEFT(E1318,FIND("º",SUBSTITUTE(E1318,"°","º"))-1)),""))))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29981073</v>
      </c>
      <c r="C1319" s="4" t="inlineStr">
        <is>
          <t>PRUMADA ELÉTRICA - CABOS</t>
        </is>
      </c>
      <c r="D1319" s="4" t="inlineStr">
        <is>
          <t>-</t>
        </is>
      </c>
      <c r="E1319" s="4" t="inlineStr">
        <is>
          <t>20º PAV.</t>
        </is>
      </c>
      <c r="F1319" s="118" t="n">
        <v>46827</v>
      </c>
      <c r="G1319" s="118" t="n">
        <v>46839</v>
      </c>
      <c r="H1319" s="118" t="n">
        <v>46289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IF(E1319="","",IF(LEFT(E1319,7)="SUBSOLO",-1,IF(LEFT(E1319,6)="TÉRREO",0,IFERROR(VALUE(LEFT(E1319,FIND("º",SUBSTITUTE(E1319,"°","º"))-1)),""))))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30214082</v>
      </c>
      <c r="C1320" s="4" t="inlineStr">
        <is>
          <t>FIAÇÃO TELECOM/DADOS</t>
        </is>
      </c>
      <c r="D1320" s="4" t="inlineStr">
        <is>
          <t>-</t>
        </is>
      </c>
      <c r="E1320" s="4" t="inlineStr">
        <is>
          <t>20º PAV.</t>
        </is>
      </c>
      <c r="F1320" s="118" t="n">
        <v>46827</v>
      </c>
      <c r="G1320" s="118" t="n">
        <v>46840</v>
      </c>
      <c r="H1320" s="118" t="n">
        <v>46289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IF(E1320="","",IF(LEFT(E1320,7)="SUBSOLO",-1,IF(LEFT(E1320,6)="TÉRREO",0,IFERROR(VALUE(LEFT(E1320,FIND("º",SUBSTITUTE(E1320,"°","º"))-1)),""))))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29981015</v>
      </c>
      <c r="C1321" s="4" t="inlineStr">
        <is>
          <t>BANCADAS</t>
        </is>
      </c>
      <c r="D1321" s="4" t="inlineStr">
        <is>
          <t>-</t>
        </is>
      </c>
      <c r="E1321" s="4" t="inlineStr">
        <is>
          <t>21º PAV.</t>
        </is>
      </c>
      <c r="F1321" s="118" t="n">
        <v>46827</v>
      </c>
      <c r="G1321" s="118" t="n">
        <v>46839</v>
      </c>
      <c r="H1321" s="118" t="n">
        <v>46289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IF(E1321="","",IF(LEFT(E1321,7)="SUBSOLO",-1,IF(LEFT(E1321,6)="TÉRREO",0,IFERROR(VALUE(LEFT(E1321,FIND("º",SUBSTITUTE(E1321,"°","º"))-1)),""))))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29980977</v>
      </c>
      <c r="C1322" s="4" t="inlineStr">
        <is>
          <t>REVESTIMENTOS PORCELANATO PISO</t>
        </is>
      </c>
      <c r="D1322" s="4" t="inlineStr">
        <is>
          <t>-</t>
        </is>
      </c>
      <c r="E1322" s="4" t="inlineStr">
        <is>
          <t>22º PAV.</t>
        </is>
      </c>
      <c r="F1322" s="118" t="n">
        <v>46827</v>
      </c>
      <c r="G1322" s="118" t="n">
        <v>46839</v>
      </c>
      <c r="H1322" s="118" t="n">
        <v>46289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IF(E1322="","",IF(LEFT(E1322,7)="SUBSOLO",-1,IF(LEFT(E1322,6)="TÉRREO",0,IFERROR(VALUE(LEFT(E1322,FIND("º",SUBSTITUTE(E1322,"°","º"))-1)),""))))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29980956</v>
      </c>
      <c r="C1323" s="4" t="inlineStr">
        <is>
          <t>REVESTIMENTO PORCELANATO PAREDE</t>
        </is>
      </c>
      <c r="D1323" s="4" t="inlineStr">
        <is>
          <t>-</t>
        </is>
      </c>
      <c r="E1323" s="4" t="inlineStr">
        <is>
          <t>23º PAV.</t>
        </is>
      </c>
      <c r="F1323" s="118" t="n">
        <v>46827</v>
      </c>
      <c r="G1323" s="118" t="n">
        <v>46839</v>
      </c>
      <c r="H1323" s="118" t="n">
        <v>46289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IF(E1323="","",IF(LEFT(E1323,7)="SUBSOLO",-1,IF(LEFT(E1323,6)="TÉRREO",0,IFERROR(VALUE(LEFT(E1323,FIND("º",SUBSTITUTE(E1323,"°","º"))-1)),""))))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29980917</v>
      </c>
      <c r="C1324" s="4" t="inlineStr">
        <is>
          <t>IMPERMEABILIZAÇÃO</t>
        </is>
      </c>
      <c r="D1324" s="4" t="inlineStr">
        <is>
          <t>-</t>
        </is>
      </c>
      <c r="E1324" s="4" t="inlineStr">
        <is>
          <t>24º PAV.</t>
        </is>
      </c>
      <c r="F1324" s="118" t="n">
        <v>46827</v>
      </c>
      <c r="G1324" s="118" t="n">
        <v>46839</v>
      </c>
      <c r="H1324" s="118" t="n">
        <v>46289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IF(E1324="","",IF(LEFT(E1324,7)="SUBSOLO",-1,IF(LEFT(E1324,6)="TÉRREO",0,IFERROR(VALUE(LEFT(E1324,FIND("º",SUBSTITUTE(E1324,"°","º"))-1)),""))))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32750451</v>
      </c>
      <c r="C1325" s="4" t="inlineStr">
        <is>
          <t>DRYWALL 2º FACE</t>
        </is>
      </c>
      <c r="D1325" s="4" t="inlineStr">
        <is>
          <t>-</t>
        </is>
      </c>
      <c r="E1325" s="4" t="inlineStr">
        <is>
          <t>25º PAV.</t>
        </is>
      </c>
      <c r="F1325" s="118" t="n">
        <v>46827</v>
      </c>
      <c r="G1325" s="118" t="n">
        <v>46839</v>
      </c>
      <c r="H1325" s="118" t="n">
        <v>46289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IF(E1325="","",IF(LEFT(E1325,7)="SUBSOLO",-1,IF(LEFT(E1325,6)="TÉRREO",0,IFERROR(VALUE(LEFT(E1325,FIND("º",SUBSTITUTE(E1325,"°","º"))-1)),""))))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32750374</v>
      </c>
      <c r="C1326" s="4" t="inlineStr">
        <is>
          <t>DISTRIBUIÇÃO DE GÁS - DRYWALL</t>
        </is>
      </c>
      <c r="D1326" s="4" t="inlineStr">
        <is>
          <t>-</t>
        </is>
      </c>
      <c r="E1326" s="4" t="inlineStr">
        <is>
          <t>26º PAV.</t>
        </is>
      </c>
      <c r="F1326" s="118" t="n">
        <v>46827</v>
      </c>
      <c r="G1326" s="118" t="n">
        <v>46839</v>
      </c>
      <c r="H1326" s="118" t="n">
        <v>46289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IF(E1326="","",IF(LEFT(E1326,7)="SUBSOLO",-1,IF(LEFT(E1326,6)="TÉRREO",0,IFERROR(VALUE(LEFT(E1326,FIND("º",SUBSTITUTE(E1326,"°","º"))-1)),""))))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32750400</v>
      </c>
      <c r="C1327" s="4" t="inlineStr">
        <is>
          <t>DISTRIBUIÇÃO ELÉTRICA/QUADRO - DRYWALL</t>
        </is>
      </c>
      <c r="D1327" s="4" t="inlineStr">
        <is>
          <t>-</t>
        </is>
      </c>
      <c r="E1327" s="4" t="inlineStr">
        <is>
          <t>26º PAV.</t>
        </is>
      </c>
      <c r="F1327" s="118" t="n">
        <v>46827</v>
      </c>
      <c r="G1327" s="118" t="n">
        <v>46839</v>
      </c>
      <c r="H1327" s="118" t="n">
        <v>46289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IF(E1327="","",IF(LEFT(E1327,7)="SUBSOLO",-1,IF(LEFT(E1327,6)="TÉRREO",0,IFERROR(VALUE(LEFT(E1327,FIND("º",SUBSTITUTE(E1327,"°","º"))-1)),""))))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32750426</v>
      </c>
      <c r="C1328" s="4" t="inlineStr">
        <is>
          <t>DISTRIBUIÇÃO HIDRÁULICA - DRYWALL</t>
        </is>
      </c>
      <c r="D1328" s="4" t="inlineStr">
        <is>
          <t>-</t>
        </is>
      </c>
      <c r="E1328" s="4" t="inlineStr">
        <is>
          <t>26º PAV.</t>
        </is>
      </c>
      <c r="F1328" s="118" t="n">
        <v>46827</v>
      </c>
      <c r="G1328" s="118" t="n">
        <v>46839</v>
      </c>
      <c r="H1328" s="118" t="n">
        <v>46289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IF(E1328="","",IF(LEFT(E1328,7)="SUBSOLO",-1,IF(LEFT(E1328,6)="TÉRREO",0,IFERROR(VALUE(LEFT(E1328,FIND("º",SUBSTITUTE(E1328,"°","º"))-1)),""))))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33896844</v>
      </c>
      <c r="C1329" s="4" t="inlineStr">
        <is>
          <t>INFRAESTRUTURA - AR CONDICIONADO</t>
        </is>
      </c>
      <c r="D1329" s="4" t="inlineStr">
        <is>
          <t>-</t>
        </is>
      </c>
      <c r="E1329" s="4" t="inlineStr">
        <is>
          <t>26º PAV.</t>
        </is>
      </c>
      <c r="F1329" s="118" t="n">
        <v>46827</v>
      </c>
      <c r="G1329" s="118" t="n">
        <v>46839</v>
      </c>
      <c r="H1329" s="118" t="n">
        <v>46289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IF(E1329="","",IF(LEFT(E1329,7)="SUBSOLO",-1,IF(LEFT(E1329,6)="TÉRREO",0,IFERROR(VALUE(LEFT(E1329,FIND("º",SUBSTITUTE(E1329,"°","º"))-1)),""))))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32749870</v>
      </c>
      <c r="C1330" s="4" t="inlineStr">
        <is>
          <t>DRYWALL 1º FACE</t>
        </is>
      </c>
      <c r="D1330" s="4" t="inlineStr">
        <is>
          <t>-</t>
        </is>
      </c>
      <c r="E1330" s="4" t="inlineStr">
        <is>
          <t>27º PAV.</t>
        </is>
      </c>
      <c r="F1330" s="118" t="n">
        <v>46827</v>
      </c>
      <c r="G1330" s="118" t="n">
        <v>46839</v>
      </c>
      <c r="H1330" s="118" t="n">
        <v>46289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IF(E1330="","",IF(LEFT(E1330,7)="SUBSOLO",-1,IF(LEFT(E1330,6)="TÉRREO",0,IFERROR(VALUE(LEFT(E1330,FIND("º",SUBSTITUTE(E1330,"°","º"))-1)),""))))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29980770</v>
      </c>
      <c r="C1331" s="4" t="inlineStr">
        <is>
          <t>CONTRAPISO</t>
        </is>
      </c>
      <c r="D1331" s="4" t="inlineStr">
        <is>
          <t>-</t>
        </is>
      </c>
      <c r="E1331" s="4" t="inlineStr">
        <is>
          <t>28º PAV.</t>
        </is>
      </c>
      <c r="F1331" s="118" t="n">
        <v>46827</v>
      </c>
      <c r="G1331" s="118" t="n">
        <v>46839</v>
      </c>
      <c r="H1331" s="118" t="n">
        <v>46289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IF(E1331="","",IF(LEFT(E1331,7)="SUBSOLO",-1,IF(LEFT(E1331,6)="TÉRREO",0,IFERROR(VALUE(LEFT(E1331,FIND("º",SUBSTITUTE(E1331,"°","º"))-1)),""))))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29980710</v>
      </c>
      <c r="C1332" s="4" t="inlineStr">
        <is>
          <t>SHAFT INTERNO INST. HIDRAÚLICAS</t>
        </is>
      </c>
      <c r="D1332" s="4" t="inlineStr">
        <is>
          <t>-</t>
        </is>
      </c>
      <c r="E1332" s="4" t="inlineStr">
        <is>
          <t>29º PAV.</t>
        </is>
      </c>
      <c r="F1332" s="118" t="n">
        <v>46827</v>
      </c>
      <c r="G1332" s="118" t="n">
        <v>46839</v>
      </c>
      <c r="H1332" s="118" t="n">
        <v>46289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IF(E1332="","",IF(LEFT(E1332,7)="SUBSOLO",-1,IF(LEFT(E1332,6)="TÉRREO",0,IFERROR(VALUE(LEFT(E1332,FIND("º",SUBSTITUTE(E1332,"°","º"))-1)),""))))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29980743</v>
      </c>
      <c r="C1333" s="4" t="inlineStr">
        <is>
          <t>PRUMADA ELÉTRICA - INFRA</t>
        </is>
      </c>
      <c r="D1333" s="4" t="inlineStr">
        <is>
          <t>-</t>
        </is>
      </c>
      <c r="E1333" s="4" t="inlineStr">
        <is>
          <t>29º PAV.</t>
        </is>
      </c>
      <c r="F1333" s="118" t="n">
        <v>46827</v>
      </c>
      <c r="G1333" s="118" t="n">
        <v>46839</v>
      </c>
      <c r="H1333" s="118" t="n">
        <v>46289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IF(E1333="","",IF(LEFT(E1333,7)="SUBSOLO",-1,IF(LEFT(E1333,6)="TÉRREO",0,IFERROR(VALUE(LEFT(E1333,FIND("º",SUBSTITUTE(E1333,"°","º"))-1)),""))))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29980672</v>
      </c>
      <c r="C1334" s="4" t="inlineStr">
        <is>
          <t>REBOCO INTERNO</t>
        </is>
      </c>
      <c r="D1334" s="4" t="inlineStr">
        <is>
          <t>-</t>
        </is>
      </c>
      <c r="E1334" s="4" t="inlineStr">
        <is>
          <t>30º PAV.</t>
        </is>
      </c>
      <c r="F1334" s="118" t="n">
        <v>46827</v>
      </c>
      <c r="G1334" s="118" t="n">
        <v>46839</v>
      </c>
      <c r="H1334" s="118" t="n">
        <v>46289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IF(E1334="","",IF(LEFT(E1334,7)="SUBSOLO",-1,IF(LEFT(E1334,6)="TÉRREO",0,IFERROR(VALUE(LEFT(E1334,FIND("º",SUBSTITUTE(E1334,"°","º"))-1)),""))))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29980638</v>
      </c>
      <c r="C1335" s="4" t="inlineStr">
        <is>
          <t>CONTRAMARCO</t>
        </is>
      </c>
      <c r="D1335" s="4" t="inlineStr">
        <is>
          <t>-</t>
        </is>
      </c>
      <c r="E1335" s="4" t="inlineStr">
        <is>
          <t>31º PAV. - COBERTURA LINEAR</t>
        </is>
      </c>
      <c r="F1335" s="118" t="n">
        <v>46827</v>
      </c>
      <c r="G1335" s="118" t="n">
        <v>46839</v>
      </c>
      <c r="H1335" s="118" t="n">
        <v>46289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IF(E1335="","",IF(LEFT(E1335,7)="SUBSOLO",-1,IF(LEFT(E1335,6)="TÉRREO",0,IFERROR(VALUE(LEFT(E1335,FIND("º",SUBSTITUTE(E1335,"°","º"))-1)),""))))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29980631</v>
      </c>
      <c r="C1336" s="4" t="inlineStr">
        <is>
          <t>DISTRIBUIÇÃO HIDROSSANITÁRIA</t>
        </is>
      </c>
      <c r="D1336" s="4" t="inlineStr">
        <is>
          <t>-</t>
        </is>
      </c>
      <c r="E1336" s="4" t="inlineStr">
        <is>
          <t>32º PAV - COBERTURA GERAL</t>
        </is>
      </c>
      <c r="F1336" s="118" t="n">
        <v>46827</v>
      </c>
      <c r="G1336" s="118" t="n">
        <v>46839</v>
      </c>
      <c r="H1336" s="118" t="n">
        <v>46289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IF(E1336="","",IF(LEFT(E1336,7)="SUBSOLO",-1,IF(LEFT(E1336,6)="TÉRREO",0,IFERROR(VALUE(LEFT(E1336,FIND("º",SUBSTITUTE(E1336,"°","º"))-1)),""))))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29980600</v>
      </c>
      <c r="C1337" s="4" t="inlineStr">
        <is>
          <t>DISTRIBUIÇÃO ELÉTRICA / QUADRO</t>
        </is>
      </c>
      <c r="D1337" s="4" t="inlineStr">
        <is>
          <t>-</t>
        </is>
      </c>
      <c r="E1337" s="4" t="inlineStr">
        <is>
          <t>32º PAV - COBERTURA GERAL</t>
        </is>
      </c>
      <c r="F1337" s="118" t="n">
        <v>46827</v>
      </c>
      <c r="G1337" s="118" t="n">
        <v>46839</v>
      </c>
      <c r="H1337" s="118" t="n">
        <v>46289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IF(E1337="","",IF(LEFT(E1337,7)="SUBSOLO",-1,IF(LEFT(E1337,6)="TÉRREO",0,IFERROR(VALUE(LEFT(E1337,FIND("º",SUBSTITUTE(E1337,"°","º"))-1)),""))))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29980633</v>
      </c>
      <c r="C1338" s="4" t="inlineStr">
        <is>
          <t>DISTRIBUIÇÃO DE GÁS</t>
        </is>
      </c>
      <c r="D1338" s="4" t="inlineStr">
        <is>
          <t>-</t>
        </is>
      </c>
      <c r="E1338" s="4" t="inlineStr">
        <is>
          <t>32º PAV - COBERTURA GERAL</t>
        </is>
      </c>
      <c r="F1338" s="118" t="n">
        <v>46827</v>
      </c>
      <c r="G1338" s="118" t="n">
        <v>46839</v>
      </c>
      <c r="H1338" s="118" t="n">
        <v>46289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IF(E1338="","",IF(LEFT(E1338,7)="SUBSOLO",-1,IF(LEFT(E1338,6)="TÉRREO",0,IFERROR(VALUE(LEFT(E1338,FIND("º",SUBSTITUTE(E1338,"°","º"))-1)),""))))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31790148</v>
      </c>
      <c r="C1339" s="4" t="inlineStr">
        <is>
          <t>PEITORIS E REQUADROS DE FACHADA - F5 (1º ETAPA)</t>
        </is>
      </c>
      <c r="D1339" s="4" t="inlineStr">
        <is>
          <t>-</t>
        </is>
      </c>
      <c r="E1339" s="4" t="inlineStr">
        <is>
          <t>FACHADA</t>
        </is>
      </c>
      <c r="F1339" s="118" t="n">
        <v>46827</v>
      </c>
      <c r="G1339" s="118" t="n">
        <v>46862</v>
      </c>
      <c r="H1339" s="118" t="n">
        <v>46289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IF(E1339="","",IF(LEFT(E1339,7)="SUBSOLO",-1,IF(LEFT(E1339,6)="TÉRREO",0,IFERROR(VALUE(LEFT(E1339,FIND("º",SUBSTITUTE(E1339,"°","º"))-1)),""))))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30205879</v>
      </c>
      <c r="C1340" s="4" t="inlineStr">
        <is>
          <t>REBOCO EXTERNO</t>
        </is>
      </c>
      <c r="D1340" s="4" t="inlineStr">
        <is>
          <t>-</t>
        </is>
      </c>
      <c r="E1340" s="4" t="inlineStr">
        <is>
          <t>6º PAV (PILOTIS) - PLAYGROUND + TERRAÇO DESCOBERTO + QUADRA DE RECREAÇÃO</t>
        </is>
      </c>
      <c r="F1340" s="118" t="n">
        <v>46828</v>
      </c>
      <c r="G1340" s="118" t="n">
        <v>46877</v>
      </c>
      <c r="H1340" s="118" t="n">
        <v>46289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IF(E1340="","",IF(LEFT(E1340,7)="SUBSOLO",-1,IF(LEFT(E1340,6)="TÉRREO",0,IFERROR(VALUE(LEFT(E1340,FIND("º",SUBSTITUTE(E1340,"°","º"))-1)),""))))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30208609</v>
      </c>
      <c r="C1341" s="4" t="inlineStr">
        <is>
          <t>IMPERMEABILIZAÇÃO</t>
        </is>
      </c>
      <c r="D1341" s="4" t="inlineStr">
        <is>
          <t>-</t>
        </is>
      </c>
      <c r="E1341" s="4" t="inlineStr">
        <is>
          <t>6º PAV (PILOTIS) - PISCINA + PRAINHA + DECK</t>
        </is>
      </c>
      <c r="F1341" s="118" t="n">
        <v>46829</v>
      </c>
      <c r="G1341" s="118" t="n">
        <v>46882</v>
      </c>
      <c r="H1341" s="118" t="n">
        <v>46289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IF(E1341="","",IF(LEFT(E1341,7)="SUBSOLO",-1,IF(LEFT(E1341,6)="TÉRREO",0,IFERROR(VALUE(LEFT(E1341,FIND("º",SUBSTITUTE(E1341,"°","º"))-1)),""))))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13636002</v>
      </c>
      <c r="C1342" s="4" t="inlineStr">
        <is>
          <t>IMPERMEABILIZAÇÃO</t>
        </is>
      </c>
      <c r="D1342" s="4" t="inlineStr">
        <is>
          <t>Teste de carga</t>
        </is>
      </c>
      <c r="E1342" s="4" t="inlineStr">
        <is>
          <t>6º PAV (PILOTIS) - PISCINA + PRAINHA + DECK</t>
        </is>
      </c>
      <c r="F1342" s="118" t="n">
        <v>46829</v>
      </c>
      <c r="G1342" s="118" t="n">
        <v>46835</v>
      </c>
      <c r="H1342" s="118" t="n">
        <v>46289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IF(E1342="","",IF(LEFT(E1342,7)="SUBSOLO",-1,IF(LEFT(E1342,6)="TÉRREO",0,IFERROR(VALUE(LEFT(E1342,FIND("º",SUBSTITUTE(E1342,"°","º"))-1)),""))))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13636003</v>
      </c>
      <c r="C1343" s="4" t="inlineStr">
        <is>
          <t>IMPERMEABILIZAÇÃO</t>
        </is>
      </c>
      <c r="D1343" s="4" t="inlineStr">
        <is>
          <t>Preparação</t>
        </is>
      </c>
      <c r="E1343" s="4" t="inlineStr">
        <is>
          <t>6º PAV (PILOTIS) - PISCINA + PRAINHA + DECK</t>
        </is>
      </c>
      <c r="F1343" s="118" t="n">
        <v>46836</v>
      </c>
      <c r="G1343" s="118" t="n">
        <v>46842</v>
      </c>
      <c r="H1343" s="118" t="n">
        <v>46289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IF(E1343="","",IF(LEFT(E1343,7)="SUBSOLO",-1,IF(LEFT(E1343,6)="TÉRREO",0,IFERROR(VALUE(LEFT(E1343,FIND("º",SUBSTITUTE(E1343,"°","º"))-1)),""))))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13636004</v>
      </c>
      <c r="C1344" s="4" t="inlineStr">
        <is>
          <t>IMPERMEABILIZAÇÃO</t>
        </is>
      </c>
      <c r="D1344" s="4" t="inlineStr">
        <is>
          <t>Impermeabilização</t>
        </is>
      </c>
      <c r="E1344" s="4" t="inlineStr">
        <is>
          <t>6º PAV (PILOTIS) - PISCINA + PRAINHA + DECK</t>
        </is>
      </c>
      <c r="F1344" s="118" t="n">
        <v>46843</v>
      </c>
      <c r="G1344" s="118" t="n">
        <v>46867</v>
      </c>
      <c r="H1344" s="118" t="n">
        <v>46289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IF(E1344="","",IF(LEFT(E1344,7)="SUBSOLO",-1,IF(LEFT(E1344,6)="TÉRREO",0,IFERROR(VALUE(LEFT(E1344,FIND("º",SUBSTITUTE(E1344,"°","º"))-1)),""))))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13636005</v>
      </c>
      <c r="C1345" s="4" t="inlineStr">
        <is>
          <t>IMPERMEABILIZAÇÃO</t>
        </is>
      </c>
      <c r="D1345" s="4" t="inlineStr">
        <is>
          <t>Proteção mecânica</t>
        </is>
      </c>
      <c r="E1345" s="4" t="inlineStr">
        <is>
          <t>6º PAV (PILOTIS) - PISCINA + PRAINHA + DECK</t>
        </is>
      </c>
      <c r="F1345" s="118" t="n">
        <v>46868</v>
      </c>
      <c r="G1345" s="118" t="n">
        <v>46882</v>
      </c>
      <c r="H1345" s="118" t="n">
        <v>46289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IF(E1345="","",IF(LEFT(E1345,7)="SUBSOLO",-1,IF(LEFT(E1345,6)="TÉRREO",0,IFERROR(VALUE(LEFT(E1345,FIND("º",SUBSTITUTE(E1345,"°","º"))-1)),""))))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30206099</v>
      </c>
      <c r="C1346" s="4" t="inlineStr">
        <is>
          <t>REBOCO INTERNO</t>
        </is>
      </c>
      <c r="D1346" s="4" t="inlineStr">
        <is>
          <t>-</t>
        </is>
      </c>
      <c r="E1346" s="4" t="inlineStr">
        <is>
          <t>6º PAV (PILOTIS) - ACADEMIA</t>
        </is>
      </c>
      <c r="F1346" s="118" t="n">
        <v>46832</v>
      </c>
      <c r="G1346" s="118" t="n">
        <v>46843</v>
      </c>
      <c r="H1346" s="118" t="n">
        <v>46289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IF(E1346="","",IF(LEFT(E1346,7)="SUBSOLO",-1,IF(LEFT(E1346,6)="TÉRREO",0,IFERROR(VALUE(LEFT(E1346,FIND("º",SUBSTITUTE(E1346,"°","º"))-1)),""))))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30206009</v>
      </c>
      <c r="C1347" s="4" t="inlineStr">
        <is>
          <t>ENCUNHAMENTO</t>
        </is>
      </c>
      <c r="D1347" s="4" t="inlineStr">
        <is>
          <t>-</t>
        </is>
      </c>
      <c r="E1347" s="4" t="inlineStr">
        <is>
          <t>6º PAV (PILOTIS) - COWORKING 1 E 2 + CIRC. 2 + HALL 2 + DML + VEST. MASC. + VEST. FEM</t>
        </is>
      </c>
      <c r="F1347" s="118" t="n">
        <v>46833</v>
      </c>
      <c r="G1347" s="118" t="n">
        <v>46846</v>
      </c>
      <c r="H1347" s="118" t="n">
        <v>46289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IF(E1347="","",IF(LEFT(E1347,7)="SUBSOLO",-1,IF(LEFT(E1347,6)="TÉRREO",0,IFERROR(VALUE(LEFT(E1347,FIND("º",SUBSTITUTE(E1347,"°","º"))-1)),""))))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30210371</v>
      </c>
      <c r="C1348" s="4" t="inlineStr">
        <is>
          <t>ALVENARIA</t>
        </is>
      </c>
      <c r="D1348" s="4" t="inlineStr">
        <is>
          <t>-</t>
        </is>
      </c>
      <c r="E1348" s="4" t="inlineStr">
        <is>
          <t>33º PAV - BARRILETE</t>
        </is>
      </c>
      <c r="F1348" s="118" t="n">
        <v>46833</v>
      </c>
      <c r="G1348" s="118" t="n">
        <v>46853</v>
      </c>
      <c r="H1348" s="118" t="n">
        <v>46289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IF(E1348="","",IF(LEFT(E1348,7)="SUBSOLO",-1,IF(LEFT(E1348,6)="TÉRREO",0,IFERROR(VALUE(LEFT(E1348,FIND("º",SUBSTITUTE(E1348,"°","º"))-1)),""))))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30171442</v>
      </c>
      <c r="C1349" s="4" t="inlineStr">
        <is>
          <t>DISJUNTORES / MIOLOS</t>
        </is>
      </c>
      <c r="D1349" s="4" t="inlineStr">
        <is>
          <t>-</t>
        </is>
      </c>
      <c r="E1349" s="4" t="inlineStr">
        <is>
          <t>3º PAV - GARAGEM</t>
        </is>
      </c>
      <c r="F1349" s="118" t="n">
        <v>46835</v>
      </c>
      <c r="G1349" s="118" t="n">
        <v>46863</v>
      </c>
      <c r="H1349" s="118" t="n">
        <v>46289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IF(E1349="","",IF(LEFT(E1349,7)="SUBSOLO",-1,IF(LEFT(E1349,6)="TÉRREO",0,IFERROR(VALUE(LEFT(E1349,FIND("º",SUBSTITUTE(E1349,"°","º"))-1)),""))))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30171439</v>
      </c>
      <c r="C1350" s="4" t="inlineStr">
        <is>
          <t>INSTALAÇÃO DE LUMINÁRIAS E SENSORES</t>
        </is>
      </c>
      <c r="D1350" s="4" t="inlineStr">
        <is>
          <t>-</t>
        </is>
      </c>
      <c r="E1350" s="4" t="inlineStr">
        <is>
          <t>3º PAV - GARAGEM</t>
        </is>
      </c>
      <c r="F1350" s="118" t="n">
        <v>46835</v>
      </c>
      <c r="G1350" s="118" t="n">
        <v>46863</v>
      </c>
      <c r="H1350" s="118" t="n">
        <v>46289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IF(E1350="","",IF(LEFT(E1350,7)="SUBSOLO",-1,IF(LEFT(E1350,6)="TÉRREO",0,IFERROR(VALUE(LEFT(E1350,FIND("º",SUBSTITUTE(E1350,"°","º"))-1)),""))))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30171410</v>
      </c>
      <c r="C1351" s="4" t="inlineStr">
        <is>
          <t>FIAÇÃO ELÉTRICA</t>
        </is>
      </c>
      <c r="D1351" s="4" t="inlineStr">
        <is>
          <t>-</t>
        </is>
      </c>
      <c r="E1351" s="4" t="inlineStr">
        <is>
          <t>4º PAV - GARAGEM</t>
        </is>
      </c>
      <c r="F1351" s="118" t="n">
        <v>46835</v>
      </c>
      <c r="G1351" s="118" t="n">
        <v>46899</v>
      </c>
      <c r="H1351" s="118" t="n">
        <v>46289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IF(E1351="","",IF(LEFT(E1351,7)="SUBSOLO",-1,IF(LEFT(E1351,6)="TÉRREO",0,IFERROR(VALUE(LEFT(E1351,FIND("º",SUBSTITUTE(E1351,"°","º"))-1)),""))))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30171429</v>
      </c>
      <c r="C1352" s="4" t="inlineStr">
        <is>
          <t>PRUMADA ELÉTRICA - CABOS</t>
        </is>
      </c>
      <c r="D1352" s="4" t="inlineStr">
        <is>
          <t>-</t>
        </is>
      </c>
      <c r="E1352" s="4" t="inlineStr">
        <is>
          <t>4º PAV - GARAGEM</t>
        </is>
      </c>
      <c r="F1352" s="118" t="n">
        <v>46835</v>
      </c>
      <c r="G1352" s="118" t="n">
        <v>46899</v>
      </c>
      <c r="H1352" s="118" t="n">
        <v>46289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IF(E1352="","",IF(LEFT(E1352,7)="SUBSOLO",-1,IF(LEFT(E1352,6)="TÉRREO",0,IFERROR(VALUE(LEFT(E1352,FIND("º",SUBSTITUTE(E1352,"°","º"))-1)),""))))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30171412</v>
      </c>
      <c r="C1353" s="4" t="inlineStr">
        <is>
          <t>SHAFT</t>
        </is>
      </c>
      <c r="D1353" s="4" t="inlineStr">
        <is>
          <t>-</t>
        </is>
      </c>
      <c r="E1353" s="4" t="inlineStr">
        <is>
          <t>4º PAV - GARAGEM</t>
        </is>
      </c>
      <c r="F1353" s="118" t="n">
        <v>46835</v>
      </c>
      <c r="G1353" s="118" t="n">
        <v>46863</v>
      </c>
      <c r="H1353" s="118" t="n">
        <v>46289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IF(E1353="","",IF(LEFT(E1353,7)="SUBSOLO",-1,IF(LEFT(E1353,6)="TÉRREO",0,IFERROR(VALUE(LEFT(E1353,FIND("º",SUBSTITUTE(E1353,"°","º"))-1)),""))))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30214061</v>
      </c>
      <c r="C1354" s="4" t="inlineStr">
        <is>
          <t>FIAÇÃO TELECOM/DADOS</t>
        </is>
      </c>
      <c r="D1354" s="4" t="inlineStr">
        <is>
          <t>-</t>
        </is>
      </c>
      <c r="E1354" s="4" t="inlineStr">
        <is>
          <t>4º PAV - GARAGEM</t>
        </is>
      </c>
      <c r="F1354" s="118" t="n">
        <v>46835</v>
      </c>
      <c r="G1354" s="118" t="n">
        <v>46848</v>
      </c>
      <c r="H1354" s="118" t="n">
        <v>46289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IF(E1354="","",IF(LEFT(E1354,7)="SUBSOLO",-1,IF(LEFT(E1354,6)="TÉRREO",0,IFERROR(VALUE(LEFT(E1354,FIND("º",SUBSTITUTE(E1354,"°","º"))-1)),""))))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29981099</v>
      </c>
      <c r="C1355" s="4" t="inlineStr">
        <is>
          <t>ALVENARIA</t>
        </is>
      </c>
      <c r="D1355" s="4" t="inlineStr">
        <is>
          <t>-</t>
        </is>
      </c>
      <c r="E1355" s="4" t="inlineStr">
        <is>
          <t>19º PAV.</t>
        </is>
      </c>
      <c r="F1355" s="118" t="n">
        <v>46835</v>
      </c>
      <c r="G1355" s="118" t="n">
        <v>46847</v>
      </c>
      <c r="H1355" s="118" t="n">
        <v>46289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IF(E1355="","",IF(LEFT(E1355,7)="SUBSOLO",-1,IF(LEFT(E1355,6)="TÉRREO",0,IFERROR(VALUE(LEFT(E1355,FIND("º",SUBSTITUTE(E1355,"°","º"))-1)),""))))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30205713</v>
      </c>
      <c r="C1356" s="4" t="inlineStr">
        <is>
          <t>POLIMENTO DE PISO</t>
        </is>
      </c>
      <c r="D1356" s="4" t="inlineStr">
        <is>
          <t>-</t>
        </is>
      </c>
      <c r="E1356" s="4" t="inlineStr">
        <is>
          <t>SUBSOLO</t>
        </is>
      </c>
      <c r="F1356" s="118" t="n">
        <v>46836</v>
      </c>
      <c r="G1356" s="118" t="n">
        <v>46856</v>
      </c>
      <c r="H1356" s="118" t="n">
        <v>46289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IF(E1356="","",IF(LEFT(E1356,7)="SUBSOLO",-1,IF(LEFT(E1356,6)="TÉRREO",0,IFERROR(VALUE(LEFT(E1356,FIND("º",SUBSTITUTE(E1356,"°","º"))-1)),""))))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30205829</v>
      </c>
      <c r="C1357" s="4" t="inlineStr">
        <is>
          <t>FIAÇÃO ELÉTRICA</t>
        </is>
      </c>
      <c r="D1357" s="4" t="inlineStr">
        <is>
          <t>-</t>
        </is>
      </c>
      <c r="E1357" s="4" t="inlineStr">
        <is>
          <t>TÉRREO - ACESSO COMERCIAL + DML + ARS + ÁREA TEC + LAVABO + DISPENSA</t>
        </is>
      </c>
      <c r="F1357" s="118" t="n">
        <v>46836</v>
      </c>
      <c r="G1357" s="118" t="n">
        <v>46849</v>
      </c>
      <c r="H1357" s="118" t="n">
        <v>46289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IF(E1357="","",IF(LEFT(E1357,7)="SUBSOLO",-1,IF(LEFT(E1357,6)="TÉRREO",0,IFERROR(VALUE(LEFT(E1357,FIND("º",SUBSTITUTE(E1357,"°","º"))-1)),""))))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30205823</v>
      </c>
      <c r="C1358" s="4" t="inlineStr">
        <is>
          <t>REVESTIMENTOS PORCELANATO PISO</t>
        </is>
      </c>
      <c r="D1358" s="4" t="inlineStr">
        <is>
          <t>-</t>
        </is>
      </c>
      <c r="E1358" s="4" t="inlineStr">
        <is>
          <t>TÉRREO - HALL SOCIAL + ECLUSA + CIRCULAÇÃO</t>
        </is>
      </c>
      <c r="F1358" s="118" t="n">
        <v>46836</v>
      </c>
      <c r="G1358" s="118" t="n">
        <v>46849</v>
      </c>
      <c r="H1358" s="118" t="n">
        <v>46289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IF(E1358="","",IF(LEFT(E1358,7)="SUBSOLO",-1,IF(LEFT(E1358,6)="TÉRREO",0,IFERROR(VALUE(LEFT(E1358,FIND("º",SUBSTITUTE(E1358,"°","º"))-1)),""))))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30205854</v>
      </c>
      <c r="C1359" s="4" t="inlineStr">
        <is>
          <t>REVESTIMENTOS PORCELANATO PISO</t>
        </is>
      </c>
      <c r="D1359" s="4" t="inlineStr">
        <is>
          <t>-</t>
        </is>
      </c>
      <c r="E1359" s="4" t="inlineStr">
        <is>
          <t>1º PAV. (INTERMEDIÁRIO)</t>
        </is>
      </c>
      <c r="F1359" s="118" t="n">
        <v>46836</v>
      </c>
      <c r="G1359" s="118" t="n">
        <v>46856</v>
      </c>
      <c r="H1359" s="118" t="n">
        <v>46289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IF(E1359="","",IF(LEFT(E1359,7)="SUBSOLO",-1,IF(LEFT(E1359,6)="TÉRREO",0,IFERROR(VALUE(LEFT(E1359,FIND("º",SUBSTITUTE(E1359,"°","º"))-1)),""))))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31791084</v>
      </c>
      <c r="C1360" s="4" t="inlineStr">
        <is>
          <t>PREPARAÇÃO PARA FACHADA AERADA - F3 + F4 (2º ETAPA)</t>
        </is>
      </c>
      <c r="D1360" s="4" t="inlineStr">
        <is>
          <t>-</t>
        </is>
      </c>
      <c r="E1360" s="4" t="inlineStr">
        <is>
          <t>FACHADA</t>
        </is>
      </c>
      <c r="F1360" s="118" t="n">
        <v>46836</v>
      </c>
      <c r="G1360" s="118" t="n">
        <v>46867</v>
      </c>
      <c r="H1360" s="118" t="n">
        <v>46289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IF(E1360="","",IF(LEFT(E1360,7)="SUBSOLO",-1,IF(LEFT(E1360,6)="TÉRREO",0,IFERROR(VALUE(LEFT(E1360,FIND("º",SUBSTITUTE(E1360,"°","º"))-1)),""))))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30206065</v>
      </c>
      <c r="C1361" s="4" t="inlineStr">
        <is>
          <t>CONTRAMARCO</t>
        </is>
      </c>
      <c r="D1361" s="4" t="inlineStr">
        <is>
          <t>-</t>
        </is>
      </c>
      <c r="E1361" s="4" t="inlineStr">
        <is>
          <t>6º PAV (PILOTIS) - SAUNA + DUCHA</t>
        </is>
      </c>
      <c r="F1361" s="118" t="n">
        <v>46839</v>
      </c>
      <c r="G1361" s="118" t="n">
        <v>46843</v>
      </c>
      <c r="H1361" s="118" t="n">
        <v>46289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IF(E1361="","",IF(LEFT(E1361,7)="SUBSOLO",-1,IF(LEFT(E1361,6)="TÉRREO",0,IFERROR(VALUE(LEFT(E1361,FIND("º",SUBSTITUTE(E1361,"°","º"))-1)),""))))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30206056</v>
      </c>
      <c r="C1362" s="4" t="inlineStr">
        <is>
          <t>DISTRIBUIÇÃO HIDROSSANITÁRIA</t>
        </is>
      </c>
      <c r="D1362" s="4" t="inlineStr">
        <is>
          <t>-</t>
        </is>
      </c>
      <c r="E1362" s="4" t="inlineStr">
        <is>
          <t>6º PAV (PILOTIS) - CHURRASQUEIRA + IS MASC. PCD + IS FEM. PCD + CIRCULAÇÃO 1 + HALL 1</t>
        </is>
      </c>
      <c r="F1362" s="118" t="n">
        <v>46839</v>
      </c>
      <c r="G1362" s="118" t="n">
        <v>46850</v>
      </c>
      <c r="H1362" s="118" t="n">
        <v>46289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IF(E1362="","",IF(LEFT(E1362,7)="SUBSOLO",-1,IF(LEFT(E1362,6)="TÉRREO",0,IFERROR(VALUE(LEFT(E1362,FIND("º",SUBSTITUTE(E1362,"°","º"))-1)),""))))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30206027</v>
      </c>
      <c r="C1363" s="4" t="inlineStr">
        <is>
          <t>DISTRIBUIÇÃO ELÉTRICA / QUADRO</t>
        </is>
      </c>
      <c r="D1363" s="4" t="inlineStr">
        <is>
          <t>-</t>
        </is>
      </c>
      <c r="E1363" s="4" t="inlineStr">
        <is>
          <t>6º PAV (PILOTIS) - CHURRASQUEIRA + IS MASC. PCD + IS FEM. PCD + CIRCULAÇÃO 1 + HALL 1</t>
        </is>
      </c>
      <c r="F1363" s="118" t="n">
        <v>46839</v>
      </c>
      <c r="G1363" s="118" t="n">
        <v>46850</v>
      </c>
      <c r="H1363" s="118" t="n">
        <v>46289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IF(E1363="","",IF(LEFT(E1363,7)="SUBSOLO",-1,IF(LEFT(E1363,6)="TÉRREO",0,IFERROR(VALUE(LEFT(E1363,FIND("º",SUBSTITUTE(E1363,"°","º"))-1)),""))))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30206057</v>
      </c>
      <c r="C1364" s="4" t="inlineStr">
        <is>
          <t>DISTRIBUIÇÃO DE GÁS</t>
        </is>
      </c>
      <c r="D1364" s="4" t="inlineStr">
        <is>
          <t>-</t>
        </is>
      </c>
      <c r="E1364" s="4" t="inlineStr">
        <is>
          <t>6º PAV (PILOTIS) - CHURRASQUEIRA + IS MASC. PCD + IS FEM. PCD + CIRCULAÇÃO 1 + HALL 1</t>
        </is>
      </c>
      <c r="F1364" s="118" t="n">
        <v>46839</v>
      </c>
      <c r="G1364" s="118" t="n">
        <v>46850</v>
      </c>
      <c r="H1364" s="118" t="n">
        <v>46289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IF(E1364="","",IF(LEFT(E1364,7)="SUBSOLO",-1,IF(LEFT(E1364,6)="TÉRREO",0,IFERROR(VALUE(LEFT(E1364,FIND("º",SUBSTITUTE(E1364,"°","º"))-1)),""))))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30206007</v>
      </c>
      <c r="C1365" s="4" t="inlineStr">
        <is>
          <t>TALISCAMENTO</t>
        </is>
      </c>
      <c r="D1365" s="4" t="inlineStr">
        <is>
          <t>-</t>
        </is>
      </c>
      <c r="E1365" s="4" t="inlineStr">
        <is>
          <t>6º PAV (PILOTIS) - COWORKING 1 E 2 + CIRC. 2 + HALL 2 + DML + VEST. MASC. + VEST. FEM</t>
        </is>
      </c>
      <c r="F1365" s="118" t="n">
        <v>46839</v>
      </c>
      <c r="G1365" s="118" t="n">
        <v>46850</v>
      </c>
      <c r="H1365" s="118" t="n">
        <v>46289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IF(E1365="","",IF(LEFT(E1365,7)="SUBSOLO",-1,IF(LEFT(E1365,6)="TÉRREO",0,IFERROR(VALUE(LEFT(E1365,FIND("º",SUBSTITUTE(E1365,"°","º"))-1)),""))))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29981538</v>
      </c>
      <c r="C1366" s="4" t="inlineStr">
        <is>
          <t>PINTURA 2º DEMÃO</t>
        </is>
      </c>
      <c r="D1366" s="4" t="inlineStr">
        <is>
          <t>-</t>
        </is>
      </c>
      <c r="E1366" s="4" t="inlineStr">
        <is>
          <t>7º PAV.</t>
        </is>
      </c>
      <c r="F1366" s="118" t="n">
        <v>46839</v>
      </c>
      <c r="G1366" s="118" t="n">
        <v>46849</v>
      </c>
      <c r="H1366" s="118" t="n">
        <v>46289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IF(E1366="","",IF(LEFT(E1366,7)="SUBSOLO",-1,IF(LEFT(E1366,6)="TÉRREO",0,IFERROR(VALUE(LEFT(E1366,FIND("º",SUBSTITUTE(E1366,"°","º"))-1)),""))))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33919785</v>
      </c>
      <c r="C1367" s="4" t="inlineStr">
        <is>
          <t>TEXTURA - EXTERNA</t>
        </is>
      </c>
      <c r="D1367" s="4" t="inlineStr">
        <is>
          <t>-</t>
        </is>
      </c>
      <c r="E1367" s="4" t="inlineStr">
        <is>
          <t>7º PAV.</t>
        </is>
      </c>
      <c r="F1367" s="118" t="n">
        <v>46839</v>
      </c>
      <c r="G1367" s="118" t="n">
        <v>46849</v>
      </c>
      <c r="H1367" s="118" t="n">
        <v>46289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IF(E1367="","",IF(LEFT(E1367,7)="SUBSOLO",-1,IF(LEFT(E1367,6)="TÉRREO",0,IFERROR(VALUE(LEFT(E1367,FIND("º",SUBSTITUTE(E1367,"°","º"))-1)),""))))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29981500</v>
      </c>
      <c r="C1368" s="4" t="inlineStr">
        <is>
          <t>LIMPEZA GROSSA</t>
        </is>
      </c>
      <c r="D1368" s="4" t="inlineStr">
        <is>
          <t>-</t>
        </is>
      </c>
      <c r="E1368" s="4" t="inlineStr">
        <is>
          <t>8º PAV.</t>
        </is>
      </c>
      <c r="F1368" s="118" t="n">
        <v>46839</v>
      </c>
      <c r="G1368" s="118" t="n">
        <v>46849</v>
      </c>
      <c r="H1368" s="118" t="n">
        <v>46289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IF(E1368="","",IF(LEFT(E1368,7)="SUBSOLO",-1,IF(LEFT(E1368,6)="TÉRREO",0,IFERROR(VALUE(LEFT(E1368,FIND("º",SUBSTITUTE(E1368,"°","º"))-1)),""))))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29981457</v>
      </c>
      <c r="C1369" s="4" t="inlineStr">
        <is>
          <t>LOUÇAS</t>
        </is>
      </c>
      <c r="D1369" s="4" t="inlineStr">
        <is>
          <t>-</t>
        </is>
      </c>
      <c r="E1369" s="4" t="inlineStr">
        <is>
          <t>9º PAV.</t>
        </is>
      </c>
      <c r="F1369" s="118" t="n">
        <v>46839</v>
      </c>
      <c r="G1369" s="118" t="n">
        <v>46849</v>
      </c>
      <c r="H1369" s="118" t="n">
        <v>46289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IF(E1369="","",IF(LEFT(E1369,7)="SUBSOLO",-1,IF(LEFT(E1369,6)="TÉRREO",0,IFERROR(VALUE(LEFT(E1369,FIND("º",SUBSTITUTE(E1369,"°","º"))-1)),""))))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29981462</v>
      </c>
      <c r="C1370" s="4" t="inlineStr">
        <is>
          <t>METAIS</t>
        </is>
      </c>
      <c r="D1370" s="4" t="inlineStr">
        <is>
          <t>-</t>
        </is>
      </c>
      <c r="E1370" s="4" t="inlineStr">
        <is>
          <t>9º PAV.</t>
        </is>
      </c>
      <c r="F1370" s="118" t="n">
        <v>46839</v>
      </c>
      <c r="G1370" s="118" t="n">
        <v>46849</v>
      </c>
      <c r="H1370" s="118" t="n">
        <v>46289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IF(E1370="","",IF(LEFT(E1370,7)="SUBSOLO",-1,IF(LEFT(E1370,6)="TÉRREO",0,IFERROR(VALUE(LEFT(E1370,FIND("º",SUBSTITUTE(E1370,"°","º"))-1)),""))))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29981461</v>
      </c>
      <c r="C1371" s="4" t="inlineStr">
        <is>
          <t>DISJUNTORES / MIOLOS</t>
        </is>
      </c>
      <c r="D1371" s="4" t="inlineStr">
        <is>
          <t>-</t>
        </is>
      </c>
      <c r="E1371" s="4" t="inlineStr">
        <is>
          <t>9º PAV.</t>
        </is>
      </c>
      <c r="F1371" s="118" t="n">
        <v>46839</v>
      </c>
      <c r="G1371" s="118" t="n">
        <v>46849</v>
      </c>
      <c r="H1371" s="118" t="n">
        <v>46289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IF(E1371="","",IF(LEFT(E1371,7)="SUBSOLO",-1,IF(LEFT(E1371,6)="TÉRREO",0,IFERROR(VALUE(LEFT(E1371,FIND("º",SUBSTITUTE(E1371,"°","º"))-1)),""))))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29981460</v>
      </c>
      <c r="C1372" s="4" t="inlineStr">
        <is>
          <t>COMUNICAÇÃO E ALARME</t>
        </is>
      </c>
      <c r="D1372" s="4" t="inlineStr">
        <is>
          <t>-</t>
        </is>
      </c>
      <c r="E1372" s="4" t="inlineStr">
        <is>
          <t>9º PAV.</t>
        </is>
      </c>
      <c r="F1372" s="118" t="n">
        <v>46839</v>
      </c>
      <c r="G1372" s="118" t="n">
        <v>46849</v>
      </c>
      <c r="H1372" s="118" t="n">
        <v>46289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IF(E1372="","",IF(LEFT(E1372,7)="SUBSOLO",-1,IF(LEFT(E1372,6)="TÉRREO",0,IFERROR(VALUE(LEFT(E1372,FIND("º",SUBSTITUTE(E1372,"°","º"))-1)),""))))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29981419</v>
      </c>
      <c r="C1373" s="4" t="inlineStr">
        <is>
          <t>RODAPÉ MADEIRA / PVC</t>
        </is>
      </c>
      <c r="D1373" s="4" t="inlineStr">
        <is>
          <t>-</t>
        </is>
      </c>
      <c r="E1373" s="4" t="inlineStr">
        <is>
          <t>10º PAV.</t>
        </is>
      </c>
      <c r="F1373" s="118" t="n">
        <v>46839</v>
      </c>
      <c r="G1373" s="118" t="n">
        <v>46849</v>
      </c>
      <c r="H1373" s="118" t="n">
        <v>46289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IF(E1373="","",IF(LEFT(E1373,7)="SUBSOLO",-1,IF(LEFT(E1373,6)="TÉRREO",0,IFERROR(VALUE(LEFT(E1373,FIND("º",SUBSTITUTE(E1373,"°","º"))-1)),""))))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29981381</v>
      </c>
      <c r="C1374" s="4" t="inlineStr">
        <is>
          <t>ESQUADRIA MADEIRA</t>
        </is>
      </c>
      <c r="D1374" s="4" t="inlineStr">
        <is>
          <t>-</t>
        </is>
      </c>
      <c r="E1374" s="4" t="inlineStr">
        <is>
          <t>11º PAV.</t>
        </is>
      </c>
      <c r="F1374" s="118" t="n">
        <v>46839</v>
      </c>
      <c r="G1374" s="118" t="n">
        <v>46849</v>
      </c>
      <c r="H1374" s="118" t="n">
        <v>46289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IF(E1374="","",IF(LEFT(E1374,7)="SUBSOLO",-1,IF(LEFT(E1374,6)="TÉRREO",0,IFERROR(VALUE(LEFT(E1374,FIND("º",SUBSTITUTE(E1374,"°","º"))-1)),""))))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29981343</v>
      </c>
      <c r="C1375" s="4" t="inlineStr">
        <is>
          <t>PISO VINÍLICO / LAMINADO</t>
        </is>
      </c>
      <c r="D1375" s="4" t="inlineStr">
        <is>
          <t>-</t>
        </is>
      </c>
      <c r="E1375" s="4" t="inlineStr">
        <is>
          <t>12º PAV.</t>
        </is>
      </c>
      <c r="F1375" s="118" t="n">
        <v>46839</v>
      </c>
      <c r="G1375" s="118" t="n">
        <v>46849</v>
      </c>
      <c r="H1375" s="118" t="n">
        <v>46289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IF(E1375="","",IF(LEFT(E1375,7)="SUBSOLO",-1,IF(LEFT(E1375,6)="TÉRREO",0,IFERROR(VALUE(LEFT(E1375,FIND("º",SUBSTITUTE(E1375,"°","º"))-1)),""))))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29981305</v>
      </c>
      <c r="C1376" s="4" t="inlineStr">
        <is>
          <t>PINTURA 1º DEMÃO</t>
        </is>
      </c>
      <c r="D1376" s="4" t="inlineStr">
        <is>
          <t>-</t>
        </is>
      </c>
      <c r="E1376" s="4" t="inlineStr">
        <is>
          <t>13º PAV.</t>
        </is>
      </c>
      <c r="F1376" s="118" t="n">
        <v>46839</v>
      </c>
      <c r="G1376" s="118" t="n">
        <v>46849</v>
      </c>
      <c r="H1376" s="118" t="n">
        <v>46289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IF(E1376="","",IF(LEFT(E1376,7)="SUBSOLO",-1,IF(LEFT(E1376,6)="TÉRREO",0,IFERROR(VALUE(LEFT(E1376,FIND("º",SUBSTITUTE(E1376,"°","º"))-1)),""))))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29981294</v>
      </c>
      <c r="C1377" s="4" t="inlineStr">
        <is>
          <t>MASSA CORRIDA</t>
        </is>
      </c>
      <c r="D1377" s="4" t="inlineStr">
        <is>
          <t>-</t>
        </is>
      </c>
      <c r="E1377" s="4" t="inlineStr">
        <is>
          <t>14º PAV.</t>
        </is>
      </c>
      <c r="F1377" s="118" t="n">
        <v>46839</v>
      </c>
      <c r="G1377" s="118" t="n">
        <v>46849</v>
      </c>
      <c r="H1377" s="118" t="n">
        <v>46289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IF(E1377="","",IF(LEFT(E1377,7)="SUBSOLO",-1,IF(LEFT(E1377,6)="TÉRREO",0,IFERROR(VALUE(LEFT(E1377,FIND("º",SUBSTITUTE(E1377,"°","º"))-1)),""))))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33898096</v>
      </c>
      <c r="C1378" s="4" t="inlineStr">
        <is>
          <t>ESQUADRIA DE ALUMÍNIO</t>
        </is>
      </c>
      <c r="D1378" s="4" t="inlineStr">
        <is>
          <t>-</t>
        </is>
      </c>
      <c r="E1378" s="4" t="inlineStr">
        <is>
          <t>15º PAV.</t>
        </is>
      </c>
      <c r="F1378" s="118" t="n">
        <v>46839</v>
      </c>
      <c r="G1378" s="118" t="n">
        <v>46849</v>
      </c>
      <c r="H1378" s="118" t="n">
        <v>46289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IF(E1378="","",IF(LEFT(E1378,7)="SUBSOLO",-1,IF(LEFT(E1378,6)="TÉRREO",0,IFERROR(VALUE(LEFT(E1378,FIND("º",SUBSTITUTE(E1378,"°","º"))-1)),""))))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29981070</v>
      </c>
      <c r="C1379" s="4" t="inlineStr">
        <is>
          <t>FORRO</t>
        </is>
      </c>
      <c r="D1379" s="4" t="inlineStr">
        <is>
          <t>-</t>
        </is>
      </c>
      <c r="E1379" s="4" t="inlineStr">
        <is>
          <t>20º PAV.</t>
        </is>
      </c>
      <c r="F1379" s="118" t="n">
        <v>46840</v>
      </c>
      <c r="G1379" s="118" t="n">
        <v>46850</v>
      </c>
      <c r="H1379" s="118" t="n">
        <v>46289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IF(E1379="","",IF(LEFT(E1379,7)="SUBSOLO",-1,IF(LEFT(E1379,6)="TÉRREO",0,IFERROR(VALUE(LEFT(E1379,FIND("º",SUBSTITUTE(E1379,"°","º"))-1)),""))))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29981031</v>
      </c>
      <c r="C1380" s="4" t="inlineStr">
        <is>
          <t>FIAÇÃO ELÉTRICA</t>
        </is>
      </c>
      <c r="D1380" s="4" t="inlineStr">
        <is>
          <t>-</t>
        </is>
      </c>
      <c r="E1380" s="4" t="inlineStr">
        <is>
          <t>21º PAV.</t>
        </is>
      </c>
      <c r="F1380" s="118" t="n">
        <v>46840</v>
      </c>
      <c r="G1380" s="118" t="n">
        <v>46850</v>
      </c>
      <c r="H1380" s="118" t="n">
        <v>46289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IF(E1380="","",IF(LEFT(E1380,7)="SUBSOLO",-1,IF(LEFT(E1380,6)="TÉRREO",0,IFERROR(VALUE(LEFT(E1380,FIND("º",SUBSTITUTE(E1380,"°","º"))-1)),""))))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29981036</v>
      </c>
      <c r="C1381" s="4" t="inlineStr">
        <is>
          <t>PRUMADA ELÉTRICA - CABOS</t>
        </is>
      </c>
      <c r="D1381" s="4" t="inlineStr">
        <is>
          <t>-</t>
        </is>
      </c>
      <c r="E1381" s="4" t="inlineStr">
        <is>
          <t>21º PAV.</t>
        </is>
      </c>
      <c r="F1381" s="118" t="n">
        <v>46840</v>
      </c>
      <c r="G1381" s="118" t="n">
        <v>46850</v>
      </c>
      <c r="H1381" s="118" t="n">
        <v>46289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IF(E1381="","",IF(LEFT(E1381,7)="SUBSOLO",-1,IF(LEFT(E1381,6)="TÉRREO",0,IFERROR(VALUE(LEFT(E1381,FIND("º",SUBSTITUTE(E1381,"°","º"))-1)),""))))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30214083</v>
      </c>
      <c r="C1382" s="4" t="inlineStr">
        <is>
          <t>FIAÇÃO TELECOM/DADOS</t>
        </is>
      </c>
      <c r="D1382" s="4" t="inlineStr">
        <is>
          <t>-</t>
        </is>
      </c>
      <c r="E1382" s="4" t="inlineStr">
        <is>
          <t>21º PAV.</t>
        </is>
      </c>
      <c r="F1382" s="118" t="n">
        <v>46840</v>
      </c>
      <c r="G1382" s="118" t="n">
        <v>46853</v>
      </c>
      <c r="H1382" s="118" t="n">
        <v>46289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IF(E1382="","",IF(LEFT(E1382,7)="SUBSOLO",-1,IF(LEFT(E1382,6)="TÉRREO",0,IFERROR(VALUE(LEFT(E1382,FIND("º",SUBSTITUTE(E1382,"°","º"))-1)),""))))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29980978</v>
      </c>
      <c r="C1383" s="4" t="inlineStr">
        <is>
          <t>BANCADAS</t>
        </is>
      </c>
      <c r="D1383" s="4" t="inlineStr">
        <is>
          <t>-</t>
        </is>
      </c>
      <c r="E1383" s="4" t="inlineStr">
        <is>
          <t>22º PAV.</t>
        </is>
      </c>
      <c r="F1383" s="118" t="n">
        <v>46840</v>
      </c>
      <c r="G1383" s="118" t="n">
        <v>46850</v>
      </c>
      <c r="H1383" s="118" t="n">
        <v>46289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IF(E1383="","",IF(LEFT(E1383,7)="SUBSOLO",-1,IF(LEFT(E1383,6)="TÉRREO",0,IFERROR(VALUE(LEFT(E1383,FIND("º",SUBSTITUTE(E1383,"°","º"))-1)),""))))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29980940</v>
      </c>
      <c r="C1384" s="4" t="inlineStr">
        <is>
          <t>REVESTIMENTOS PORCELANATO PISO</t>
        </is>
      </c>
      <c r="D1384" s="4" t="inlineStr">
        <is>
          <t>-</t>
        </is>
      </c>
      <c r="E1384" s="4" t="inlineStr">
        <is>
          <t>23º PAV.</t>
        </is>
      </c>
      <c r="F1384" s="118" t="n">
        <v>46840</v>
      </c>
      <c r="G1384" s="118" t="n">
        <v>46850</v>
      </c>
      <c r="H1384" s="118" t="n">
        <v>46289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IF(E1384="","",IF(LEFT(E1384,7)="SUBSOLO",-1,IF(LEFT(E1384,6)="TÉRREO",0,IFERROR(VALUE(LEFT(E1384,FIND("º",SUBSTITUTE(E1384,"°","º"))-1)),""))))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29980919</v>
      </c>
      <c r="C1385" s="4" t="inlineStr">
        <is>
          <t>REVESTIMENTO PORCELANATO PAREDE</t>
        </is>
      </c>
      <c r="D1385" s="4" t="inlineStr">
        <is>
          <t>-</t>
        </is>
      </c>
      <c r="E1385" s="4" t="inlineStr">
        <is>
          <t>24º PAV.</t>
        </is>
      </c>
      <c r="F1385" s="118" t="n">
        <v>46840</v>
      </c>
      <c r="G1385" s="118" t="n">
        <v>46850</v>
      </c>
      <c r="H1385" s="118" t="n">
        <v>46289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IF(E1385="","",IF(LEFT(E1385,7)="SUBSOLO",-1,IF(LEFT(E1385,6)="TÉRREO",0,IFERROR(VALUE(LEFT(E1385,FIND("º",SUBSTITUTE(E1385,"°","º"))-1)),""))))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29980880</v>
      </c>
      <c r="C1386" s="4" t="inlineStr">
        <is>
          <t>IMPERMEABILIZAÇÃO</t>
        </is>
      </c>
      <c r="D1386" s="4" t="inlineStr">
        <is>
          <t>-</t>
        </is>
      </c>
      <c r="E1386" s="4" t="inlineStr">
        <is>
          <t>25º PAV.</t>
        </is>
      </c>
      <c r="F1386" s="118" t="n">
        <v>46840</v>
      </c>
      <c r="G1386" s="118" t="n">
        <v>46850</v>
      </c>
      <c r="H1386" s="118" t="n">
        <v>46289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IF(E1386="","",IF(LEFT(E1386,7)="SUBSOLO",-1,IF(LEFT(E1386,6)="TÉRREO",0,IFERROR(VALUE(LEFT(E1386,FIND("º",SUBSTITUTE(E1386,"°","º"))-1)),""))))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32750452</v>
      </c>
      <c r="C1387" s="4" t="inlineStr">
        <is>
          <t>DRYWALL 2º FACE</t>
        </is>
      </c>
      <c r="D1387" s="4" t="inlineStr">
        <is>
          <t>-</t>
        </is>
      </c>
      <c r="E1387" s="4" t="inlineStr">
        <is>
          <t>26º PAV.</t>
        </is>
      </c>
      <c r="F1387" s="118" t="n">
        <v>46840</v>
      </c>
      <c r="G1387" s="118" t="n">
        <v>46850</v>
      </c>
      <c r="H1387" s="118" t="n">
        <v>46289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IF(E1387="","",IF(LEFT(E1387,7)="SUBSOLO",-1,IF(LEFT(E1387,6)="TÉRREO",0,IFERROR(VALUE(LEFT(E1387,FIND("º",SUBSTITUTE(E1387,"°","º"))-1)),""))))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32750375</v>
      </c>
      <c r="C1388" s="4" t="inlineStr">
        <is>
          <t>DISTRIBUIÇÃO DE GÁS - DRYWALL</t>
        </is>
      </c>
      <c r="D1388" s="4" t="inlineStr">
        <is>
          <t>-</t>
        </is>
      </c>
      <c r="E1388" s="4" t="inlineStr">
        <is>
          <t>27º PAV.</t>
        </is>
      </c>
      <c r="F1388" s="118" t="n">
        <v>46840</v>
      </c>
      <c r="G1388" s="118" t="n">
        <v>46850</v>
      </c>
      <c r="H1388" s="118" t="n">
        <v>46289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IF(E1388="","",IF(LEFT(E1388,7)="SUBSOLO",-1,IF(LEFT(E1388,6)="TÉRREO",0,IFERROR(VALUE(LEFT(E1388,FIND("º",SUBSTITUTE(E1388,"°","º"))-1)),""))))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32750401</v>
      </c>
      <c r="C1389" s="4" t="inlineStr">
        <is>
          <t>DISTRIBUIÇÃO ELÉTRICA/QUADRO - DRYWALL</t>
        </is>
      </c>
      <c r="D1389" s="4" t="inlineStr">
        <is>
          <t>-</t>
        </is>
      </c>
      <c r="E1389" s="4" t="inlineStr">
        <is>
          <t>27º PAV.</t>
        </is>
      </c>
      <c r="F1389" s="118" t="n">
        <v>46840</v>
      </c>
      <c r="G1389" s="118" t="n">
        <v>46850</v>
      </c>
      <c r="H1389" s="118" t="n">
        <v>46289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IF(E1389="","",IF(LEFT(E1389,7)="SUBSOLO",-1,IF(LEFT(E1389,6)="TÉRREO",0,IFERROR(VALUE(LEFT(E1389,FIND("º",SUBSTITUTE(E1389,"°","º"))-1)),""))))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32750427</v>
      </c>
      <c r="C1390" s="4" t="inlineStr">
        <is>
          <t>DISTRIBUIÇÃO HIDRÁULICA - DRYWALL</t>
        </is>
      </c>
      <c r="D1390" s="4" t="inlineStr">
        <is>
          <t>-</t>
        </is>
      </c>
      <c r="E1390" s="4" t="inlineStr">
        <is>
          <t>27º PAV.</t>
        </is>
      </c>
      <c r="F1390" s="118" t="n">
        <v>46840</v>
      </c>
      <c r="G1390" s="118" t="n">
        <v>46850</v>
      </c>
      <c r="H1390" s="118" t="n">
        <v>46289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IF(E1390="","",IF(LEFT(E1390,7)="SUBSOLO",-1,IF(LEFT(E1390,6)="TÉRREO",0,IFERROR(VALUE(LEFT(E1390,FIND("º",SUBSTITUTE(E1390,"°","º"))-1)),""))))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33896845</v>
      </c>
      <c r="C1391" s="4" t="inlineStr">
        <is>
          <t>INFRAESTRUTURA - AR CONDICIONADO</t>
        </is>
      </c>
      <c r="D1391" s="4" t="inlineStr">
        <is>
          <t>-</t>
        </is>
      </c>
      <c r="E1391" s="4" t="inlineStr">
        <is>
          <t>27º PAV.</t>
        </is>
      </c>
      <c r="F1391" s="118" t="n">
        <v>46840</v>
      </c>
      <c r="G1391" s="118" t="n">
        <v>46850</v>
      </c>
      <c r="H1391" s="118" t="n">
        <v>46289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IF(E1391="","",IF(LEFT(E1391,7)="SUBSOLO",-1,IF(LEFT(E1391,6)="TÉRREO",0,IFERROR(VALUE(LEFT(E1391,FIND("º",SUBSTITUTE(E1391,"°","º"))-1)),""))))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32749871</v>
      </c>
      <c r="C1392" s="4" t="inlineStr">
        <is>
          <t>DRYWALL 1º FACE</t>
        </is>
      </c>
      <c r="D1392" s="4" t="inlineStr">
        <is>
          <t>-</t>
        </is>
      </c>
      <c r="E1392" s="4" t="inlineStr">
        <is>
          <t>28º PAV.</t>
        </is>
      </c>
      <c r="F1392" s="118" t="n">
        <v>46840</v>
      </c>
      <c r="G1392" s="118" t="n">
        <v>46850</v>
      </c>
      <c r="H1392" s="118" t="n">
        <v>46289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IF(E1392="","",IF(LEFT(E1392,7)="SUBSOLO",-1,IF(LEFT(E1392,6)="TÉRREO",0,IFERROR(VALUE(LEFT(E1392,FIND("º",SUBSTITUTE(E1392,"°","º"))-1)),""))))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29980733</v>
      </c>
      <c r="C1393" s="4" t="inlineStr">
        <is>
          <t>CONTRAPISO</t>
        </is>
      </c>
      <c r="D1393" s="4" t="inlineStr">
        <is>
          <t>-</t>
        </is>
      </c>
      <c r="E1393" s="4" t="inlineStr">
        <is>
          <t>29º PAV.</t>
        </is>
      </c>
      <c r="F1393" s="118" t="n">
        <v>46840</v>
      </c>
      <c r="G1393" s="118" t="n">
        <v>46850</v>
      </c>
      <c r="H1393" s="118" t="n">
        <v>46289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IF(E1393="","",IF(LEFT(E1393,7)="SUBSOLO",-1,IF(LEFT(E1393,6)="TÉRREO",0,IFERROR(VALUE(LEFT(E1393,FIND("º",SUBSTITUTE(E1393,"°","º"))-1)),""))))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29980673</v>
      </c>
      <c r="C1394" s="4" t="inlineStr">
        <is>
          <t>SHAFT INTERNO INST. HIDRAÚLICAS</t>
        </is>
      </c>
      <c r="D1394" s="4" t="inlineStr">
        <is>
          <t>-</t>
        </is>
      </c>
      <c r="E1394" s="4" t="inlineStr">
        <is>
          <t>30º PAV.</t>
        </is>
      </c>
      <c r="F1394" s="118" t="n">
        <v>46840</v>
      </c>
      <c r="G1394" s="118" t="n">
        <v>46850</v>
      </c>
      <c r="H1394" s="118" t="n">
        <v>46289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IF(E1394="","",IF(LEFT(E1394,7)="SUBSOLO",-1,IF(LEFT(E1394,6)="TÉRREO",0,IFERROR(VALUE(LEFT(E1394,FIND("º",SUBSTITUTE(E1394,"°","º"))-1)),""))))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29980706</v>
      </c>
      <c r="C1395" s="4" t="inlineStr">
        <is>
          <t>PRUMADA ELÉTRICA - INFRA</t>
        </is>
      </c>
      <c r="D1395" s="4" t="inlineStr">
        <is>
          <t>-</t>
        </is>
      </c>
      <c r="E1395" s="4" t="inlineStr">
        <is>
          <t>30º PAV.</t>
        </is>
      </c>
      <c r="F1395" s="118" t="n">
        <v>46840</v>
      </c>
      <c r="G1395" s="118" t="n">
        <v>46850</v>
      </c>
      <c r="H1395" s="118" t="n">
        <v>46289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IF(E1395="","",IF(LEFT(E1395,7)="SUBSOLO",-1,IF(LEFT(E1395,6)="TÉRREO",0,IFERROR(VALUE(LEFT(E1395,FIND("º",SUBSTITUTE(E1395,"°","º"))-1)),""))))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29980635</v>
      </c>
      <c r="C1396" s="4" t="inlineStr">
        <is>
          <t>REBOCO INTERNO</t>
        </is>
      </c>
      <c r="D1396" s="4" t="inlineStr">
        <is>
          <t>-</t>
        </is>
      </c>
      <c r="E1396" s="4" t="inlineStr">
        <is>
          <t>31º PAV. - COBERTURA LINEAR</t>
        </is>
      </c>
      <c r="F1396" s="118" t="n">
        <v>46840</v>
      </c>
      <c r="G1396" s="118" t="n">
        <v>46850</v>
      </c>
      <c r="H1396" s="118" t="n">
        <v>46289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IF(E1396="","",IF(LEFT(E1396,7)="SUBSOLO",-1,IF(LEFT(E1396,6)="TÉRREO",0,IFERROR(VALUE(LEFT(E1396,FIND("º",SUBSTITUTE(E1396,"°","º"))-1)),""))))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29980601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32º PAV - COBERTURA GERAL</t>
        </is>
      </c>
      <c r="F1397" s="118" t="n">
        <v>46840</v>
      </c>
      <c r="G1397" s="118" t="n">
        <v>46850</v>
      </c>
      <c r="H1397" s="118" t="n">
        <v>46289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IF(E1397="","",IF(LEFT(E1397,7)="SUBSOLO",-1,IF(LEFT(E1397,6)="TÉRREO",0,IFERROR(VALUE(LEFT(E1397,FIND("º",SUBSTITUTE(E1397,"°","º"))-1)),""))))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30211208</v>
      </c>
      <c r="C1398" s="4" t="inlineStr">
        <is>
          <t>INSTALAÇÕES HIDRÁULICAS</t>
        </is>
      </c>
      <c r="D1398" s="4" t="inlineStr">
        <is>
          <t>-</t>
        </is>
      </c>
      <c r="E1398" s="4" t="inlineStr">
        <is>
          <t>34º PAV - RESERVATÓRIO</t>
        </is>
      </c>
      <c r="F1398" s="118" t="n">
        <v>46840</v>
      </c>
      <c r="G1398" s="118" t="n">
        <v>46861</v>
      </c>
      <c r="H1398" s="118" t="n">
        <v>46289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IF(E1398="","",IF(LEFT(E1398,7)="SUBSOLO",-1,IF(LEFT(E1398,6)="TÉRREO",0,IFERROR(VALUE(LEFT(E1398,FIND("º",SUBSTITUTE(E1398,"°","º"))-1)),""))))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30205690</v>
      </c>
      <c r="C1399" s="4" t="inlineStr">
        <is>
          <t>ESQUADRIA MADEIRA</t>
        </is>
      </c>
      <c r="D1399" s="4" t="inlineStr">
        <is>
          <t>-</t>
        </is>
      </c>
      <c r="E1399" s="4" t="inlineStr">
        <is>
          <t>TÉRREO - LOJA 1</t>
        </is>
      </c>
      <c r="F1399" s="118" t="n">
        <v>46841</v>
      </c>
      <c r="G1399" s="118" t="n">
        <v>46854</v>
      </c>
      <c r="H1399" s="118" t="n">
        <v>46289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IF(E1399="","",IF(LEFT(E1399,7)="SUBSOLO",-1,IF(LEFT(E1399,6)="TÉRREO",0,IFERROR(VALUE(LEFT(E1399,FIND("º",SUBSTITUTE(E1399,"°","º"))-1)),""))))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30205689</v>
      </c>
      <c r="C1400" s="4" t="inlineStr">
        <is>
          <t>LOUÇAS</t>
        </is>
      </c>
      <c r="D1400" s="4" t="inlineStr">
        <is>
          <t>-</t>
        </is>
      </c>
      <c r="E1400" s="4" t="inlineStr">
        <is>
          <t>TÉRREO - LOJA 1</t>
        </is>
      </c>
      <c r="F1400" s="118" t="n">
        <v>46841</v>
      </c>
      <c r="G1400" s="118" t="n">
        <v>46854</v>
      </c>
      <c r="H1400" s="118" t="n">
        <v>46289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IF(E1400="","",IF(LEFT(E1400,7)="SUBSOLO",-1,IF(LEFT(E1400,6)="TÉRREO",0,IFERROR(VALUE(LEFT(E1400,FIND("º",SUBSTITUTE(E1400,"°","º"))-1)),""))))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30205687</v>
      </c>
      <c r="C1401" s="4" t="inlineStr">
        <is>
          <t>METAIS</t>
        </is>
      </c>
      <c r="D1401" s="4" t="inlineStr">
        <is>
          <t>-</t>
        </is>
      </c>
      <c r="E1401" s="4" t="inlineStr">
        <is>
          <t>TÉRREO - LOJA 1</t>
        </is>
      </c>
      <c r="F1401" s="118" t="n">
        <v>46841</v>
      </c>
      <c r="G1401" s="118" t="n">
        <v>46854</v>
      </c>
      <c r="H1401" s="118" t="n">
        <v>46289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IF(E1401="","",IF(LEFT(E1401,7)="SUBSOLO",-1,IF(LEFT(E1401,6)="TÉRREO",0,IFERROR(VALUE(LEFT(E1401,FIND("º",SUBSTITUTE(E1401,"°","º"))-1)),""))))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30205672</v>
      </c>
      <c r="C1402" s="4" t="inlineStr">
        <is>
          <t>PINTURA 1º DEMÃO</t>
        </is>
      </c>
      <c r="D1402" s="4" t="inlineStr">
        <is>
          <t>-</t>
        </is>
      </c>
      <c r="E1402" s="4" t="inlineStr">
        <is>
          <t>TÉRREO - LOJA 2</t>
        </is>
      </c>
      <c r="F1402" s="118" t="n">
        <v>46841</v>
      </c>
      <c r="G1402" s="118" t="n">
        <v>46854</v>
      </c>
      <c r="H1402" s="118" t="n">
        <v>46289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IF(E1402="","",IF(LEFT(E1402,7)="SUBSOLO",-1,IF(LEFT(E1402,6)="TÉRREO",0,IFERROR(VALUE(LEFT(E1402,FIND("º",SUBSTITUTE(E1402,"°","º"))-1)),""))))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30210378</v>
      </c>
      <c r="C1403" s="4" t="inlineStr">
        <is>
          <t>PONTOS DE ANCORAGEM INOX</t>
        </is>
      </c>
      <c r="D1403" s="4" t="inlineStr">
        <is>
          <t>-</t>
        </is>
      </c>
      <c r="E1403" s="4" t="inlineStr">
        <is>
          <t>34º PAV - RESERVATÓRIO</t>
        </is>
      </c>
      <c r="F1403" s="118" t="n">
        <v>46841</v>
      </c>
      <c r="G1403" s="118" t="n">
        <v>46847</v>
      </c>
      <c r="H1403" s="118" t="n">
        <v>46289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IF(E1403="","",IF(LEFT(E1403,7)="SUBSOLO",-1,IF(LEFT(E1403,6)="TÉRREO",0,IFERROR(VALUE(LEFT(E1403,FIND("º",SUBSTITUTE(E1403,"°","º"))-1)),""))))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30206100</v>
      </c>
      <c r="C1404" s="4" t="inlineStr">
        <is>
          <t>SHAFT INTERNO INST. HIDRAÚLICAS</t>
        </is>
      </c>
      <c r="D1404" s="4" t="inlineStr">
        <is>
          <t>-</t>
        </is>
      </c>
      <c r="E1404" s="4" t="inlineStr">
        <is>
          <t>6º PAV (PILOTIS) - ACADEMIA</t>
        </is>
      </c>
      <c r="F1404" s="118" t="n">
        <v>46846</v>
      </c>
      <c r="G1404" s="118" t="n">
        <v>46860</v>
      </c>
      <c r="H1404" s="118" t="n">
        <v>46289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IF(E1404="","",IF(LEFT(E1404,7)="SUBSOLO",-1,IF(LEFT(E1404,6)="TÉRREO",0,IFERROR(VALUE(LEFT(E1404,FIND("º",SUBSTITUTE(E1404,"°","º"))-1)),""))))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30206062</v>
      </c>
      <c r="C1405" s="4" t="inlineStr">
        <is>
          <t>REBOCO INTERNO</t>
        </is>
      </c>
      <c r="D1405" s="4" t="inlineStr">
        <is>
          <t>-</t>
        </is>
      </c>
      <c r="E1405" s="4" t="inlineStr">
        <is>
          <t>6º PAV (PILOTIS) - SAUNA + DUCHA</t>
        </is>
      </c>
      <c r="F1405" s="118" t="n">
        <v>46846</v>
      </c>
      <c r="G1405" s="118" t="n">
        <v>46860</v>
      </c>
      <c r="H1405" s="118" t="n">
        <v>46289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IF(E1405="","",IF(LEFT(E1405,7)="SUBSOLO",-1,IF(LEFT(E1405,6)="TÉRREO",0,IFERROR(VALUE(LEFT(E1405,FIND("º",SUBSTITUTE(E1405,"°","º"))-1)),""))))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30205972</v>
      </c>
      <c r="C1406" s="4" t="inlineStr">
        <is>
          <t>ENCUNHAMENTO</t>
        </is>
      </c>
      <c r="D1406" s="4" t="inlineStr">
        <is>
          <t>-</t>
        </is>
      </c>
      <c r="E1406" s="4" t="inlineStr">
        <is>
          <t>6º PAV (PILOTIS) - LOUNGE + SALÃO + COZINHA + GOURMET + ESPAÇO KIDS</t>
        </is>
      </c>
      <c r="F1406" s="118" t="n">
        <v>46847</v>
      </c>
      <c r="G1406" s="118" t="n">
        <v>46861</v>
      </c>
      <c r="H1406" s="118" t="n">
        <v>46289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IF(E1406="","",IF(LEFT(E1406,7)="SUBSOLO",-1,IF(LEFT(E1406,6)="TÉRREO",0,IFERROR(VALUE(LEFT(E1406,FIND("º",SUBSTITUTE(E1406,"°","º"))-1)),""))))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29981111</v>
      </c>
      <c r="C1407" s="4" t="inlineStr">
        <is>
          <t>PRUMADA DE INCÊNDIO</t>
        </is>
      </c>
      <c r="D1407" s="4" t="inlineStr">
        <is>
          <t>-</t>
        </is>
      </c>
      <c r="E1407" s="4" t="inlineStr">
        <is>
          <t>19º PAV.</t>
        </is>
      </c>
      <c r="F1407" s="118" t="n">
        <v>46848</v>
      </c>
      <c r="G1407" s="118" t="n">
        <v>46861</v>
      </c>
      <c r="H1407" s="118" t="n">
        <v>46289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IF(E1407="","",IF(LEFT(E1407,7)="SUBSOLO",-1,IF(LEFT(E1407,6)="TÉRREO",0,IFERROR(VALUE(LEFT(E1407,FIND("º",SUBSTITUTE(E1407,"°","º"))-1)),""))))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30205795</v>
      </c>
      <c r="C1408" s="4" t="inlineStr">
        <is>
          <t>FORRO</t>
        </is>
      </c>
      <c r="D1408" s="4" t="inlineStr">
        <is>
          <t>-</t>
        </is>
      </c>
      <c r="E1408" s="4" t="inlineStr">
        <is>
          <t>TÉRREO - ACESSO COMERCIAL + DML + ARS + ÁREA TEC + LAVABO + DISPENSA</t>
        </is>
      </c>
      <c r="F1408" s="118" t="n">
        <v>46850</v>
      </c>
      <c r="G1408" s="118" t="n">
        <v>46867</v>
      </c>
      <c r="H1408" s="118" t="n">
        <v>46289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IF(E1408="","",IF(LEFT(E1408,7)="SUBSOLO",-1,IF(LEFT(E1408,6)="TÉRREO",0,IFERROR(VALUE(LEFT(E1408,FIND("º",SUBSTITUTE(E1408,"°","º"))-1)),""))))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30205821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TÉRREO - HALL SOCIAL + ECLUSA + CIRCULAÇÃO</t>
        </is>
      </c>
      <c r="F1409" s="118" t="n">
        <v>46850</v>
      </c>
      <c r="G1409" s="118" t="n">
        <v>46867</v>
      </c>
      <c r="H1409" s="118" t="n">
        <v>46289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IF(E1409="","",IF(LEFT(E1409,7)="SUBSOLO",-1,IF(LEFT(E1409,6)="TÉRREO",0,IFERROR(VALUE(LEFT(E1409,FIND("º",SUBSTITUTE(E1409,"°","º"))-1)),""))))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29981541</v>
      </c>
      <c r="C1410" s="4" t="inlineStr">
        <is>
          <t>ACABAMENTOS ELÉTRICOS</t>
        </is>
      </c>
      <c r="D1410" s="4" t="inlineStr">
        <is>
          <t>-</t>
        </is>
      </c>
      <c r="E1410" s="4" t="inlineStr">
        <is>
          <t>7º PAV.</t>
        </is>
      </c>
      <c r="F1410" s="118" t="n">
        <v>46850</v>
      </c>
      <c r="G1410" s="118" t="n">
        <v>46863</v>
      </c>
      <c r="H1410" s="118" t="n">
        <v>46289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IF(E1410="","",IF(LEFT(E1410,7)="SUBSOLO",-1,IF(LEFT(E1410,6)="TÉRREO",0,IFERROR(VALUE(LEFT(E1410,FIND("º",SUBSTITUTE(E1410,"°","º"))-1)),""))))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29981501</v>
      </c>
      <c r="C1411" s="4" t="inlineStr">
        <is>
          <t>PINTURA 2º DEMÃO</t>
        </is>
      </c>
      <c r="D1411" s="4" t="inlineStr">
        <is>
          <t>-</t>
        </is>
      </c>
      <c r="E1411" s="4" t="inlineStr">
        <is>
          <t>8º PAV.</t>
        </is>
      </c>
      <c r="F1411" s="118" t="n">
        <v>46850</v>
      </c>
      <c r="G1411" s="118" t="n">
        <v>46863</v>
      </c>
      <c r="H1411" s="118" t="n">
        <v>46289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IF(E1411="","",IF(LEFT(E1411,7)="SUBSOLO",-1,IF(LEFT(E1411,6)="TÉRREO",0,IFERROR(VALUE(LEFT(E1411,FIND("º",SUBSTITUTE(E1411,"°","º"))-1)),""))))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33919786</v>
      </c>
      <c r="C1412" s="4" t="inlineStr">
        <is>
          <t>TEXTURA - EXTERNA</t>
        </is>
      </c>
      <c r="D1412" s="4" t="inlineStr">
        <is>
          <t>-</t>
        </is>
      </c>
      <c r="E1412" s="4" t="inlineStr">
        <is>
          <t>8º PAV.</t>
        </is>
      </c>
      <c r="F1412" s="118" t="n">
        <v>46850</v>
      </c>
      <c r="G1412" s="118" t="n">
        <v>46863</v>
      </c>
      <c r="H1412" s="118" t="n">
        <v>46289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IF(E1412="","",IF(LEFT(E1412,7)="SUBSOLO",-1,IF(LEFT(E1412,6)="TÉRREO",0,IFERROR(VALUE(LEFT(E1412,FIND("º",SUBSTITUTE(E1412,"°","º"))-1)),""))))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29981463</v>
      </c>
      <c r="C1413" s="4" t="inlineStr">
        <is>
          <t>LIMPEZA GROSSA</t>
        </is>
      </c>
      <c r="D1413" s="4" t="inlineStr">
        <is>
          <t>-</t>
        </is>
      </c>
      <c r="E1413" s="4" t="inlineStr">
        <is>
          <t>9º PAV.</t>
        </is>
      </c>
      <c r="F1413" s="118" t="n">
        <v>46850</v>
      </c>
      <c r="G1413" s="118" t="n">
        <v>46863</v>
      </c>
      <c r="H1413" s="118" t="n">
        <v>46289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IF(E1413="","",IF(LEFT(E1413,7)="SUBSOLO",-1,IF(LEFT(E1413,6)="TÉRREO",0,IFERROR(VALUE(LEFT(E1413,FIND("º",SUBSTITUTE(E1413,"°","º"))-1)),""))))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29981420</v>
      </c>
      <c r="C1414" s="4" t="inlineStr">
        <is>
          <t>LOUÇAS</t>
        </is>
      </c>
      <c r="D1414" s="4" t="inlineStr">
        <is>
          <t>-</t>
        </is>
      </c>
      <c r="E1414" s="4" t="inlineStr">
        <is>
          <t>10º PAV.</t>
        </is>
      </c>
      <c r="F1414" s="118" t="n">
        <v>46850</v>
      </c>
      <c r="G1414" s="118" t="n">
        <v>46863</v>
      </c>
      <c r="H1414" s="118" t="n">
        <v>46289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IF(E1414="","",IF(LEFT(E1414,7)="SUBSOLO",-1,IF(LEFT(E1414,6)="TÉRREO",0,IFERROR(VALUE(LEFT(E1414,FIND("º",SUBSTITUTE(E1414,"°","º"))-1)),""))))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29981425</v>
      </c>
      <c r="C1415" s="4" t="inlineStr">
        <is>
          <t>METAIS</t>
        </is>
      </c>
      <c r="D1415" s="4" t="inlineStr">
        <is>
          <t>-</t>
        </is>
      </c>
      <c r="E1415" s="4" t="inlineStr">
        <is>
          <t>10º PAV.</t>
        </is>
      </c>
      <c r="F1415" s="118" t="n">
        <v>46850</v>
      </c>
      <c r="G1415" s="118" t="n">
        <v>46863</v>
      </c>
      <c r="H1415" s="118" t="n">
        <v>46289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IF(E1415="","",IF(LEFT(E1415,7)="SUBSOLO",-1,IF(LEFT(E1415,6)="TÉRREO",0,IFERROR(VALUE(LEFT(E1415,FIND("º",SUBSTITUTE(E1415,"°","º"))-1)),""))))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29981424</v>
      </c>
      <c r="C1416" s="4" t="inlineStr">
        <is>
          <t>DISJUNTORES / MIOLOS</t>
        </is>
      </c>
      <c r="D1416" s="4" t="inlineStr">
        <is>
          <t>-</t>
        </is>
      </c>
      <c r="E1416" s="4" t="inlineStr">
        <is>
          <t>10º PAV.</t>
        </is>
      </c>
      <c r="F1416" s="118" t="n">
        <v>46850</v>
      </c>
      <c r="G1416" s="118" t="n">
        <v>46863</v>
      </c>
      <c r="H1416" s="118" t="n">
        <v>46289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IF(E1416="","",IF(LEFT(E1416,7)="SUBSOLO",-1,IF(LEFT(E1416,6)="TÉRREO",0,IFERROR(VALUE(LEFT(E1416,FIND("º",SUBSTITUTE(E1416,"°","º"))-1)),""))))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29981423</v>
      </c>
      <c r="C1417" s="4" t="inlineStr">
        <is>
          <t>COMUNICAÇÃO E ALARME</t>
        </is>
      </c>
      <c r="D1417" s="4" t="inlineStr">
        <is>
          <t>-</t>
        </is>
      </c>
      <c r="E1417" s="4" t="inlineStr">
        <is>
          <t>10º PAV.</t>
        </is>
      </c>
      <c r="F1417" s="118" t="n">
        <v>46850</v>
      </c>
      <c r="G1417" s="118" t="n">
        <v>46863</v>
      </c>
      <c r="H1417" s="118" t="n">
        <v>46289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IF(E1417="","",IF(LEFT(E1417,7)="SUBSOLO",-1,IF(LEFT(E1417,6)="TÉRREO",0,IFERROR(VALUE(LEFT(E1417,FIND("º",SUBSTITUTE(E1417,"°","º"))-1)),""))))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29981382</v>
      </c>
      <c r="C1418" s="4" t="inlineStr">
        <is>
          <t>RODAPÉ MADEIRA / PVC</t>
        </is>
      </c>
      <c r="D1418" s="4" t="inlineStr">
        <is>
          <t>-</t>
        </is>
      </c>
      <c r="E1418" s="4" t="inlineStr">
        <is>
          <t>11º PAV.</t>
        </is>
      </c>
      <c r="F1418" s="118" t="n">
        <v>46850</v>
      </c>
      <c r="G1418" s="118" t="n">
        <v>46863</v>
      </c>
      <c r="H1418" s="118" t="n">
        <v>46289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IF(E1418="","",IF(LEFT(E1418,7)="SUBSOLO",-1,IF(LEFT(E1418,6)="TÉRREO",0,IFERROR(VALUE(LEFT(E1418,FIND("º",SUBSTITUTE(E1418,"°","º"))-1)),""))))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29981344</v>
      </c>
      <c r="C1419" s="4" t="inlineStr">
        <is>
          <t>ESQUADRIA MADEIRA</t>
        </is>
      </c>
      <c r="D1419" s="4" t="inlineStr">
        <is>
          <t>-</t>
        </is>
      </c>
      <c r="E1419" s="4" t="inlineStr">
        <is>
          <t>12º PAV.</t>
        </is>
      </c>
      <c r="F1419" s="118" t="n">
        <v>46850</v>
      </c>
      <c r="G1419" s="118" t="n">
        <v>46863</v>
      </c>
      <c r="H1419" s="118" t="n">
        <v>46289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IF(E1419="","",IF(LEFT(E1419,7)="SUBSOLO",-1,IF(LEFT(E1419,6)="TÉRREO",0,IFERROR(VALUE(LEFT(E1419,FIND("º",SUBSTITUTE(E1419,"°","º"))-1)),""))))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29981306</v>
      </c>
      <c r="C1420" s="4" t="inlineStr">
        <is>
          <t>PISO VINÍLICO / LAMINADO</t>
        </is>
      </c>
      <c r="D1420" s="4" t="inlineStr">
        <is>
          <t>-</t>
        </is>
      </c>
      <c r="E1420" s="4" t="inlineStr">
        <is>
          <t>13º PAV.</t>
        </is>
      </c>
      <c r="F1420" s="118" t="n">
        <v>46850</v>
      </c>
      <c r="G1420" s="118" t="n">
        <v>46863</v>
      </c>
      <c r="H1420" s="118" t="n">
        <v>46289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IF(E1420="","",IF(LEFT(E1420,7)="SUBSOLO",-1,IF(LEFT(E1420,6)="TÉRREO",0,IFERROR(VALUE(LEFT(E1420,FIND("º",SUBSTITUTE(E1420,"°","º"))-1)),""))))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29981268</v>
      </c>
      <c r="C1421" s="4" t="inlineStr">
        <is>
          <t>PINTURA 1º DEMÃO</t>
        </is>
      </c>
      <c r="D1421" s="4" t="inlineStr">
        <is>
          <t>-</t>
        </is>
      </c>
      <c r="E1421" s="4" t="inlineStr">
        <is>
          <t>14º PAV.</t>
        </is>
      </c>
      <c r="F1421" s="118" t="n">
        <v>46850</v>
      </c>
      <c r="G1421" s="118" t="n">
        <v>46863</v>
      </c>
      <c r="H1421" s="118" t="n">
        <v>46289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IF(E1421="","",IF(LEFT(E1421,7)="SUBSOLO",-1,IF(LEFT(E1421,6)="TÉRREO",0,IFERROR(VALUE(LEFT(E1421,FIND("º",SUBSTITUTE(E1421,"°","º"))-1)),""))))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29981257</v>
      </c>
      <c r="C1422" s="4" t="inlineStr">
        <is>
          <t>MASSA CORRIDA</t>
        </is>
      </c>
      <c r="D1422" s="4" t="inlineStr">
        <is>
          <t>-</t>
        </is>
      </c>
      <c r="E1422" s="4" t="inlineStr">
        <is>
          <t>15º PAV.</t>
        </is>
      </c>
      <c r="F1422" s="118" t="n">
        <v>46850</v>
      </c>
      <c r="G1422" s="118" t="n">
        <v>46863</v>
      </c>
      <c r="H1422" s="118" t="n">
        <v>46289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IF(E1422="","",IF(LEFT(E1422,7)="SUBSOLO",-1,IF(LEFT(E1422,6)="TÉRREO",0,IFERROR(VALUE(LEFT(E1422,FIND("º",SUBSTITUTE(E1422,"°","º"))-1)),""))))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33898097</v>
      </c>
      <c r="C1423" s="4" t="inlineStr">
        <is>
          <t>ESQUADRIA DE ALUMÍNIO</t>
        </is>
      </c>
      <c r="D1423" s="4" t="inlineStr">
        <is>
          <t>-</t>
        </is>
      </c>
      <c r="E1423" s="4" t="inlineStr">
        <is>
          <t>16º PAV.</t>
        </is>
      </c>
      <c r="F1423" s="118" t="n">
        <v>46850</v>
      </c>
      <c r="G1423" s="118" t="n">
        <v>46863</v>
      </c>
      <c r="H1423" s="118" t="n">
        <v>46289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IF(E1423="","",IF(LEFT(E1423,7)="SUBSOLO",-1,IF(LEFT(E1423,6)="TÉRREO",0,IFERROR(VALUE(LEFT(E1423,FIND("º",SUBSTITUTE(E1423,"°","º"))-1)),""))))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30206028</v>
      </c>
      <c r="C1424" s="4" t="inlineStr">
        <is>
          <t>CONTRAMARCO</t>
        </is>
      </c>
      <c r="D1424" s="4" t="inlineStr">
        <is>
          <t>-</t>
        </is>
      </c>
      <c r="E1424" s="4" t="inlineStr">
        <is>
          <t>6º PAV (PILOTIS) - CHURRASQUEIRA + IS MASC. PCD + IS FEM. PCD + CIRCULAÇÃO 1 + HALL 1</t>
        </is>
      </c>
      <c r="F1424" s="118" t="n">
        <v>46853</v>
      </c>
      <c r="G1424" s="118" t="n">
        <v>46860</v>
      </c>
      <c r="H1424" s="118" t="n">
        <v>46289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IF(E1424="","",IF(LEFT(E1424,7)="SUBSOLO",-1,IF(LEFT(E1424,6)="TÉRREO",0,IFERROR(VALUE(LEFT(E1424,FIND("º",SUBSTITUTE(E1424,"°","º"))-1)),""))))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30206019</v>
      </c>
      <c r="C1425" s="4" t="inlineStr">
        <is>
          <t>DISTRIBUIÇÃO HIDROSSANITÁRIA</t>
        </is>
      </c>
      <c r="D1425" s="4" t="inlineStr">
        <is>
          <t>-</t>
        </is>
      </c>
      <c r="E1425" s="4" t="inlineStr">
        <is>
          <t>6º PAV (PILOTIS) - COWORKING 1 E 2 + CIRC. 2 + HALL 2 + DML + VEST. MASC. + VEST. FEM</t>
        </is>
      </c>
      <c r="F1425" s="118" t="n">
        <v>46853</v>
      </c>
      <c r="G1425" s="118" t="n">
        <v>46868</v>
      </c>
      <c r="H1425" s="118" t="n">
        <v>46289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IF(E1425="","",IF(LEFT(E1425,7)="SUBSOLO",-1,IF(LEFT(E1425,6)="TÉRREO",0,IFERROR(VALUE(LEFT(E1425,FIND("º",SUBSTITUTE(E1425,"°","º"))-1)),""))))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30205990</v>
      </c>
      <c r="C1426" s="4" t="inlineStr">
        <is>
          <t>DISTRIBUIÇÃO ELÉTRICA / QUADRO</t>
        </is>
      </c>
      <c r="D1426" s="4" t="inlineStr">
        <is>
          <t>-</t>
        </is>
      </c>
      <c r="E1426" s="4" t="inlineStr">
        <is>
          <t>6º PAV (PILOTIS) - COWORKING 1 E 2 + CIRC. 2 + HALL 2 + DML + VEST. MASC. + VEST. FEM</t>
        </is>
      </c>
      <c r="F1426" s="118" t="n">
        <v>46853</v>
      </c>
      <c r="G1426" s="118" t="n">
        <v>46868</v>
      </c>
      <c r="H1426" s="118" t="n">
        <v>46289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IF(E1426="","",IF(LEFT(E1426,7)="SUBSOLO",-1,IF(LEFT(E1426,6)="TÉRREO",0,IFERROR(VALUE(LEFT(E1426,FIND("º",SUBSTITUTE(E1426,"°","º"))-1)),""))))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30205970</v>
      </c>
      <c r="C1427" s="4" t="inlineStr">
        <is>
          <t>TALISCAMENTO</t>
        </is>
      </c>
      <c r="D1427" s="4" t="inlineStr">
        <is>
          <t>-</t>
        </is>
      </c>
      <c r="E1427" s="4" t="inlineStr">
        <is>
          <t>6º PAV (PILOTIS) - LOUNGE + SALÃO + COZINHA + GOURMET + ESPAÇO KIDS</t>
        </is>
      </c>
      <c r="F1427" s="118" t="n">
        <v>46853</v>
      </c>
      <c r="G1427" s="118" t="n">
        <v>46868</v>
      </c>
      <c r="H1427" s="118" t="n">
        <v>46289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IF(E1427="","",IF(LEFT(E1427,7)="SUBSOLO",-1,IF(LEFT(E1427,6)="TÉRREO",0,IFERROR(VALUE(LEFT(E1427,FIND("º",SUBSTITUTE(E1427,"°","º"))-1)),""))))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29981033</v>
      </c>
      <c r="C1428" s="4" t="inlineStr">
        <is>
          <t>FORRO</t>
        </is>
      </c>
      <c r="D1428" s="4" t="inlineStr">
        <is>
          <t>-</t>
        </is>
      </c>
      <c r="E1428" s="4" t="inlineStr">
        <is>
          <t>21º PAV.</t>
        </is>
      </c>
      <c r="F1428" s="118" t="n">
        <v>46853</v>
      </c>
      <c r="G1428" s="118" t="n">
        <v>46867</v>
      </c>
      <c r="H1428" s="118" t="n">
        <v>46289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IF(E1428="","",IF(LEFT(E1428,7)="SUBSOLO",-1,IF(LEFT(E1428,6)="TÉRREO",0,IFERROR(VALUE(LEFT(E1428,FIND("º",SUBSTITUTE(E1428,"°","º"))-1)),""))))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29980994</v>
      </c>
      <c r="C1429" s="4" t="inlineStr">
        <is>
          <t>FIAÇÃO ELÉTRICA</t>
        </is>
      </c>
      <c r="D1429" s="4" t="inlineStr">
        <is>
          <t>-</t>
        </is>
      </c>
      <c r="E1429" s="4" t="inlineStr">
        <is>
          <t>22º PAV.</t>
        </is>
      </c>
      <c r="F1429" s="118" t="n">
        <v>46853</v>
      </c>
      <c r="G1429" s="118" t="n">
        <v>46867</v>
      </c>
      <c r="H1429" s="118" t="n">
        <v>46289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IF(E1429="","",IF(LEFT(E1429,7)="SUBSOLO",-1,IF(LEFT(E1429,6)="TÉRREO",0,IFERROR(VALUE(LEFT(E1429,FIND("º",SUBSTITUTE(E1429,"°","º"))-1)),""))))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29980999</v>
      </c>
      <c r="C1430" s="4" t="inlineStr">
        <is>
          <t>PRUMADA ELÉTRICA - CABOS</t>
        </is>
      </c>
      <c r="D1430" s="4" t="inlineStr">
        <is>
          <t>-</t>
        </is>
      </c>
      <c r="E1430" s="4" t="inlineStr">
        <is>
          <t>22º PAV.</t>
        </is>
      </c>
      <c r="F1430" s="118" t="n">
        <v>46853</v>
      </c>
      <c r="G1430" s="118" t="n">
        <v>46867</v>
      </c>
      <c r="H1430" s="118" t="n">
        <v>46289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IF(E1430="","",IF(LEFT(E1430,7)="SUBSOLO",-1,IF(LEFT(E1430,6)="TÉRREO",0,IFERROR(VALUE(LEFT(E1430,FIND("º",SUBSTITUTE(E1430,"°","º"))-1)),""))))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30214084</v>
      </c>
      <c r="C1431" s="4" t="inlineStr">
        <is>
          <t>FIAÇÃO TELECOM/DADOS</t>
        </is>
      </c>
      <c r="D1431" s="4" t="inlineStr">
        <is>
          <t>-</t>
        </is>
      </c>
      <c r="E1431" s="4" t="inlineStr">
        <is>
          <t>22º PAV.</t>
        </is>
      </c>
      <c r="F1431" s="118" t="n">
        <v>46853</v>
      </c>
      <c r="G1431" s="118" t="n">
        <v>46868</v>
      </c>
      <c r="H1431" s="118" t="n">
        <v>46289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IF(E1431="","",IF(LEFT(E1431,7)="SUBSOLO",-1,IF(LEFT(E1431,6)="TÉRREO",0,IFERROR(VALUE(LEFT(E1431,FIND("º",SUBSTITUTE(E1431,"°","º"))-1)),""))))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29980941</v>
      </c>
      <c r="C1432" s="4" t="inlineStr">
        <is>
          <t>BANCADAS</t>
        </is>
      </c>
      <c r="D1432" s="4" t="inlineStr">
        <is>
          <t>-</t>
        </is>
      </c>
      <c r="E1432" s="4" t="inlineStr">
        <is>
          <t>23º PAV.</t>
        </is>
      </c>
      <c r="F1432" s="118" t="n">
        <v>46853</v>
      </c>
      <c r="G1432" s="118" t="n">
        <v>46867</v>
      </c>
      <c r="H1432" s="118" t="n">
        <v>46289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IF(E1432="","",IF(LEFT(E1432,7)="SUBSOLO",-1,IF(LEFT(E1432,6)="TÉRREO",0,IFERROR(VALUE(LEFT(E1432,FIND("º",SUBSTITUTE(E1432,"°","º"))-1)),""))))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29980903</v>
      </c>
      <c r="C1433" s="4" t="inlineStr">
        <is>
          <t>REVESTIMENTOS PORCELANATO PISO</t>
        </is>
      </c>
      <c r="D1433" s="4" t="inlineStr">
        <is>
          <t>-</t>
        </is>
      </c>
      <c r="E1433" s="4" t="inlineStr">
        <is>
          <t>24º PAV.</t>
        </is>
      </c>
      <c r="F1433" s="118" t="n">
        <v>46853</v>
      </c>
      <c r="G1433" s="118" t="n">
        <v>46867</v>
      </c>
      <c r="H1433" s="118" t="n">
        <v>46289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IF(E1433="","",IF(LEFT(E1433,7)="SUBSOLO",-1,IF(LEFT(E1433,6)="TÉRREO",0,IFERROR(VALUE(LEFT(E1433,FIND("º",SUBSTITUTE(E1433,"°","º"))-1)),""))))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29980882</v>
      </c>
      <c r="C1434" s="4" t="inlineStr">
        <is>
          <t>REVESTIMENTO PORCELANATO PAREDE</t>
        </is>
      </c>
      <c r="D1434" s="4" t="inlineStr">
        <is>
          <t>-</t>
        </is>
      </c>
      <c r="E1434" s="4" t="inlineStr">
        <is>
          <t>25º PAV.</t>
        </is>
      </c>
      <c r="F1434" s="118" t="n">
        <v>46853</v>
      </c>
      <c r="G1434" s="118" t="n">
        <v>46867</v>
      </c>
      <c r="H1434" s="118" t="n">
        <v>46289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IF(E1434="","",IF(LEFT(E1434,7)="SUBSOLO",-1,IF(LEFT(E1434,6)="TÉRREO",0,IFERROR(VALUE(LEFT(E1434,FIND("º",SUBSTITUTE(E1434,"°","º"))-1)),""))))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29980843</v>
      </c>
      <c r="C1435" s="4" t="inlineStr">
        <is>
          <t>IMPERMEABILIZAÇÃO</t>
        </is>
      </c>
      <c r="D1435" s="4" t="inlineStr">
        <is>
          <t>-</t>
        </is>
      </c>
      <c r="E1435" s="4" t="inlineStr">
        <is>
          <t>26º PAV.</t>
        </is>
      </c>
      <c r="F1435" s="118" t="n">
        <v>46853</v>
      </c>
      <c r="G1435" s="118" t="n">
        <v>46867</v>
      </c>
      <c r="H1435" s="118" t="n">
        <v>46289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IF(E1435="","",IF(LEFT(E1435,7)="SUBSOLO",-1,IF(LEFT(E1435,6)="TÉRREO",0,IFERROR(VALUE(LEFT(E1435,FIND("º",SUBSTITUTE(E1435,"°","º"))-1)),""))))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32750453</v>
      </c>
      <c r="C1436" s="4" t="inlineStr">
        <is>
          <t>DRYWALL 2º FACE</t>
        </is>
      </c>
      <c r="D1436" s="4" t="inlineStr">
        <is>
          <t>-</t>
        </is>
      </c>
      <c r="E1436" s="4" t="inlineStr">
        <is>
          <t>27º PAV.</t>
        </is>
      </c>
      <c r="F1436" s="118" t="n">
        <v>46853</v>
      </c>
      <c r="G1436" s="118" t="n">
        <v>46867</v>
      </c>
      <c r="H1436" s="118" t="n">
        <v>46289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IF(E1436="","",IF(LEFT(E1436,7)="SUBSOLO",-1,IF(LEFT(E1436,6)="TÉRREO",0,IFERROR(VALUE(LEFT(E1436,FIND("º",SUBSTITUTE(E1436,"°","º"))-1)),""))))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32750376</v>
      </c>
      <c r="C1437" s="4" t="inlineStr">
        <is>
          <t>DISTRIBUIÇÃO DE GÁS - DRYWALL</t>
        </is>
      </c>
      <c r="D1437" s="4" t="inlineStr">
        <is>
          <t>-</t>
        </is>
      </c>
      <c r="E1437" s="4" t="inlineStr">
        <is>
          <t>28º PAV.</t>
        </is>
      </c>
      <c r="F1437" s="118" t="n">
        <v>46853</v>
      </c>
      <c r="G1437" s="118" t="n">
        <v>46867</v>
      </c>
      <c r="H1437" s="118" t="n">
        <v>46289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IF(E1437="","",IF(LEFT(E1437,7)="SUBSOLO",-1,IF(LEFT(E1437,6)="TÉRREO",0,IFERROR(VALUE(LEFT(E1437,FIND("º",SUBSTITUTE(E1437,"°","º"))-1)),""))))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32750402</v>
      </c>
      <c r="C1438" s="4" t="inlineStr">
        <is>
          <t>DISTRIBUIÇÃO ELÉTRICA/QUADRO - DRYWALL</t>
        </is>
      </c>
      <c r="D1438" s="4" t="inlineStr">
        <is>
          <t>-</t>
        </is>
      </c>
      <c r="E1438" s="4" t="inlineStr">
        <is>
          <t>28º PAV.</t>
        </is>
      </c>
      <c r="F1438" s="118" t="n">
        <v>46853</v>
      </c>
      <c r="G1438" s="118" t="n">
        <v>46867</v>
      </c>
      <c r="H1438" s="118" t="n">
        <v>46289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IF(E1438="","",IF(LEFT(E1438,7)="SUBSOLO",-1,IF(LEFT(E1438,6)="TÉRREO",0,IFERROR(VALUE(LEFT(E1438,FIND("º",SUBSTITUTE(E1438,"°","º"))-1)),""))))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32750428</v>
      </c>
      <c r="C1439" s="4" t="inlineStr">
        <is>
          <t>DISTRIBUIÇÃO HIDRÁULICA - DRYWALL</t>
        </is>
      </c>
      <c r="D1439" s="4" t="inlineStr">
        <is>
          <t>-</t>
        </is>
      </c>
      <c r="E1439" s="4" t="inlineStr">
        <is>
          <t>28º PAV.</t>
        </is>
      </c>
      <c r="F1439" s="118" t="n">
        <v>46853</v>
      </c>
      <c r="G1439" s="118" t="n">
        <v>46867</v>
      </c>
      <c r="H1439" s="118" t="n">
        <v>46289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IF(E1439="","",IF(LEFT(E1439,7)="SUBSOLO",-1,IF(LEFT(E1439,6)="TÉRREO",0,IFERROR(VALUE(LEFT(E1439,FIND("º",SUBSTITUTE(E1439,"°","º"))-1)),""))))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33896846</v>
      </c>
      <c r="C1440" s="4" t="inlineStr">
        <is>
          <t>INFRAESTRUTURA - AR CONDICIONADO</t>
        </is>
      </c>
      <c r="D1440" s="4" t="inlineStr">
        <is>
          <t>-</t>
        </is>
      </c>
      <c r="E1440" s="4" t="inlineStr">
        <is>
          <t>28º PAV.</t>
        </is>
      </c>
      <c r="F1440" s="118" t="n">
        <v>46853</v>
      </c>
      <c r="G1440" s="118" t="n">
        <v>46867</v>
      </c>
      <c r="H1440" s="118" t="n">
        <v>46289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IF(E1440="","",IF(LEFT(E1440,7)="SUBSOLO",-1,IF(LEFT(E1440,6)="TÉRREO",0,IFERROR(VALUE(LEFT(E1440,FIND("º",SUBSTITUTE(E1440,"°","º"))-1)),""))))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32749872</v>
      </c>
      <c r="C1441" s="4" t="inlineStr">
        <is>
          <t>DRYWALL 1º FACE</t>
        </is>
      </c>
      <c r="D1441" s="4" t="inlineStr">
        <is>
          <t>-</t>
        </is>
      </c>
      <c r="E1441" s="4" t="inlineStr">
        <is>
          <t>29º PAV.</t>
        </is>
      </c>
      <c r="F1441" s="118" t="n">
        <v>46853</v>
      </c>
      <c r="G1441" s="118" t="n">
        <v>46867</v>
      </c>
      <c r="H1441" s="118" t="n">
        <v>46289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IF(E1441="","",IF(LEFT(E1441,7)="SUBSOLO",-1,IF(LEFT(E1441,6)="TÉRREO",0,IFERROR(VALUE(LEFT(E1441,FIND("º",SUBSTITUTE(E1441,"°","º"))-1)),""))))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29980696</v>
      </c>
      <c r="C1442" s="4" t="inlineStr">
        <is>
          <t>CONTRAPISO</t>
        </is>
      </c>
      <c r="D1442" s="4" t="inlineStr">
        <is>
          <t>-</t>
        </is>
      </c>
      <c r="E1442" s="4" t="inlineStr">
        <is>
          <t>30º PAV.</t>
        </is>
      </c>
      <c r="F1442" s="118" t="n">
        <v>46853</v>
      </c>
      <c r="G1442" s="118" t="n">
        <v>46867</v>
      </c>
      <c r="H1442" s="118" t="n">
        <v>46289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IF(E1442="","",IF(LEFT(E1442,7)="SUBSOLO",-1,IF(LEFT(E1442,6)="TÉRREO",0,IFERROR(VALUE(LEFT(E1442,FIND("º",SUBSTITUTE(E1442,"°","º"))-1)),""))))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29980636</v>
      </c>
      <c r="C1443" s="4" t="inlineStr">
        <is>
          <t>SHAFT INTERNO INST. HIDRAÚLICAS</t>
        </is>
      </c>
      <c r="D1443" s="4" t="inlineStr">
        <is>
          <t>-</t>
        </is>
      </c>
      <c r="E1443" s="4" t="inlineStr">
        <is>
          <t>31º PAV. - COBERTURA LINEAR</t>
        </is>
      </c>
      <c r="F1443" s="118" t="n">
        <v>46853</v>
      </c>
      <c r="G1443" s="118" t="n">
        <v>46867</v>
      </c>
      <c r="H1443" s="118" t="n">
        <v>46289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IF(E1443="","",IF(LEFT(E1443,7)="SUBSOLO",-1,IF(LEFT(E1443,6)="TÉRREO",0,IFERROR(VALUE(LEFT(E1443,FIND("º",SUBSTITUTE(E1443,"°","º"))-1)),""))))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29980669</v>
      </c>
      <c r="C1444" s="4" t="inlineStr">
        <is>
          <t>PRUMADA ELÉTRICA - INFRA</t>
        </is>
      </c>
      <c r="D1444" s="4" t="inlineStr">
        <is>
          <t>-</t>
        </is>
      </c>
      <c r="E1444" s="4" t="inlineStr">
        <is>
          <t>31º PAV. - COBERTURA LINEAR</t>
        </is>
      </c>
      <c r="F1444" s="118" t="n">
        <v>46853</v>
      </c>
      <c r="G1444" s="118" t="n">
        <v>46867</v>
      </c>
      <c r="H1444" s="118" t="n">
        <v>46289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IF(E1444="","",IF(LEFT(E1444,7)="SUBSOLO",-1,IF(LEFT(E1444,6)="TÉRREO",0,IFERROR(VALUE(LEFT(E1444,FIND("º",SUBSTITUTE(E1444,"°","º"))-1)),""))))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29980598</v>
      </c>
      <c r="C1445" s="4" t="inlineStr">
        <is>
          <t>REBOCO INTERNO</t>
        </is>
      </c>
      <c r="D1445" s="4" t="inlineStr">
        <is>
          <t>-</t>
        </is>
      </c>
      <c r="E1445" s="4" t="inlineStr">
        <is>
          <t>32º PAV - COBERTURA GERAL</t>
        </is>
      </c>
      <c r="F1445" s="118" t="n">
        <v>46853</v>
      </c>
      <c r="G1445" s="118" t="n">
        <v>46867</v>
      </c>
      <c r="H1445" s="118" t="n">
        <v>46289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IF(E1445="","",IF(LEFT(E1445,7)="SUBSOLO",-1,IF(LEFT(E1445,6)="TÉRREO",0,IFERROR(VALUE(LEFT(E1445,FIND("º",SUBSTITUTE(E1445,"°","º"))-1)),""))))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29981101</v>
      </c>
      <c r="C1446" s="4" t="inlineStr">
        <is>
          <t>PRUMADA HIDROSSANITÁRIA</t>
        </is>
      </c>
      <c r="D1446" s="4" t="inlineStr">
        <is>
          <t>-</t>
        </is>
      </c>
      <c r="E1446" s="4" t="inlineStr">
        <is>
          <t>19º PAV.</t>
        </is>
      </c>
      <c r="F1446" s="118" t="n">
        <v>46854</v>
      </c>
      <c r="G1446" s="118" t="n">
        <v>46868</v>
      </c>
      <c r="H1446" s="118" t="n">
        <v>46289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IF(E1446="","",IF(LEFT(E1446,7)="SUBSOLO",-1,IF(LEFT(E1446,6)="TÉRREO",0,IFERROR(VALUE(LEFT(E1446,FIND("º",SUBSTITUTE(E1446,"°","º"))-1)),""))))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30210372</v>
      </c>
      <c r="C1447" s="4" t="inlineStr">
        <is>
          <t>INSTALAÇÕES ELÉTRICAS</t>
        </is>
      </c>
      <c r="D1447" s="4" t="inlineStr">
        <is>
          <t>-</t>
        </is>
      </c>
      <c r="E1447" s="4" t="inlineStr">
        <is>
          <t>33º PAV - BARRILETE</t>
        </is>
      </c>
      <c r="F1447" s="118" t="n">
        <v>46854</v>
      </c>
      <c r="G1447" s="118" t="n">
        <v>46903</v>
      </c>
      <c r="H1447" s="118" t="n">
        <v>46289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IF(E1447="","",IF(LEFT(E1447,7)="SUBSOLO",-1,IF(LEFT(E1447,6)="TÉRREO",0,IFERROR(VALUE(LEFT(E1447,FIND("º",SUBSTITUTE(E1447,"°","º"))-1)),""))))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30210373</v>
      </c>
      <c r="C1448" s="4" t="inlineStr">
        <is>
          <t>INSTALAÇÕES HIDRÁULICAS</t>
        </is>
      </c>
      <c r="D1448" s="4" t="inlineStr">
        <is>
          <t>-</t>
        </is>
      </c>
      <c r="E1448" s="4" t="inlineStr">
        <is>
          <t>33º PAV - BARRILETE</t>
        </is>
      </c>
      <c r="F1448" s="118" t="n">
        <v>46854</v>
      </c>
      <c r="G1448" s="118" t="n">
        <v>46903</v>
      </c>
      <c r="H1448" s="118" t="n">
        <v>46289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IF(E1448="","",IF(LEFT(E1448,7)="SUBSOLO",-1,IF(LEFT(E1448,6)="TÉRREO",0,IFERROR(VALUE(LEFT(E1448,FIND("º",SUBSTITUTE(E1448,"°","º"))-1)),""))))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30211205</v>
      </c>
      <c r="C1449" s="4" t="inlineStr">
        <is>
          <t>ALVENARIA</t>
        </is>
      </c>
      <c r="D1449" s="4" t="inlineStr">
        <is>
          <t>-</t>
        </is>
      </c>
      <c r="E1449" s="4" t="inlineStr">
        <is>
          <t>34º PAV - RESERVATÓRIO</t>
        </is>
      </c>
      <c r="F1449" s="118" t="n">
        <v>46854</v>
      </c>
      <c r="G1449" s="118" t="n">
        <v>46877</v>
      </c>
      <c r="H1449" s="118" t="n">
        <v>46289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IF(E1449="","",IF(LEFT(E1449,7)="SUBSOLO",-1,IF(LEFT(E1449,6)="TÉRREO",0,IFERROR(VALUE(LEFT(E1449,FIND("º",SUBSTITUTE(E1449,"°","º"))-1)),""))))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30205688</v>
      </c>
      <c r="C1450" s="4" t="inlineStr">
        <is>
          <t>DISJUNTORES / MIOLOS</t>
        </is>
      </c>
      <c r="D1450" s="4" t="inlineStr">
        <is>
          <t>-</t>
        </is>
      </c>
      <c r="E1450" s="4" t="inlineStr">
        <is>
          <t>TÉRREO - LOJA 1</t>
        </is>
      </c>
      <c r="F1450" s="118" t="n">
        <v>46855</v>
      </c>
      <c r="G1450" s="118" t="n">
        <v>46862</v>
      </c>
      <c r="H1450" s="118" t="n">
        <v>46289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IF(E1450="","",IF(LEFT(E1450,7)="SUBSOLO",-1,IF(LEFT(E1450,6)="TÉRREO",0,IFERROR(VALUE(LEFT(E1450,FIND("º",SUBSTITUTE(E1450,"°","º"))-1)),""))))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30205663</v>
      </c>
      <c r="C1451" s="4" t="inlineStr">
        <is>
          <t>ESQUADRIA MADEIRA</t>
        </is>
      </c>
      <c r="D1451" s="4" t="inlineStr">
        <is>
          <t>-</t>
        </is>
      </c>
      <c r="E1451" s="4" t="inlineStr">
        <is>
          <t>TÉRREO - LOJA 2</t>
        </is>
      </c>
      <c r="F1451" s="118" t="n">
        <v>46855</v>
      </c>
      <c r="G1451" s="118" t="n">
        <v>46870</v>
      </c>
      <c r="H1451" s="118" t="n">
        <v>46289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IF(E1451="","",IF(LEFT(E1451,7)="SUBSOLO",-1,IF(LEFT(E1451,6)="TÉRREO",0,IFERROR(VALUE(LEFT(E1451,FIND("º",SUBSTITUTE(E1451,"°","º"))-1)),""))))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30205662</v>
      </c>
      <c r="C1452" s="4" t="inlineStr">
        <is>
          <t>LOUÇAS</t>
        </is>
      </c>
      <c r="D1452" s="4" t="inlineStr">
        <is>
          <t>-</t>
        </is>
      </c>
      <c r="E1452" s="4" t="inlineStr">
        <is>
          <t>TÉRREO - LOJA 2</t>
        </is>
      </c>
      <c r="F1452" s="118" t="n">
        <v>46855</v>
      </c>
      <c r="G1452" s="118" t="n">
        <v>46870</v>
      </c>
      <c r="H1452" s="118" t="n">
        <v>46289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IF(E1452="","",IF(LEFT(E1452,7)="SUBSOLO",-1,IF(LEFT(E1452,6)="TÉRREO",0,IFERROR(VALUE(LEFT(E1452,FIND("º",SUBSTITUTE(E1452,"°","º"))-1)),""))))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30205660</v>
      </c>
      <c r="C1453" s="4" t="inlineStr">
        <is>
          <t>METAIS</t>
        </is>
      </c>
      <c r="D1453" s="4" t="inlineStr">
        <is>
          <t>-</t>
        </is>
      </c>
      <c r="E1453" s="4" t="inlineStr">
        <is>
          <t>TÉRREO - LOJA 2</t>
        </is>
      </c>
      <c r="F1453" s="118" t="n">
        <v>46855</v>
      </c>
      <c r="G1453" s="118" t="n">
        <v>46870</v>
      </c>
      <c r="H1453" s="118" t="n">
        <v>46289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IF(E1453="","",IF(LEFT(E1453,7)="SUBSOLO",-1,IF(LEFT(E1453,6)="TÉRREO",0,IFERROR(VALUE(LEFT(E1453,FIND("º",SUBSTITUTE(E1453,"°","º"))-1)),""))))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30205645</v>
      </c>
      <c r="C1454" s="4" t="inlineStr">
        <is>
          <t>PINTURA 1º DEMÃO</t>
        </is>
      </c>
      <c r="D1454" s="4" t="inlineStr">
        <is>
          <t>-</t>
        </is>
      </c>
      <c r="E1454" s="4" t="inlineStr">
        <is>
          <t>TÉRREO - LOJA 3</t>
        </is>
      </c>
      <c r="F1454" s="118" t="n">
        <v>46855</v>
      </c>
      <c r="G1454" s="118" t="n">
        <v>46870</v>
      </c>
      <c r="H1454" s="118" t="n">
        <v>46289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IF(E1454="","",IF(LEFT(E1454,7)="SUBSOLO",-1,IF(LEFT(E1454,6)="TÉRREO",0,IFERROR(VALUE(LEFT(E1454,FIND("º",SUBSTITUTE(E1454,"°","º"))-1)),""))))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29981100</v>
      </c>
      <c r="C1455" s="4" t="inlineStr">
        <is>
          <t>ENCUNHAMENTO</t>
        </is>
      </c>
      <c r="D1455" s="4" t="inlineStr">
        <is>
          <t>-</t>
        </is>
      </c>
      <c r="E1455" s="4" t="inlineStr">
        <is>
          <t>19º PAV.</t>
        </is>
      </c>
      <c r="F1455" s="118" t="n">
        <v>46856</v>
      </c>
      <c r="G1455" s="118" t="n">
        <v>46870</v>
      </c>
      <c r="H1455" s="118" t="n">
        <v>46289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IF(E1455="","",IF(LEFT(E1455,7)="SUBSOLO",-1,IF(LEFT(E1455,6)="TÉRREO",0,IFERROR(VALUE(LEFT(E1455,FIND("º",SUBSTITUTE(E1455,"°","º"))-1)),""))))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30205717</v>
      </c>
      <c r="C1456" s="4" t="inlineStr">
        <is>
          <t>TEXTURA - 1º DEMÃO</t>
        </is>
      </c>
      <c r="D1456" s="4" t="inlineStr">
        <is>
          <t>-</t>
        </is>
      </c>
      <c r="E1456" s="4" t="inlineStr">
        <is>
          <t>SUBSOLO</t>
        </is>
      </c>
      <c r="F1456" s="118" t="n">
        <v>46860</v>
      </c>
      <c r="G1456" s="118" t="n">
        <v>46891</v>
      </c>
      <c r="H1456" s="118" t="n">
        <v>46289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IF(E1456="","",IF(LEFT(E1456,7)="SUBSOLO",-1,IF(LEFT(E1456,6)="TÉRREO",0,IFERROR(VALUE(LEFT(E1456,FIND("º",SUBSTITUTE(E1456,"°","º"))-1)),""))))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30205733</v>
      </c>
      <c r="C1457" s="4" t="inlineStr">
        <is>
          <t>PINTURA DE TUBULAÇÕES (PAREDE E TETO)</t>
        </is>
      </c>
      <c r="D1457" s="4" t="inlineStr">
        <is>
          <t>-</t>
        </is>
      </c>
      <c r="E1457" s="4" t="inlineStr">
        <is>
          <t>SUBSOLO</t>
        </is>
      </c>
      <c r="F1457" s="118" t="n">
        <v>46860</v>
      </c>
      <c r="G1457" s="118" t="n">
        <v>46891</v>
      </c>
      <c r="H1457" s="118" t="n">
        <v>46289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IF(E1457="","",IF(LEFT(E1457,7)="SUBSOLO",-1,IF(LEFT(E1457,6)="TÉRREO",0,IFERROR(VALUE(LEFT(E1457,FIND("º",SUBSTITUTE(E1457,"°","º"))-1)),""))))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30205852</v>
      </c>
      <c r="C1458" s="4" t="inlineStr">
        <is>
          <t>BANCADAS</t>
        </is>
      </c>
      <c r="D1458" s="4" t="inlineStr">
        <is>
          <t>-</t>
        </is>
      </c>
      <c r="E1458" s="4" t="inlineStr">
        <is>
          <t>1º PAV. (INTERMEDIÁRIO)</t>
        </is>
      </c>
      <c r="F1458" s="118" t="n">
        <v>46860</v>
      </c>
      <c r="G1458" s="118" t="n">
        <v>46875</v>
      </c>
      <c r="H1458" s="118" t="n">
        <v>46289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IF(E1458="","",IF(LEFT(E1458,7)="SUBSOLO",-1,IF(LEFT(E1458,6)="TÉRREO",0,IFERROR(VALUE(LEFT(E1458,FIND("º",SUBSTITUTE(E1458,"°","º"))-1)),""))))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31791437</v>
      </c>
      <c r="C1459" s="4" t="inlineStr">
        <is>
          <t>PEITORIS E REQUADROS DE FACHADA - F1 + F2 (2º ETAPA)</t>
        </is>
      </c>
      <c r="D1459" s="4" t="inlineStr">
        <is>
          <t>-</t>
        </is>
      </c>
      <c r="E1459" s="4" t="inlineStr">
        <is>
          <t>FACHADA</t>
        </is>
      </c>
      <c r="F1459" s="118" t="n">
        <v>46860</v>
      </c>
      <c r="G1459" s="118" t="n">
        <v>46882</v>
      </c>
      <c r="H1459" s="118" t="n">
        <v>46289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IF(E1459="","",IF(LEFT(E1459,7)="SUBSOLO",-1,IF(LEFT(E1459,6)="TÉRREO",0,IFERROR(VALUE(LEFT(E1459,FIND("º",SUBSTITUTE(E1459,"°","º"))-1)),""))))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30206123</v>
      </c>
      <c r="C1460" s="4" t="inlineStr">
        <is>
          <t>CONTRAPISO</t>
        </is>
      </c>
      <c r="D1460" s="4" t="inlineStr">
        <is>
          <t>-</t>
        </is>
      </c>
      <c r="E1460" s="4" t="inlineStr">
        <is>
          <t>6º PAV (PILOTIS) - ACADEMIA</t>
        </is>
      </c>
      <c r="F1460" s="118" t="n">
        <v>46861</v>
      </c>
      <c r="G1460" s="118" t="n">
        <v>46876</v>
      </c>
      <c r="H1460" s="118" t="n">
        <v>46289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IF(E1460="","",IF(LEFT(E1460,7)="SUBSOLO",-1,IF(LEFT(E1460,6)="TÉRREO",0,IFERROR(VALUE(LEFT(E1460,FIND("º",SUBSTITUTE(E1460,"°","º"))-1)),""))))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30206063</v>
      </c>
      <c r="C1461" s="4" t="inlineStr">
        <is>
          <t>SHAFT INTERNO INST. HIDRAÚLICAS</t>
        </is>
      </c>
      <c r="D1461" s="4" t="inlineStr">
        <is>
          <t>-</t>
        </is>
      </c>
      <c r="E1461" s="4" t="inlineStr">
        <is>
          <t>6º PAV (PILOTIS) - SAUNA + DUCHA</t>
        </is>
      </c>
      <c r="F1461" s="118" t="n">
        <v>46861</v>
      </c>
      <c r="G1461" s="118" t="n">
        <v>46876</v>
      </c>
      <c r="H1461" s="118" t="n">
        <v>46289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IF(E1461="","",IF(LEFT(E1461,7)="SUBSOLO",-1,IF(LEFT(E1461,6)="TÉRREO",0,IFERROR(VALUE(LEFT(E1461,FIND("º",SUBSTITUTE(E1461,"°","º"))-1)),""))))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30206025</v>
      </c>
      <c r="C1462" s="4" t="inlineStr">
        <is>
          <t>REBOCO INTERNO</t>
        </is>
      </c>
      <c r="D1462" s="4" t="inlineStr">
        <is>
          <t>-</t>
        </is>
      </c>
      <c r="E1462" s="4" t="inlineStr">
        <is>
          <t>6º PAV (PILOTIS) - CHURRASQUEIRA + IS MASC. PCD + IS FEM. PCD + CIRCULAÇÃO 1 + HALL 1</t>
        </is>
      </c>
      <c r="F1462" s="118" t="n">
        <v>46861</v>
      </c>
      <c r="G1462" s="118" t="n">
        <v>46876</v>
      </c>
      <c r="H1462" s="118" t="n">
        <v>46289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IF(E1462="","",IF(LEFT(E1462,7)="SUBSOLO",-1,IF(LEFT(E1462,6)="TÉRREO",0,IFERROR(VALUE(LEFT(E1462,FIND("º",SUBSTITUTE(E1462,"°","º"))-1)),""))))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30205707</v>
      </c>
      <c r="C1463" s="4" t="inlineStr">
        <is>
          <t>LIMPEZA GROSSA</t>
        </is>
      </c>
      <c r="D1463" s="4" t="inlineStr">
        <is>
          <t>-</t>
        </is>
      </c>
      <c r="E1463" s="4" t="inlineStr">
        <is>
          <t>TÉRREO - LOJA 1</t>
        </is>
      </c>
      <c r="F1463" s="118" t="n">
        <v>46863</v>
      </c>
      <c r="G1463" s="118" t="n">
        <v>46878</v>
      </c>
      <c r="H1463" s="118" t="n">
        <v>46289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IF(E1463="","",IF(LEFT(E1463,7)="SUBSOLO",-1,IF(LEFT(E1463,6)="TÉRREO",0,IFERROR(VALUE(LEFT(E1463,FIND("º",SUBSTITUTE(E1463,"°","º"))-1)),""))))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30171516</v>
      </c>
      <c r="C1464" s="4" t="inlineStr">
        <is>
          <t>PINTURA 2º DEMÃO</t>
        </is>
      </c>
      <c r="D1464" s="4" t="inlineStr">
        <is>
          <t>-</t>
        </is>
      </c>
      <c r="E1464" s="4" t="inlineStr">
        <is>
          <t>HALL - APTOS</t>
        </is>
      </c>
      <c r="F1464" s="118" t="n">
        <v>46867</v>
      </c>
      <c r="G1464" s="118" t="n">
        <v>47165</v>
      </c>
      <c r="H1464" s="118" t="n">
        <v>46289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IF(E1464="","",IF(LEFT(E1464,7)="SUBSOLO",-1,IF(LEFT(E1464,6)="TÉRREO",0,IFERROR(VALUE(LEFT(E1464,FIND("º",SUBSTITUTE(E1464,"°","º"))-1)),""))))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29981539</v>
      </c>
      <c r="C1465" s="4" t="inlineStr">
        <is>
          <t>CHECKLIST</t>
        </is>
      </c>
      <c r="D1465" s="4" t="inlineStr">
        <is>
          <t>-</t>
        </is>
      </c>
      <c r="E1465" s="4" t="inlineStr">
        <is>
          <t>7º PAV.</t>
        </is>
      </c>
      <c r="F1465" s="118" t="n">
        <v>46867</v>
      </c>
      <c r="G1465" s="118" t="n">
        <v>46871</v>
      </c>
      <c r="H1465" s="118" t="n">
        <v>46289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IF(E1465="","",IF(LEFT(E1465,7)="SUBSOLO",-1,IF(LEFT(E1465,6)="TÉRREO",0,IFERROR(VALUE(LEFT(E1465,FIND("º",SUBSTITUTE(E1465,"°","º"))-1)),""))))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29981504</v>
      </c>
      <c r="C1466" s="4" t="inlineStr">
        <is>
          <t>ACABAMENTOS ELÉTRICOS</t>
        </is>
      </c>
      <c r="D1466" s="4" t="inlineStr">
        <is>
          <t>-</t>
        </is>
      </c>
      <c r="E1466" s="4" t="inlineStr">
        <is>
          <t>8º PAV.</t>
        </is>
      </c>
      <c r="F1466" s="118" t="n">
        <v>46867</v>
      </c>
      <c r="G1466" s="118" t="n">
        <v>46878</v>
      </c>
      <c r="H1466" s="118" t="n">
        <v>46289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IF(E1466="","",IF(LEFT(E1466,7)="SUBSOLO",-1,IF(LEFT(E1466,6)="TÉRREO",0,IFERROR(VALUE(LEFT(E1466,FIND("º",SUBSTITUTE(E1466,"°","º"))-1)),""))))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29981464</v>
      </c>
      <c r="C1467" s="4" t="inlineStr">
        <is>
          <t>PINTURA 2º DEMÃO</t>
        </is>
      </c>
      <c r="D1467" s="4" t="inlineStr">
        <is>
          <t>-</t>
        </is>
      </c>
      <c r="E1467" s="4" t="inlineStr">
        <is>
          <t>9º PAV.</t>
        </is>
      </c>
      <c r="F1467" s="118" t="n">
        <v>46867</v>
      </c>
      <c r="G1467" s="118" t="n">
        <v>46878</v>
      </c>
      <c r="H1467" s="118" t="n">
        <v>46289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IF(E1467="","",IF(LEFT(E1467,7)="SUBSOLO",-1,IF(LEFT(E1467,6)="TÉRREO",0,IFERROR(VALUE(LEFT(E1467,FIND("º",SUBSTITUTE(E1467,"°","º"))-1)),""))))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33919787</v>
      </c>
      <c r="C1468" s="4" t="inlineStr">
        <is>
          <t>TEXTURA - EXTERNA</t>
        </is>
      </c>
      <c r="D1468" s="4" t="inlineStr">
        <is>
          <t>-</t>
        </is>
      </c>
      <c r="E1468" s="4" t="inlineStr">
        <is>
          <t>9º PAV.</t>
        </is>
      </c>
      <c r="F1468" s="118" t="n">
        <v>46867</v>
      </c>
      <c r="G1468" s="118" t="n">
        <v>46878</v>
      </c>
      <c r="H1468" s="118" t="n">
        <v>46289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IF(E1468="","",IF(LEFT(E1468,7)="SUBSOLO",-1,IF(LEFT(E1468,6)="TÉRREO",0,IFERROR(VALUE(LEFT(E1468,FIND("º",SUBSTITUTE(E1468,"°","º"))-1)),""))))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29981426</v>
      </c>
      <c r="C1469" s="4" t="inlineStr">
        <is>
          <t>LIMPEZA GROSSA</t>
        </is>
      </c>
      <c r="D1469" s="4" t="inlineStr">
        <is>
          <t>-</t>
        </is>
      </c>
      <c r="E1469" s="4" t="inlineStr">
        <is>
          <t>10º PAV.</t>
        </is>
      </c>
      <c r="F1469" s="118" t="n">
        <v>46867</v>
      </c>
      <c r="G1469" s="118" t="n">
        <v>46878</v>
      </c>
      <c r="H1469" s="118" t="n">
        <v>46289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IF(E1469="","",IF(LEFT(E1469,7)="SUBSOLO",-1,IF(LEFT(E1469,6)="TÉRREO",0,IFERROR(VALUE(LEFT(E1469,FIND("º",SUBSTITUTE(E1469,"°","º"))-1)),""))))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29981383</v>
      </c>
      <c r="C1470" s="4" t="inlineStr">
        <is>
          <t>LOUÇAS</t>
        </is>
      </c>
      <c r="D1470" s="4" t="inlineStr">
        <is>
          <t>-</t>
        </is>
      </c>
      <c r="E1470" s="4" t="inlineStr">
        <is>
          <t>11º PAV.</t>
        </is>
      </c>
      <c r="F1470" s="118" t="n">
        <v>46867</v>
      </c>
      <c r="G1470" s="118" t="n">
        <v>46878</v>
      </c>
      <c r="H1470" s="118" t="n">
        <v>46289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IF(E1470="","",IF(LEFT(E1470,7)="SUBSOLO",-1,IF(LEFT(E1470,6)="TÉRREO",0,IFERROR(VALUE(LEFT(E1470,FIND("º",SUBSTITUTE(E1470,"°","º"))-1)),""))))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29981388</v>
      </c>
      <c r="C1471" s="4" t="inlineStr">
        <is>
          <t>METAIS</t>
        </is>
      </c>
      <c r="D1471" s="4" t="inlineStr">
        <is>
          <t>-</t>
        </is>
      </c>
      <c r="E1471" s="4" t="inlineStr">
        <is>
          <t>11º PAV.</t>
        </is>
      </c>
      <c r="F1471" s="118" t="n">
        <v>46867</v>
      </c>
      <c r="G1471" s="118" t="n">
        <v>46878</v>
      </c>
      <c r="H1471" s="118" t="n">
        <v>46289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IF(E1471="","",IF(LEFT(E1471,7)="SUBSOLO",-1,IF(LEFT(E1471,6)="TÉRREO",0,IFERROR(VALUE(LEFT(E1471,FIND("º",SUBSTITUTE(E1471,"°","º"))-1)),""))))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29981387</v>
      </c>
      <c r="C1472" s="4" t="inlineStr">
        <is>
          <t>DISJUNTORES / MIOLOS</t>
        </is>
      </c>
      <c r="D1472" s="4" t="inlineStr">
        <is>
          <t>-</t>
        </is>
      </c>
      <c r="E1472" s="4" t="inlineStr">
        <is>
          <t>11º PAV.</t>
        </is>
      </c>
      <c r="F1472" s="118" t="n">
        <v>46867</v>
      </c>
      <c r="G1472" s="118" t="n">
        <v>46878</v>
      </c>
      <c r="H1472" s="118" t="n">
        <v>46289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IF(E1472="","",IF(LEFT(E1472,7)="SUBSOLO",-1,IF(LEFT(E1472,6)="TÉRREO",0,IFERROR(VALUE(LEFT(E1472,FIND("º",SUBSTITUTE(E1472,"°","º"))-1)),""))))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29981386</v>
      </c>
      <c r="C1473" s="4" t="inlineStr">
        <is>
          <t>COMUNICAÇÃO E ALARME</t>
        </is>
      </c>
      <c r="D1473" s="4" t="inlineStr">
        <is>
          <t>-</t>
        </is>
      </c>
      <c r="E1473" s="4" t="inlineStr">
        <is>
          <t>11º PAV.</t>
        </is>
      </c>
      <c r="F1473" s="118" t="n">
        <v>46867</v>
      </c>
      <c r="G1473" s="118" t="n">
        <v>46878</v>
      </c>
      <c r="H1473" s="118" t="n">
        <v>46289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IF(E1473="","",IF(LEFT(E1473,7)="SUBSOLO",-1,IF(LEFT(E1473,6)="TÉRREO",0,IFERROR(VALUE(LEFT(E1473,FIND("º",SUBSTITUTE(E1473,"°","º"))-1)),""))))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29981345</v>
      </c>
      <c r="C1474" s="4" t="inlineStr">
        <is>
          <t>RODAPÉ MADEIRA / PVC</t>
        </is>
      </c>
      <c r="D1474" s="4" t="inlineStr">
        <is>
          <t>-</t>
        </is>
      </c>
      <c r="E1474" s="4" t="inlineStr">
        <is>
          <t>12º PAV.</t>
        </is>
      </c>
      <c r="F1474" s="118" t="n">
        <v>46867</v>
      </c>
      <c r="G1474" s="118" t="n">
        <v>46878</v>
      </c>
      <c r="H1474" s="118" t="n">
        <v>46289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IF(E1474="","",IF(LEFT(E1474,7)="SUBSOLO",-1,IF(LEFT(E1474,6)="TÉRREO",0,IFERROR(VALUE(LEFT(E1474,FIND("º",SUBSTITUTE(E1474,"°","º"))-1)),""))))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29981307</v>
      </c>
      <c r="C1475" s="4" t="inlineStr">
        <is>
          <t>ESQUADRIA MADEIRA</t>
        </is>
      </c>
      <c r="D1475" s="4" t="inlineStr">
        <is>
          <t>-</t>
        </is>
      </c>
      <c r="E1475" s="4" t="inlineStr">
        <is>
          <t>13º PAV.</t>
        </is>
      </c>
      <c r="F1475" s="118" t="n">
        <v>46867</v>
      </c>
      <c r="G1475" s="118" t="n">
        <v>46878</v>
      </c>
      <c r="H1475" s="118" t="n">
        <v>46289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IF(E1475="","",IF(LEFT(E1475,7)="SUBSOLO",-1,IF(LEFT(E1475,6)="TÉRREO",0,IFERROR(VALUE(LEFT(E1475,FIND("º",SUBSTITUTE(E1475,"°","º"))-1)),""))))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29981269</v>
      </c>
      <c r="C1476" s="4" t="inlineStr">
        <is>
          <t>PISO VINÍLICO / LAMINADO</t>
        </is>
      </c>
      <c r="D1476" s="4" t="inlineStr">
        <is>
          <t>-</t>
        </is>
      </c>
      <c r="E1476" s="4" t="inlineStr">
        <is>
          <t>14º PAV.</t>
        </is>
      </c>
      <c r="F1476" s="118" t="n">
        <v>46867</v>
      </c>
      <c r="G1476" s="118" t="n">
        <v>46878</v>
      </c>
      <c r="H1476" s="118" t="n">
        <v>46289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IF(E1476="","",IF(LEFT(E1476,7)="SUBSOLO",-1,IF(LEFT(E1476,6)="TÉRREO",0,IFERROR(VALUE(LEFT(E1476,FIND("º",SUBSTITUTE(E1476,"°","º"))-1)),""))))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29981231</v>
      </c>
      <c r="C1477" s="4" t="inlineStr">
        <is>
          <t>PINTURA 1º DEMÃO</t>
        </is>
      </c>
      <c r="D1477" s="4" t="inlineStr">
        <is>
          <t>-</t>
        </is>
      </c>
      <c r="E1477" s="4" t="inlineStr">
        <is>
          <t>15º PAV.</t>
        </is>
      </c>
      <c r="F1477" s="118" t="n">
        <v>46867</v>
      </c>
      <c r="G1477" s="118" t="n">
        <v>46878</v>
      </c>
      <c r="H1477" s="118" t="n">
        <v>46289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IF(E1477="","",IF(LEFT(E1477,7)="SUBSOLO",-1,IF(LEFT(E1477,6)="TÉRREO",0,IFERROR(VALUE(LEFT(E1477,FIND("º",SUBSTITUTE(E1477,"°","º"))-1)),""))))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29981220</v>
      </c>
      <c r="C1478" s="4" t="inlineStr">
        <is>
          <t>MASSA CORRIDA</t>
        </is>
      </c>
      <c r="D1478" s="4" t="inlineStr">
        <is>
          <t>-</t>
        </is>
      </c>
      <c r="E1478" s="4" t="inlineStr">
        <is>
          <t>16º PAV.</t>
        </is>
      </c>
      <c r="F1478" s="118" t="n">
        <v>46867</v>
      </c>
      <c r="G1478" s="118" t="n">
        <v>46878</v>
      </c>
      <c r="H1478" s="118" t="n">
        <v>46289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IF(E1478="","",IF(LEFT(E1478,7)="SUBSOLO",-1,IF(LEFT(E1478,6)="TÉRREO",0,IFERROR(VALUE(LEFT(E1478,FIND("º",SUBSTITUTE(E1478,"°","º"))-1)),""))))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33898098</v>
      </c>
      <c r="C1479" s="4" t="inlineStr">
        <is>
          <t>ESQUADRIA DE ALUMÍNIO</t>
        </is>
      </c>
      <c r="D1479" s="4" t="inlineStr">
        <is>
          <t>-</t>
        </is>
      </c>
      <c r="E1479" s="4" t="inlineStr">
        <is>
          <t>17º PAV.</t>
        </is>
      </c>
      <c r="F1479" s="118" t="n">
        <v>46867</v>
      </c>
      <c r="G1479" s="118" t="n">
        <v>46878</v>
      </c>
      <c r="H1479" s="118" t="n">
        <v>46289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IF(E1479="","",IF(LEFT(E1479,7)="SUBSOLO",-1,IF(LEFT(E1479,6)="TÉRREO",0,IFERROR(VALUE(LEFT(E1479,FIND("º",SUBSTITUTE(E1479,"°","º"))-1)),""))))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30205798</v>
      </c>
      <c r="C1480" s="4" t="inlineStr">
        <is>
          <t>MASSA CORRIDA</t>
        </is>
      </c>
      <c r="D1480" s="4" t="inlineStr">
        <is>
          <t>-</t>
        </is>
      </c>
      <c r="E1480" s="4" t="inlineStr">
        <is>
          <t>TÉRREO - ACESSO COMERCIAL + DML + ARS + ÁREA TEC + LAVABO + DISPENSA</t>
        </is>
      </c>
      <c r="F1480" s="118" t="n">
        <v>46868</v>
      </c>
      <c r="G1480" s="118" t="n">
        <v>46889</v>
      </c>
      <c r="H1480" s="118" t="n">
        <v>46289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IF(E1480="","",IF(LEFT(E1480,7)="SUBSOLO",-1,IF(LEFT(E1480,6)="TÉRREO",0,IFERROR(VALUE(LEFT(E1480,FIND("º",SUBSTITUTE(E1480,"°","º"))-1)),""))))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30205830</v>
      </c>
      <c r="C1481" s="4" t="inlineStr">
        <is>
          <t>FIAÇÃO ELÉTRICA</t>
        </is>
      </c>
      <c r="D1481" s="4" t="inlineStr">
        <is>
          <t>-</t>
        </is>
      </c>
      <c r="E1481" s="4" t="inlineStr">
        <is>
          <t>TÉRREO - HALL SOCIAL + ECLUSA + CIRCULAÇÃO</t>
        </is>
      </c>
      <c r="F1481" s="118" t="n">
        <v>46868</v>
      </c>
      <c r="G1481" s="118" t="n">
        <v>46882</v>
      </c>
      <c r="H1481" s="118" t="n">
        <v>46289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IF(E1481="","",IF(LEFT(E1481,7)="SUBSOLO",-1,IF(LEFT(E1481,6)="TÉRREO",0,IFERROR(VALUE(LEFT(E1481,FIND("º",SUBSTITUTE(E1481,"°","º"))-1)),""))))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30171649</v>
      </c>
      <c r="C1482" s="4" t="inlineStr">
        <is>
          <t>FIAÇÃO ELÉTRICA</t>
        </is>
      </c>
      <c r="D1482" s="4" t="inlineStr">
        <is>
          <t>-</t>
        </is>
      </c>
      <c r="E1482" s="4" t="inlineStr">
        <is>
          <t>CX DE ESCADA DE INCÊND.</t>
        </is>
      </c>
      <c r="F1482" s="118" t="n">
        <v>46868</v>
      </c>
      <c r="G1482" s="118" t="n">
        <v>46974</v>
      </c>
      <c r="H1482" s="118" t="n">
        <v>46289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IF(E1482="","",IF(LEFT(E1482,7)="SUBSOLO",-1,IF(LEFT(E1482,6)="TÉRREO",0,IFERROR(VALUE(LEFT(E1482,FIND("º",SUBSTITUTE(E1482,"°","º"))-1)),""))))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29980996</v>
      </c>
      <c r="C1483" s="4" t="inlineStr">
        <is>
          <t>FORRO</t>
        </is>
      </c>
      <c r="D1483" s="4" t="inlineStr">
        <is>
          <t>-</t>
        </is>
      </c>
      <c r="E1483" s="4" t="inlineStr">
        <is>
          <t>22º PAV.</t>
        </is>
      </c>
      <c r="F1483" s="118" t="n">
        <v>46868</v>
      </c>
      <c r="G1483" s="118" t="n">
        <v>46881</v>
      </c>
      <c r="H1483" s="118" t="n">
        <v>46289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IF(E1483="","",IF(LEFT(E1483,7)="SUBSOLO",-1,IF(LEFT(E1483,6)="TÉRREO",0,IFERROR(VALUE(LEFT(E1483,FIND("º",SUBSTITUTE(E1483,"°","º"))-1)),""))))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29980957</v>
      </c>
      <c r="C1484" s="4" t="inlineStr">
        <is>
          <t>FIAÇÃO ELÉTRICA</t>
        </is>
      </c>
      <c r="D1484" s="4" t="inlineStr">
        <is>
          <t>-</t>
        </is>
      </c>
      <c r="E1484" s="4" t="inlineStr">
        <is>
          <t>23º PAV.</t>
        </is>
      </c>
      <c r="F1484" s="118" t="n">
        <v>46868</v>
      </c>
      <c r="G1484" s="118" t="n">
        <v>46881</v>
      </c>
      <c r="H1484" s="118" t="n">
        <v>46289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IF(E1484="","",IF(LEFT(E1484,7)="SUBSOLO",-1,IF(LEFT(E1484,6)="TÉRREO",0,IFERROR(VALUE(LEFT(E1484,FIND("º",SUBSTITUTE(E1484,"°","º"))-1)),""))))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29980962</v>
      </c>
      <c r="C1485" s="4" t="inlineStr">
        <is>
          <t>PRUMADA ELÉTRICA - CABOS</t>
        </is>
      </c>
      <c r="D1485" s="4" t="inlineStr">
        <is>
          <t>-</t>
        </is>
      </c>
      <c r="E1485" s="4" t="inlineStr">
        <is>
          <t>23º PAV.</t>
        </is>
      </c>
      <c r="F1485" s="118" t="n">
        <v>46868</v>
      </c>
      <c r="G1485" s="118" t="n">
        <v>46881</v>
      </c>
      <c r="H1485" s="118" t="n">
        <v>46289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IF(E1485="","",IF(LEFT(E1485,7)="SUBSOLO",-1,IF(LEFT(E1485,6)="TÉRREO",0,IFERROR(VALUE(LEFT(E1485,FIND("º",SUBSTITUTE(E1485,"°","º"))-1)),""))))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30214085</v>
      </c>
      <c r="C1486" s="4" t="inlineStr">
        <is>
          <t>FIAÇÃO TELECOM/DADOS</t>
        </is>
      </c>
      <c r="D1486" s="4" t="inlineStr">
        <is>
          <t>-</t>
        </is>
      </c>
      <c r="E1486" s="4" t="inlineStr">
        <is>
          <t>23º PAV.</t>
        </is>
      </c>
      <c r="F1486" s="118" t="n">
        <v>46868</v>
      </c>
      <c r="G1486" s="118" t="n">
        <v>46882</v>
      </c>
      <c r="H1486" s="118" t="n">
        <v>46289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IF(E1486="","",IF(LEFT(E1486,7)="SUBSOLO",-1,IF(LEFT(E1486,6)="TÉRREO",0,IFERROR(VALUE(LEFT(E1486,FIND("º",SUBSTITUTE(E1486,"°","º"))-1)),""))))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29980904</v>
      </c>
      <c r="C1487" s="4" t="inlineStr">
        <is>
          <t>BANCADAS</t>
        </is>
      </c>
      <c r="D1487" s="4" t="inlineStr">
        <is>
          <t>-</t>
        </is>
      </c>
      <c r="E1487" s="4" t="inlineStr">
        <is>
          <t>24º PAV.</t>
        </is>
      </c>
      <c r="F1487" s="118" t="n">
        <v>46868</v>
      </c>
      <c r="G1487" s="118" t="n">
        <v>46881</v>
      </c>
      <c r="H1487" s="118" t="n">
        <v>46289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IF(E1487="","",IF(LEFT(E1487,7)="SUBSOLO",-1,IF(LEFT(E1487,6)="TÉRREO",0,IFERROR(VALUE(LEFT(E1487,FIND("º",SUBSTITUTE(E1487,"°","º"))-1)),""))))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29980866</v>
      </c>
      <c r="C1488" s="4" t="inlineStr">
        <is>
          <t>REVESTIMENTOS PORCELANATO PISO</t>
        </is>
      </c>
      <c r="D1488" s="4" t="inlineStr">
        <is>
          <t>-</t>
        </is>
      </c>
      <c r="E1488" s="4" t="inlineStr">
        <is>
          <t>25º PAV.</t>
        </is>
      </c>
      <c r="F1488" s="118" t="n">
        <v>46868</v>
      </c>
      <c r="G1488" s="118" t="n">
        <v>46881</v>
      </c>
      <c r="H1488" s="118" t="n">
        <v>46289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IF(E1488="","",IF(LEFT(E1488,7)="SUBSOLO",-1,IF(LEFT(E1488,6)="TÉRREO",0,IFERROR(VALUE(LEFT(E1488,FIND("º",SUBSTITUTE(E1488,"°","º"))-1)),""))))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29980845</v>
      </c>
      <c r="C1489" s="4" t="inlineStr">
        <is>
          <t>REVESTIMENTO PORCELANATO PAREDE</t>
        </is>
      </c>
      <c r="D1489" s="4" t="inlineStr">
        <is>
          <t>-</t>
        </is>
      </c>
      <c r="E1489" s="4" t="inlineStr">
        <is>
          <t>26º PAV.</t>
        </is>
      </c>
      <c r="F1489" s="118" t="n">
        <v>46868</v>
      </c>
      <c r="G1489" s="118" t="n">
        <v>46881</v>
      </c>
      <c r="H1489" s="118" t="n">
        <v>46289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IF(E1489="","",IF(LEFT(E1489,7)="SUBSOLO",-1,IF(LEFT(E1489,6)="TÉRREO",0,IFERROR(VALUE(LEFT(E1489,FIND("º",SUBSTITUTE(E1489,"°","º"))-1)),""))))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29980806</v>
      </c>
      <c r="C1490" s="4" t="inlineStr">
        <is>
          <t>IMPERMEABILIZAÇÃO</t>
        </is>
      </c>
      <c r="D1490" s="4" t="inlineStr">
        <is>
          <t>-</t>
        </is>
      </c>
      <c r="E1490" s="4" t="inlineStr">
        <is>
          <t>27º PAV.</t>
        </is>
      </c>
      <c r="F1490" s="118" t="n">
        <v>46868</v>
      </c>
      <c r="G1490" s="118" t="n">
        <v>46881</v>
      </c>
      <c r="H1490" s="118" t="n">
        <v>46289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IF(E1490="","",IF(LEFT(E1490,7)="SUBSOLO",-1,IF(LEFT(E1490,6)="TÉRREO",0,IFERROR(VALUE(LEFT(E1490,FIND("º",SUBSTITUTE(E1490,"°","º"))-1)),""))))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32750454</v>
      </c>
      <c r="C1491" s="4" t="inlineStr">
        <is>
          <t>DRYWALL 2º FACE</t>
        </is>
      </c>
      <c r="D1491" s="4" t="inlineStr">
        <is>
          <t>-</t>
        </is>
      </c>
      <c r="E1491" s="4" t="inlineStr">
        <is>
          <t>28º PAV.</t>
        </is>
      </c>
      <c r="F1491" s="118" t="n">
        <v>46868</v>
      </c>
      <c r="G1491" s="118" t="n">
        <v>46881</v>
      </c>
      <c r="H1491" s="118" t="n">
        <v>46289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IF(E1491="","",IF(LEFT(E1491,7)="SUBSOLO",-1,IF(LEFT(E1491,6)="TÉRREO",0,IFERROR(VALUE(LEFT(E1491,FIND("º",SUBSTITUTE(E1491,"°","º"))-1)),""))))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32750377</v>
      </c>
      <c r="C1492" s="4" t="inlineStr">
        <is>
          <t>DISTRIBUIÇÃO DE GÁS - DRYWALL</t>
        </is>
      </c>
      <c r="D1492" s="4" t="inlineStr">
        <is>
          <t>-</t>
        </is>
      </c>
      <c r="E1492" s="4" t="inlineStr">
        <is>
          <t>29º PAV.</t>
        </is>
      </c>
      <c r="F1492" s="118" t="n">
        <v>46868</v>
      </c>
      <c r="G1492" s="118" t="n">
        <v>46881</v>
      </c>
      <c r="H1492" s="118" t="n">
        <v>46289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IF(E1492="","",IF(LEFT(E1492,7)="SUBSOLO",-1,IF(LEFT(E1492,6)="TÉRREO",0,IFERROR(VALUE(LEFT(E1492,FIND("º",SUBSTITUTE(E1492,"°","º"))-1)),""))))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32750403</v>
      </c>
      <c r="C1493" s="4" t="inlineStr">
        <is>
          <t>DISTRIBUIÇÃO ELÉTRICA/QUADRO - DRYWALL</t>
        </is>
      </c>
      <c r="D1493" s="4" t="inlineStr">
        <is>
          <t>-</t>
        </is>
      </c>
      <c r="E1493" s="4" t="inlineStr">
        <is>
          <t>29º PAV.</t>
        </is>
      </c>
      <c r="F1493" s="118" t="n">
        <v>46868</v>
      </c>
      <c r="G1493" s="118" t="n">
        <v>46881</v>
      </c>
      <c r="H1493" s="118" t="n">
        <v>46289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IF(E1493="","",IF(LEFT(E1493,7)="SUBSOLO",-1,IF(LEFT(E1493,6)="TÉRREO",0,IFERROR(VALUE(LEFT(E1493,FIND("º",SUBSTITUTE(E1493,"°","º"))-1)),""))))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32750429</v>
      </c>
      <c r="C1494" s="4" t="inlineStr">
        <is>
          <t>DISTRIBUIÇÃO HIDRÁULICA - DRYWALL</t>
        </is>
      </c>
      <c r="D1494" s="4" t="inlineStr">
        <is>
          <t>-</t>
        </is>
      </c>
      <c r="E1494" s="4" t="inlineStr">
        <is>
          <t>29º PAV.</t>
        </is>
      </c>
      <c r="F1494" s="118" t="n">
        <v>46868</v>
      </c>
      <c r="G1494" s="118" t="n">
        <v>46881</v>
      </c>
      <c r="H1494" s="118" t="n">
        <v>46289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IF(E1494="","",IF(LEFT(E1494,7)="SUBSOLO",-1,IF(LEFT(E1494,6)="TÉRREO",0,IFERROR(VALUE(LEFT(E1494,FIND("º",SUBSTITUTE(E1494,"°","º"))-1)),""))))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33896847</v>
      </c>
      <c r="C1495" s="4" t="inlineStr">
        <is>
          <t>INFRAESTRUTURA - AR CONDICIONADO</t>
        </is>
      </c>
      <c r="D1495" s="4" t="inlineStr">
        <is>
          <t>-</t>
        </is>
      </c>
      <c r="E1495" s="4" t="inlineStr">
        <is>
          <t>29º PAV.</t>
        </is>
      </c>
      <c r="F1495" s="118" t="n">
        <v>46868</v>
      </c>
      <c r="G1495" s="118" t="n">
        <v>46881</v>
      </c>
      <c r="H1495" s="118" t="n">
        <v>46289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IF(E1495="","",IF(LEFT(E1495,7)="SUBSOLO",-1,IF(LEFT(E1495,6)="TÉRREO",0,IFERROR(VALUE(LEFT(E1495,FIND("º",SUBSTITUTE(E1495,"°","º"))-1)),""))))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32749873</v>
      </c>
      <c r="C1496" s="4" t="inlineStr">
        <is>
          <t>DRYWALL 1º FACE</t>
        </is>
      </c>
      <c r="D1496" s="4" t="inlineStr">
        <is>
          <t>-</t>
        </is>
      </c>
      <c r="E1496" s="4" t="inlineStr">
        <is>
          <t>30º PAV.</t>
        </is>
      </c>
      <c r="F1496" s="118" t="n">
        <v>46868</v>
      </c>
      <c r="G1496" s="118" t="n">
        <v>46881</v>
      </c>
      <c r="H1496" s="118" t="n">
        <v>46289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IF(E1496="","",IF(LEFT(E1496,7)="SUBSOLO",-1,IF(LEFT(E1496,6)="TÉRREO",0,IFERROR(VALUE(LEFT(E1496,FIND("º",SUBSTITUTE(E1496,"°","º"))-1)),""))))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29980659</v>
      </c>
      <c r="C1497" s="4" t="inlineStr">
        <is>
          <t>CONTRAPISO</t>
        </is>
      </c>
      <c r="D1497" s="4" t="inlineStr">
        <is>
          <t>-</t>
        </is>
      </c>
      <c r="E1497" s="4" t="inlineStr">
        <is>
          <t>31º PAV. - COBERTURA LINEAR</t>
        </is>
      </c>
      <c r="F1497" s="118" t="n">
        <v>46868</v>
      </c>
      <c r="G1497" s="118" t="n">
        <v>46881</v>
      </c>
      <c r="H1497" s="118" t="n">
        <v>46289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IF(E1497="","",IF(LEFT(E1497,7)="SUBSOLO",-1,IF(LEFT(E1497,6)="TÉRREO",0,IFERROR(VALUE(LEFT(E1497,FIND("º",SUBSTITUTE(E1497,"°","º"))-1)),""))))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29980599</v>
      </c>
      <c r="C1498" s="4" t="inlineStr">
        <is>
          <t>SHAFT INTERNO INST. HIDRAÚLICAS</t>
        </is>
      </c>
      <c r="D1498" s="4" t="inlineStr">
        <is>
          <t>-</t>
        </is>
      </c>
      <c r="E1498" s="4" t="inlineStr">
        <is>
          <t>32º PAV - COBERTURA GERAL</t>
        </is>
      </c>
      <c r="F1498" s="118" t="n">
        <v>46868</v>
      </c>
      <c r="G1498" s="118" t="n">
        <v>46881</v>
      </c>
      <c r="H1498" s="118" t="n">
        <v>46289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IF(E1498="","",IF(LEFT(E1498,7)="SUBSOLO",-1,IF(LEFT(E1498,6)="TÉRREO",0,IFERROR(VALUE(LEFT(E1498,FIND("º",SUBSTITUTE(E1498,"°","º"))-1)),""))))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29980632</v>
      </c>
      <c r="C1499" s="4" t="inlineStr">
        <is>
          <t>PRUMADA ELÉTRICA - INFRA</t>
        </is>
      </c>
      <c r="D1499" s="4" t="inlineStr">
        <is>
          <t>-</t>
        </is>
      </c>
      <c r="E1499" s="4" t="inlineStr">
        <is>
          <t>32º PAV - COBERTURA GERAL</t>
        </is>
      </c>
      <c r="F1499" s="118" t="n">
        <v>46868</v>
      </c>
      <c r="G1499" s="118" t="n">
        <v>46881</v>
      </c>
      <c r="H1499" s="118" t="n">
        <v>46289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IF(E1499="","",IF(LEFT(E1499,7)="SUBSOLO",-1,IF(LEFT(E1499,6)="TÉRREO",0,IFERROR(VALUE(LEFT(E1499,FIND("º",SUBSTITUTE(E1499,"°","º"))-1)),""))))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30205991</v>
      </c>
      <c r="C1500" s="4" t="inlineStr">
        <is>
          <t>CONTRAMARCO</t>
        </is>
      </c>
      <c r="D1500" s="4" t="inlineStr">
        <is>
          <t>-</t>
        </is>
      </c>
      <c r="E1500" s="4" t="inlineStr">
        <is>
          <t>6º PAV (PILOTIS) - COWORKING 1 E 2 + CIRC. 2 + HALL 2 + DML + VEST. MASC. + VEST. FEM</t>
        </is>
      </c>
      <c r="F1500" s="118" t="n">
        <v>46869</v>
      </c>
      <c r="G1500" s="118" t="n">
        <v>46876</v>
      </c>
      <c r="H1500" s="118" t="n">
        <v>46289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IF(E1500="","",IF(LEFT(E1500,7)="SUBSOLO",-1,IF(LEFT(E1500,6)="TÉRREO",0,IFERROR(VALUE(LEFT(E1500,FIND("º",SUBSTITUTE(E1500,"°","º"))-1)),""))))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30205982</v>
      </c>
      <c r="C1501" s="4" t="inlineStr">
        <is>
          <t>DISTRIBUIÇÃO HIDROSSANITÁRIA</t>
        </is>
      </c>
      <c r="D1501" s="4" t="inlineStr">
        <is>
          <t>-</t>
        </is>
      </c>
      <c r="E1501" s="4" t="inlineStr">
        <is>
          <t>6º PAV (PILOTIS) - LOUNGE + SALÃO + COZINHA + GOURMET + ESPAÇO KIDS</t>
        </is>
      </c>
      <c r="F1501" s="118" t="n">
        <v>46869</v>
      </c>
      <c r="G1501" s="118" t="n">
        <v>46883</v>
      </c>
      <c r="H1501" s="118" t="n">
        <v>46289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IF(E1501="","",IF(LEFT(E1501,7)="SUBSOLO",-1,IF(LEFT(E1501,6)="TÉRREO",0,IFERROR(VALUE(LEFT(E1501,FIND("º",SUBSTITUTE(E1501,"°","º"))-1)),""))))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30205953</v>
      </c>
      <c r="C1502" s="4" t="inlineStr">
        <is>
          <t>DISTRIBUIÇÃO ELÉTRICA / QUADRO</t>
        </is>
      </c>
      <c r="D1502" s="4" t="inlineStr">
        <is>
          <t>-</t>
        </is>
      </c>
      <c r="E1502" s="4" t="inlineStr">
        <is>
          <t>6º PAV (PILOTIS) - LOUNGE + SALÃO + COZINHA + GOURMET + ESPAÇO KIDS</t>
        </is>
      </c>
      <c r="F1502" s="118" t="n">
        <v>46869</v>
      </c>
      <c r="G1502" s="118" t="n">
        <v>46883</v>
      </c>
      <c r="H1502" s="118" t="n">
        <v>46289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IF(E1502="","",IF(LEFT(E1502,7)="SUBSOLO",-1,IF(LEFT(E1502,6)="TÉRREO",0,IFERROR(VALUE(LEFT(E1502,FIND("º",SUBSTITUTE(E1502,"°","º"))-1)),""))))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30205983</v>
      </c>
      <c r="C1503" s="4" t="inlineStr">
        <is>
          <t>DISTRIBUIÇÃO DE GÁS</t>
        </is>
      </c>
      <c r="D1503" s="4" t="inlineStr">
        <is>
          <t>-</t>
        </is>
      </c>
      <c r="E1503" s="4" t="inlineStr">
        <is>
          <t>6º PAV (PILOTIS) - LOUNGE + SALÃO + COZINHA + GOURMET + ESPAÇO KIDS</t>
        </is>
      </c>
      <c r="F1503" s="118" t="n">
        <v>46869</v>
      </c>
      <c r="G1503" s="118" t="n">
        <v>46883</v>
      </c>
      <c r="H1503" s="118" t="n">
        <v>46289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IF(E1503="","",IF(LEFT(E1503,7)="SUBSOLO",-1,IF(LEFT(E1503,6)="TÉRREO",0,IFERROR(VALUE(LEFT(E1503,FIND("º",SUBSTITUTE(E1503,"°","º"))-1)),""))))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29981098</v>
      </c>
      <c r="C1504" s="4" t="inlineStr">
        <is>
          <t>TALISCAMENTO</t>
        </is>
      </c>
      <c r="D1504" s="4" t="inlineStr">
        <is>
          <t>-</t>
        </is>
      </c>
      <c r="E1504" s="4" t="inlineStr">
        <is>
          <t>19º PAV.</t>
        </is>
      </c>
      <c r="F1504" s="118" t="n">
        <v>46869</v>
      </c>
      <c r="G1504" s="118" t="n">
        <v>46882</v>
      </c>
      <c r="H1504" s="118" t="n">
        <v>46289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IF(E1504="","",IF(LEFT(E1504,7)="SUBSOLO",-1,IF(LEFT(E1504,6)="TÉRREO",0,IFERROR(VALUE(LEFT(E1504,FIND("º",SUBSTITUTE(E1504,"°","º"))-1)),""))))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31790597</v>
      </c>
      <c r="C1505" s="4" t="inlineStr">
        <is>
          <t>FACHADA AERADA - F3 + F4 (2º ETAPA)</t>
        </is>
      </c>
      <c r="D1505" s="4" t="inlineStr">
        <is>
          <t>-</t>
        </is>
      </c>
      <c r="E1505" s="4" t="inlineStr">
        <is>
          <t>FACHADA</t>
        </is>
      </c>
      <c r="F1505" s="118" t="n">
        <v>46869</v>
      </c>
      <c r="G1505" s="118" t="n">
        <v>46911</v>
      </c>
      <c r="H1505" s="118" t="n">
        <v>46289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IF(E1505="","",IF(LEFT(E1505,7)="SUBSOLO",-1,IF(LEFT(E1505,6)="TÉRREO",0,IFERROR(VALUE(LEFT(E1505,FIND("º",SUBSTITUTE(E1505,"°","º"))-1)),""))))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30205661</v>
      </c>
      <c r="C1506" s="4" t="inlineStr">
        <is>
          <t>DISJUNTORES / MIOLOS</t>
        </is>
      </c>
      <c r="D1506" s="4" t="inlineStr">
        <is>
          <t>-</t>
        </is>
      </c>
      <c r="E1506" s="4" t="inlineStr">
        <is>
          <t>TÉRREO - LOJA 2</t>
        </is>
      </c>
      <c r="F1506" s="118" t="n">
        <v>46871</v>
      </c>
      <c r="G1506" s="118" t="n">
        <v>46878</v>
      </c>
      <c r="H1506" s="118" t="n">
        <v>46289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IF(E1506="","",IF(LEFT(E1506,7)="SUBSOLO",-1,IF(LEFT(E1506,6)="TÉRREO",0,IFERROR(VALUE(LEFT(E1506,FIND("º",SUBSTITUTE(E1506,"°","º"))-1)),""))))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30205636</v>
      </c>
      <c r="C1507" s="4" t="inlineStr">
        <is>
          <t>ESQUADRIA MADEIRA</t>
        </is>
      </c>
      <c r="D1507" s="4" t="inlineStr">
        <is>
          <t>-</t>
        </is>
      </c>
      <c r="E1507" s="4" t="inlineStr">
        <is>
          <t>TÉRREO - LOJA 3</t>
        </is>
      </c>
      <c r="F1507" s="118" t="n">
        <v>46871</v>
      </c>
      <c r="G1507" s="118" t="n">
        <v>46885</v>
      </c>
      <c r="H1507" s="118" t="n">
        <v>46289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IF(E1507="","",IF(LEFT(E1507,7)="SUBSOLO",-1,IF(LEFT(E1507,6)="TÉRREO",0,IFERROR(VALUE(LEFT(E1507,FIND("º",SUBSTITUTE(E1507,"°","º"))-1)),""))))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30205635</v>
      </c>
      <c r="C1508" s="4" t="inlineStr">
        <is>
          <t>LOUÇAS</t>
        </is>
      </c>
      <c r="D1508" s="4" t="inlineStr">
        <is>
          <t>-</t>
        </is>
      </c>
      <c r="E1508" s="4" t="inlineStr">
        <is>
          <t>TÉRREO - LOJA 3</t>
        </is>
      </c>
      <c r="F1508" s="118" t="n">
        <v>46871</v>
      </c>
      <c r="G1508" s="118" t="n">
        <v>46885</v>
      </c>
      <c r="H1508" s="118" t="n">
        <v>46289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IF(E1508="","",IF(LEFT(E1508,7)="SUBSOLO",-1,IF(LEFT(E1508,6)="TÉRREO",0,IFERROR(VALUE(LEFT(E1508,FIND("º",SUBSTITUTE(E1508,"°","º"))-1)),""))))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30205633</v>
      </c>
      <c r="C1509" s="4" t="inlineStr">
        <is>
          <t>METAIS</t>
        </is>
      </c>
      <c r="D1509" s="4" t="inlineStr">
        <is>
          <t>-</t>
        </is>
      </c>
      <c r="E1509" s="4" t="inlineStr">
        <is>
          <t>TÉRREO - LOJA 3</t>
        </is>
      </c>
      <c r="F1509" s="118" t="n">
        <v>46871</v>
      </c>
      <c r="G1509" s="118" t="n">
        <v>46885</v>
      </c>
      <c r="H1509" s="118" t="n">
        <v>46289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IF(E1509="","",IF(LEFT(E1509,7)="SUBSOLO",-1,IF(LEFT(E1509,6)="TÉRREO",0,IFERROR(VALUE(LEFT(E1509,FIND("º",SUBSTITUTE(E1509,"°","º"))-1)),""))))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30205618</v>
      </c>
      <c r="C1510" s="4" t="inlineStr">
        <is>
          <t>PINTURA 1º DEMÃO</t>
        </is>
      </c>
      <c r="D1510" s="4" t="inlineStr">
        <is>
          <t>-</t>
        </is>
      </c>
      <c r="E1510" s="4" t="inlineStr">
        <is>
          <t>TÉRREO - LOJA 4</t>
        </is>
      </c>
      <c r="F1510" s="118" t="n">
        <v>46871</v>
      </c>
      <c r="G1510" s="118" t="n">
        <v>46885</v>
      </c>
      <c r="H1510" s="118" t="n">
        <v>46289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IF(E1510="","",IF(LEFT(E1510,7)="SUBSOLO",-1,IF(LEFT(E1510,6)="TÉRREO",0,IFERROR(VALUE(LEFT(E1510,FIND("º",SUBSTITUTE(E1510,"°","º"))-1)),""))))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30205933</v>
      </c>
      <c r="C1511" s="4" t="inlineStr">
        <is>
          <t>IMPERMEABILIZAÇÃO</t>
        </is>
      </c>
      <c r="D1511" s="4" t="inlineStr">
        <is>
          <t>-</t>
        </is>
      </c>
      <c r="E1511" s="4" t="inlineStr">
        <is>
          <t>5º PAV - GARAGEM</t>
        </is>
      </c>
      <c r="F1511" s="118" t="n">
        <v>46871</v>
      </c>
      <c r="G1511" s="118" t="n">
        <v>46885</v>
      </c>
      <c r="H1511" s="118" t="n">
        <v>46289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IF(E1511="","",IF(LEFT(E1511,7)="SUBSOLO",-1,IF(LEFT(E1511,6)="TÉRREO",0,IFERROR(VALUE(LEFT(E1511,FIND("º",SUBSTITUTE(E1511,"°","º"))-1)),""))))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30171387</v>
      </c>
      <c r="C1512" s="4" t="inlineStr">
        <is>
          <t>PRUMADA HIDROSSANITÁRIA</t>
        </is>
      </c>
      <c r="D1512" s="4" t="inlineStr">
        <is>
          <t>-</t>
        </is>
      </c>
      <c r="E1512" s="4" t="inlineStr">
        <is>
          <t>5º PAV - GARAGEM</t>
        </is>
      </c>
      <c r="F1512" s="118" t="n">
        <v>46871</v>
      </c>
      <c r="G1512" s="118" t="n">
        <v>46899</v>
      </c>
      <c r="H1512" s="118" t="n">
        <v>46289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IF(E1512="","",IF(LEFT(E1512,7)="SUBSOLO",-1,IF(LEFT(E1512,6)="TÉRREO",0,IFERROR(VALUE(LEFT(E1512,FIND("º",SUBSTITUTE(E1512,"°","º"))-1)),""))))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30171388</v>
      </c>
      <c r="C1513" s="4" t="inlineStr">
        <is>
          <t>PRUMADA ELÉTRICA - INFRA</t>
        </is>
      </c>
      <c r="D1513" s="4" t="inlineStr">
        <is>
          <t>-</t>
        </is>
      </c>
      <c r="E1513" s="4" t="inlineStr">
        <is>
          <t>5º PAV - GARAGEM</t>
        </is>
      </c>
      <c r="F1513" s="118" t="n">
        <v>46871</v>
      </c>
      <c r="G1513" s="118" t="n">
        <v>46899</v>
      </c>
      <c r="H1513" s="118" t="n">
        <v>46289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IF(E1513="","",IF(LEFT(E1513,7)="SUBSOLO",-1,IF(LEFT(E1513,6)="TÉRREO",0,IFERROR(VALUE(LEFT(E1513,FIND("º",SUBSTITUTE(E1513,"°","º"))-1)),""))))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30171400</v>
      </c>
      <c r="C1514" s="4" t="inlineStr">
        <is>
          <t>INSTALAÇÕES DE INCÊNDIO</t>
        </is>
      </c>
      <c r="D1514" s="4" t="inlineStr">
        <is>
          <t>-</t>
        </is>
      </c>
      <c r="E1514" s="4" t="inlineStr">
        <is>
          <t>5º PAV - GARAGEM</t>
        </is>
      </c>
      <c r="F1514" s="118" t="n">
        <v>46871</v>
      </c>
      <c r="G1514" s="118" t="n">
        <v>46899</v>
      </c>
      <c r="H1514" s="118" t="n">
        <v>46289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IF(E1514="","",IF(LEFT(E1514,7)="SUBSOLO",-1,IF(LEFT(E1514,6)="TÉRREO",0,IFERROR(VALUE(LEFT(E1514,FIND("º",SUBSTITUTE(E1514,"°","º"))-1)),""))))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30171519</v>
      </c>
      <c r="C1515" s="4" t="inlineStr">
        <is>
          <t>REBOCO INTERNO</t>
        </is>
      </c>
      <c r="D1515" s="4" t="inlineStr">
        <is>
          <t>-</t>
        </is>
      </c>
      <c r="E1515" s="4" t="inlineStr">
        <is>
          <t>HALL - GARAGENS</t>
        </is>
      </c>
      <c r="F1515" s="118" t="n">
        <v>46871</v>
      </c>
      <c r="G1515" s="118" t="n">
        <v>46903</v>
      </c>
      <c r="H1515" s="118" t="n">
        <v>46289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IF(E1515="","",IF(LEFT(E1515,7)="SUBSOLO",-1,IF(LEFT(E1515,6)="TÉRREO",0,IFERROR(VALUE(LEFT(E1515,FIND("º",SUBSTITUTE(E1515,"°","º"))-1)),""))))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29981540</v>
      </c>
      <c r="C1516" s="4" t="inlineStr">
        <is>
          <t>PINTURA 3º DEMÃO</t>
        </is>
      </c>
      <c r="D1516" s="4" t="inlineStr">
        <is>
          <t>-</t>
        </is>
      </c>
      <c r="E1516" s="4" t="inlineStr">
        <is>
          <t>7º PAV.</t>
        </is>
      </c>
      <c r="F1516" s="118" t="n">
        <v>46875</v>
      </c>
      <c r="G1516" s="118" t="n">
        <v>46885</v>
      </c>
      <c r="H1516" s="118" t="n">
        <v>46289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IF(E1516="","",IF(LEFT(E1516,7)="SUBSOLO",-1,IF(LEFT(E1516,6)="TÉRREO",0,IFERROR(VALUE(LEFT(E1516,FIND("º",SUBSTITUTE(E1516,"°","º"))-1)),""))))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30205861</v>
      </c>
      <c r="C1517" s="4" t="inlineStr">
        <is>
          <t>FIAÇÃO ELÉTRICA</t>
        </is>
      </c>
      <c r="D1517" s="4" t="inlineStr">
        <is>
          <t>-</t>
        </is>
      </c>
      <c r="E1517" s="4" t="inlineStr">
        <is>
          <t>1º PAV. (INTERMEDIÁRIO)</t>
        </is>
      </c>
      <c r="F1517" s="118" t="n">
        <v>46876</v>
      </c>
      <c r="G1517" s="118" t="n">
        <v>46889</v>
      </c>
      <c r="H1517" s="118" t="n">
        <v>46289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IF(E1517="","",IF(LEFT(E1517,7)="SUBSOLO",-1,IF(LEFT(E1517,6)="TÉRREO",0,IFERROR(VALUE(LEFT(E1517,FIND("º",SUBSTITUTE(E1517,"°","º"))-1)),""))))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30208602</v>
      </c>
      <c r="C1518" s="4" t="inlineStr">
        <is>
          <t>PRUMADA ELÉTRICA - CABOS</t>
        </is>
      </c>
      <c r="D1518" s="4" t="inlineStr">
        <is>
          <t>-</t>
        </is>
      </c>
      <c r="E1518" s="4" t="inlineStr">
        <is>
          <t>1º PAV. (INTERMEDIÁRIO)</t>
        </is>
      </c>
      <c r="F1518" s="118" t="n">
        <v>46876</v>
      </c>
      <c r="G1518" s="118" t="n">
        <v>46889</v>
      </c>
      <c r="H1518" s="118" t="n">
        <v>46289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IF(E1518="","",IF(LEFT(E1518,7)="SUBSOLO",-1,IF(LEFT(E1518,6)="TÉRREO",0,IFERROR(VALUE(LEFT(E1518,FIND("º",SUBSTITUTE(E1518,"°","º"))-1)),""))))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30214058</v>
      </c>
      <c r="C1519" s="4" t="inlineStr">
        <is>
          <t>FIAÇÃO TELECOM/DADOS</t>
        </is>
      </c>
      <c r="D1519" s="4" t="inlineStr">
        <is>
          <t>-</t>
        </is>
      </c>
      <c r="E1519" s="4" t="inlineStr">
        <is>
          <t>1º PAV. (INTERMEDIÁRIO)</t>
        </is>
      </c>
      <c r="F1519" s="118" t="n">
        <v>46876</v>
      </c>
      <c r="G1519" s="118" t="n">
        <v>46889</v>
      </c>
      <c r="H1519" s="118" t="n">
        <v>46289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IF(E1519="","",IF(LEFT(E1519,7)="SUBSOLO",-1,IF(LEFT(E1519,6)="TÉRREO",0,IFERROR(VALUE(LEFT(E1519,FIND("º",SUBSTITUTE(E1519,"°","º"))-1)),""))))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30208599</v>
      </c>
      <c r="C1520" s="4" t="inlineStr">
        <is>
          <t>PRUMADA ELÉTRICA - INFRA</t>
        </is>
      </c>
      <c r="D1520" s="4" t="inlineStr">
        <is>
          <t>-</t>
        </is>
      </c>
      <c r="E1520" s="4" t="inlineStr">
        <is>
          <t>6º PAV - PILOTIS</t>
        </is>
      </c>
      <c r="F1520" s="118" t="n">
        <v>46877</v>
      </c>
      <c r="G1520" s="118" t="n">
        <v>46890</v>
      </c>
      <c r="H1520" s="118" t="n">
        <v>46289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IF(E1520="","",IF(LEFT(E1520,7)="SUBSOLO",-1,IF(LEFT(E1520,6)="TÉRREO",0,IFERROR(VALUE(LEFT(E1520,FIND("º",SUBSTITUTE(E1520,"°","º"))-1)),""))))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33897806</v>
      </c>
      <c r="C1521" s="4" t="inlineStr">
        <is>
          <t>INFRAESTRUTURA - AR CONDICIONADO</t>
        </is>
      </c>
      <c r="D1521" s="4" t="inlineStr">
        <is>
          <t>-</t>
        </is>
      </c>
      <c r="E1521" s="4" t="inlineStr">
        <is>
          <t>6º PAV (PILOTIS) - ACADEMIA</t>
        </is>
      </c>
      <c r="F1521" s="118" t="n">
        <v>46877</v>
      </c>
      <c r="G1521" s="118" t="n">
        <v>46890</v>
      </c>
      <c r="H1521" s="118" t="n">
        <v>46289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IF(E1521="","",IF(LEFT(E1521,7)="SUBSOLO",-1,IF(LEFT(E1521,6)="TÉRREO",0,IFERROR(VALUE(LEFT(E1521,FIND("º",SUBSTITUTE(E1521,"°","º"))-1)),""))))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30206085</v>
      </c>
      <c r="C1522" s="4" t="inlineStr">
        <is>
          <t>IMPERMEABILIZAÇÃO</t>
        </is>
      </c>
      <c r="D1522" s="4" t="inlineStr">
        <is>
          <t>-</t>
        </is>
      </c>
      <c r="E1522" s="4" t="inlineStr">
        <is>
          <t>6º PAV (PILOTIS) - SAUNA + DUCHA</t>
        </is>
      </c>
      <c r="F1522" s="118" t="n">
        <v>46877</v>
      </c>
      <c r="G1522" s="118" t="n">
        <v>46890</v>
      </c>
      <c r="H1522" s="118" t="n">
        <v>46289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IF(E1522="","",IF(LEFT(E1522,7)="SUBSOLO",-1,IF(LEFT(E1522,6)="TÉRREO",0,IFERROR(VALUE(LEFT(E1522,FIND("º",SUBSTITUTE(E1522,"°","º"))-1)),""))))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30206026</v>
      </c>
      <c r="C1523" s="4" t="inlineStr">
        <is>
          <t>SHAFT INTERNO INST. HIDRAÚLICAS</t>
        </is>
      </c>
      <c r="D1523" s="4" t="inlineStr">
        <is>
          <t>-</t>
        </is>
      </c>
      <c r="E1523" s="4" t="inlineStr">
        <is>
          <t>6º PAV (PILOTIS) - CHURRASQUEIRA + IS MASC. PCD + IS FEM. PCD + CIRCULAÇÃO 1 + HALL 1</t>
        </is>
      </c>
      <c r="F1523" s="118" t="n">
        <v>46877</v>
      </c>
      <c r="G1523" s="118" t="n">
        <v>46890</v>
      </c>
      <c r="H1523" s="118" t="n">
        <v>46289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IF(E1523="","",IF(LEFT(E1523,7)="SUBSOLO",-1,IF(LEFT(E1523,6)="TÉRREO",0,IFERROR(VALUE(LEFT(E1523,FIND("º",SUBSTITUTE(E1523,"°","º"))-1)),""))))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30205988</v>
      </c>
      <c r="C1524" s="4" t="inlineStr">
        <is>
          <t>REBOCO INTERNO</t>
        </is>
      </c>
      <c r="D1524" s="4" t="inlineStr">
        <is>
          <t>-</t>
        </is>
      </c>
      <c r="E1524" s="4" t="inlineStr">
        <is>
          <t>6º PAV (PILOTIS) - COWORKING 1 E 2 + CIRC. 2 + HALL 2 + DML + VEST. MASC. + VEST. FEM</t>
        </is>
      </c>
      <c r="F1524" s="118" t="n">
        <v>46877</v>
      </c>
      <c r="G1524" s="118" t="n">
        <v>46890</v>
      </c>
      <c r="H1524" s="118" t="n">
        <v>46289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IF(E1524="","",IF(LEFT(E1524,7)="SUBSOLO",-1,IF(LEFT(E1524,6)="TÉRREO",0,IFERROR(VALUE(LEFT(E1524,FIND("º",SUBSTITUTE(E1524,"°","º"))-1)),""))))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30205880</v>
      </c>
      <c r="C1525" s="4" t="inlineStr">
        <is>
          <t>IMPERMEABILIZAÇÃO</t>
        </is>
      </c>
      <c r="D1525" s="4" t="inlineStr">
        <is>
          <t>-</t>
        </is>
      </c>
      <c r="E1525" s="4" t="inlineStr">
        <is>
          <t>6º PAV (PILOTIS) - PLAYGROUND + TERRAÇO DESCOBERTO + QUADRA DE RECREAÇÃO</t>
        </is>
      </c>
      <c r="F1525" s="118" t="n">
        <v>46878</v>
      </c>
      <c r="G1525" s="118" t="n">
        <v>46940</v>
      </c>
      <c r="H1525" s="118" t="n">
        <v>46289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IF(E1525="","",IF(LEFT(E1525,7)="SUBSOLO",-1,IF(LEFT(E1525,6)="TÉRREO",0,IFERROR(VALUE(LEFT(E1525,FIND("º",SUBSTITUTE(E1525,"°","º"))-1)),""))))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30171661</v>
      </c>
      <c r="C1526" s="4" t="inlineStr">
        <is>
          <t>PINTURA - CORRIMÃO</t>
        </is>
      </c>
      <c r="D1526" s="4" t="inlineStr">
        <is>
          <t>-</t>
        </is>
      </c>
      <c r="E1526" s="4" t="inlineStr">
        <is>
          <t>CX DE ESCADA DE INCÊND.</t>
        </is>
      </c>
      <c r="F1526" s="118" t="n">
        <v>46878</v>
      </c>
      <c r="G1526" s="118" t="n">
        <v>46905</v>
      </c>
      <c r="H1526" s="118" t="n">
        <v>46289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IF(E1526="","",IF(LEFT(E1526,7)="SUBSOLO",-1,IF(LEFT(E1526,6)="TÉRREO",0,IFERROR(VALUE(LEFT(E1526,FIND("º",SUBSTITUTE(E1526,"°","º"))-1)),""))))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30211206</v>
      </c>
      <c r="C1527" s="4" t="inlineStr">
        <is>
          <t>REBOCO EXTERNO</t>
        </is>
      </c>
      <c r="D1527" s="4" t="inlineStr">
        <is>
          <t>-</t>
        </is>
      </c>
      <c r="E1527" s="4" t="inlineStr">
        <is>
          <t>34º PAV - RESERVATÓRIO</t>
        </is>
      </c>
      <c r="F1527" s="118" t="n">
        <v>46878</v>
      </c>
      <c r="G1527" s="118" t="n">
        <v>46898</v>
      </c>
      <c r="H1527" s="118" t="n">
        <v>46289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IF(E1527="","",IF(LEFT(E1527,7)="SUBSOLO",-1,IF(LEFT(E1527,6)="TÉRREO",0,IFERROR(VALUE(LEFT(E1527,FIND("º",SUBSTITUTE(E1527,"°","º"))-1)),""))))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30205694</v>
      </c>
      <c r="C1528" s="4" t="inlineStr">
        <is>
          <t>PINTURA 2º DEMÃO</t>
        </is>
      </c>
      <c r="D1528" s="4" t="inlineStr">
        <is>
          <t>-</t>
        </is>
      </c>
      <c r="E1528" s="4" t="inlineStr">
        <is>
          <t>TÉRREO - LOJA 1</t>
        </is>
      </c>
      <c r="F1528" s="118" t="n">
        <v>46881</v>
      </c>
      <c r="G1528" s="118" t="n">
        <v>46892</v>
      </c>
      <c r="H1528" s="118" t="n">
        <v>46289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IF(E1528="","",IF(LEFT(E1528,7)="SUBSOLO",-1,IF(LEFT(E1528,6)="TÉRREO",0,IFERROR(VALUE(LEFT(E1528,FIND("º",SUBSTITUTE(E1528,"°","º"))-1)),""))))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30205680</v>
      </c>
      <c r="C1529" s="4" t="inlineStr">
        <is>
          <t>LIMPEZA GROSSA</t>
        </is>
      </c>
      <c r="D1529" s="4" t="inlineStr">
        <is>
          <t>-</t>
        </is>
      </c>
      <c r="E1529" s="4" t="inlineStr">
        <is>
          <t>TÉRREO - LOJA 2</t>
        </is>
      </c>
      <c r="F1529" s="118" t="n">
        <v>46881</v>
      </c>
      <c r="G1529" s="118" t="n">
        <v>46892</v>
      </c>
      <c r="H1529" s="118" t="n">
        <v>46289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IF(E1529="","",IF(LEFT(E1529,7)="SUBSOLO",-1,IF(LEFT(E1529,6)="TÉRREO",0,IFERROR(VALUE(LEFT(E1529,FIND("º",SUBSTITUTE(E1529,"°","º"))-1)),""))))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29981502</v>
      </c>
      <c r="C1530" s="4" t="inlineStr">
        <is>
          <t>CHECKLIST</t>
        </is>
      </c>
      <c r="D1530" s="4" t="inlineStr">
        <is>
          <t>-</t>
        </is>
      </c>
      <c r="E1530" s="4" t="inlineStr">
        <is>
          <t>8º PAV.</t>
        </is>
      </c>
      <c r="F1530" s="118" t="n">
        <v>46881</v>
      </c>
      <c r="G1530" s="118" t="n">
        <v>46885</v>
      </c>
      <c r="H1530" s="118" t="n">
        <v>46289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IF(E1530="","",IF(LEFT(E1530,7)="SUBSOLO",-1,IF(LEFT(E1530,6)="TÉRREO",0,IFERROR(VALUE(LEFT(E1530,FIND("º",SUBSTITUTE(E1530,"°","º"))-1)),""))))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29981467</v>
      </c>
      <c r="C1531" s="4" t="inlineStr">
        <is>
          <t>ACABAMENTOS ELÉTRICOS</t>
        </is>
      </c>
      <c r="D1531" s="4" t="inlineStr">
        <is>
          <t>-</t>
        </is>
      </c>
      <c r="E1531" s="4" t="inlineStr">
        <is>
          <t>9º PAV.</t>
        </is>
      </c>
      <c r="F1531" s="118" t="n">
        <v>46881</v>
      </c>
      <c r="G1531" s="118" t="n">
        <v>46891</v>
      </c>
      <c r="H1531" s="118" t="n">
        <v>46289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IF(E1531="","",IF(LEFT(E1531,7)="SUBSOLO",-1,IF(LEFT(E1531,6)="TÉRREO",0,IFERROR(VALUE(LEFT(E1531,FIND("º",SUBSTITUTE(E1531,"°","º"))-1)),""))))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29981427</v>
      </c>
      <c r="C1532" s="4" t="inlineStr">
        <is>
          <t>PINTURA 2º DEMÃO</t>
        </is>
      </c>
      <c r="D1532" s="4" t="inlineStr">
        <is>
          <t>-</t>
        </is>
      </c>
      <c r="E1532" s="4" t="inlineStr">
        <is>
          <t>10º PAV.</t>
        </is>
      </c>
      <c r="F1532" s="118" t="n">
        <v>46881</v>
      </c>
      <c r="G1532" s="118" t="n">
        <v>46891</v>
      </c>
      <c r="H1532" s="118" t="n">
        <v>46289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IF(E1532="","",IF(LEFT(E1532,7)="SUBSOLO",-1,IF(LEFT(E1532,6)="TÉRREO",0,IFERROR(VALUE(LEFT(E1532,FIND("º",SUBSTITUTE(E1532,"°","º"))-1)),""))))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33919788</v>
      </c>
      <c r="C1533" s="4" t="inlineStr">
        <is>
          <t>TEXTURA - EXTERNA</t>
        </is>
      </c>
      <c r="D1533" s="4" t="inlineStr">
        <is>
          <t>-</t>
        </is>
      </c>
      <c r="E1533" s="4" t="inlineStr">
        <is>
          <t>10º PAV.</t>
        </is>
      </c>
      <c r="F1533" s="118" t="n">
        <v>46881</v>
      </c>
      <c r="G1533" s="118" t="n">
        <v>46891</v>
      </c>
      <c r="H1533" s="118" t="n">
        <v>46289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IF(E1533="","",IF(LEFT(E1533,7)="SUBSOLO",-1,IF(LEFT(E1533,6)="TÉRREO",0,IFERROR(VALUE(LEFT(E1533,FIND("º",SUBSTITUTE(E1533,"°","º"))-1)),""))))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29981389</v>
      </c>
      <c r="C1534" s="4" t="inlineStr">
        <is>
          <t>LIMPEZA GROSSA</t>
        </is>
      </c>
      <c r="D1534" s="4" t="inlineStr">
        <is>
          <t>-</t>
        </is>
      </c>
      <c r="E1534" s="4" t="inlineStr">
        <is>
          <t>11º PAV.</t>
        </is>
      </c>
      <c r="F1534" s="118" t="n">
        <v>46881</v>
      </c>
      <c r="G1534" s="118" t="n">
        <v>46891</v>
      </c>
      <c r="H1534" s="118" t="n">
        <v>46289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IF(E1534="","",IF(LEFT(E1534,7)="SUBSOLO",-1,IF(LEFT(E1534,6)="TÉRREO",0,IFERROR(VALUE(LEFT(E1534,FIND("º",SUBSTITUTE(E1534,"°","º"))-1)),""))))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29981346</v>
      </c>
      <c r="C1535" s="4" t="inlineStr">
        <is>
          <t>LOUÇAS</t>
        </is>
      </c>
      <c r="D1535" s="4" t="inlineStr">
        <is>
          <t>-</t>
        </is>
      </c>
      <c r="E1535" s="4" t="inlineStr">
        <is>
          <t>12º PAV.</t>
        </is>
      </c>
      <c r="F1535" s="118" t="n">
        <v>46881</v>
      </c>
      <c r="G1535" s="118" t="n">
        <v>46891</v>
      </c>
      <c r="H1535" s="118" t="n">
        <v>46289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IF(E1535="","",IF(LEFT(E1535,7)="SUBSOLO",-1,IF(LEFT(E1535,6)="TÉRREO",0,IFERROR(VALUE(LEFT(E1535,FIND("º",SUBSTITUTE(E1535,"°","º"))-1)),""))))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29981351</v>
      </c>
      <c r="C1536" s="4" t="inlineStr">
        <is>
          <t>METAIS</t>
        </is>
      </c>
      <c r="D1536" s="4" t="inlineStr">
        <is>
          <t>-</t>
        </is>
      </c>
      <c r="E1536" s="4" t="inlineStr">
        <is>
          <t>12º PAV.</t>
        </is>
      </c>
      <c r="F1536" s="118" t="n">
        <v>46881</v>
      </c>
      <c r="G1536" s="118" t="n">
        <v>46891</v>
      </c>
      <c r="H1536" s="118" t="n">
        <v>46289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IF(E1536="","",IF(LEFT(E1536,7)="SUBSOLO",-1,IF(LEFT(E1536,6)="TÉRREO",0,IFERROR(VALUE(LEFT(E1536,FIND("º",SUBSTITUTE(E1536,"°","º"))-1)),""))))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29981350</v>
      </c>
      <c r="C1537" s="4" t="inlineStr">
        <is>
          <t>DISJUNTORES / MIOLOS</t>
        </is>
      </c>
      <c r="D1537" s="4" t="inlineStr">
        <is>
          <t>-</t>
        </is>
      </c>
      <c r="E1537" s="4" t="inlineStr">
        <is>
          <t>12º PAV.</t>
        </is>
      </c>
      <c r="F1537" s="118" t="n">
        <v>46881</v>
      </c>
      <c r="G1537" s="118" t="n">
        <v>46891</v>
      </c>
      <c r="H1537" s="118" t="n">
        <v>46289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IF(E1537="","",IF(LEFT(E1537,7)="SUBSOLO",-1,IF(LEFT(E1537,6)="TÉRREO",0,IFERROR(VALUE(LEFT(E1537,FIND("º",SUBSTITUTE(E1537,"°","º"))-1)),""))))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29981349</v>
      </c>
      <c r="C1538" s="4" t="inlineStr">
        <is>
          <t>COMUNICAÇÃO E ALARME</t>
        </is>
      </c>
      <c r="D1538" s="4" t="inlineStr">
        <is>
          <t>-</t>
        </is>
      </c>
      <c r="E1538" s="4" t="inlineStr">
        <is>
          <t>12º PAV.</t>
        </is>
      </c>
      <c r="F1538" s="118" t="n">
        <v>46881</v>
      </c>
      <c r="G1538" s="118" t="n">
        <v>46891</v>
      </c>
      <c r="H1538" s="118" t="n">
        <v>46289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IF(E1538="","",IF(LEFT(E1538,7)="SUBSOLO",-1,IF(LEFT(E1538,6)="TÉRREO",0,IFERROR(VALUE(LEFT(E1538,FIND("º",SUBSTITUTE(E1538,"°","º"))-1)),""))))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29981308</v>
      </c>
      <c r="C1539" s="4" t="inlineStr">
        <is>
          <t>RODAPÉ MADEIRA / PVC</t>
        </is>
      </c>
      <c r="D1539" s="4" t="inlineStr">
        <is>
          <t>-</t>
        </is>
      </c>
      <c r="E1539" s="4" t="inlineStr">
        <is>
          <t>13º PAV.</t>
        </is>
      </c>
      <c r="F1539" s="118" t="n">
        <v>46881</v>
      </c>
      <c r="G1539" s="118" t="n">
        <v>46891</v>
      </c>
      <c r="H1539" s="118" t="n">
        <v>46289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IF(E1539="","",IF(LEFT(E1539,7)="SUBSOLO",-1,IF(LEFT(E1539,6)="TÉRREO",0,IFERROR(VALUE(LEFT(E1539,FIND("º",SUBSTITUTE(E1539,"°","º"))-1)),""))))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29981270</v>
      </c>
      <c r="C1540" s="4" t="inlineStr">
        <is>
          <t>ESQUADRIA MADEIRA</t>
        </is>
      </c>
      <c r="D1540" s="4" t="inlineStr">
        <is>
          <t>-</t>
        </is>
      </c>
      <c r="E1540" s="4" t="inlineStr">
        <is>
          <t>14º PAV.</t>
        </is>
      </c>
      <c r="F1540" s="118" t="n">
        <v>46881</v>
      </c>
      <c r="G1540" s="118" t="n">
        <v>46891</v>
      </c>
      <c r="H1540" s="118" t="n">
        <v>46289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IF(E1540="","",IF(LEFT(E1540,7)="SUBSOLO",-1,IF(LEFT(E1540,6)="TÉRREO",0,IFERROR(VALUE(LEFT(E1540,FIND("º",SUBSTITUTE(E1540,"°","º"))-1)),""))))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29981232</v>
      </c>
      <c r="C1541" s="4" t="inlineStr">
        <is>
          <t>PISO VINÍLICO / LAMINADO</t>
        </is>
      </c>
      <c r="D1541" s="4" t="inlineStr">
        <is>
          <t>-</t>
        </is>
      </c>
      <c r="E1541" s="4" t="inlineStr">
        <is>
          <t>15º PAV.</t>
        </is>
      </c>
      <c r="F1541" s="118" t="n">
        <v>46881</v>
      </c>
      <c r="G1541" s="118" t="n">
        <v>46891</v>
      </c>
      <c r="H1541" s="118" t="n">
        <v>46289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IF(E1541="","",IF(LEFT(E1541,7)="SUBSOLO",-1,IF(LEFT(E1541,6)="TÉRREO",0,IFERROR(VALUE(LEFT(E1541,FIND("º",SUBSTITUTE(E1541,"°","º"))-1)),""))))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29981194</v>
      </c>
      <c r="C1542" s="4" t="inlineStr">
        <is>
          <t>PINTURA 1º DEMÃO</t>
        </is>
      </c>
      <c r="D1542" s="4" t="inlineStr">
        <is>
          <t>-</t>
        </is>
      </c>
      <c r="E1542" s="4" t="inlineStr">
        <is>
          <t>16º PAV.</t>
        </is>
      </c>
      <c r="F1542" s="118" t="n">
        <v>46881</v>
      </c>
      <c r="G1542" s="118" t="n">
        <v>46891</v>
      </c>
      <c r="H1542" s="118" t="n">
        <v>46289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IF(E1542="","",IF(LEFT(E1542,7)="SUBSOLO",-1,IF(LEFT(E1542,6)="TÉRREO",0,IFERROR(VALUE(LEFT(E1542,FIND("º",SUBSTITUTE(E1542,"°","º"))-1)),""))))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29981183</v>
      </c>
      <c r="C1543" s="4" t="inlineStr">
        <is>
          <t>MASSA CORRIDA</t>
        </is>
      </c>
      <c r="D1543" s="4" t="inlineStr">
        <is>
          <t>-</t>
        </is>
      </c>
      <c r="E1543" s="4" t="inlineStr">
        <is>
          <t>17º PAV.</t>
        </is>
      </c>
      <c r="F1543" s="118" t="n">
        <v>46881</v>
      </c>
      <c r="G1543" s="118" t="n">
        <v>46891</v>
      </c>
      <c r="H1543" s="118" t="n">
        <v>46289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IF(E1543="","",IF(LEFT(E1543,7)="SUBSOLO",-1,IF(LEFT(E1543,6)="TÉRREO",0,IFERROR(VALUE(LEFT(E1543,FIND("º",SUBSTITUTE(E1543,"°","º"))-1)),""))))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33898099</v>
      </c>
      <c r="C1544" s="4" t="inlineStr">
        <is>
          <t>ESQUADRIA DE ALUMÍNIO</t>
        </is>
      </c>
      <c r="D1544" s="4" t="inlineStr">
        <is>
          <t>-</t>
        </is>
      </c>
      <c r="E1544" s="4" t="inlineStr">
        <is>
          <t>18º PAV.</t>
        </is>
      </c>
      <c r="F1544" s="118" t="n">
        <v>46881</v>
      </c>
      <c r="G1544" s="118" t="n">
        <v>46891</v>
      </c>
      <c r="H1544" s="118" t="n">
        <v>46289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IF(E1544="","",IF(LEFT(E1544,7)="SUBSOLO",-1,IF(LEFT(E1544,6)="TÉRREO",0,IFERROR(VALUE(LEFT(E1544,FIND("º",SUBSTITUTE(E1544,"°","º"))-1)),""))))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29980959</v>
      </c>
      <c r="C1545" s="4" t="inlineStr">
        <is>
          <t>FORRO</t>
        </is>
      </c>
      <c r="D1545" s="4" t="inlineStr">
        <is>
          <t>-</t>
        </is>
      </c>
      <c r="E1545" s="4" t="inlineStr">
        <is>
          <t>23º PAV.</t>
        </is>
      </c>
      <c r="F1545" s="118" t="n">
        <v>46882</v>
      </c>
      <c r="G1545" s="118" t="n">
        <v>46892</v>
      </c>
      <c r="H1545" s="118" t="n">
        <v>46289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IF(E1545="","",IF(LEFT(E1545,7)="SUBSOLO",-1,IF(LEFT(E1545,6)="TÉRREO",0,IFERROR(VALUE(LEFT(E1545,FIND("º",SUBSTITUTE(E1545,"°","º"))-1)),""))))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29980920</v>
      </c>
      <c r="C1546" s="4" t="inlineStr">
        <is>
          <t>FIAÇÃO ELÉTRICA</t>
        </is>
      </c>
      <c r="D1546" s="4" t="inlineStr">
        <is>
          <t>-</t>
        </is>
      </c>
      <c r="E1546" s="4" t="inlineStr">
        <is>
          <t>24º PAV.</t>
        </is>
      </c>
      <c r="F1546" s="118" t="n">
        <v>46882</v>
      </c>
      <c r="G1546" s="118" t="n">
        <v>46892</v>
      </c>
      <c r="H1546" s="118" t="n">
        <v>46289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IF(E1546="","",IF(LEFT(E1546,7)="SUBSOLO",-1,IF(LEFT(E1546,6)="TÉRREO",0,IFERROR(VALUE(LEFT(E1546,FIND("º",SUBSTITUTE(E1546,"°","º"))-1)),""))))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29980925</v>
      </c>
      <c r="C1547" s="4" t="inlineStr">
        <is>
          <t>PRUMADA ELÉTRICA - CABOS</t>
        </is>
      </c>
      <c r="D1547" s="4" t="inlineStr">
        <is>
          <t>-</t>
        </is>
      </c>
      <c r="E1547" s="4" t="inlineStr">
        <is>
          <t>24º PAV.</t>
        </is>
      </c>
      <c r="F1547" s="118" t="n">
        <v>46882</v>
      </c>
      <c r="G1547" s="118" t="n">
        <v>46892</v>
      </c>
      <c r="H1547" s="118" t="n">
        <v>46289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IF(E1547="","",IF(LEFT(E1547,7)="SUBSOLO",-1,IF(LEFT(E1547,6)="TÉRREO",0,IFERROR(VALUE(LEFT(E1547,FIND("º",SUBSTITUTE(E1547,"°","º"))-1)),""))))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30214086</v>
      </c>
      <c r="C1548" s="4" t="inlineStr">
        <is>
          <t>FIAÇÃO TELECOM/DADOS</t>
        </is>
      </c>
      <c r="D1548" s="4" t="inlineStr">
        <is>
          <t>-</t>
        </is>
      </c>
      <c r="E1548" s="4" t="inlineStr">
        <is>
          <t>24º PAV.</t>
        </is>
      </c>
      <c r="F1548" s="118" t="n">
        <v>46882</v>
      </c>
      <c r="G1548" s="118" t="n">
        <v>46895</v>
      </c>
      <c r="H1548" s="118" t="n">
        <v>46289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IF(E1548="","",IF(LEFT(E1548,7)="SUBSOLO",-1,IF(LEFT(E1548,6)="TÉRREO",0,IFERROR(VALUE(LEFT(E1548,FIND("º",SUBSTITUTE(E1548,"°","º"))-1)),""))))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29980867</v>
      </c>
      <c r="C1549" s="4" t="inlineStr">
        <is>
          <t>BANCADAS</t>
        </is>
      </c>
      <c r="D1549" s="4" t="inlineStr">
        <is>
          <t>-</t>
        </is>
      </c>
      <c r="E1549" s="4" t="inlineStr">
        <is>
          <t>25º PAV.</t>
        </is>
      </c>
      <c r="F1549" s="118" t="n">
        <v>46882</v>
      </c>
      <c r="G1549" s="118" t="n">
        <v>46892</v>
      </c>
      <c r="H1549" s="118" t="n">
        <v>46289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IF(E1549="","",IF(LEFT(E1549,7)="SUBSOLO",-1,IF(LEFT(E1549,6)="TÉRREO",0,IFERROR(VALUE(LEFT(E1549,FIND("º",SUBSTITUTE(E1549,"°","º"))-1)),""))))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29980829</v>
      </c>
      <c r="C1550" s="4" t="inlineStr">
        <is>
          <t>REVESTIMENTOS PORCELANATO PISO</t>
        </is>
      </c>
      <c r="D1550" s="4" t="inlineStr">
        <is>
          <t>-</t>
        </is>
      </c>
      <c r="E1550" s="4" t="inlineStr">
        <is>
          <t>26º PAV.</t>
        </is>
      </c>
      <c r="F1550" s="118" t="n">
        <v>46882</v>
      </c>
      <c r="G1550" s="118" t="n">
        <v>46892</v>
      </c>
      <c r="H1550" s="118" t="n">
        <v>46289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IF(E1550="","",IF(LEFT(E1550,7)="SUBSOLO",-1,IF(LEFT(E1550,6)="TÉRREO",0,IFERROR(VALUE(LEFT(E1550,FIND("º",SUBSTITUTE(E1550,"°","º"))-1)),""))))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29980808</v>
      </c>
      <c r="C1551" s="4" t="inlineStr">
        <is>
          <t>REVESTIMENTO PORCELANATO PAREDE</t>
        </is>
      </c>
      <c r="D1551" s="4" t="inlineStr">
        <is>
          <t>-</t>
        </is>
      </c>
      <c r="E1551" s="4" t="inlineStr">
        <is>
          <t>27º PAV.</t>
        </is>
      </c>
      <c r="F1551" s="118" t="n">
        <v>46882</v>
      </c>
      <c r="G1551" s="118" t="n">
        <v>46892</v>
      </c>
      <c r="H1551" s="118" t="n">
        <v>46289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IF(E1551="","",IF(LEFT(E1551,7)="SUBSOLO",-1,IF(LEFT(E1551,6)="TÉRREO",0,IFERROR(VALUE(LEFT(E1551,FIND("º",SUBSTITUTE(E1551,"°","º"))-1)),""))))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29980769</v>
      </c>
      <c r="C1552" s="4" t="inlineStr">
        <is>
          <t>IMPERMEABILIZAÇÃO</t>
        </is>
      </c>
      <c r="D1552" s="4" t="inlineStr">
        <is>
          <t>-</t>
        </is>
      </c>
      <c r="E1552" s="4" t="inlineStr">
        <is>
          <t>28º PAV.</t>
        </is>
      </c>
      <c r="F1552" s="118" t="n">
        <v>46882</v>
      </c>
      <c r="G1552" s="118" t="n">
        <v>46892</v>
      </c>
      <c r="H1552" s="118" t="n">
        <v>46289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IF(E1552="","",IF(LEFT(E1552,7)="SUBSOLO",-1,IF(LEFT(E1552,6)="TÉRREO",0,IFERROR(VALUE(LEFT(E1552,FIND("º",SUBSTITUTE(E1552,"°","º"))-1)),""))))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32750455</v>
      </c>
      <c r="C1553" s="4" t="inlineStr">
        <is>
          <t>DRYWALL 2º FACE</t>
        </is>
      </c>
      <c r="D1553" s="4" t="inlineStr">
        <is>
          <t>-</t>
        </is>
      </c>
      <c r="E1553" s="4" t="inlineStr">
        <is>
          <t>29º PAV.</t>
        </is>
      </c>
      <c r="F1553" s="118" t="n">
        <v>46882</v>
      </c>
      <c r="G1553" s="118" t="n">
        <v>46892</v>
      </c>
      <c r="H1553" s="118" t="n">
        <v>46289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IF(E1553="","",IF(LEFT(E1553,7)="SUBSOLO",-1,IF(LEFT(E1553,6)="TÉRREO",0,IFERROR(VALUE(LEFT(E1553,FIND("º",SUBSTITUTE(E1553,"°","º"))-1)),""))))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32750378</v>
      </c>
      <c r="C1554" s="4" t="inlineStr">
        <is>
          <t>DISTRIBUIÇÃO DE GÁS - DRYWALL</t>
        </is>
      </c>
      <c r="D1554" s="4" t="inlineStr">
        <is>
          <t>-</t>
        </is>
      </c>
      <c r="E1554" s="4" t="inlineStr">
        <is>
          <t>30º PAV.</t>
        </is>
      </c>
      <c r="F1554" s="118" t="n">
        <v>46882</v>
      </c>
      <c r="G1554" s="118" t="n">
        <v>46892</v>
      </c>
      <c r="H1554" s="118" t="n">
        <v>46289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IF(E1554="","",IF(LEFT(E1554,7)="SUBSOLO",-1,IF(LEFT(E1554,6)="TÉRREO",0,IFERROR(VALUE(LEFT(E1554,FIND("º",SUBSTITUTE(E1554,"°","º"))-1)),""))))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32750404</v>
      </c>
      <c r="C1555" s="4" t="inlineStr">
        <is>
          <t>DISTRIBUIÇÃO ELÉTRICA/QUADRO - DRYWALL</t>
        </is>
      </c>
      <c r="D1555" s="4" t="inlineStr">
        <is>
          <t>-</t>
        </is>
      </c>
      <c r="E1555" s="4" t="inlineStr">
        <is>
          <t>30º PAV.</t>
        </is>
      </c>
      <c r="F1555" s="118" t="n">
        <v>46882</v>
      </c>
      <c r="G1555" s="118" t="n">
        <v>46892</v>
      </c>
      <c r="H1555" s="118" t="n">
        <v>46289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IF(E1555="","",IF(LEFT(E1555,7)="SUBSOLO",-1,IF(LEFT(E1555,6)="TÉRREO",0,IFERROR(VALUE(LEFT(E1555,FIND("º",SUBSTITUTE(E1555,"°","º"))-1)),""))))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32750430</v>
      </c>
      <c r="C1556" s="4" t="inlineStr">
        <is>
          <t>DISTRIBUIÇÃO HIDRÁULICA - DRYWALL</t>
        </is>
      </c>
      <c r="D1556" s="4" t="inlineStr">
        <is>
          <t>-</t>
        </is>
      </c>
      <c r="E1556" s="4" t="inlineStr">
        <is>
          <t>30º PAV.</t>
        </is>
      </c>
      <c r="F1556" s="118" t="n">
        <v>46882</v>
      </c>
      <c r="G1556" s="118" t="n">
        <v>46892</v>
      </c>
      <c r="H1556" s="118" t="n">
        <v>46289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IF(E1556="","",IF(LEFT(E1556,7)="SUBSOLO",-1,IF(LEFT(E1556,6)="TÉRREO",0,IFERROR(VALUE(LEFT(E1556,FIND("º",SUBSTITUTE(E1556,"°","º"))-1)),""))))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33896848</v>
      </c>
      <c r="C1557" s="4" t="inlineStr">
        <is>
          <t>INFRAESTRUTURA - AR CONDICIONADO</t>
        </is>
      </c>
      <c r="D1557" s="4" t="inlineStr">
        <is>
          <t>-</t>
        </is>
      </c>
      <c r="E1557" s="4" t="inlineStr">
        <is>
          <t>30º PAV.</t>
        </is>
      </c>
      <c r="F1557" s="118" t="n">
        <v>46882</v>
      </c>
      <c r="G1557" s="118" t="n">
        <v>46892</v>
      </c>
      <c r="H1557" s="118" t="n">
        <v>46289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IF(E1557="","",IF(LEFT(E1557,7)="SUBSOLO",-1,IF(LEFT(E1557,6)="TÉRREO",0,IFERROR(VALUE(LEFT(E1557,FIND("º",SUBSTITUTE(E1557,"°","º"))-1)),""))))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32749874</v>
      </c>
      <c r="C1558" s="4" t="inlineStr">
        <is>
          <t>DRYWALL 1º FACE</t>
        </is>
      </c>
      <c r="D1558" s="4" t="inlineStr">
        <is>
          <t>-</t>
        </is>
      </c>
      <c r="E1558" s="4" t="inlineStr">
        <is>
          <t>31º PAV. - COBERTURA LINEAR</t>
        </is>
      </c>
      <c r="F1558" s="118" t="n">
        <v>46882</v>
      </c>
      <c r="G1558" s="118" t="n">
        <v>46892</v>
      </c>
      <c r="H1558" s="118" t="n">
        <v>46289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IF(E1558="","",IF(LEFT(E1558,7)="SUBSOLO",-1,IF(LEFT(E1558,6)="TÉRREO",0,IFERROR(VALUE(LEFT(E1558,FIND("º",SUBSTITUTE(E1558,"°","º"))-1)),""))))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29980622</v>
      </c>
      <c r="C1559" s="4" t="inlineStr">
        <is>
          <t>CONTRAPISO</t>
        </is>
      </c>
      <c r="D1559" s="4" t="inlineStr">
        <is>
          <t>-</t>
        </is>
      </c>
      <c r="E1559" s="4" t="inlineStr">
        <is>
          <t>32º PAV - COBERTURA GERAL</t>
        </is>
      </c>
      <c r="F1559" s="118" t="n">
        <v>46882</v>
      </c>
      <c r="G1559" s="118" t="n">
        <v>46892</v>
      </c>
      <c r="H1559" s="118" t="n">
        <v>46289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IF(E1559="","",IF(LEFT(E1559,7)="SUBSOLO",-1,IF(LEFT(E1559,6)="TÉRREO",0,IFERROR(VALUE(LEFT(E1559,FIND("º",SUBSTITUTE(E1559,"°","º"))-1)),""))))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30205822</v>
      </c>
      <c r="C1560" s="4" t="inlineStr">
        <is>
          <t>FORRO</t>
        </is>
      </c>
      <c r="D1560" s="4" t="inlineStr">
        <is>
          <t>-</t>
        </is>
      </c>
      <c r="E1560" s="4" t="inlineStr">
        <is>
          <t>TÉRREO - HALL SOCIAL + ECLUSA + CIRCULAÇÃO</t>
        </is>
      </c>
      <c r="F1560" s="118" t="n">
        <v>46883</v>
      </c>
      <c r="G1560" s="118" t="n">
        <v>46896</v>
      </c>
      <c r="H1560" s="118" t="n">
        <v>46289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IF(E1560="","",IF(LEFT(E1560,7)="SUBSOLO",-1,IF(LEFT(E1560,6)="TÉRREO",0,IFERROR(VALUE(LEFT(E1560,FIND("º",SUBSTITUTE(E1560,"°","º"))-1)),""))))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30208604</v>
      </c>
      <c r="C1561" s="4" t="inlineStr">
        <is>
          <t>PRUMADA ELÉTRICA - CABOS</t>
        </is>
      </c>
      <c r="D1561" s="4" t="inlineStr">
        <is>
          <t>-</t>
        </is>
      </c>
      <c r="E1561" s="4" t="inlineStr">
        <is>
          <t>TÉRREO - GERAL</t>
        </is>
      </c>
      <c r="F1561" s="118" t="n">
        <v>46883</v>
      </c>
      <c r="G1561" s="118" t="n">
        <v>46896</v>
      </c>
      <c r="H1561" s="118" t="n">
        <v>46289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IF(E1561="","",IF(LEFT(E1561,7)="SUBSOLO",-1,IF(LEFT(E1561,6)="TÉRREO",0,IFERROR(VALUE(LEFT(E1561,FIND("º",SUBSTITUTE(E1561,"°","º"))-1)),""))))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30208610</v>
      </c>
      <c r="C1562" s="4" t="inlineStr">
        <is>
          <t>CONTRAPISO</t>
        </is>
      </c>
      <c r="D1562" s="4" t="inlineStr">
        <is>
          <t>-</t>
        </is>
      </c>
      <c r="E1562" s="4" t="inlineStr">
        <is>
          <t>6º PAV (PILOTIS) - PISCINA + PRAINHA + DECK</t>
        </is>
      </c>
      <c r="F1562" s="118" t="n">
        <v>46883</v>
      </c>
      <c r="G1562" s="118" t="n">
        <v>46903</v>
      </c>
      <c r="H1562" s="118" t="n">
        <v>46289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IF(E1562="","",IF(LEFT(E1562,7)="SUBSOLO",-1,IF(LEFT(E1562,6)="TÉRREO",0,IFERROR(VALUE(LEFT(E1562,FIND("º",SUBSTITUTE(E1562,"°","º"))-1)),""))))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29981112</v>
      </c>
      <c r="C1563" s="4" t="inlineStr">
        <is>
          <t>DISTRIBUIÇÃO HIDROSSANITÁRIA</t>
        </is>
      </c>
      <c r="D1563" s="4" t="inlineStr">
        <is>
          <t>-</t>
        </is>
      </c>
      <c r="E1563" s="4" t="inlineStr">
        <is>
          <t>19º PAV.</t>
        </is>
      </c>
      <c r="F1563" s="118" t="n">
        <v>46883</v>
      </c>
      <c r="G1563" s="118" t="n">
        <v>46895</v>
      </c>
      <c r="H1563" s="118" t="n">
        <v>46289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IF(E1563="","",IF(LEFT(E1563,7)="SUBSOLO",-1,IF(LEFT(E1563,6)="TÉRREO",0,IFERROR(VALUE(LEFT(E1563,FIND("º",SUBSTITUTE(E1563,"°","º"))-1)),""))))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29981081</v>
      </c>
      <c r="C1564" s="4" t="inlineStr">
        <is>
          <t>DISTRIBUIÇÃO ELÉTRICA / QUADRO</t>
        </is>
      </c>
      <c r="D1564" s="4" t="inlineStr">
        <is>
          <t>-</t>
        </is>
      </c>
      <c r="E1564" s="4" t="inlineStr">
        <is>
          <t>19º PAV.</t>
        </is>
      </c>
      <c r="F1564" s="118" t="n">
        <v>46883</v>
      </c>
      <c r="G1564" s="118" t="n">
        <v>46895</v>
      </c>
      <c r="H1564" s="118" t="n">
        <v>46289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IF(E1564="","",IF(LEFT(E1564,7)="SUBSOLO",-1,IF(LEFT(E1564,6)="TÉRREO",0,IFERROR(VALUE(LEFT(E1564,FIND("º",SUBSTITUTE(E1564,"°","º"))-1)),""))))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29981114</v>
      </c>
      <c r="C1565" s="4" t="inlineStr">
        <is>
          <t>DISTRIBUIÇÃO DE GÁS</t>
        </is>
      </c>
      <c r="D1565" s="4" t="inlineStr">
        <is>
          <t>-</t>
        </is>
      </c>
      <c r="E1565" s="4" t="inlineStr">
        <is>
          <t>19º PAV.</t>
        </is>
      </c>
      <c r="F1565" s="118" t="n">
        <v>46883</v>
      </c>
      <c r="G1565" s="118" t="n">
        <v>46895</v>
      </c>
      <c r="H1565" s="118" t="n">
        <v>46289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IF(E1565="","",IF(LEFT(E1565,7)="SUBSOLO",-1,IF(LEFT(E1565,6)="TÉRREO",0,IFERROR(VALUE(LEFT(E1565,FIND("º",SUBSTITUTE(E1565,"°","º"))-1)),""))))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31791087</v>
      </c>
      <c r="C1566" s="4" t="inlineStr">
        <is>
          <t>PREPARAÇÃO PARA FACHADA AERADA - F5 (2º ETAPA)</t>
        </is>
      </c>
      <c r="D1566" s="4" t="inlineStr">
        <is>
          <t>-</t>
        </is>
      </c>
      <c r="E1566" s="4" t="inlineStr">
        <is>
          <t>FACHADA</t>
        </is>
      </c>
      <c r="F1566" s="118" t="n">
        <v>46883</v>
      </c>
      <c r="G1566" s="118" t="n">
        <v>46910</v>
      </c>
      <c r="H1566" s="118" t="n">
        <v>46289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IF(E1566="","",IF(LEFT(E1566,7)="SUBSOLO",-1,IF(LEFT(E1566,6)="TÉRREO",0,IFERROR(VALUE(LEFT(E1566,FIND("º",SUBSTITUTE(E1566,"°","º"))-1)),""))))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31800444</v>
      </c>
      <c r="C1567" s="4" t="inlineStr">
        <is>
          <t>INSTALAÇÃO DE SHADOWBOX E BRISE - F1 + F2</t>
        </is>
      </c>
      <c r="D1567" s="4" t="inlineStr">
        <is>
          <t>-</t>
        </is>
      </c>
      <c r="E1567" s="4" t="inlineStr">
        <is>
          <t>FACHADA</t>
        </is>
      </c>
      <c r="F1567" s="118" t="n">
        <v>46883</v>
      </c>
      <c r="G1567" s="118" t="n">
        <v>46925</v>
      </c>
      <c r="H1567" s="118" t="n">
        <v>46289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IF(E1567="","",IF(LEFT(E1567,7)="SUBSOLO",-1,IF(LEFT(E1567,6)="TÉRREO",0,IFERROR(VALUE(LEFT(E1567,FIND("º",SUBSTITUTE(E1567,"°","º"))-1)),""))))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30205954</v>
      </c>
      <c r="C1568" s="4" t="inlineStr">
        <is>
          <t>CONTRAMARCO</t>
        </is>
      </c>
      <c r="D1568" s="4" t="inlineStr">
        <is>
          <t>-</t>
        </is>
      </c>
      <c r="E1568" s="4" t="inlineStr">
        <is>
          <t>6º PAV (PILOTIS) - LOUNGE + SALÃO + COZINHA + GOURMET + ESPAÇO KIDS</t>
        </is>
      </c>
      <c r="F1568" s="118" t="n">
        <v>46884</v>
      </c>
      <c r="G1568" s="118" t="n">
        <v>46890</v>
      </c>
      <c r="H1568" s="118" t="n">
        <v>46289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IF(E1568="","",IF(LEFT(E1568,7)="SUBSOLO",-1,IF(LEFT(E1568,6)="TÉRREO",0,IFERROR(VALUE(LEFT(E1568,FIND("º",SUBSTITUTE(E1568,"°","º"))-1)),""))))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30205634</v>
      </c>
      <c r="C1569" s="4" t="inlineStr">
        <is>
          <t>DISJUNTORES / MIOLOS</t>
        </is>
      </c>
      <c r="D1569" s="4" t="inlineStr">
        <is>
          <t>-</t>
        </is>
      </c>
      <c r="E1569" s="4" t="inlineStr">
        <is>
          <t>TÉRREO - LOJA 3</t>
        </is>
      </c>
      <c r="F1569" s="118" t="n">
        <v>46888</v>
      </c>
      <c r="G1569" s="118" t="n">
        <v>46892</v>
      </c>
      <c r="H1569" s="118" t="n">
        <v>46289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IF(E1569="","",IF(LEFT(E1569,7)="SUBSOLO",-1,IF(LEFT(E1569,6)="TÉRREO",0,IFERROR(VALUE(LEFT(E1569,FIND("º",SUBSTITUTE(E1569,"°","º"))-1)),""))))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30205609</v>
      </c>
      <c r="C1570" s="4" t="inlineStr">
        <is>
          <t>ESQUADRIA MADEIRA</t>
        </is>
      </c>
      <c r="D1570" s="4" t="inlineStr">
        <is>
          <t>-</t>
        </is>
      </c>
      <c r="E1570" s="4" t="inlineStr">
        <is>
          <t>TÉRREO - LOJA 4</t>
        </is>
      </c>
      <c r="F1570" s="118" t="n">
        <v>46888</v>
      </c>
      <c r="G1570" s="118" t="n">
        <v>46899</v>
      </c>
      <c r="H1570" s="118" t="n">
        <v>46289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IF(E1570="","",IF(LEFT(E1570,7)="SUBSOLO",-1,IF(LEFT(E1570,6)="TÉRREO",0,IFERROR(VALUE(LEFT(E1570,FIND("º",SUBSTITUTE(E1570,"°","º"))-1)),""))))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30205608</v>
      </c>
      <c r="C1571" s="4" t="inlineStr">
        <is>
          <t>LOUÇAS</t>
        </is>
      </c>
      <c r="D1571" s="4" t="inlineStr">
        <is>
          <t>-</t>
        </is>
      </c>
      <c r="E1571" s="4" t="inlineStr">
        <is>
          <t>TÉRREO - LOJA 4</t>
        </is>
      </c>
      <c r="F1571" s="118" t="n">
        <v>46888</v>
      </c>
      <c r="G1571" s="118" t="n">
        <v>46899</v>
      </c>
      <c r="H1571" s="118" t="n">
        <v>46289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IF(E1571="","",IF(LEFT(E1571,7)="SUBSOLO",-1,IF(LEFT(E1571,6)="TÉRREO",0,IFERROR(VALUE(LEFT(E1571,FIND("º",SUBSTITUTE(E1571,"°","º"))-1)),""))))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30205606</v>
      </c>
      <c r="C1572" s="4" t="inlineStr">
        <is>
          <t>METAIS</t>
        </is>
      </c>
      <c r="D1572" s="4" t="inlineStr">
        <is>
          <t>-</t>
        </is>
      </c>
      <c r="E1572" s="4" t="inlineStr">
        <is>
          <t>TÉRREO - LOJA 4</t>
        </is>
      </c>
      <c r="F1572" s="118" t="n">
        <v>46888</v>
      </c>
      <c r="G1572" s="118" t="n">
        <v>46899</v>
      </c>
      <c r="H1572" s="118" t="n">
        <v>46289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IF(E1572="","",IF(LEFT(E1572,7)="SUBSOLO",-1,IF(LEFT(E1572,6)="TÉRREO",0,IFERROR(VALUE(LEFT(E1572,FIND("º",SUBSTITUTE(E1572,"°","º"))-1)),""))))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30205591</v>
      </c>
      <c r="C1573" s="4" t="inlineStr">
        <is>
          <t>PINTURA 1º DEMÃO</t>
        </is>
      </c>
      <c r="D1573" s="4" t="inlineStr">
        <is>
          <t>-</t>
        </is>
      </c>
      <c r="E1573" s="4" t="inlineStr">
        <is>
          <t>TÉRREO - LOJA 5</t>
        </is>
      </c>
      <c r="F1573" s="118" t="n">
        <v>46888</v>
      </c>
      <c r="G1573" s="118" t="n">
        <v>46899</v>
      </c>
      <c r="H1573" s="118" t="n">
        <v>46289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IF(E1573="","",IF(LEFT(E1573,7)="SUBSOLO",-1,IF(LEFT(E1573,6)="TÉRREO",0,IFERROR(VALUE(LEFT(E1573,FIND("º",SUBSTITUTE(E1573,"°","º"))-1)),""))))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29981550</v>
      </c>
      <c r="C1574" s="4" t="inlineStr">
        <is>
          <t>LIMPEZA FINA</t>
        </is>
      </c>
      <c r="D1574" s="4" t="inlineStr">
        <is>
          <t>-</t>
        </is>
      </c>
      <c r="E1574" s="4" t="inlineStr">
        <is>
          <t>7º PAV.</t>
        </is>
      </c>
      <c r="F1574" s="118" t="n">
        <v>46888</v>
      </c>
      <c r="G1574" s="118" t="n">
        <v>46898</v>
      </c>
      <c r="H1574" s="118" t="n">
        <v>46289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IF(E1574="","",IF(LEFT(E1574,7)="SUBSOLO",-1,IF(LEFT(E1574,6)="TÉRREO",0,IFERROR(VALUE(LEFT(E1574,FIND("º",SUBSTITUTE(E1574,"°","º"))-1)),""))))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29981503</v>
      </c>
      <c r="C1575" s="4" t="inlineStr">
        <is>
          <t>PINTURA 3º DEMÃO</t>
        </is>
      </c>
      <c r="D1575" s="4" t="inlineStr">
        <is>
          <t>-</t>
        </is>
      </c>
      <c r="E1575" s="4" t="inlineStr">
        <is>
          <t>8º PAV.</t>
        </is>
      </c>
      <c r="F1575" s="118" t="n">
        <v>46888</v>
      </c>
      <c r="G1575" s="118" t="n">
        <v>46898</v>
      </c>
      <c r="H1575" s="118" t="n">
        <v>46289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IF(E1575="","",IF(LEFT(E1575,7)="SUBSOLO",-1,IF(LEFT(E1575,6)="TÉRREO",0,IFERROR(VALUE(LEFT(E1575,FIND("º",SUBSTITUTE(E1575,"°","º"))-1)),""))))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30205790</v>
      </c>
      <c r="C1576" s="4" t="inlineStr">
        <is>
          <t>ESQUADRIA DE ALUMÍNIO</t>
        </is>
      </c>
      <c r="D1576" s="4" t="inlineStr">
        <is>
          <t>-</t>
        </is>
      </c>
      <c r="E1576" s="4" t="inlineStr">
        <is>
          <t>TÉRREO - ACESSO COMERCIAL + DML + ARS + ÁREA TEC + LAVABO + DISPENSA</t>
        </is>
      </c>
      <c r="F1576" s="118" t="n">
        <v>46890</v>
      </c>
      <c r="G1576" s="118" t="n">
        <v>46910</v>
      </c>
      <c r="H1576" s="118" t="n">
        <v>46289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IF(E1576="","",IF(LEFT(E1576,7)="SUBSOLO",-1,IF(LEFT(E1576,6)="TÉRREO",0,IFERROR(VALUE(LEFT(E1576,FIND("º",SUBSTITUTE(E1576,"°","º"))-1)),""))))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30205853</v>
      </c>
      <c r="C1577" s="4" t="inlineStr">
        <is>
          <t>FORRO</t>
        </is>
      </c>
      <c r="D1577" s="4" t="inlineStr">
        <is>
          <t>-</t>
        </is>
      </c>
      <c r="E1577" s="4" t="inlineStr">
        <is>
          <t>1º PAV. (INTERMEDIÁRIO)</t>
        </is>
      </c>
      <c r="F1577" s="118" t="n">
        <v>46890</v>
      </c>
      <c r="G1577" s="118" t="n">
        <v>46903</v>
      </c>
      <c r="H1577" s="118" t="n">
        <v>46289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IF(E1577="","",IF(LEFT(E1577,7)="SUBSOLO",-1,IF(LEFT(E1577,6)="TÉRREO",0,IFERROR(VALUE(LEFT(E1577,FIND("º",SUBSTITUTE(E1577,"°","º"))-1)),""))))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30208615</v>
      </c>
      <c r="C1578" s="4" t="inlineStr">
        <is>
          <t>PISO EMBORRACHADO</t>
        </is>
      </c>
      <c r="D1578" s="4" t="inlineStr">
        <is>
          <t>-</t>
        </is>
      </c>
      <c r="E1578" s="4" t="inlineStr">
        <is>
          <t>6º PAV (PILOTIS) - ACADEMIA</t>
        </is>
      </c>
      <c r="F1578" s="118" t="n">
        <v>46891</v>
      </c>
      <c r="G1578" s="118" t="n">
        <v>46904</v>
      </c>
      <c r="H1578" s="118" t="n">
        <v>46289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IF(E1578="","",IF(LEFT(E1578,7)="SUBSOLO",-1,IF(LEFT(E1578,6)="TÉRREO",0,IFERROR(VALUE(LEFT(E1578,FIND("º",SUBSTITUTE(E1578,"°","º"))-1)),""))))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30206086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6º PAV (PILOTIS) - SAUNA + DUCHA</t>
        </is>
      </c>
      <c r="F1579" s="118" t="n">
        <v>46891</v>
      </c>
      <c r="G1579" s="118" t="n">
        <v>46904</v>
      </c>
      <c r="H1579" s="118" t="n">
        <v>46289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IF(E1579="","",IF(LEFT(E1579,7)="SUBSOLO",-1,IF(LEFT(E1579,6)="TÉRREO",0,IFERROR(VALUE(LEFT(E1579,FIND("º",SUBSTITUTE(E1579,"°","º"))-1)),""))))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30206048</v>
      </c>
      <c r="C1580" s="4" t="inlineStr">
        <is>
          <t>IMPERMEABILIZAÇÃO</t>
        </is>
      </c>
      <c r="D1580" s="4" t="inlineStr">
        <is>
          <t>-</t>
        </is>
      </c>
      <c r="E1580" s="4" t="inlineStr">
        <is>
          <t>6º PAV (PILOTIS) - CHURRASQUEIRA + IS MASC. PCD + IS FEM. PCD + CIRCULAÇÃO 1 + HALL 1</t>
        </is>
      </c>
      <c r="F1580" s="118" t="n">
        <v>46891</v>
      </c>
      <c r="G1580" s="118" t="n">
        <v>46904</v>
      </c>
      <c r="H1580" s="118" t="n">
        <v>46289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IF(E1580="","",IF(LEFT(E1580,7)="SUBSOLO",-1,IF(LEFT(E1580,6)="TÉRREO",0,IFERROR(VALUE(LEFT(E1580,FIND("º",SUBSTITUTE(E1580,"°","º"))-1)),""))))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30205989</v>
      </c>
      <c r="C1581" s="4" t="inlineStr">
        <is>
          <t>SHAFT INTERNO INST. HIDRAÚLICAS</t>
        </is>
      </c>
      <c r="D1581" s="4" t="inlineStr">
        <is>
          <t>-</t>
        </is>
      </c>
      <c r="E1581" s="4" t="inlineStr">
        <is>
          <t>6º PAV (PILOTIS) - COWORKING 1 E 2 + CIRC. 2 + HALL 2 + DML + VEST. MASC. + VEST. FEM</t>
        </is>
      </c>
      <c r="F1581" s="118" t="n">
        <v>46891</v>
      </c>
      <c r="G1581" s="118" t="n">
        <v>46904</v>
      </c>
      <c r="H1581" s="118" t="n">
        <v>46289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IF(E1581="","",IF(LEFT(E1581,7)="SUBSOLO",-1,IF(LEFT(E1581,6)="TÉRREO",0,IFERROR(VALUE(LEFT(E1581,FIND("º",SUBSTITUTE(E1581,"°","º"))-1)),""))))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30205951</v>
      </c>
      <c r="C1582" s="4" t="inlineStr">
        <is>
          <t>REBOCO INTERNO</t>
        </is>
      </c>
      <c r="D1582" s="4" t="inlineStr">
        <is>
          <t>-</t>
        </is>
      </c>
      <c r="E1582" s="4" t="inlineStr">
        <is>
          <t>6º PAV (PILOTIS) - LOUNGE + SALÃO + COZINHA + GOURMET + ESPAÇO KIDS</t>
        </is>
      </c>
      <c r="F1582" s="118" t="n">
        <v>46891</v>
      </c>
      <c r="G1582" s="118" t="n">
        <v>46904</v>
      </c>
      <c r="H1582" s="118" t="n">
        <v>46289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IF(E1582="","",IF(LEFT(E1582,7)="SUBSOLO",-1,IF(LEFT(E1582,6)="TÉRREO",0,IFERROR(VALUE(LEFT(E1582,FIND("º",SUBSTITUTE(E1582,"°","º"))-1)),""))))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30205719</v>
      </c>
      <c r="C1583" s="4" t="inlineStr">
        <is>
          <t>ACABAMENTOS ELÉTRICOS</t>
        </is>
      </c>
      <c r="D1583" s="4" t="inlineStr">
        <is>
          <t>-</t>
        </is>
      </c>
      <c r="E1583" s="4" t="inlineStr">
        <is>
          <t>SUBSOLO</t>
        </is>
      </c>
      <c r="F1583" s="118" t="n">
        <v>46892</v>
      </c>
      <c r="G1583" s="118" t="n">
        <v>46905</v>
      </c>
      <c r="H1583" s="118" t="n">
        <v>46289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IF(E1583="","",IF(LEFT(E1583,7)="SUBSOLO",-1,IF(LEFT(E1583,6)="TÉRREO",0,IFERROR(VALUE(LEFT(E1583,FIND("º",SUBSTITUTE(E1583,"°","º"))-1)),""))))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30205718</v>
      </c>
      <c r="C1584" s="4" t="inlineStr">
        <is>
          <t>DEMARCAÇÃO DE VAGAS</t>
        </is>
      </c>
      <c r="D1584" s="4" t="inlineStr">
        <is>
          <t>-</t>
        </is>
      </c>
      <c r="E1584" s="4" t="inlineStr">
        <is>
          <t>SUBSOLO</t>
        </is>
      </c>
      <c r="F1584" s="118" t="n">
        <v>46892</v>
      </c>
      <c r="G1584" s="118" t="n">
        <v>46912</v>
      </c>
      <c r="H1584" s="118" t="n">
        <v>46289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IF(E1584="","",IF(LEFT(E1584,7)="SUBSOLO",-1,IF(LEFT(E1584,6)="TÉRREO",0,IFERROR(VALUE(LEFT(E1584,FIND("º",SUBSTITUTE(E1584,"°","º"))-1)),""))))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30205730</v>
      </c>
      <c r="C1585" s="4" t="inlineStr">
        <is>
          <t>INSTALAÇÃO DE METAIS</t>
        </is>
      </c>
      <c r="D1585" s="4" t="inlineStr">
        <is>
          <t>-</t>
        </is>
      </c>
      <c r="E1585" s="4" t="inlineStr">
        <is>
          <t>SUBSOLO</t>
        </is>
      </c>
      <c r="F1585" s="118" t="n">
        <v>46892</v>
      </c>
      <c r="G1585" s="118" t="n">
        <v>46905</v>
      </c>
      <c r="H1585" s="118" t="n">
        <v>46289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IF(E1585="","",IF(LEFT(E1585,7)="SUBSOLO",-1,IF(LEFT(E1585,6)="TÉRREO",0,IFERROR(VALUE(LEFT(E1585,FIND("º",SUBSTITUTE(E1585,"°","º"))-1)),""))))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30205731</v>
      </c>
      <c r="C1586" s="4" t="inlineStr">
        <is>
          <t>INST. CARREGADOR DE VEÍCULOS</t>
        </is>
      </c>
      <c r="D1586" s="4" t="inlineStr">
        <is>
          <t>-</t>
        </is>
      </c>
      <c r="E1586" s="4" t="inlineStr">
        <is>
          <t>SUBSOLO</t>
        </is>
      </c>
      <c r="F1586" s="118" t="n">
        <v>46892</v>
      </c>
      <c r="G1586" s="118" t="n">
        <v>46905</v>
      </c>
      <c r="H1586" s="118" t="n">
        <v>46289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IF(E1586="","",IF(LEFT(E1586,7)="SUBSOLO",-1,IF(LEFT(E1586,6)="TÉRREO",0,IFERROR(VALUE(LEFT(E1586,FIND("º",SUBSTITUTE(E1586,"°","º"))-1)),""))))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30205734</v>
      </c>
      <c r="C1587" s="4" t="inlineStr">
        <is>
          <t>PLACAS E IDEINTIFIC. VISUAIS</t>
        </is>
      </c>
      <c r="D1587" s="4" t="inlineStr">
        <is>
          <t>-</t>
        </is>
      </c>
      <c r="E1587" s="4" t="inlineStr">
        <is>
          <t>SUBSOLO</t>
        </is>
      </c>
      <c r="F1587" s="118" t="n">
        <v>46892</v>
      </c>
      <c r="G1587" s="118" t="n">
        <v>46905</v>
      </c>
      <c r="H1587" s="118" t="n">
        <v>46289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IF(E1587="","",IF(LEFT(E1587,7)="SUBSOLO",-1,IF(LEFT(E1587,6)="TÉRREO",0,IFERROR(VALUE(LEFT(E1587,FIND("º",SUBSTITUTE(E1587,"°","º"))-1)),""))))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29981465</v>
      </c>
      <c r="C1588" s="4" t="inlineStr">
        <is>
          <t>CHECKLIST</t>
        </is>
      </c>
      <c r="D1588" s="4" t="inlineStr">
        <is>
          <t>-</t>
        </is>
      </c>
      <c r="E1588" s="4" t="inlineStr">
        <is>
          <t>9º PAV.</t>
        </is>
      </c>
      <c r="F1588" s="118" t="n">
        <v>46892</v>
      </c>
      <c r="G1588" s="118" t="n">
        <v>46898</v>
      </c>
      <c r="H1588" s="118" t="n">
        <v>46289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IF(E1588="","",IF(LEFT(E1588,7)="SUBSOLO",-1,IF(LEFT(E1588,6)="TÉRREO",0,IFERROR(VALUE(LEFT(E1588,FIND("º",SUBSTITUTE(E1588,"°","º"))-1)),""))))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29981430</v>
      </c>
      <c r="C1589" s="4" t="inlineStr">
        <is>
          <t>ACABAMENTOS ELÉTRICOS</t>
        </is>
      </c>
      <c r="D1589" s="4" t="inlineStr">
        <is>
          <t>-</t>
        </is>
      </c>
      <c r="E1589" s="4" t="inlineStr">
        <is>
          <t>10º PAV.</t>
        </is>
      </c>
      <c r="F1589" s="118" t="n">
        <v>46892</v>
      </c>
      <c r="G1589" s="118" t="n">
        <v>46904</v>
      </c>
      <c r="H1589" s="118" t="n">
        <v>46289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IF(E1589="","",IF(LEFT(E1589,7)="SUBSOLO",-1,IF(LEFT(E1589,6)="TÉRREO",0,IFERROR(VALUE(LEFT(E1589,FIND("º",SUBSTITUTE(E1589,"°","º"))-1)),""))))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29981390</v>
      </c>
      <c r="C1590" s="4" t="inlineStr">
        <is>
          <t>PINTURA 2º DEMÃO</t>
        </is>
      </c>
      <c r="D1590" s="4" t="inlineStr">
        <is>
          <t>-</t>
        </is>
      </c>
      <c r="E1590" s="4" t="inlineStr">
        <is>
          <t>11º PAV.</t>
        </is>
      </c>
      <c r="F1590" s="118" t="n">
        <v>46892</v>
      </c>
      <c r="G1590" s="118" t="n">
        <v>46904</v>
      </c>
      <c r="H1590" s="118" t="n">
        <v>46289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IF(E1590="","",IF(LEFT(E1590,7)="SUBSOLO",-1,IF(LEFT(E1590,6)="TÉRREO",0,IFERROR(VALUE(LEFT(E1590,FIND("º",SUBSTITUTE(E1590,"°","º"))-1)),""))))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33919789</v>
      </c>
      <c r="C1591" s="4" t="inlineStr">
        <is>
          <t>TEXTURA - EXTERNA</t>
        </is>
      </c>
      <c r="D1591" s="4" t="inlineStr">
        <is>
          <t>-</t>
        </is>
      </c>
      <c r="E1591" s="4" t="inlineStr">
        <is>
          <t>11º PAV.</t>
        </is>
      </c>
      <c r="F1591" s="118" t="n">
        <v>46892</v>
      </c>
      <c r="G1591" s="118" t="n">
        <v>46904</v>
      </c>
      <c r="H1591" s="118" t="n">
        <v>46289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IF(E1591="","",IF(LEFT(E1591,7)="SUBSOLO",-1,IF(LEFT(E1591,6)="TÉRREO",0,IFERROR(VALUE(LEFT(E1591,FIND("º",SUBSTITUTE(E1591,"°","º"))-1)),""))))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29981352</v>
      </c>
      <c r="C1592" s="4" t="inlineStr">
        <is>
          <t>LIMPEZA GROSSA</t>
        </is>
      </c>
      <c r="D1592" s="4" t="inlineStr">
        <is>
          <t>-</t>
        </is>
      </c>
      <c r="E1592" s="4" t="inlineStr">
        <is>
          <t>12º PAV.</t>
        </is>
      </c>
      <c r="F1592" s="118" t="n">
        <v>46892</v>
      </c>
      <c r="G1592" s="118" t="n">
        <v>46904</v>
      </c>
      <c r="H1592" s="118" t="n">
        <v>46289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IF(E1592="","",IF(LEFT(E1592,7)="SUBSOLO",-1,IF(LEFT(E1592,6)="TÉRREO",0,IFERROR(VALUE(LEFT(E1592,FIND("º",SUBSTITUTE(E1592,"°","º"))-1)),""))))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29981309</v>
      </c>
      <c r="C1593" s="4" t="inlineStr">
        <is>
          <t>LOUÇAS</t>
        </is>
      </c>
      <c r="D1593" s="4" t="inlineStr">
        <is>
          <t>-</t>
        </is>
      </c>
      <c r="E1593" s="4" t="inlineStr">
        <is>
          <t>13º PAV.</t>
        </is>
      </c>
      <c r="F1593" s="118" t="n">
        <v>46892</v>
      </c>
      <c r="G1593" s="118" t="n">
        <v>46904</v>
      </c>
      <c r="H1593" s="118" t="n">
        <v>46289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IF(E1593="","",IF(LEFT(E1593,7)="SUBSOLO",-1,IF(LEFT(E1593,6)="TÉRREO",0,IFERROR(VALUE(LEFT(E1593,FIND("º",SUBSTITUTE(E1593,"°","º"))-1)),""))))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29981314</v>
      </c>
      <c r="C1594" s="4" t="inlineStr">
        <is>
          <t>METAIS</t>
        </is>
      </c>
      <c r="D1594" s="4" t="inlineStr">
        <is>
          <t>-</t>
        </is>
      </c>
      <c r="E1594" s="4" t="inlineStr">
        <is>
          <t>13º PAV.</t>
        </is>
      </c>
      <c r="F1594" s="118" t="n">
        <v>46892</v>
      </c>
      <c r="G1594" s="118" t="n">
        <v>46904</v>
      </c>
      <c r="H1594" s="118" t="n">
        <v>46289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IF(E1594="","",IF(LEFT(E1594,7)="SUBSOLO",-1,IF(LEFT(E1594,6)="TÉRREO",0,IFERROR(VALUE(LEFT(E1594,FIND("º",SUBSTITUTE(E1594,"°","º"))-1)),""))))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29981313</v>
      </c>
      <c r="C1595" s="4" t="inlineStr">
        <is>
          <t>DISJUNTORES / MIOLOS</t>
        </is>
      </c>
      <c r="D1595" s="4" t="inlineStr">
        <is>
          <t>-</t>
        </is>
      </c>
      <c r="E1595" s="4" t="inlineStr">
        <is>
          <t>13º PAV.</t>
        </is>
      </c>
      <c r="F1595" s="118" t="n">
        <v>46892</v>
      </c>
      <c r="G1595" s="118" t="n">
        <v>46904</v>
      </c>
      <c r="H1595" s="118" t="n">
        <v>46289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IF(E1595="","",IF(LEFT(E1595,7)="SUBSOLO",-1,IF(LEFT(E1595,6)="TÉRREO",0,IFERROR(VALUE(LEFT(E1595,FIND("º",SUBSTITUTE(E1595,"°","º"))-1)),""))))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29981312</v>
      </c>
      <c r="C1596" s="4" t="inlineStr">
        <is>
          <t>COMUNICAÇÃO E ALARME</t>
        </is>
      </c>
      <c r="D1596" s="4" t="inlineStr">
        <is>
          <t>-</t>
        </is>
      </c>
      <c r="E1596" s="4" t="inlineStr">
        <is>
          <t>13º PAV.</t>
        </is>
      </c>
      <c r="F1596" s="118" t="n">
        <v>46892</v>
      </c>
      <c r="G1596" s="118" t="n">
        <v>46904</v>
      </c>
      <c r="H1596" s="118" t="n">
        <v>46289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IF(E1596="","",IF(LEFT(E1596,7)="SUBSOLO",-1,IF(LEFT(E1596,6)="TÉRREO",0,IFERROR(VALUE(LEFT(E1596,FIND("º",SUBSTITUTE(E1596,"°","º"))-1)),""))))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29981271</v>
      </c>
      <c r="C1597" s="4" t="inlineStr">
        <is>
          <t>RODAPÉ MADEIRA / PVC</t>
        </is>
      </c>
      <c r="D1597" s="4" t="inlineStr">
        <is>
          <t>-</t>
        </is>
      </c>
      <c r="E1597" s="4" t="inlineStr">
        <is>
          <t>14º PAV.</t>
        </is>
      </c>
      <c r="F1597" s="118" t="n">
        <v>46892</v>
      </c>
      <c r="G1597" s="118" t="n">
        <v>46904</v>
      </c>
      <c r="H1597" s="118" t="n">
        <v>46289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IF(E1597="","",IF(LEFT(E1597,7)="SUBSOLO",-1,IF(LEFT(E1597,6)="TÉRREO",0,IFERROR(VALUE(LEFT(E1597,FIND("º",SUBSTITUTE(E1597,"°","º"))-1)),""))))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29981233</v>
      </c>
      <c r="C1598" s="4" t="inlineStr">
        <is>
          <t>ESQUADRIA MADEIRA</t>
        </is>
      </c>
      <c r="D1598" s="4" t="inlineStr">
        <is>
          <t>-</t>
        </is>
      </c>
      <c r="E1598" s="4" t="inlineStr">
        <is>
          <t>15º PAV.</t>
        </is>
      </c>
      <c r="F1598" s="118" t="n">
        <v>46892</v>
      </c>
      <c r="G1598" s="118" t="n">
        <v>46904</v>
      </c>
      <c r="H1598" s="118" t="n">
        <v>46289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IF(E1598="","",IF(LEFT(E1598,7)="SUBSOLO",-1,IF(LEFT(E1598,6)="TÉRREO",0,IFERROR(VALUE(LEFT(E1598,FIND("º",SUBSTITUTE(E1598,"°","º"))-1)),""))))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29981195</v>
      </c>
      <c r="C1599" s="4" t="inlineStr">
        <is>
          <t>PISO VINÍLICO / LAMINADO</t>
        </is>
      </c>
      <c r="D1599" s="4" t="inlineStr">
        <is>
          <t>-</t>
        </is>
      </c>
      <c r="E1599" s="4" t="inlineStr">
        <is>
          <t>16º PAV.</t>
        </is>
      </c>
      <c r="F1599" s="118" t="n">
        <v>46892</v>
      </c>
      <c r="G1599" s="118" t="n">
        <v>46904</v>
      </c>
      <c r="H1599" s="118" t="n">
        <v>46289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IF(E1599="","",IF(LEFT(E1599,7)="SUBSOLO",-1,IF(LEFT(E1599,6)="TÉRREO",0,IFERROR(VALUE(LEFT(E1599,FIND("º",SUBSTITUTE(E1599,"°","º"))-1)),""))))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29981157</v>
      </c>
      <c r="C1600" s="4" t="inlineStr">
        <is>
          <t>PINTURA 1º DEMÃO</t>
        </is>
      </c>
      <c r="D1600" s="4" t="inlineStr">
        <is>
          <t>-</t>
        </is>
      </c>
      <c r="E1600" s="4" t="inlineStr">
        <is>
          <t>17º PAV.</t>
        </is>
      </c>
      <c r="F1600" s="118" t="n">
        <v>46892</v>
      </c>
      <c r="G1600" s="118" t="n">
        <v>46904</v>
      </c>
      <c r="H1600" s="118" t="n">
        <v>46289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IF(E1600="","",IF(LEFT(E1600,7)="SUBSOLO",-1,IF(LEFT(E1600,6)="TÉRREO",0,IFERROR(VALUE(LEFT(E1600,FIND("º",SUBSTITUTE(E1600,"°","º"))-1)),""))))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29981146</v>
      </c>
      <c r="C1601" s="4" t="inlineStr">
        <is>
          <t>MASSA CORRIDA</t>
        </is>
      </c>
      <c r="D1601" s="4" t="inlineStr">
        <is>
          <t>-</t>
        </is>
      </c>
      <c r="E1601" s="4" t="inlineStr">
        <is>
          <t>18º PAV.</t>
        </is>
      </c>
      <c r="F1601" s="118" t="n">
        <v>46892</v>
      </c>
      <c r="G1601" s="118" t="n">
        <v>46904</v>
      </c>
      <c r="H1601" s="118" t="n">
        <v>46289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IF(E1601="","",IF(LEFT(E1601,7)="SUBSOLO",-1,IF(LEFT(E1601,6)="TÉRREO",0,IFERROR(VALUE(LEFT(E1601,FIND("º",SUBSTITUTE(E1601,"°","º"))-1)),""))))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33898103</v>
      </c>
      <c r="C1602" s="4" t="inlineStr">
        <is>
          <t>ESQUADRIA DE ALUMÍNIO</t>
        </is>
      </c>
      <c r="D1602" s="4" t="inlineStr">
        <is>
          <t>-</t>
        </is>
      </c>
      <c r="E1602" s="4" t="inlineStr">
        <is>
          <t>20º PAV.</t>
        </is>
      </c>
      <c r="F1602" s="118" t="n">
        <v>46892</v>
      </c>
      <c r="G1602" s="118" t="n">
        <v>46904</v>
      </c>
      <c r="H1602" s="118" t="n">
        <v>46289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IF(E1602="","",IF(LEFT(E1602,7)="SUBSOLO",-1,IF(LEFT(E1602,6)="TÉRREO",0,IFERROR(VALUE(LEFT(E1602,FIND("º",SUBSTITUTE(E1602,"°","º"))-1)),""))))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30210366</v>
      </c>
      <c r="C1603" s="4" t="inlineStr">
        <is>
          <t>MONTAGEM - ELEVADOR 1</t>
        </is>
      </c>
      <c r="D1603" s="4" t="inlineStr">
        <is>
          <t>-</t>
        </is>
      </c>
      <c r="E1603" s="4" t="inlineStr">
        <is>
          <t>ELEVADORES</t>
        </is>
      </c>
      <c r="F1603" s="118" t="n">
        <v>46892</v>
      </c>
      <c r="G1603" s="118" t="n">
        <v>46939</v>
      </c>
      <c r="H1603" s="118" t="n">
        <v>46289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IF(E1603="","",IF(LEFT(E1603,7)="SUBSOLO",-1,IF(LEFT(E1603,6)="TÉRREO",0,IFERROR(VALUE(LEFT(E1603,FIND("º",SUBSTITUTE(E1603,"°","º"))-1)),""))))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30205695</v>
      </c>
      <c r="C1604" s="4" t="inlineStr">
        <is>
          <t>ACABAMENTOS ELÉTRICOS</t>
        </is>
      </c>
      <c r="D1604" s="4" t="inlineStr">
        <is>
          <t>-</t>
        </is>
      </c>
      <c r="E1604" s="4" t="inlineStr">
        <is>
          <t>TÉRREO - LOJA 1</t>
        </is>
      </c>
      <c r="F1604" s="118" t="n">
        <v>46895</v>
      </c>
      <c r="G1604" s="118" t="n">
        <v>46906</v>
      </c>
      <c r="H1604" s="118" t="n">
        <v>46289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IF(E1604="","",IF(LEFT(E1604,7)="SUBSOLO",-1,IF(LEFT(E1604,6)="TÉRREO",0,IFERROR(VALUE(LEFT(E1604,FIND("º",SUBSTITUTE(E1604,"°","º"))-1)),""))))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30205667</v>
      </c>
      <c r="C1605" s="4" t="inlineStr">
        <is>
          <t>PINTURA 2º DEMÃO</t>
        </is>
      </c>
      <c r="D1605" s="4" t="inlineStr">
        <is>
          <t>-</t>
        </is>
      </c>
      <c r="E1605" s="4" t="inlineStr">
        <is>
          <t>TÉRREO - LOJA 2</t>
        </is>
      </c>
      <c r="F1605" s="118" t="n">
        <v>46895</v>
      </c>
      <c r="G1605" s="118" t="n">
        <v>46906</v>
      </c>
      <c r="H1605" s="118" t="n">
        <v>46289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IF(E1605="","",IF(LEFT(E1605,7)="SUBSOLO",-1,IF(LEFT(E1605,6)="TÉRREO",0,IFERROR(VALUE(LEFT(E1605,FIND("º",SUBSTITUTE(E1605,"°","º"))-1)),""))))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30205653</v>
      </c>
      <c r="C1606" s="4" t="inlineStr">
        <is>
          <t>LIMPEZA GROSSA</t>
        </is>
      </c>
      <c r="D1606" s="4" t="inlineStr">
        <is>
          <t>-</t>
        </is>
      </c>
      <c r="E1606" s="4" t="inlineStr">
        <is>
          <t>TÉRREO - LOJA 3</t>
        </is>
      </c>
      <c r="F1606" s="118" t="n">
        <v>46895</v>
      </c>
      <c r="G1606" s="118" t="n">
        <v>46906</v>
      </c>
      <c r="H1606" s="118" t="n">
        <v>46289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IF(E1606="","",IF(LEFT(E1606,7)="SUBSOLO",-1,IF(LEFT(E1606,6)="TÉRREO",0,IFERROR(VALUE(LEFT(E1606,FIND("º",SUBSTITUTE(E1606,"°","º"))-1)),""))))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30171510</v>
      </c>
      <c r="C1607" s="4" t="inlineStr">
        <is>
          <t>ACABAMENTOS ELÉTRICOS</t>
        </is>
      </c>
      <c r="D1607" s="4" t="inlineStr">
        <is>
          <t>-</t>
        </is>
      </c>
      <c r="E1607" s="4" t="inlineStr">
        <is>
          <t>HALL - APTOS</t>
        </is>
      </c>
      <c r="F1607" s="118" t="n">
        <v>46895</v>
      </c>
      <c r="G1607" s="118" t="n">
        <v>47176</v>
      </c>
      <c r="H1607" s="118" t="n">
        <v>46289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IF(E1607="","",IF(LEFT(E1607,7)="SUBSOLO",-1,IF(LEFT(E1607,6)="TÉRREO",0,IFERROR(VALUE(LEFT(E1607,FIND("º",SUBSTITUTE(E1607,"°","º"))-1)),""))))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29980922</v>
      </c>
      <c r="C1608" s="4" t="inlineStr">
        <is>
          <t>FORRO</t>
        </is>
      </c>
      <c r="D1608" s="4" t="inlineStr">
        <is>
          <t>-</t>
        </is>
      </c>
      <c r="E1608" s="4" t="inlineStr">
        <is>
          <t>24º PAV.</t>
        </is>
      </c>
      <c r="F1608" s="118" t="n">
        <v>46895</v>
      </c>
      <c r="G1608" s="118" t="n">
        <v>46905</v>
      </c>
      <c r="H1608" s="118" t="n">
        <v>46289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IF(E1608="","",IF(LEFT(E1608,7)="SUBSOLO",-1,IF(LEFT(E1608,6)="TÉRREO",0,IFERROR(VALUE(LEFT(E1608,FIND("º",SUBSTITUTE(E1608,"°","º"))-1)),""))))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29980883</v>
      </c>
      <c r="C1609" s="4" t="inlineStr">
        <is>
          <t>FIAÇÃO ELÉTRICA</t>
        </is>
      </c>
      <c r="D1609" s="4" t="inlineStr">
        <is>
          <t>-</t>
        </is>
      </c>
      <c r="E1609" s="4" t="inlineStr">
        <is>
          <t>25º PAV.</t>
        </is>
      </c>
      <c r="F1609" s="118" t="n">
        <v>46895</v>
      </c>
      <c r="G1609" s="118" t="n">
        <v>46905</v>
      </c>
      <c r="H1609" s="118" t="n">
        <v>46289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IF(E1609="","",IF(LEFT(E1609,7)="SUBSOLO",-1,IF(LEFT(E1609,6)="TÉRREO",0,IFERROR(VALUE(LEFT(E1609,FIND("º",SUBSTITUTE(E1609,"°","º"))-1)),""))))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29980888</v>
      </c>
      <c r="C1610" s="4" t="inlineStr">
        <is>
          <t>PRUMADA ELÉTRICA - CABOS</t>
        </is>
      </c>
      <c r="D1610" s="4" t="inlineStr">
        <is>
          <t>-</t>
        </is>
      </c>
      <c r="E1610" s="4" t="inlineStr">
        <is>
          <t>25º PAV.</t>
        </is>
      </c>
      <c r="F1610" s="118" t="n">
        <v>46895</v>
      </c>
      <c r="G1610" s="118" t="n">
        <v>46905</v>
      </c>
      <c r="H1610" s="118" t="n">
        <v>46289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IF(E1610="","",IF(LEFT(E1610,7)="SUBSOLO",-1,IF(LEFT(E1610,6)="TÉRREO",0,IFERROR(VALUE(LEFT(E1610,FIND("º",SUBSTITUTE(E1610,"°","º"))-1)),""))))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30214087</v>
      </c>
      <c r="C1611" s="4" t="inlineStr">
        <is>
          <t>FIAÇÃO TELECOM/DADOS</t>
        </is>
      </c>
      <c r="D1611" s="4" t="inlineStr">
        <is>
          <t>-</t>
        </is>
      </c>
      <c r="E1611" s="4" t="inlineStr">
        <is>
          <t>25º PAV.</t>
        </is>
      </c>
      <c r="F1611" s="118" t="n">
        <v>46895</v>
      </c>
      <c r="G1611" s="118" t="n">
        <v>46906</v>
      </c>
      <c r="H1611" s="118" t="n">
        <v>46289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IF(E1611="","",IF(LEFT(E1611,7)="SUBSOLO",-1,IF(LEFT(E1611,6)="TÉRREO",0,IFERROR(VALUE(LEFT(E1611,FIND("º",SUBSTITUTE(E1611,"°","º"))-1)),""))))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29980830</v>
      </c>
      <c r="C1612" s="4" t="inlineStr">
        <is>
          <t>BANCADAS</t>
        </is>
      </c>
      <c r="D1612" s="4" t="inlineStr">
        <is>
          <t>-</t>
        </is>
      </c>
      <c r="E1612" s="4" t="inlineStr">
        <is>
          <t>26º PAV.</t>
        </is>
      </c>
      <c r="F1612" s="118" t="n">
        <v>46895</v>
      </c>
      <c r="G1612" s="118" t="n">
        <v>46905</v>
      </c>
      <c r="H1612" s="118" t="n">
        <v>46289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IF(E1612="","",IF(LEFT(E1612,7)="SUBSOLO",-1,IF(LEFT(E1612,6)="TÉRREO",0,IFERROR(VALUE(LEFT(E1612,FIND("º",SUBSTITUTE(E1612,"°","º"))-1)),""))))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29980792</v>
      </c>
      <c r="C1613" s="4" t="inlineStr">
        <is>
          <t>REVESTIMENTOS PORCELANATO PISO</t>
        </is>
      </c>
      <c r="D1613" s="4" t="inlineStr">
        <is>
          <t>-</t>
        </is>
      </c>
      <c r="E1613" s="4" t="inlineStr">
        <is>
          <t>27º PAV.</t>
        </is>
      </c>
      <c r="F1613" s="118" t="n">
        <v>46895</v>
      </c>
      <c r="G1613" s="118" t="n">
        <v>46905</v>
      </c>
      <c r="H1613" s="118" t="n">
        <v>46289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IF(E1613="","",IF(LEFT(E1613,7)="SUBSOLO",-1,IF(LEFT(E1613,6)="TÉRREO",0,IFERROR(VALUE(LEFT(E1613,FIND("º",SUBSTITUTE(E1613,"°","º"))-1)),""))))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29980771</v>
      </c>
      <c r="C1614" s="4" t="inlineStr">
        <is>
          <t>REVESTIMENTO PORCELANATO PAREDE</t>
        </is>
      </c>
      <c r="D1614" s="4" t="inlineStr">
        <is>
          <t>-</t>
        </is>
      </c>
      <c r="E1614" s="4" t="inlineStr">
        <is>
          <t>28º PAV.</t>
        </is>
      </c>
      <c r="F1614" s="118" t="n">
        <v>46895</v>
      </c>
      <c r="G1614" s="118" t="n">
        <v>46905</v>
      </c>
      <c r="H1614" s="118" t="n">
        <v>46289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IF(E1614="","",IF(LEFT(E1614,7)="SUBSOLO",-1,IF(LEFT(E1614,6)="TÉRREO",0,IFERROR(VALUE(LEFT(E1614,FIND("º",SUBSTITUTE(E1614,"°","º"))-1)),""))))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29980732</v>
      </c>
      <c r="C1615" s="4" t="inlineStr">
        <is>
          <t>IMPERMEABILIZAÇÃO</t>
        </is>
      </c>
      <c r="D1615" s="4" t="inlineStr">
        <is>
          <t>-</t>
        </is>
      </c>
      <c r="E1615" s="4" t="inlineStr">
        <is>
          <t>29º PAV.</t>
        </is>
      </c>
      <c r="F1615" s="118" t="n">
        <v>46895</v>
      </c>
      <c r="G1615" s="118" t="n">
        <v>46905</v>
      </c>
      <c r="H1615" s="118" t="n">
        <v>46289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IF(E1615="","",IF(LEFT(E1615,7)="SUBSOLO",-1,IF(LEFT(E1615,6)="TÉRREO",0,IFERROR(VALUE(LEFT(E1615,FIND("º",SUBSTITUTE(E1615,"°","º"))-1)),""))))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32750456</v>
      </c>
      <c r="C1616" s="4" t="inlineStr">
        <is>
          <t>DRYWALL 2º FACE</t>
        </is>
      </c>
      <c r="D1616" s="4" t="inlineStr">
        <is>
          <t>-</t>
        </is>
      </c>
      <c r="E1616" s="4" t="inlineStr">
        <is>
          <t>30º PAV.</t>
        </is>
      </c>
      <c r="F1616" s="118" t="n">
        <v>46895</v>
      </c>
      <c r="G1616" s="118" t="n">
        <v>46905</v>
      </c>
      <c r="H1616" s="118" t="n">
        <v>46289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IF(E1616="","",IF(LEFT(E1616,7)="SUBSOLO",-1,IF(LEFT(E1616,6)="TÉRREO",0,IFERROR(VALUE(LEFT(E1616,FIND("º",SUBSTITUTE(E1616,"°","º"))-1)),""))))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32750379</v>
      </c>
      <c r="C1617" s="4" t="inlineStr">
        <is>
          <t>DISTRIBUIÇÃO DE GÁS - DRYWALL</t>
        </is>
      </c>
      <c r="D1617" s="4" t="inlineStr">
        <is>
          <t>-</t>
        </is>
      </c>
      <c r="E1617" s="4" t="inlineStr">
        <is>
          <t>31º PAV. - COBERTURA LINEAR</t>
        </is>
      </c>
      <c r="F1617" s="118" t="n">
        <v>46895</v>
      </c>
      <c r="G1617" s="118" t="n">
        <v>46905</v>
      </c>
      <c r="H1617" s="118" t="n">
        <v>46289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IF(E1617="","",IF(LEFT(E1617,7)="SUBSOLO",-1,IF(LEFT(E1617,6)="TÉRREO",0,IFERROR(VALUE(LEFT(E1617,FIND("º",SUBSTITUTE(E1617,"°","º"))-1)),""))))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32750405</v>
      </c>
      <c r="C1618" s="4" t="inlineStr">
        <is>
          <t>DISTRIBUIÇÃO ELÉTRICA/QUADRO - DRYWALL</t>
        </is>
      </c>
      <c r="D1618" s="4" t="inlineStr">
        <is>
          <t>-</t>
        </is>
      </c>
      <c r="E1618" s="4" t="inlineStr">
        <is>
          <t>31º PAV. - COBERTURA LINEAR</t>
        </is>
      </c>
      <c r="F1618" s="118" t="n">
        <v>46895</v>
      </c>
      <c r="G1618" s="118" t="n">
        <v>46905</v>
      </c>
      <c r="H1618" s="118" t="n">
        <v>46289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IF(E1618="","",IF(LEFT(E1618,7)="SUBSOLO",-1,IF(LEFT(E1618,6)="TÉRREO",0,IFERROR(VALUE(LEFT(E1618,FIND("º",SUBSTITUTE(E1618,"°","º"))-1)),""))))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32750431</v>
      </c>
      <c r="C1619" s="4" t="inlineStr">
        <is>
          <t>DISTRIBUIÇÃO HIDRÁULICA - DRYWALL</t>
        </is>
      </c>
      <c r="D1619" s="4" t="inlineStr">
        <is>
          <t>-</t>
        </is>
      </c>
      <c r="E1619" s="4" t="inlineStr">
        <is>
          <t>31º PAV. - COBERTURA LINEAR</t>
        </is>
      </c>
      <c r="F1619" s="118" t="n">
        <v>46895</v>
      </c>
      <c r="G1619" s="118" t="n">
        <v>46905</v>
      </c>
      <c r="H1619" s="118" t="n">
        <v>46289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IF(E1619="","",IF(LEFT(E1619,7)="SUBSOLO",-1,IF(LEFT(E1619,6)="TÉRREO",0,IFERROR(VALUE(LEFT(E1619,FIND("º",SUBSTITUTE(E1619,"°","º"))-1)),""))))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33896849</v>
      </c>
      <c r="C1620" s="4" t="inlineStr">
        <is>
          <t>INFRAESTRUTURA - AR CONDICIONADO</t>
        </is>
      </c>
      <c r="D1620" s="4" t="inlineStr">
        <is>
          <t>-</t>
        </is>
      </c>
      <c r="E1620" s="4" t="inlineStr">
        <is>
          <t>31º PAV. - COBERTURA LINEAR</t>
        </is>
      </c>
      <c r="F1620" s="118" t="n">
        <v>46895</v>
      </c>
      <c r="G1620" s="118" t="n">
        <v>46905</v>
      </c>
      <c r="H1620" s="118" t="n">
        <v>46289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IF(E1620="","",IF(LEFT(E1620,7)="SUBSOLO",-1,IF(LEFT(E1620,6)="TÉRREO",0,IFERROR(VALUE(LEFT(E1620,FIND("º",SUBSTITUTE(E1620,"°","º"))-1)),""))))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29981082</v>
      </c>
      <c r="C1621" s="4" t="inlineStr">
        <is>
          <t>CONTRAMARCO</t>
        </is>
      </c>
      <c r="D1621" s="4" t="inlineStr">
        <is>
          <t>-</t>
        </is>
      </c>
      <c r="E1621" s="4" t="inlineStr">
        <is>
          <t>19º PAV.</t>
        </is>
      </c>
      <c r="F1621" s="118" t="n">
        <v>46896</v>
      </c>
      <c r="G1621" s="118" t="n">
        <v>46906</v>
      </c>
      <c r="H1621" s="118" t="n">
        <v>46289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IF(E1621="","",IF(LEFT(E1621,7)="SUBSOLO",-1,IF(LEFT(E1621,6)="TÉRREO",0,IFERROR(VALUE(LEFT(E1621,FIND("º",SUBSTITUTE(E1621,"°","º"))-1)),""))))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30205825</v>
      </c>
      <c r="C1622" s="4" t="inlineStr">
        <is>
          <t>MASSA CORRIDA</t>
        </is>
      </c>
      <c r="D1622" s="4" t="inlineStr">
        <is>
          <t>-</t>
        </is>
      </c>
      <c r="E1622" s="4" t="inlineStr">
        <is>
          <t>TÉRREO - HALL SOCIAL + ECLUSA + CIRCULAÇÃO</t>
        </is>
      </c>
      <c r="F1622" s="118" t="n">
        <v>46897</v>
      </c>
      <c r="G1622" s="118" t="n">
        <v>46910</v>
      </c>
      <c r="H1622" s="118" t="n">
        <v>46289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IF(E1622="","",IF(LEFT(E1622,7)="SUBSOLO",-1,IF(LEFT(E1622,6)="TÉRREO",0,IFERROR(VALUE(LEFT(E1622,FIND("º",SUBSTITUTE(E1622,"°","º"))-1)),""))))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29981513</v>
      </c>
      <c r="C1623" s="4" t="inlineStr">
        <is>
          <t>LIMPEZA FINA</t>
        </is>
      </c>
      <c r="D1623" s="4" t="inlineStr">
        <is>
          <t>-</t>
        </is>
      </c>
      <c r="E1623" s="4" t="inlineStr">
        <is>
          <t>8º PAV.</t>
        </is>
      </c>
      <c r="F1623" s="118" t="n">
        <v>46899</v>
      </c>
      <c r="G1623" s="118" t="n">
        <v>46911</v>
      </c>
      <c r="H1623" s="118" t="n">
        <v>46289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IF(E1623="","",IF(LEFT(E1623,7)="SUBSOLO",-1,IF(LEFT(E1623,6)="TÉRREO",0,IFERROR(VALUE(LEFT(E1623,FIND("º",SUBSTITUTE(E1623,"°","º"))-1)),""))))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29981466</v>
      </c>
      <c r="C1624" s="4" t="inlineStr">
        <is>
          <t>PINTURA 3º DEMÃO</t>
        </is>
      </c>
      <c r="D1624" s="4" t="inlineStr">
        <is>
          <t>-</t>
        </is>
      </c>
      <c r="E1624" s="4" t="inlineStr">
        <is>
          <t>9º PAV.</t>
        </is>
      </c>
      <c r="F1624" s="118" t="n">
        <v>46899</v>
      </c>
      <c r="G1624" s="118" t="n">
        <v>46911</v>
      </c>
      <c r="H1624" s="118" t="n">
        <v>46289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IF(E1624="","",IF(LEFT(E1624,7)="SUBSOLO",-1,IF(LEFT(E1624,6)="TÉRREO",0,IFERROR(VALUE(LEFT(E1624,FIND("º",SUBSTITUTE(E1624,"°","º"))-1)),""))))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30211209</v>
      </c>
      <c r="C1625" s="4" t="inlineStr">
        <is>
          <t>SERRALHERIA</t>
        </is>
      </c>
      <c r="D1625" s="4" t="inlineStr">
        <is>
          <t>-</t>
        </is>
      </c>
      <c r="E1625" s="4" t="inlineStr">
        <is>
          <t>34º PAV - RESERVATÓRIO</t>
        </is>
      </c>
      <c r="F1625" s="118" t="n">
        <v>46899</v>
      </c>
      <c r="G1625" s="118" t="n">
        <v>46920</v>
      </c>
      <c r="H1625" s="118" t="n">
        <v>46289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IF(E1625="","",IF(LEFT(E1625,7)="SUBSOLO",-1,IF(LEFT(E1625,6)="TÉRREO",0,IFERROR(VALUE(LEFT(E1625,FIND("º",SUBSTITUTE(E1625,"°","º"))-1)),""))))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30205607</v>
      </c>
      <c r="C1626" s="4" t="inlineStr">
        <is>
          <t>DISJUNTORES / MIOLOS</t>
        </is>
      </c>
      <c r="D1626" s="4" t="inlineStr">
        <is>
          <t>-</t>
        </is>
      </c>
      <c r="E1626" s="4" t="inlineStr">
        <is>
          <t>TÉRREO - LOJA 4</t>
        </is>
      </c>
      <c r="F1626" s="118" t="n">
        <v>46902</v>
      </c>
      <c r="G1626" s="118" t="n">
        <v>46906</v>
      </c>
      <c r="H1626" s="118" t="n">
        <v>46289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IF(E1626="","",IF(LEFT(E1626,7)="SUBSOLO",-1,IF(LEFT(E1626,6)="TÉRREO",0,IFERROR(VALUE(LEFT(E1626,FIND("º",SUBSTITUTE(E1626,"°","º"))-1)),""))))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30205582</v>
      </c>
      <c r="C1627" s="4" t="inlineStr">
        <is>
          <t>ESQUADRIA MADEIRA</t>
        </is>
      </c>
      <c r="D1627" s="4" t="inlineStr">
        <is>
          <t>-</t>
        </is>
      </c>
      <c r="E1627" s="4" t="inlineStr">
        <is>
          <t>TÉRREO - LOJA 5</t>
        </is>
      </c>
      <c r="F1627" s="118" t="n">
        <v>46902</v>
      </c>
      <c r="G1627" s="118" t="n">
        <v>46913</v>
      </c>
      <c r="H1627" s="118" t="n">
        <v>46289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IF(E1627="","",IF(LEFT(E1627,7)="SUBSOLO",-1,IF(LEFT(E1627,6)="TÉRREO",0,IFERROR(VALUE(LEFT(E1627,FIND("º",SUBSTITUTE(E1627,"°","º"))-1)),""))))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30205581</v>
      </c>
      <c r="C1628" s="4" t="inlineStr">
        <is>
          <t>LOUÇAS</t>
        </is>
      </c>
      <c r="D1628" s="4" t="inlineStr">
        <is>
          <t>-</t>
        </is>
      </c>
      <c r="E1628" s="4" t="inlineStr">
        <is>
          <t>TÉRREO - LOJA 5</t>
        </is>
      </c>
      <c r="F1628" s="118" t="n">
        <v>46902</v>
      </c>
      <c r="G1628" s="118" t="n">
        <v>46913</v>
      </c>
      <c r="H1628" s="118" t="n">
        <v>46289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IF(E1628="","",IF(LEFT(E1628,7)="SUBSOLO",-1,IF(LEFT(E1628,6)="TÉRREO",0,IFERROR(VALUE(LEFT(E1628,FIND("º",SUBSTITUTE(E1628,"°","º"))-1)),""))))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30205579</v>
      </c>
      <c r="C1629" s="4" t="inlineStr">
        <is>
          <t>METAIS</t>
        </is>
      </c>
      <c r="D1629" s="4" t="inlineStr">
        <is>
          <t>-</t>
        </is>
      </c>
      <c r="E1629" s="4" t="inlineStr">
        <is>
          <t>TÉRREO - LOJA 5</t>
        </is>
      </c>
      <c r="F1629" s="118" t="n">
        <v>46902</v>
      </c>
      <c r="G1629" s="118" t="n">
        <v>46913</v>
      </c>
      <c r="H1629" s="118" t="n">
        <v>46289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IF(E1629="","",IF(LEFT(E1629,7)="SUBSOLO",-1,IF(LEFT(E1629,6)="TÉRREO",0,IFERROR(VALUE(LEFT(E1629,FIND("º",SUBSTITUTE(E1629,"°","º"))-1)),""))))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30205564</v>
      </c>
      <c r="C1630" s="4" t="inlineStr">
        <is>
          <t>PINTURA 1º DEMÃO</t>
        </is>
      </c>
      <c r="D1630" s="4" t="inlineStr">
        <is>
          <t>-</t>
        </is>
      </c>
      <c r="E1630" s="4" t="inlineStr">
        <is>
          <t>TÉRREO - LOJA 6</t>
        </is>
      </c>
      <c r="F1630" s="118" t="n">
        <v>46902</v>
      </c>
      <c r="G1630" s="118" t="n">
        <v>46913</v>
      </c>
      <c r="H1630" s="118" t="n">
        <v>46289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IF(E1630="","",IF(LEFT(E1630,7)="SUBSOLO",-1,IF(LEFT(E1630,6)="TÉRREO",0,IFERROR(VALUE(LEFT(E1630,FIND("º",SUBSTITUTE(E1630,"°","º"))-1)),""))))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30171414</v>
      </c>
      <c r="C1631" s="4" t="inlineStr">
        <is>
          <t>DISJUNTORES / MIOLOS</t>
        </is>
      </c>
      <c r="D1631" s="4" t="inlineStr">
        <is>
          <t>-</t>
        </is>
      </c>
      <c r="E1631" s="4" t="inlineStr">
        <is>
          <t>4º PAV - GARAGEM</t>
        </is>
      </c>
      <c r="F1631" s="118" t="n">
        <v>46902</v>
      </c>
      <c r="G1631" s="118" t="n">
        <v>46930</v>
      </c>
      <c r="H1631" s="118" t="n">
        <v>46289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IF(E1631="","",IF(LEFT(E1631,7)="SUBSOLO",-1,IF(LEFT(E1631,6)="TÉRREO",0,IFERROR(VALUE(LEFT(E1631,FIND("º",SUBSTITUTE(E1631,"°","º"))-1)),""))))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30171411</v>
      </c>
      <c r="C1632" s="4" t="inlineStr">
        <is>
          <t>INSTALAÇÃO DE LUMINÁRIAS E SENSORES</t>
        </is>
      </c>
      <c r="D1632" s="4" t="inlineStr">
        <is>
          <t>-</t>
        </is>
      </c>
      <c r="E1632" s="4" t="inlineStr">
        <is>
          <t>4º PAV - GARAGEM</t>
        </is>
      </c>
      <c r="F1632" s="118" t="n">
        <v>46902</v>
      </c>
      <c r="G1632" s="118" t="n">
        <v>46930</v>
      </c>
      <c r="H1632" s="118" t="n">
        <v>46289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IF(E1632="","",IF(LEFT(E1632,7)="SUBSOLO",-1,IF(LEFT(E1632,6)="TÉRREO",0,IFERROR(VALUE(LEFT(E1632,FIND("º",SUBSTITUTE(E1632,"°","º"))-1)),""))))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30171382</v>
      </c>
      <c r="C1633" s="4" t="inlineStr">
        <is>
          <t>FIAÇÃO ELÉTRICA</t>
        </is>
      </c>
      <c r="D1633" s="4" t="inlineStr">
        <is>
          <t>-</t>
        </is>
      </c>
      <c r="E1633" s="4" t="inlineStr">
        <is>
          <t>5º PAV - GARAGEM</t>
        </is>
      </c>
      <c r="F1633" s="118" t="n">
        <v>46902</v>
      </c>
      <c r="G1633" s="118" t="n">
        <v>46962</v>
      </c>
      <c r="H1633" s="118" t="n">
        <v>46289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IF(E1633="","",IF(LEFT(E1633,7)="SUBSOLO",-1,IF(LEFT(E1633,6)="TÉRREO",0,IFERROR(VALUE(LEFT(E1633,FIND("º",SUBSTITUTE(E1633,"°","º"))-1)),""))))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30171401</v>
      </c>
      <c r="C1634" s="4" t="inlineStr">
        <is>
          <t>PRUMADA ELÉTRICA - CABOS</t>
        </is>
      </c>
      <c r="D1634" s="4" t="inlineStr">
        <is>
          <t>-</t>
        </is>
      </c>
      <c r="E1634" s="4" t="inlineStr">
        <is>
          <t>5º PAV - GARAGEM</t>
        </is>
      </c>
      <c r="F1634" s="118" t="n">
        <v>46902</v>
      </c>
      <c r="G1634" s="118" t="n">
        <v>46962</v>
      </c>
      <c r="H1634" s="118" t="n">
        <v>46289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IF(E1634="","",IF(LEFT(E1634,7)="SUBSOLO",-1,IF(LEFT(E1634,6)="TÉRREO",0,IFERROR(VALUE(LEFT(E1634,FIND("º",SUBSTITUTE(E1634,"°","º"))-1)),""))))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30171384</v>
      </c>
      <c r="C1635" s="4" t="inlineStr">
        <is>
          <t>SHAFT</t>
        </is>
      </c>
      <c r="D1635" s="4" t="inlineStr">
        <is>
          <t>-</t>
        </is>
      </c>
      <c r="E1635" s="4" t="inlineStr">
        <is>
          <t>5º PAV - GARAGEM</t>
        </is>
      </c>
      <c r="F1635" s="118" t="n">
        <v>46902</v>
      </c>
      <c r="G1635" s="118" t="n">
        <v>46930</v>
      </c>
      <c r="H1635" s="118" t="n">
        <v>46289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IF(E1635="","",IF(LEFT(E1635,7)="SUBSOLO",-1,IF(LEFT(E1635,6)="TÉRREO",0,IFERROR(VALUE(LEFT(E1635,FIND("º",SUBSTITUTE(E1635,"°","º"))-1)),""))))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30214062</v>
      </c>
      <c r="C1636" s="4" t="inlineStr">
        <is>
          <t>FIAÇÃO TELECOM/DADOS</t>
        </is>
      </c>
      <c r="D1636" s="4" t="inlineStr">
        <is>
          <t>-</t>
        </is>
      </c>
      <c r="E1636" s="4" t="inlineStr">
        <is>
          <t>5º PAV - GARAGEM</t>
        </is>
      </c>
      <c r="F1636" s="118" t="n">
        <v>46902</v>
      </c>
      <c r="G1636" s="118" t="n">
        <v>46913</v>
      </c>
      <c r="H1636" s="118" t="n">
        <v>46289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IF(E1636="","",IF(LEFT(E1636,7)="SUBSOLO",-1,IF(LEFT(E1636,6)="TÉRREO",0,IFERROR(VALUE(LEFT(E1636,FIND("º",SUBSTITUTE(E1636,"°","º"))-1)),""))))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30205856</v>
      </c>
      <c r="C1637" s="4" t="inlineStr">
        <is>
          <t>MASSA CORRIDA</t>
        </is>
      </c>
      <c r="D1637" s="4" t="inlineStr">
        <is>
          <t>-</t>
        </is>
      </c>
      <c r="E1637" s="4" t="inlineStr">
        <is>
          <t>1º PAV. (INTERMEDIÁRIO)</t>
        </is>
      </c>
      <c r="F1637" s="118" t="n">
        <v>46904</v>
      </c>
      <c r="G1637" s="118" t="n">
        <v>46925</v>
      </c>
      <c r="H1637" s="118" t="n">
        <v>46289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IF(E1637="","",IF(LEFT(E1637,7)="SUBSOLO",-1,IF(LEFT(E1637,6)="TÉRREO",0,IFERROR(VALUE(LEFT(E1637,FIND("º",SUBSTITUTE(E1637,"°","º"))-1)),""))))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30171525</v>
      </c>
      <c r="C1638" s="4" t="inlineStr">
        <is>
          <t>CONTRAPISO</t>
        </is>
      </c>
      <c r="D1638" s="4" t="inlineStr">
        <is>
          <t>-</t>
        </is>
      </c>
      <c r="E1638" s="4" t="inlineStr">
        <is>
          <t>HALL - GARAGENS</t>
        </is>
      </c>
      <c r="F1638" s="118" t="n">
        <v>46904</v>
      </c>
      <c r="G1638" s="118" t="n">
        <v>46917</v>
      </c>
      <c r="H1638" s="118" t="n">
        <v>46289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IF(E1638="","",IF(LEFT(E1638,7)="SUBSOLO",-1,IF(LEFT(E1638,6)="TÉRREO",0,IFERROR(VALUE(LEFT(E1638,FIND("º",SUBSTITUTE(E1638,"°","º"))-1)),""))))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30171528</v>
      </c>
      <c r="C1639" s="4" t="inlineStr">
        <is>
          <t>PRUMADA ELÉTRICA - INFRA</t>
        </is>
      </c>
      <c r="D1639" s="4" t="inlineStr">
        <is>
          <t>-</t>
        </is>
      </c>
      <c r="E1639" s="4" t="inlineStr">
        <is>
          <t>HALL - GARAGENS</t>
        </is>
      </c>
      <c r="F1639" s="118" t="n">
        <v>46904</v>
      </c>
      <c r="G1639" s="118" t="n">
        <v>46934</v>
      </c>
      <c r="H1639" s="118" t="n">
        <v>46289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IF(E1639="","",IF(LEFT(E1639,7)="SUBSOLO",-1,IF(LEFT(E1639,6)="TÉRREO",0,IFERROR(VALUE(LEFT(E1639,FIND("º",SUBSTITUTE(E1639,"°","º"))-1)),""))))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30208611</v>
      </c>
      <c r="C1640" s="4" t="inlineStr">
        <is>
          <t>REVESTIMENTO ACABAMENTO</t>
        </is>
      </c>
      <c r="D1640" s="4" t="inlineStr">
        <is>
          <t>-</t>
        </is>
      </c>
      <c r="E1640" s="4" t="inlineStr">
        <is>
          <t>6º PAV (PILOTIS) - PISCINA + PRAINHA + DECK</t>
        </is>
      </c>
      <c r="F1640" s="118" t="n">
        <v>46904</v>
      </c>
      <c r="G1640" s="118" t="n">
        <v>46966</v>
      </c>
      <c r="H1640" s="118" t="n">
        <v>46289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IF(E1640="","",IF(LEFT(E1640,7)="SUBSOLO",-1,IF(LEFT(E1640,6)="TÉRREO",0,IFERROR(VALUE(LEFT(E1640,FIND("º",SUBSTITUTE(E1640,"°","º"))-1)),""))))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30210375</v>
      </c>
      <c r="C1641" s="4" t="inlineStr">
        <is>
          <t>REBOCO INTERNO</t>
        </is>
      </c>
      <c r="D1641" s="4" t="inlineStr">
        <is>
          <t>-</t>
        </is>
      </c>
      <c r="E1641" s="4" t="inlineStr">
        <is>
          <t>33º PAV - BARRILETE</t>
        </is>
      </c>
      <c r="F1641" s="118" t="n">
        <v>46904</v>
      </c>
      <c r="G1641" s="118" t="n">
        <v>46925</v>
      </c>
      <c r="H1641" s="118" t="n">
        <v>46289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IF(E1641="","",IF(LEFT(E1641,7)="SUBSOLO",-1,IF(LEFT(E1641,6)="TÉRREO",0,IFERROR(VALUE(LEFT(E1641,FIND("º",SUBSTITUTE(E1641,"°","º"))-1)),""))))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31791439</v>
      </c>
      <c r="C1642" s="4" t="inlineStr">
        <is>
          <t>PEITORIS E REQUADROS DE FACHADA - F3 + F4 (2º ETAPA)</t>
        </is>
      </c>
      <c r="D1642" s="4" t="inlineStr">
        <is>
          <t>-</t>
        </is>
      </c>
      <c r="E1642" s="4" t="inlineStr">
        <is>
          <t>FACHADA</t>
        </is>
      </c>
      <c r="F1642" s="118" t="n">
        <v>46904</v>
      </c>
      <c r="G1642" s="118" t="n">
        <v>46925</v>
      </c>
      <c r="H1642" s="118" t="n">
        <v>46289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IF(E1642="","",IF(LEFT(E1642,7)="SUBSOLO",-1,IF(LEFT(E1642,6)="TÉRREO",0,IFERROR(VALUE(LEFT(E1642,FIND("º",SUBSTITUTE(E1642,"°","º"))-1)),""))))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30206125</v>
      </c>
      <c r="C1643" s="4" t="inlineStr">
        <is>
          <t>FIAÇÃO ELÉTRICA</t>
        </is>
      </c>
      <c r="D1643" s="4" t="inlineStr">
        <is>
          <t>-</t>
        </is>
      </c>
      <c r="E1643" s="4" t="inlineStr">
        <is>
          <t>6º PAV (PILOTIS) - ACADEMIA</t>
        </is>
      </c>
      <c r="F1643" s="118" t="n">
        <v>46905</v>
      </c>
      <c r="G1643" s="118" t="n">
        <v>46918</v>
      </c>
      <c r="H1643" s="118" t="n">
        <v>46289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IF(E1643="","",IF(LEFT(E1643,7)="SUBSOLO",-1,IF(LEFT(E1643,6)="TÉRREO",0,IFERROR(VALUE(LEFT(E1643,FIND("º",SUBSTITUTE(E1643,"°","º"))-1)),""))))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30214065</v>
      </c>
      <c r="C1644" s="4" t="inlineStr">
        <is>
          <t>FIAÇÃO TELECOM/DADOS</t>
        </is>
      </c>
      <c r="D1644" s="4" t="inlineStr">
        <is>
          <t>-</t>
        </is>
      </c>
      <c r="E1644" s="4" t="inlineStr">
        <is>
          <t>6º PAV (PILOTIS) - ACADEMIA</t>
        </is>
      </c>
      <c r="F1644" s="118" t="n">
        <v>46905</v>
      </c>
      <c r="G1644" s="118" t="n">
        <v>46918</v>
      </c>
      <c r="H1644" s="118" t="n">
        <v>46289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IF(E1644="","",IF(LEFT(E1644,7)="SUBSOLO",-1,IF(LEFT(E1644,6)="TÉRREO",0,IFERROR(VALUE(LEFT(E1644,FIND("º",SUBSTITUTE(E1644,"°","º"))-1)),""))))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30206087</v>
      </c>
      <c r="C1645" s="4" t="inlineStr">
        <is>
          <t>REVESTIMENTO PORCELANATO PAREDE</t>
        </is>
      </c>
      <c r="D1645" s="4" t="inlineStr">
        <is>
          <t>-</t>
        </is>
      </c>
      <c r="E1645" s="4" t="inlineStr">
        <is>
          <t>6º PAV (PILOTIS) - SAUNA + DUCHA</t>
        </is>
      </c>
      <c r="F1645" s="118" t="n">
        <v>46905</v>
      </c>
      <c r="G1645" s="118" t="n">
        <v>46918</v>
      </c>
      <c r="H1645" s="118" t="n">
        <v>46289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IF(E1645="","",IF(LEFT(E1645,7)="SUBSOLO",-1,IF(LEFT(E1645,6)="TÉRREO",0,IFERROR(VALUE(LEFT(E1645,FIND("º",SUBSTITUTE(E1645,"°","º"))-1)),""))))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30208616</v>
      </c>
      <c r="C1646" s="4" t="inlineStr">
        <is>
          <t>AQUECEDOR (SAUNA)</t>
        </is>
      </c>
      <c r="D1646" s="4" t="inlineStr">
        <is>
          <t>-</t>
        </is>
      </c>
      <c r="E1646" s="4" t="inlineStr">
        <is>
          <t>6º PAV (PILOTIS) - SAUNA + DUCHA</t>
        </is>
      </c>
      <c r="F1646" s="118" t="n">
        <v>46905</v>
      </c>
      <c r="G1646" s="118" t="n">
        <v>46918</v>
      </c>
      <c r="H1646" s="118" t="n">
        <v>46289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IF(E1646="","",IF(LEFT(E1646,7)="SUBSOLO",-1,IF(LEFT(E1646,6)="TÉRREO",0,IFERROR(VALUE(LEFT(E1646,FIND("º",SUBSTITUTE(E1646,"°","º"))-1)),""))))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30206049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6º PAV (PILOTIS) - CHURRASQUEIRA + IS MASC. PCD + IS FEM. PCD + CIRCULAÇÃO 1 + HALL 1</t>
        </is>
      </c>
      <c r="F1647" s="118" t="n">
        <v>46905</v>
      </c>
      <c r="G1647" s="118" t="n">
        <v>46918</v>
      </c>
      <c r="H1647" s="118" t="n">
        <v>46289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IF(E1647="","",IF(LEFT(E1647,7)="SUBSOLO",-1,IF(LEFT(E1647,6)="TÉRREO",0,IFERROR(VALUE(LEFT(E1647,FIND("º",SUBSTITUTE(E1647,"°","º"))-1)),""))))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30206011</v>
      </c>
      <c r="C1648" s="4" t="inlineStr">
        <is>
          <t>IMPERMEABILIZAÇÃO</t>
        </is>
      </c>
      <c r="D1648" s="4" t="inlineStr">
        <is>
          <t>-</t>
        </is>
      </c>
      <c r="E1648" s="4" t="inlineStr">
        <is>
          <t>6º PAV (PILOTIS) - COWORKING 1 E 2 + CIRC. 2 + HALL 2 + DML + VEST. MASC. + VEST. FEM</t>
        </is>
      </c>
      <c r="F1648" s="118" t="n">
        <v>46905</v>
      </c>
      <c r="G1648" s="118" t="n">
        <v>46918</v>
      </c>
      <c r="H1648" s="118" t="n">
        <v>46289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IF(E1648="","",IF(LEFT(E1648,7)="SUBSOLO",-1,IF(LEFT(E1648,6)="TÉRREO",0,IFERROR(VALUE(LEFT(E1648,FIND("º",SUBSTITUTE(E1648,"°","º"))-1)),""))))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30205952</v>
      </c>
      <c r="C1649" s="4" t="inlineStr">
        <is>
          <t>SHAFT INTERNO INST. HIDRAÚLICAS</t>
        </is>
      </c>
      <c r="D1649" s="4" t="inlineStr">
        <is>
          <t>-</t>
        </is>
      </c>
      <c r="E1649" s="4" t="inlineStr">
        <is>
          <t>6º PAV (PILOTIS) - LOUNGE + SALÃO + COZINHA + GOURMET + ESPAÇO KIDS</t>
        </is>
      </c>
      <c r="F1649" s="118" t="n">
        <v>46905</v>
      </c>
      <c r="G1649" s="118" t="n">
        <v>46918</v>
      </c>
      <c r="H1649" s="118" t="n">
        <v>46289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IF(E1649="","",IF(LEFT(E1649,7)="SUBSOLO",-1,IF(LEFT(E1649,6)="TÉRREO",0,IFERROR(VALUE(LEFT(E1649,FIND("º",SUBSTITUTE(E1649,"°","º"))-1)),""))))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29981428</v>
      </c>
      <c r="C1650" s="4" t="inlineStr">
        <is>
          <t>CHECKLIST</t>
        </is>
      </c>
      <c r="D1650" s="4" t="inlineStr">
        <is>
          <t>-</t>
        </is>
      </c>
      <c r="E1650" s="4" t="inlineStr">
        <is>
          <t>10º PAV.</t>
        </is>
      </c>
      <c r="F1650" s="118" t="n">
        <v>46905</v>
      </c>
      <c r="G1650" s="118" t="n">
        <v>46911</v>
      </c>
      <c r="H1650" s="118" t="n">
        <v>46289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IF(E1650="","",IF(LEFT(E1650,7)="SUBSOLO",-1,IF(LEFT(E1650,6)="TÉRREO",0,IFERROR(VALUE(LEFT(E1650,FIND("º",SUBSTITUTE(E1650,"°","º"))-1)),""))))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29981393</v>
      </c>
      <c r="C1651" s="4" t="inlineStr">
        <is>
          <t>ACABAMENTOS ELÉTRICOS</t>
        </is>
      </c>
      <c r="D1651" s="4" t="inlineStr">
        <is>
          <t>-</t>
        </is>
      </c>
      <c r="E1651" s="4" t="inlineStr">
        <is>
          <t>11º PAV.</t>
        </is>
      </c>
      <c r="F1651" s="118" t="n">
        <v>46905</v>
      </c>
      <c r="G1651" s="118" t="n">
        <v>46917</v>
      </c>
      <c r="H1651" s="118" t="n">
        <v>46289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IF(E1651="","",IF(LEFT(E1651,7)="SUBSOLO",-1,IF(LEFT(E1651,6)="TÉRREO",0,IFERROR(VALUE(LEFT(E1651,FIND("º",SUBSTITUTE(E1651,"°","º"))-1)),""))))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29981353</v>
      </c>
      <c r="C1652" s="4" t="inlineStr">
        <is>
          <t>PINTURA 2º DEMÃO</t>
        </is>
      </c>
      <c r="D1652" s="4" t="inlineStr">
        <is>
          <t>-</t>
        </is>
      </c>
      <c r="E1652" s="4" t="inlineStr">
        <is>
          <t>12º PAV.</t>
        </is>
      </c>
      <c r="F1652" s="118" t="n">
        <v>46905</v>
      </c>
      <c r="G1652" s="118" t="n">
        <v>46917</v>
      </c>
      <c r="H1652" s="118" t="n">
        <v>46289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IF(E1652="","",IF(LEFT(E1652,7)="SUBSOLO",-1,IF(LEFT(E1652,6)="TÉRREO",0,IFERROR(VALUE(LEFT(E1652,FIND("º",SUBSTITUTE(E1652,"°","º"))-1)),""))))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33919790</v>
      </c>
      <c r="C1653" s="4" t="inlineStr">
        <is>
          <t>TEXTURA - EXTERNA</t>
        </is>
      </c>
      <c r="D1653" s="4" t="inlineStr">
        <is>
          <t>-</t>
        </is>
      </c>
      <c r="E1653" s="4" t="inlineStr">
        <is>
          <t>12º PAV.</t>
        </is>
      </c>
      <c r="F1653" s="118" t="n">
        <v>46905</v>
      </c>
      <c r="G1653" s="118" t="n">
        <v>46917</v>
      </c>
      <c r="H1653" s="118" t="n">
        <v>46289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IF(E1653="","",IF(LEFT(E1653,7)="SUBSOLO",-1,IF(LEFT(E1653,6)="TÉRREO",0,IFERROR(VALUE(LEFT(E1653,FIND("º",SUBSTITUTE(E1653,"°","º"))-1)),""))))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29981315</v>
      </c>
      <c r="C1654" s="4" t="inlineStr">
        <is>
          <t>LIMPEZA GROSSA</t>
        </is>
      </c>
      <c r="D1654" s="4" t="inlineStr">
        <is>
          <t>-</t>
        </is>
      </c>
      <c r="E1654" s="4" t="inlineStr">
        <is>
          <t>13º PAV.</t>
        </is>
      </c>
      <c r="F1654" s="118" t="n">
        <v>46905</v>
      </c>
      <c r="G1654" s="118" t="n">
        <v>46917</v>
      </c>
      <c r="H1654" s="118" t="n">
        <v>46289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IF(E1654="","",IF(LEFT(E1654,7)="SUBSOLO",-1,IF(LEFT(E1654,6)="TÉRREO",0,IFERROR(VALUE(LEFT(E1654,FIND("º",SUBSTITUTE(E1654,"°","º"))-1)),""))))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29981272</v>
      </c>
      <c r="C1655" s="4" t="inlineStr">
        <is>
          <t>LOUÇAS</t>
        </is>
      </c>
      <c r="D1655" s="4" t="inlineStr">
        <is>
          <t>-</t>
        </is>
      </c>
      <c r="E1655" s="4" t="inlineStr">
        <is>
          <t>14º PAV.</t>
        </is>
      </c>
      <c r="F1655" s="118" t="n">
        <v>46905</v>
      </c>
      <c r="G1655" s="118" t="n">
        <v>46917</v>
      </c>
      <c r="H1655" s="118" t="n">
        <v>46289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IF(E1655="","",IF(LEFT(E1655,7)="SUBSOLO",-1,IF(LEFT(E1655,6)="TÉRREO",0,IFERROR(VALUE(LEFT(E1655,FIND("º",SUBSTITUTE(E1655,"°","º"))-1)),""))))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29981277</v>
      </c>
      <c r="C1656" s="4" t="inlineStr">
        <is>
          <t>METAIS</t>
        </is>
      </c>
      <c r="D1656" s="4" t="inlineStr">
        <is>
          <t>-</t>
        </is>
      </c>
      <c r="E1656" s="4" t="inlineStr">
        <is>
          <t>14º PAV.</t>
        </is>
      </c>
      <c r="F1656" s="118" t="n">
        <v>46905</v>
      </c>
      <c r="G1656" s="118" t="n">
        <v>46917</v>
      </c>
      <c r="H1656" s="118" t="n">
        <v>46289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IF(E1656="","",IF(LEFT(E1656,7)="SUBSOLO",-1,IF(LEFT(E1656,6)="TÉRREO",0,IFERROR(VALUE(LEFT(E1656,FIND("º",SUBSTITUTE(E1656,"°","º"))-1)),""))))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29981276</v>
      </c>
      <c r="C1657" s="4" t="inlineStr">
        <is>
          <t>DISJUNTORES / MIOLOS</t>
        </is>
      </c>
      <c r="D1657" s="4" t="inlineStr">
        <is>
          <t>-</t>
        </is>
      </c>
      <c r="E1657" s="4" t="inlineStr">
        <is>
          <t>14º PAV.</t>
        </is>
      </c>
      <c r="F1657" s="118" t="n">
        <v>46905</v>
      </c>
      <c r="G1657" s="118" t="n">
        <v>46917</v>
      </c>
      <c r="H1657" s="118" t="n">
        <v>46289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IF(E1657="","",IF(LEFT(E1657,7)="SUBSOLO",-1,IF(LEFT(E1657,6)="TÉRREO",0,IFERROR(VALUE(LEFT(E1657,FIND("º",SUBSTITUTE(E1657,"°","º"))-1)),""))))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29981275</v>
      </c>
      <c r="C1658" s="4" t="inlineStr">
        <is>
          <t>COMUNICAÇÃO E ALARME</t>
        </is>
      </c>
      <c r="D1658" s="4" t="inlineStr">
        <is>
          <t>-</t>
        </is>
      </c>
      <c r="E1658" s="4" t="inlineStr">
        <is>
          <t>14º PAV.</t>
        </is>
      </c>
      <c r="F1658" s="118" t="n">
        <v>46905</v>
      </c>
      <c r="G1658" s="118" t="n">
        <v>46917</v>
      </c>
      <c r="H1658" s="118" t="n">
        <v>46289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IF(E1658="","",IF(LEFT(E1658,7)="SUBSOLO",-1,IF(LEFT(E1658,6)="TÉRREO",0,IFERROR(VALUE(LEFT(E1658,FIND("º",SUBSTITUTE(E1658,"°","º"))-1)),""))))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29981234</v>
      </c>
      <c r="C1659" s="4" t="inlineStr">
        <is>
          <t>RODAPÉ MADEIRA / PVC</t>
        </is>
      </c>
      <c r="D1659" s="4" t="inlineStr">
        <is>
          <t>-</t>
        </is>
      </c>
      <c r="E1659" s="4" t="inlineStr">
        <is>
          <t>15º PAV.</t>
        </is>
      </c>
      <c r="F1659" s="118" t="n">
        <v>46905</v>
      </c>
      <c r="G1659" s="118" t="n">
        <v>46917</v>
      </c>
      <c r="H1659" s="118" t="n">
        <v>46289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IF(E1659="","",IF(LEFT(E1659,7)="SUBSOLO",-1,IF(LEFT(E1659,6)="TÉRREO",0,IFERROR(VALUE(LEFT(E1659,FIND("º",SUBSTITUTE(E1659,"°","º"))-1)),""))))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29981196</v>
      </c>
      <c r="C1660" s="4" t="inlineStr">
        <is>
          <t>ESQUADRIA MADEIRA</t>
        </is>
      </c>
      <c r="D1660" s="4" t="inlineStr">
        <is>
          <t>-</t>
        </is>
      </c>
      <c r="E1660" s="4" t="inlineStr">
        <is>
          <t>16º PAV.</t>
        </is>
      </c>
      <c r="F1660" s="118" t="n">
        <v>46905</v>
      </c>
      <c r="G1660" s="118" t="n">
        <v>46917</v>
      </c>
      <c r="H1660" s="118" t="n">
        <v>46289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IF(E1660="","",IF(LEFT(E1660,7)="SUBSOLO",-1,IF(LEFT(E1660,6)="TÉRREO",0,IFERROR(VALUE(LEFT(E1660,FIND("º",SUBSTITUTE(E1660,"°","º"))-1)),""))))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29981158</v>
      </c>
      <c r="C1661" s="4" t="inlineStr">
        <is>
          <t>PISO VINÍLICO / LAMINADO</t>
        </is>
      </c>
      <c r="D1661" s="4" t="inlineStr">
        <is>
          <t>-</t>
        </is>
      </c>
      <c r="E1661" s="4" t="inlineStr">
        <is>
          <t>17º PAV.</t>
        </is>
      </c>
      <c r="F1661" s="118" t="n">
        <v>46905</v>
      </c>
      <c r="G1661" s="118" t="n">
        <v>46917</v>
      </c>
      <c r="H1661" s="118" t="n">
        <v>46289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IF(E1661="","",IF(LEFT(E1661,7)="SUBSOLO",-1,IF(LEFT(E1661,6)="TÉRREO",0,IFERROR(VALUE(LEFT(E1661,FIND("º",SUBSTITUTE(E1661,"°","º"))-1)),""))))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29981120</v>
      </c>
      <c r="C1662" s="4" t="inlineStr">
        <is>
          <t>PINTURA 1º DEMÃO</t>
        </is>
      </c>
      <c r="D1662" s="4" t="inlineStr">
        <is>
          <t>-</t>
        </is>
      </c>
      <c r="E1662" s="4" t="inlineStr">
        <is>
          <t>18º PAV.</t>
        </is>
      </c>
      <c r="F1662" s="118" t="n">
        <v>46905</v>
      </c>
      <c r="G1662" s="118" t="n">
        <v>46917</v>
      </c>
      <c r="H1662" s="118" t="n">
        <v>46289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IF(E1662="","",IF(LEFT(E1662,7)="SUBSOLO",-1,IF(LEFT(E1662,6)="TÉRREO",0,IFERROR(VALUE(LEFT(E1662,FIND("º",SUBSTITUTE(E1662,"°","º"))-1)),""))))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29981072</v>
      </c>
      <c r="C1663" s="4" t="inlineStr">
        <is>
          <t>MASSA CORRIDA</t>
        </is>
      </c>
      <c r="D1663" s="4" t="inlineStr">
        <is>
          <t>-</t>
        </is>
      </c>
      <c r="E1663" s="4" t="inlineStr">
        <is>
          <t>20º PAV.</t>
        </is>
      </c>
      <c r="F1663" s="118" t="n">
        <v>46905</v>
      </c>
      <c r="G1663" s="118" t="n">
        <v>46917</v>
      </c>
      <c r="H1663" s="118" t="n">
        <v>46289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IF(E1663="","",IF(LEFT(E1663,7)="SUBSOLO",-1,IF(LEFT(E1663,6)="TÉRREO",0,IFERROR(VALUE(LEFT(E1663,FIND("º",SUBSTITUTE(E1663,"°","º"))-1)),""))))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33898105</v>
      </c>
      <c r="C1664" s="4" t="inlineStr">
        <is>
          <t>ESQUADRIA DE ALUMÍNIO</t>
        </is>
      </c>
      <c r="D1664" s="4" t="inlineStr">
        <is>
          <t>-</t>
        </is>
      </c>
      <c r="E1664" s="4" t="inlineStr">
        <is>
          <t>21º PAV.</t>
        </is>
      </c>
      <c r="F1664" s="118" t="n">
        <v>46905</v>
      </c>
      <c r="G1664" s="118" t="n">
        <v>46917</v>
      </c>
      <c r="H1664" s="118" t="n">
        <v>46289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IF(E1664="","",IF(LEFT(E1664,7)="SUBSOLO",-1,IF(LEFT(E1664,6)="TÉRREO",0,IFERROR(VALUE(LEFT(E1664,FIND("º",SUBSTITUTE(E1664,"°","º"))-1)),""))))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30171511</v>
      </c>
      <c r="C1665" s="4" t="inlineStr">
        <is>
          <t>PINTURA 3º DEMÃO</t>
        </is>
      </c>
      <c r="D1665" s="4" t="inlineStr">
        <is>
          <t>-</t>
        </is>
      </c>
      <c r="E1665" s="4" t="inlineStr">
        <is>
          <t>HALL - APTOS</t>
        </is>
      </c>
      <c r="F1665" s="118" t="n">
        <v>46906</v>
      </c>
      <c r="G1665" s="118" t="n">
        <v>47177</v>
      </c>
      <c r="H1665" s="118" t="n">
        <v>46289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IF(E1665="","",IF(LEFT(E1665,7)="SUBSOLO",-1,IF(LEFT(E1665,6)="TÉRREO",0,IFERROR(VALUE(LEFT(E1665,FIND("º",SUBSTITUTE(E1665,"°","º"))-1)),""))))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29980885</v>
      </c>
      <c r="C1666" s="4" t="inlineStr">
        <is>
          <t>FORRO</t>
        </is>
      </c>
      <c r="D1666" s="4" t="inlineStr">
        <is>
          <t>-</t>
        </is>
      </c>
      <c r="E1666" s="4" t="inlineStr">
        <is>
          <t>25º PAV.</t>
        </is>
      </c>
      <c r="F1666" s="118" t="n">
        <v>46906</v>
      </c>
      <c r="G1666" s="118" t="n">
        <v>46918</v>
      </c>
      <c r="H1666" s="118" t="n">
        <v>46289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IF(E1666="","",IF(LEFT(E1666,7)="SUBSOLO",-1,IF(LEFT(E1666,6)="TÉRREO",0,IFERROR(VALUE(LEFT(E1666,FIND("º",SUBSTITUTE(E1666,"°","º"))-1)),""))))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29980846</v>
      </c>
      <c r="C1667" s="4" t="inlineStr">
        <is>
          <t>FIAÇÃO ELÉTRICA</t>
        </is>
      </c>
      <c r="D1667" s="4" t="inlineStr">
        <is>
          <t>-</t>
        </is>
      </c>
      <c r="E1667" s="4" t="inlineStr">
        <is>
          <t>26º PAV.</t>
        </is>
      </c>
      <c r="F1667" s="118" t="n">
        <v>46906</v>
      </c>
      <c r="G1667" s="118" t="n">
        <v>46918</v>
      </c>
      <c r="H1667" s="118" t="n">
        <v>46289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IF(E1667="","",IF(LEFT(E1667,7)="SUBSOLO",-1,IF(LEFT(E1667,6)="TÉRREO",0,IFERROR(VALUE(LEFT(E1667,FIND("º",SUBSTITUTE(E1667,"°","º"))-1)),""))))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29980851</v>
      </c>
      <c r="C1668" s="4" t="inlineStr">
        <is>
          <t>PRUMADA ELÉTRICA - CABOS</t>
        </is>
      </c>
      <c r="D1668" s="4" t="inlineStr">
        <is>
          <t>-</t>
        </is>
      </c>
      <c r="E1668" s="4" t="inlineStr">
        <is>
          <t>26º PAV.</t>
        </is>
      </c>
      <c r="F1668" s="118" t="n">
        <v>46906</v>
      </c>
      <c r="G1668" s="118" t="n">
        <v>46918</v>
      </c>
      <c r="H1668" s="118" t="n">
        <v>46289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IF(E1668="","",IF(LEFT(E1668,7)="SUBSOLO",-1,IF(LEFT(E1668,6)="TÉRREO",0,IFERROR(VALUE(LEFT(E1668,FIND("º",SUBSTITUTE(E1668,"°","º"))-1)),""))))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30214088</v>
      </c>
      <c r="C1669" s="4" t="inlineStr">
        <is>
          <t>FIAÇÃO TELECOM/DADOS</t>
        </is>
      </c>
      <c r="D1669" s="4" t="inlineStr">
        <is>
          <t>-</t>
        </is>
      </c>
      <c r="E1669" s="4" t="inlineStr">
        <is>
          <t>26º PAV.</t>
        </is>
      </c>
      <c r="F1669" s="118" t="n">
        <v>46906</v>
      </c>
      <c r="G1669" s="118" t="n">
        <v>46920</v>
      </c>
      <c r="H1669" s="118" t="n">
        <v>46289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IF(E1669="","",IF(LEFT(E1669,7)="SUBSOLO",-1,IF(LEFT(E1669,6)="TÉRREO",0,IFERROR(VALUE(LEFT(E1669,FIND("º",SUBSTITUTE(E1669,"°","º"))-1)),""))))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29980793</v>
      </c>
      <c r="C1670" s="4" t="inlineStr">
        <is>
          <t>BANCADAS</t>
        </is>
      </c>
      <c r="D1670" s="4" t="inlineStr">
        <is>
          <t>-</t>
        </is>
      </c>
      <c r="E1670" s="4" t="inlineStr">
        <is>
          <t>27º PAV.</t>
        </is>
      </c>
      <c r="F1670" s="118" t="n">
        <v>46906</v>
      </c>
      <c r="G1670" s="118" t="n">
        <v>46918</v>
      </c>
      <c r="H1670" s="118" t="n">
        <v>46289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IF(E1670="","",IF(LEFT(E1670,7)="SUBSOLO",-1,IF(LEFT(E1670,6)="TÉRREO",0,IFERROR(VALUE(LEFT(E1670,FIND("º",SUBSTITUTE(E1670,"°","º"))-1)),""))))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29980755</v>
      </c>
      <c r="C1671" s="4" t="inlineStr">
        <is>
          <t>REVESTIMENTOS PORCELANATO PISO</t>
        </is>
      </c>
      <c r="D1671" s="4" t="inlineStr">
        <is>
          <t>-</t>
        </is>
      </c>
      <c r="E1671" s="4" t="inlineStr">
        <is>
          <t>28º PAV.</t>
        </is>
      </c>
      <c r="F1671" s="118" t="n">
        <v>46906</v>
      </c>
      <c r="G1671" s="118" t="n">
        <v>46918</v>
      </c>
      <c r="H1671" s="118" t="n">
        <v>46289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IF(E1671="","",IF(LEFT(E1671,7)="SUBSOLO",-1,IF(LEFT(E1671,6)="TÉRREO",0,IFERROR(VALUE(LEFT(E1671,FIND("º",SUBSTITUTE(E1671,"°","º"))-1)),""))))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29980734</v>
      </c>
      <c r="C1672" s="4" t="inlineStr">
        <is>
          <t>REVESTIMENTO PORCELANATO PAREDE</t>
        </is>
      </c>
      <c r="D1672" s="4" t="inlineStr">
        <is>
          <t>-</t>
        </is>
      </c>
      <c r="E1672" s="4" t="inlineStr">
        <is>
          <t>29º PAV.</t>
        </is>
      </c>
      <c r="F1672" s="118" t="n">
        <v>46906</v>
      </c>
      <c r="G1672" s="118" t="n">
        <v>46918</v>
      </c>
      <c r="H1672" s="118" t="n">
        <v>46289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IF(E1672="","",IF(LEFT(E1672,7)="SUBSOLO",-1,IF(LEFT(E1672,6)="TÉRREO",0,IFERROR(VALUE(LEFT(E1672,FIND("º",SUBSTITUTE(E1672,"°","º"))-1)),""))))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29980695</v>
      </c>
      <c r="C1673" s="4" t="inlineStr">
        <is>
          <t>IMPERMEABILIZAÇÃO</t>
        </is>
      </c>
      <c r="D1673" s="4" t="inlineStr">
        <is>
          <t>-</t>
        </is>
      </c>
      <c r="E1673" s="4" t="inlineStr">
        <is>
          <t>30º PAV.</t>
        </is>
      </c>
      <c r="F1673" s="118" t="n">
        <v>46906</v>
      </c>
      <c r="G1673" s="118" t="n">
        <v>46918</v>
      </c>
      <c r="H1673" s="118" t="n">
        <v>46289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IF(E1673="","",IF(LEFT(E1673,7)="SUBSOLO",-1,IF(LEFT(E1673,6)="TÉRREO",0,IFERROR(VALUE(LEFT(E1673,FIND("º",SUBSTITUTE(E1673,"°","º"))-1)),""))))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32750457</v>
      </c>
      <c r="C1674" s="4" t="inlineStr">
        <is>
          <t>DRYWALL 2º FACE</t>
        </is>
      </c>
      <c r="D1674" s="4" t="inlineStr">
        <is>
          <t>-</t>
        </is>
      </c>
      <c r="E1674" s="4" t="inlineStr">
        <is>
          <t>31º PAV. - COBERTURA LINEAR</t>
        </is>
      </c>
      <c r="F1674" s="118" t="n">
        <v>46906</v>
      </c>
      <c r="G1674" s="118" t="n">
        <v>46918</v>
      </c>
      <c r="H1674" s="118" t="n">
        <v>46289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IF(E1674="","",IF(LEFT(E1674,7)="SUBSOLO",-1,IF(LEFT(E1674,6)="TÉRREO",0,IFERROR(VALUE(LEFT(E1674,FIND("º",SUBSTITUTE(E1674,"°","º"))-1)),""))))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32750380</v>
      </c>
      <c r="C1675" s="4" t="inlineStr">
        <is>
          <t>DISTRIBUIÇÃO DE GÁS - DRYWALL</t>
        </is>
      </c>
      <c r="D1675" s="4" t="inlineStr">
        <is>
          <t>-</t>
        </is>
      </c>
      <c r="E1675" s="4" t="inlineStr">
        <is>
          <t>32º PAV - COBERTURA GERAL</t>
        </is>
      </c>
      <c r="F1675" s="118" t="n">
        <v>46906</v>
      </c>
      <c r="G1675" s="118" t="n">
        <v>46918</v>
      </c>
      <c r="H1675" s="118" t="n">
        <v>46289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IF(E1675="","",IF(LEFT(E1675,7)="SUBSOLO",-1,IF(LEFT(E1675,6)="TÉRREO",0,IFERROR(VALUE(LEFT(E1675,FIND("º",SUBSTITUTE(E1675,"°","º"))-1)),""))))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32750406</v>
      </c>
      <c r="C1676" s="4" t="inlineStr">
        <is>
          <t>DISTRIBUIÇÃO ELÉTRICA/QUADRO - DRYWALL</t>
        </is>
      </c>
      <c r="D1676" s="4" t="inlineStr">
        <is>
          <t>-</t>
        </is>
      </c>
      <c r="E1676" s="4" t="inlineStr">
        <is>
          <t>32º PAV - COBERTURA GERAL</t>
        </is>
      </c>
      <c r="F1676" s="118" t="n">
        <v>46906</v>
      </c>
      <c r="G1676" s="118" t="n">
        <v>46918</v>
      </c>
      <c r="H1676" s="118" t="n">
        <v>46289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IF(E1676="","",IF(LEFT(E1676,7)="SUBSOLO",-1,IF(LEFT(E1676,6)="TÉRREO",0,IFERROR(VALUE(LEFT(E1676,FIND("º",SUBSTITUTE(E1676,"°","º"))-1)),""))))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32750432</v>
      </c>
      <c r="C1677" s="4" t="inlineStr">
        <is>
          <t>DISTRIBUIÇÃO HIDRÁULICA - DRYWALL</t>
        </is>
      </c>
      <c r="D1677" s="4" t="inlineStr">
        <is>
          <t>-</t>
        </is>
      </c>
      <c r="E1677" s="4" t="inlineStr">
        <is>
          <t>32º PAV - COBERTURA GERAL</t>
        </is>
      </c>
      <c r="F1677" s="118" t="n">
        <v>46906</v>
      </c>
      <c r="G1677" s="118" t="n">
        <v>46918</v>
      </c>
      <c r="H1677" s="118" t="n">
        <v>46289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IF(E1677="","",IF(LEFT(E1677,7)="SUBSOLO",-1,IF(LEFT(E1677,6)="TÉRREO",0,IFERROR(VALUE(LEFT(E1677,FIND("º",SUBSTITUTE(E1677,"°","º"))-1)),""))))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33896850</v>
      </c>
      <c r="C1678" s="4" t="inlineStr">
        <is>
          <t>INFRAESTRUTURA - AR CONDICIONADO</t>
        </is>
      </c>
      <c r="D1678" s="4" t="inlineStr">
        <is>
          <t>-</t>
        </is>
      </c>
      <c r="E1678" s="4" t="inlineStr">
        <is>
          <t>32º PAV - COBERTURA GERAL</t>
        </is>
      </c>
      <c r="F1678" s="118" t="n">
        <v>46906</v>
      </c>
      <c r="G1678" s="118" t="n">
        <v>46918</v>
      </c>
      <c r="H1678" s="118" t="n">
        <v>46289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IF(E1678="","",IF(LEFT(E1678,7)="SUBSOLO",-1,IF(LEFT(E1678,6)="TÉRREO",0,IFERROR(VALUE(LEFT(E1678,FIND("º",SUBSTITUTE(E1678,"°","º"))-1)),""))))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30205705</v>
      </c>
      <c r="C1679" s="4" t="inlineStr">
        <is>
          <t>LIMPEZA FINA</t>
        </is>
      </c>
      <c r="D1679" s="4" t="inlineStr">
        <is>
          <t>-</t>
        </is>
      </c>
      <c r="E1679" s="4" t="inlineStr">
        <is>
          <t>TÉRREO - LOJA 1</t>
        </is>
      </c>
      <c r="F1679" s="118" t="n">
        <v>46909</v>
      </c>
      <c r="G1679" s="118" t="n">
        <v>46923</v>
      </c>
      <c r="H1679" s="118" t="n">
        <v>46289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IF(E1679="","",IF(LEFT(E1679,7)="SUBSOLO",-1,IF(LEFT(E1679,6)="TÉRREO",0,IFERROR(VALUE(LEFT(E1679,FIND("º",SUBSTITUTE(E1679,"°","º"))-1)),""))))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30205668</v>
      </c>
      <c r="C1680" s="4" t="inlineStr">
        <is>
          <t>ACABAMENTOS ELÉTRICOS</t>
        </is>
      </c>
      <c r="D1680" s="4" t="inlineStr">
        <is>
          <t>-</t>
        </is>
      </c>
      <c r="E1680" s="4" t="inlineStr">
        <is>
          <t>TÉRREO - LOJA 2</t>
        </is>
      </c>
      <c r="F1680" s="118" t="n">
        <v>46909</v>
      </c>
      <c r="G1680" s="118" t="n">
        <v>46923</v>
      </c>
      <c r="H1680" s="118" t="n">
        <v>46289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IF(E1680="","",IF(LEFT(E1680,7)="SUBSOLO",-1,IF(LEFT(E1680,6)="TÉRREO",0,IFERROR(VALUE(LEFT(E1680,FIND("º",SUBSTITUTE(E1680,"°","º"))-1)),""))))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30205640</v>
      </c>
      <c r="C1681" s="4" t="inlineStr">
        <is>
          <t>PINTURA 2º DEMÃO</t>
        </is>
      </c>
      <c r="D1681" s="4" t="inlineStr">
        <is>
          <t>-</t>
        </is>
      </c>
      <c r="E1681" s="4" t="inlineStr">
        <is>
          <t>TÉRREO - LOJA 3</t>
        </is>
      </c>
      <c r="F1681" s="118" t="n">
        <v>46909</v>
      </c>
      <c r="G1681" s="118" t="n">
        <v>46923</v>
      </c>
      <c r="H1681" s="118" t="n">
        <v>46289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IF(E1681="","",IF(LEFT(E1681,7)="SUBSOLO",-1,IF(LEFT(E1681,6)="TÉRREO",0,IFERROR(VALUE(LEFT(E1681,FIND("º",SUBSTITUTE(E1681,"°","º"))-1)),""))))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30205626</v>
      </c>
      <c r="C1682" s="4" t="inlineStr">
        <is>
          <t>LIMPEZA GROSSA</t>
        </is>
      </c>
      <c r="D1682" s="4" t="inlineStr">
        <is>
          <t>-</t>
        </is>
      </c>
      <c r="E1682" s="4" t="inlineStr">
        <is>
          <t>TÉRREO - LOJA 4</t>
        </is>
      </c>
      <c r="F1682" s="118" t="n">
        <v>46909</v>
      </c>
      <c r="G1682" s="118" t="n">
        <v>46923</v>
      </c>
      <c r="H1682" s="118" t="n">
        <v>46289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IF(E1682="","",IF(LEFT(E1682,7)="SUBSOLO",-1,IF(LEFT(E1682,6)="TÉRREO",0,IFERROR(VALUE(LEFT(E1682,FIND("º",SUBSTITUTE(E1682,"°","º"))-1)),""))))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29981079</v>
      </c>
      <c r="C1683" s="4" t="inlineStr">
        <is>
          <t>REBOCO INTERNO</t>
        </is>
      </c>
      <c r="D1683" s="4" t="inlineStr">
        <is>
          <t>-</t>
        </is>
      </c>
      <c r="E1683" s="4" t="inlineStr">
        <is>
          <t>19º PAV.</t>
        </is>
      </c>
      <c r="F1683" s="118" t="n">
        <v>46909</v>
      </c>
      <c r="G1683" s="118" t="n">
        <v>46920</v>
      </c>
      <c r="H1683" s="118" t="n">
        <v>46289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IF(E1683="","",IF(LEFT(E1683,7)="SUBSOLO",-1,IF(LEFT(E1683,6)="TÉRREO",0,IFERROR(VALUE(LEFT(E1683,FIND("º",SUBSTITUTE(E1683,"°","º"))-1)),""))))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30205791</v>
      </c>
      <c r="C1684" s="4" t="inlineStr">
        <is>
          <t>PINTURA 1º DEMÃO</t>
        </is>
      </c>
      <c r="D1684" s="4" t="inlineStr">
        <is>
          <t>-</t>
        </is>
      </c>
      <c r="E1684" s="4" t="inlineStr">
        <is>
          <t>TÉRREO - ACESSO COMERCIAL + DML + ARS + ÁREA TEC + LAVABO + DISPENSA</t>
        </is>
      </c>
      <c r="F1684" s="118" t="n">
        <v>46911</v>
      </c>
      <c r="G1684" s="118" t="n">
        <v>46932</v>
      </c>
      <c r="H1684" s="118" t="n">
        <v>46289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IF(E1684="","",IF(LEFT(E1684,7)="SUBSOLO",-1,IF(LEFT(E1684,6)="TÉRREO",0,IFERROR(VALUE(LEFT(E1684,FIND("º",SUBSTITUTE(E1684,"°","º"))-1)),""))))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30205817</v>
      </c>
      <c r="C1685" s="4" t="inlineStr">
        <is>
          <t>ESQUADRIA DE ALUMÍNIO</t>
        </is>
      </c>
      <c r="D1685" s="4" t="inlineStr">
        <is>
          <t>-</t>
        </is>
      </c>
      <c r="E1685" s="4" t="inlineStr">
        <is>
          <t>TÉRREO - HALL SOCIAL + ECLUSA + CIRCULAÇÃO</t>
        </is>
      </c>
      <c r="F1685" s="118" t="n">
        <v>46911</v>
      </c>
      <c r="G1685" s="118" t="n">
        <v>46925</v>
      </c>
      <c r="H1685" s="118" t="n">
        <v>46289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IF(E1685="","",IF(LEFT(E1685,7)="SUBSOLO",-1,IF(LEFT(E1685,6)="TÉRREO",0,IFERROR(VALUE(LEFT(E1685,FIND("º",SUBSTITUTE(E1685,"°","º"))-1)),""))))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34179698</v>
      </c>
      <c r="C1686" s="4" t="inlineStr">
        <is>
          <t>IRRIGAÇÃO</t>
        </is>
      </c>
      <c r="D1686" s="4" t="inlineStr">
        <is>
          <t>-</t>
        </is>
      </c>
      <c r="E1686" s="4" t="inlineStr">
        <is>
          <t>TÉRREO ÁREA EXTERNA - COMERCIAL</t>
        </is>
      </c>
      <c r="F1686" s="118" t="n">
        <v>46912</v>
      </c>
      <c r="G1686" s="118" t="n">
        <v>46944</v>
      </c>
      <c r="H1686" s="118" t="n">
        <v>46289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IF(E1686="","",IF(LEFT(E1686,7)="SUBSOLO",-1,IF(LEFT(E1686,6)="TÉRREO",0,IFERROR(VALUE(LEFT(E1686,FIND("º",SUBSTITUTE(E1686,"°","º"))-1)),""))))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29981476</v>
      </c>
      <c r="C1687" s="4" t="inlineStr">
        <is>
          <t>LIMPEZA FINA</t>
        </is>
      </c>
      <c r="D1687" s="4" t="inlineStr">
        <is>
          <t>-</t>
        </is>
      </c>
      <c r="E1687" s="4" t="inlineStr">
        <is>
          <t>9º PAV.</t>
        </is>
      </c>
      <c r="F1687" s="118" t="n">
        <v>46912</v>
      </c>
      <c r="G1687" s="118" t="n">
        <v>46925</v>
      </c>
      <c r="H1687" s="118" t="n">
        <v>46289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IF(E1687="","",IF(LEFT(E1687,7)="SUBSOLO",-1,IF(LEFT(E1687,6)="TÉRREO",0,IFERROR(VALUE(LEFT(E1687,FIND("º",SUBSTITUTE(E1687,"°","º"))-1)),""))))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29981429</v>
      </c>
      <c r="C1688" s="4" t="inlineStr">
        <is>
          <t>PINTURA 3º DEMÃO</t>
        </is>
      </c>
      <c r="D1688" s="4" t="inlineStr">
        <is>
          <t>-</t>
        </is>
      </c>
      <c r="E1688" s="4" t="inlineStr">
        <is>
          <t>10º PAV.</t>
        </is>
      </c>
      <c r="F1688" s="118" t="n">
        <v>46912</v>
      </c>
      <c r="G1688" s="118" t="n">
        <v>46925</v>
      </c>
      <c r="H1688" s="118" t="n">
        <v>46289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IF(E1688="","",IF(LEFT(E1688,7)="SUBSOLO",-1,IF(LEFT(E1688,6)="TÉRREO",0,IFERROR(VALUE(LEFT(E1688,FIND("º",SUBSTITUTE(E1688,"°","º"))-1)),""))))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31791086</v>
      </c>
      <c r="C1689" s="4" t="inlineStr">
        <is>
          <t>FACHADA AERADA - F5 (2º ETAPA)</t>
        </is>
      </c>
      <c r="D1689" s="4" t="inlineStr">
        <is>
          <t>-</t>
        </is>
      </c>
      <c r="E1689" s="4" t="inlineStr">
        <is>
          <t>FACHADA</t>
        </is>
      </c>
      <c r="F1689" s="118" t="n">
        <v>46912</v>
      </c>
      <c r="G1689" s="118" t="n">
        <v>46961</v>
      </c>
      <c r="H1689" s="118" t="n">
        <v>46289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IF(E1689="","",IF(LEFT(E1689,7)="SUBSOLO",-1,IF(LEFT(E1689,6)="TÉRREO",0,IFERROR(VALUE(LEFT(E1689,FIND("º",SUBSTITUTE(E1689,"°","º"))-1)),""))))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30205723</v>
      </c>
      <c r="C1690" s="4" t="inlineStr">
        <is>
          <t>TEXTURA - 2º E 3º DEMÃO</t>
        </is>
      </c>
      <c r="D1690" s="4" t="inlineStr">
        <is>
          <t>-</t>
        </is>
      </c>
      <c r="E1690" s="4" t="inlineStr">
        <is>
          <t>SUBSOLO</t>
        </is>
      </c>
      <c r="F1690" s="118" t="n">
        <v>46913</v>
      </c>
      <c r="G1690" s="118" t="n">
        <v>46927</v>
      </c>
      <c r="H1690" s="118" t="n">
        <v>46289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IF(E1690="","",IF(LEFT(E1690,7)="SUBSOLO",-1,IF(LEFT(E1690,6)="TÉRREO",0,IFERROR(VALUE(LEFT(E1690,FIND("º",SUBSTITUTE(E1690,"°","º"))-1)),""))))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30205580</v>
      </c>
      <c r="C1691" s="4" t="inlineStr">
        <is>
          <t>DISJUNTORES / MIOLOS</t>
        </is>
      </c>
      <c r="D1691" s="4" t="inlineStr">
        <is>
          <t>-</t>
        </is>
      </c>
      <c r="E1691" s="4" t="inlineStr">
        <is>
          <t>TÉRREO - LOJA 5</t>
        </is>
      </c>
      <c r="F1691" s="118" t="n">
        <v>46916</v>
      </c>
      <c r="G1691" s="118" t="n">
        <v>46923</v>
      </c>
      <c r="H1691" s="118" t="n">
        <v>46289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IF(E1691="","",IF(LEFT(E1691,7)="SUBSOLO",-1,IF(LEFT(E1691,6)="TÉRREO",0,IFERROR(VALUE(LEFT(E1691,FIND("º",SUBSTITUTE(E1691,"°","º"))-1)),""))))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30205555</v>
      </c>
      <c r="C1692" s="4" t="inlineStr">
        <is>
          <t>ESQUADRIA MADEIRA</t>
        </is>
      </c>
      <c r="D1692" s="4" t="inlineStr">
        <is>
          <t>-</t>
        </is>
      </c>
      <c r="E1692" s="4" t="inlineStr">
        <is>
          <t>TÉRREO - LOJA 6</t>
        </is>
      </c>
      <c r="F1692" s="118" t="n">
        <v>46916</v>
      </c>
      <c r="G1692" s="118" t="n">
        <v>46930</v>
      </c>
      <c r="H1692" s="118" t="n">
        <v>46289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IF(E1692="","",IF(LEFT(E1692,7)="SUBSOLO",-1,IF(LEFT(E1692,6)="TÉRREO",0,IFERROR(VALUE(LEFT(E1692,FIND("º",SUBSTITUTE(E1692,"°","º"))-1)),""))))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30205554</v>
      </c>
      <c r="C1693" s="4" t="inlineStr">
        <is>
          <t>LOUÇAS</t>
        </is>
      </c>
      <c r="D1693" s="4" t="inlineStr">
        <is>
          <t>-</t>
        </is>
      </c>
      <c r="E1693" s="4" t="inlineStr">
        <is>
          <t>TÉRREO - LOJA 6</t>
        </is>
      </c>
      <c r="F1693" s="118" t="n">
        <v>46916</v>
      </c>
      <c r="G1693" s="118" t="n">
        <v>46930</v>
      </c>
      <c r="H1693" s="118" t="n">
        <v>46289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IF(E1693="","",IF(LEFT(E1693,7)="SUBSOLO",-1,IF(LEFT(E1693,6)="TÉRREO",0,IFERROR(VALUE(LEFT(E1693,FIND("º",SUBSTITUTE(E1693,"°","º"))-1)),""))))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30205552</v>
      </c>
      <c r="C1694" s="4" t="inlineStr">
        <is>
          <t>METAIS</t>
        </is>
      </c>
      <c r="D1694" s="4" t="inlineStr">
        <is>
          <t>-</t>
        </is>
      </c>
      <c r="E1694" s="4" t="inlineStr">
        <is>
          <t>TÉRREO - LOJA 6</t>
        </is>
      </c>
      <c r="F1694" s="118" t="n">
        <v>46916</v>
      </c>
      <c r="G1694" s="118" t="n">
        <v>46930</v>
      </c>
      <c r="H1694" s="118" t="n">
        <v>46289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IF(E1694="","",IF(LEFT(E1694,7)="SUBSOLO",-1,IF(LEFT(E1694,6)="TÉRREO",0,IFERROR(VALUE(LEFT(E1694,FIND("º",SUBSTITUTE(E1694,"°","º"))-1)),""))))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30205537</v>
      </c>
      <c r="C1695" s="4" t="inlineStr">
        <is>
          <t>PINTURA 1º DEMÃO</t>
        </is>
      </c>
      <c r="D1695" s="4" t="inlineStr">
        <is>
          <t>-</t>
        </is>
      </c>
      <c r="E1695" s="4" t="inlineStr">
        <is>
          <t>TÉRREO - LOJA 7</t>
        </is>
      </c>
      <c r="F1695" s="118" t="n">
        <v>46916</v>
      </c>
      <c r="G1695" s="118" t="n">
        <v>46930</v>
      </c>
      <c r="H1695" s="118" t="n">
        <v>46289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IF(E1695="","",IF(LEFT(E1695,7)="SUBSOLO",-1,IF(LEFT(E1695,6)="TÉRREO",0,IFERROR(VALUE(LEFT(E1695,FIND("º",SUBSTITUTE(E1695,"°","º"))-1)),""))))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30171522</v>
      </c>
      <c r="C1696" s="4" t="inlineStr">
        <is>
          <t>INSTALAÇÃO DE ADUELAS (ELEVADORES)</t>
        </is>
      </c>
      <c r="D1696" s="4" t="inlineStr">
        <is>
          <t>-</t>
        </is>
      </c>
      <c r="E1696" s="4" t="inlineStr">
        <is>
          <t>HALL - GARAGENS</t>
        </is>
      </c>
      <c r="F1696" s="118" t="n">
        <v>46918</v>
      </c>
      <c r="G1696" s="118" t="n">
        <v>46946</v>
      </c>
      <c r="H1696" s="118" t="n">
        <v>46289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IF(E1696="","",IF(LEFT(E1696,7)="SUBSOLO",-1,IF(LEFT(E1696,6)="TÉRREO",0,IFERROR(VALUE(LEFT(E1696,FIND("º",SUBSTITUTE(E1696,"°","º"))-1)),""))))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29981391</v>
      </c>
      <c r="C1697" s="4" t="inlineStr">
        <is>
          <t>CHECKLIST</t>
        </is>
      </c>
      <c r="D1697" s="4" t="inlineStr">
        <is>
          <t>-</t>
        </is>
      </c>
      <c r="E1697" s="4" t="inlineStr">
        <is>
          <t>11º PAV.</t>
        </is>
      </c>
      <c r="F1697" s="118" t="n">
        <v>46918</v>
      </c>
      <c r="G1697" s="118" t="n">
        <v>46925</v>
      </c>
      <c r="H1697" s="118" t="n">
        <v>46289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IF(E1697="","",IF(LEFT(E1697,7)="SUBSOLO",-1,IF(LEFT(E1697,6)="TÉRREO",0,IFERROR(VALUE(LEFT(E1697,FIND("º",SUBSTITUTE(E1697,"°","º"))-1)),""))))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29981356</v>
      </c>
      <c r="C1698" s="4" t="inlineStr">
        <is>
          <t>ACABAMENTOS ELÉTRICOS</t>
        </is>
      </c>
      <c r="D1698" s="4" t="inlineStr">
        <is>
          <t>-</t>
        </is>
      </c>
      <c r="E1698" s="4" t="inlineStr">
        <is>
          <t>12º PAV.</t>
        </is>
      </c>
      <c r="F1698" s="118" t="n">
        <v>46918</v>
      </c>
      <c r="G1698" s="118" t="n">
        <v>46931</v>
      </c>
      <c r="H1698" s="118" t="n">
        <v>46289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IF(E1698="","",IF(LEFT(E1698,7)="SUBSOLO",-1,IF(LEFT(E1698,6)="TÉRREO",0,IFERROR(VALUE(LEFT(E1698,FIND("º",SUBSTITUTE(E1698,"°","º"))-1)),""))))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29981316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13º PAV.</t>
        </is>
      </c>
      <c r="F1699" s="118" t="n">
        <v>46918</v>
      </c>
      <c r="G1699" s="118" t="n">
        <v>46931</v>
      </c>
      <c r="H1699" s="118" t="n">
        <v>46289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IF(E1699="","",IF(LEFT(E1699,7)="SUBSOLO",-1,IF(LEFT(E1699,6)="TÉRREO",0,IFERROR(VALUE(LEFT(E1699,FIND("º",SUBSTITUTE(E1699,"°","º"))-1)),""))))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33919791</v>
      </c>
      <c r="C1700" s="4" t="inlineStr">
        <is>
          <t>TEXTURA - EXTERNA</t>
        </is>
      </c>
      <c r="D1700" s="4" t="inlineStr">
        <is>
          <t>-</t>
        </is>
      </c>
      <c r="E1700" s="4" t="inlineStr">
        <is>
          <t>13º PAV.</t>
        </is>
      </c>
      <c r="F1700" s="118" t="n">
        <v>46918</v>
      </c>
      <c r="G1700" s="118" t="n">
        <v>46931</v>
      </c>
      <c r="H1700" s="118" t="n">
        <v>46289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IF(E1700="","",IF(LEFT(E1700,7)="SUBSOLO",-1,IF(LEFT(E1700,6)="TÉRREO",0,IFERROR(VALUE(LEFT(E1700,FIND("º",SUBSTITUTE(E1700,"°","º"))-1)),""))))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29981278</v>
      </c>
      <c r="C1701" s="4" t="inlineStr">
        <is>
          <t>LIMPEZA GROSSA</t>
        </is>
      </c>
      <c r="D1701" s="4" t="inlineStr">
        <is>
          <t>-</t>
        </is>
      </c>
      <c r="E1701" s="4" t="inlineStr">
        <is>
          <t>14º PAV.</t>
        </is>
      </c>
      <c r="F1701" s="118" t="n">
        <v>46918</v>
      </c>
      <c r="G1701" s="118" t="n">
        <v>46931</v>
      </c>
      <c r="H1701" s="118" t="n">
        <v>46289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IF(E1701="","",IF(LEFT(E1701,7)="SUBSOLO",-1,IF(LEFT(E1701,6)="TÉRREO",0,IFERROR(VALUE(LEFT(E1701,FIND("º",SUBSTITUTE(E1701,"°","º"))-1)),""))))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29981235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15º PAV.</t>
        </is>
      </c>
      <c r="F1702" s="118" t="n">
        <v>46918</v>
      </c>
      <c r="G1702" s="118" t="n">
        <v>46931</v>
      </c>
      <c r="H1702" s="118" t="n">
        <v>46289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IF(E1702="","",IF(LEFT(E1702,7)="SUBSOLO",-1,IF(LEFT(E1702,6)="TÉRREO",0,IFERROR(VALUE(LEFT(E1702,FIND("º",SUBSTITUTE(E1702,"°","º"))-1)),""))))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29981240</v>
      </c>
      <c r="C1703" s="4" t="inlineStr">
        <is>
          <t>METAIS</t>
        </is>
      </c>
      <c r="D1703" s="4" t="inlineStr">
        <is>
          <t>-</t>
        </is>
      </c>
      <c r="E1703" s="4" t="inlineStr">
        <is>
          <t>15º PAV.</t>
        </is>
      </c>
      <c r="F1703" s="118" t="n">
        <v>46918</v>
      </c>
      <c r="G1703" s="118" t="n">
        <v>46931</v>
      </c>
      <c r="H1703" s="118" t="n">
        <v>46289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IF(E1703="","",IF(LEFT(E1703,7)="SUBSOLO",-1,IF(LEFT(E1703,6)="TÉRREO",0,IFERROR(VALUE(LEFT(E1703,FIND("º",SUBSTITUTE(E1703,"°","º"))-1)),""))))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29981239</v>
      </c>
      <c r="C1704" s="4" t="inlineStr">
        <is>
          <t>DISJUNTORES / MIOLOS</t>
        </is>
      </c>
      <c r="D1704" s="4" t="inlineStr">
        <is>
          <t>-</t>
        </is>
      </c>
      <c r="E1704" s="4" t="inlineStr">
        <is>
          <t>15º PAV.</t>
        </is>
      </c>
      <c r="F1704" s="118" t="n">
        <v>46918</v>
      </c>
      <c r="G1704" s="118" t="n">
        <v>46931</v>
      </c>
      <c r="H1704" s="118" t="n">
        <v>46289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IF(E1704="","",IF(LEFT(E1704,7)="SUBSOLO",-1,IF(LEFT(E1704,6)="TÉRREO",0,IFERROR(VALUE(LEFT(E1704,FIND("º",SUBSTITUTE(E1704,"°","º"))-1)),""))))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29981238</v>
      </c>
      <c r="C1705" s="4" t="inlineStr">
        <is>
          <t>COMUNICAÇÃO E ALARME</t>
        </is>
      </c>
      <c r="D1705" s="4" t="inlineStr">
        <is>
          <t>-</t>
        </is>
      </c>
      <c r="E1705" s="4" t="inlineStr">
        <is>
          <t>15º PAV.</t>
        </is>
      </c>
      <c r="F1705" s="118" t="n">
        <v>46918</v>
      </c>
      <c r="G1705" s="118" t="n">
        <v>46931</v>
      </c>
      <c r="H1705" s="118" t="n">
        <v>46289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IF(E1705="","",IF(LEFT(E1705,7)="SUBSOLO",-1,IF(LEFT(E1705,6)="TÉRREO",0,IFERROR(VALUE(LEFT(E1705,FIND("º",SUBSTITUTE(E1705,"°","º"))-1)),""))))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29981197</v>
      </c>
      <c r="C1706" s="4" t="inlineStr">
        <is>
          <t>RODAPÉ MADEIRA / PVC</t>
        </is>
      </c>
      <c r="D1706" s="4" t="inlineStr">
        <is>
          <t>-</t>
        </is>
      </c>
      <c r="E1706" s="4" t="inlineStr">
        <is>
          <t>16º PAV.</t>
        </is>
      </c>
      <c r="F1706" s="118" t="n">
        <v>46918</v>
      </c>
      <c r="G1706" s="118" t="n">
        <v>46931</v>
      </c>
      <c r="H1706" s="118" t="n">
        <v>46289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IF(E1706="","",IF(LEFT(E1706,7)="SUBSOLO",-1,IF(LEFT(E1706,6)="TÉRREO",0,IFERROR(VALUE(LEFT(E1706,FIND("º",SUBSTITUTE(E1706,"°","º"))-1)),""))))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29981159</v>
      </c>
      <c r="C1707" s="4" t="inlineStr">
        <is>
          <t>ESQUADRIA MADEIRA</t>
        </is>
      </c>
      <c r="D1707" s="4" t="inlineStr">
        <is>
          <t>-</t>
        </is>
      </c>
      <c r="E1707" s="4" t="inlineStr">
        <is>
          <t>17º PAV.</t>
        </is>
      </c>
      <c r="F1707" s="118" t="n">
        <v>46918</v>
      </c>
      <c r="G1707" s="118" t="n">
        <v>46931</v>
      </c>
      <c r="H1707" s="118" t="n">
        <v>46289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IF(E1707="","",IF(LEFT(E1707,7)="SUBSOLO",-1,IF(LEFT(E1707,6)="TÉRREO",0,IFERROR(VALUE(LEFT(E1707,FIND("º",SUBSTITUTE(E1707,"°","º"))-1)),""))))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29981121</v>
      </c>
      <c r="C1708" s="4" t="inlineStr">
        <is>
          <t>PISO VINÍLICO / LAMINADO</t>
        </is>
      </c>
      <c r="D1708" s="4" t="inlineStr">
        <is>
          <t>-</t>
        </is>
      </c>
      <c r="E1708" s="4" t="inlineStr">
        <is>
          <t>18º PAV.</t>
        </is>
      </c>
      <c r="F1708" s="118" t="n">
        <v>46918</v>
      </c>
      <c r="G1708" s="118" t="n">
        <v>46931</v>
      </c>
      <c r="H1708" s="118" t="n">
        <v>46289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IF(E1708="","",IF(LEFT(E1708,7)="SUBSOLO",-1,IF(LEFT(E1708,6)="TÉRREO",0,IFERROR(VALUE(LEFT(E1708,FIND("º",SUBSTITUTE(E1708,"°","º"))-1)),""))))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29981046</v>
      </c>
      <c r="C1709" s="4" t="inlineStr">
        <is>
          <t>PINTURA 1º DEMÃO</t>
        </is>
      </c>
      <c r="D1709" s="4" t="inlineStr">
        <is>
          <t>-</t>
        </is>
      </c>
      <c r="E1709" s="4" t="inlineStr">
        <is>
          <t>20º PAV.</t>
        </is>
      </c>
      <c r="F1709" s="118" t="n">
        <v>46918</v>
      </c>
      <c r="G1709" s="118" t="n">
        <v>46931</v>
      </c>
      <c r="H1709" s="118" t="n">
        <v>46289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IF(E1709="","",IF(LEFT(E1709,7)="SUBSOLO",-1,IF(LEFT(E1709,6)="TÉRREO",0,IFERROR(VALUE(LEFT(E1709,FIND("º",SUBSTITUTE(E1709,"°","º"))-1)),""))))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29981035</v>
      </c>
      <c r="C1710" s="4" t="inlineStr">
        <is>
          <t>MASSA CORRIDA</t>
        </is>
      </c>
      <c r="D1710" s="4" t="inlineStr">
        <is>
          <t>-</t>
        </is>
      </c>
      <c r="E1710" s="4" t="inlineStr">
        <is>
          <t>21º PAV.</t>
        </is>
      </c>
      <c r="F1710" s="118" t="n">
        <v>46918</v>
      </c>
      <c r="G1710" s="118" t="n">
        <v>46931</v>
      </c>
      <c r="H1710" s="118" t="n">
        <v>46289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IF(E1710="","",IF(LEFT(E1710,7)="SUBSOLO",-1,IF(LEFT(E1710,6)="TÉRREO",0,IFERROR(VALUE(LEFT(E1710,FIND("º",SUBSTITUTE(E1710,"°","º"))-1)),""))))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33898106</v>
      </c>
      <c r="C1711" s="4" t="inlineStr">
        <is>
          <t>ESQUADRIA DE ALUMÍNIO</t>
        </is>
      </c>
      <c r="D1711" s="4" t="inlineStr">
        <is>
          <t>-</t>
        </is>
      </c>
      <c r="E1711" s="4" t="inlineStr">
        <is>
          <t>22º PAV.</t>
        </is>
      </c>
      <c r="F1711" s="118" t="n">
        <v>46918</v>
      </c>
      <c r="G1711" s="118" t="n">
        <v>46931</v>
      </c>
      <c r="H1711" s="118" t="n">
        <v>46289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IF(E1711="","",IF(LEFT(E1711,7)="SUBSOLO",-1,IF(LEFT(E1711,6)="TÉRREO",0,IFERROR(VALUE(LEFT(E1711,FIND("º",SUBSTITUTE(E1711,"°","º"))-1)),""))))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34179691</v>
      </c>
      <c r="C1712" s="4" t="inlineStr">
        <is>
          <t>SERRALHERIA</t>
        </is>
      </c>
      <c r="D1712" s="4" t="inlineStr">
        <is>
          <t>-</t>
        </is>
      </c>
      <c r="E1712" s="4" t="inlineStr">
        <is>
          <t>TÉRREO ÁREA EXTERNA - COMERCIAL</t>
        </is>
      </c>
      <c r="F1712" s="118" t="n">
        <v>46920</v>
      </c>
      <c r="G1712" s="118" t="n">
        <v>46933</v>
      </c>
      <c r="H1712" s="118" t="n">
        <v>46289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IF(E1712="","",IF(LEFT(E1712,7)="SUBSOLO",-1,IF(LEFT(E1712,6)="TÉRREO",0,IFERROR(VALUE(LEFT(E1712,FIND("º",SUBSTITUTE(E1712,"°","º"))-1)),""))))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34179696</v>
      </c>
      <c r="C1713" s="4" t="inlineStr">
        <is>
          <t>PAISAGISMO</t>
        </is>
      </c>
      <c r="D1713" s="4" t="inlineStr">
        <is>
          <t>-</t>
        </is>
      </c>
      <c r="E1713" s="4" t="inlineStr">
        <is>
          <t>TÉRREO ÁREA EXTERNA - COMERCIAL</t>
        </is>
      </c>
      <c r="F1713" s="118" t="n">
        <v>46920</v>
      </c>
      <c r="G1713" s="118" t="n">
        <v>46982</v>
      </c>
      <c r="H1713" s="118" t="n">
        <v>46289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IF(E1713="","",IF(LEFT(E1713,7)="SUBSOLO",-1,IF(LEFT(E1713,6)="TÉRREO",0,IFERROR(VALUE(LEFT(E1713,FIND("º",SUBSTITUTE(E1713,"°","º"))-1)),""))))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30205768</v>
      </c>
      <c r="C1714" s="4" t="inlineStr">
        <is>
          <t>SERRALHERIA</t>
        </is>
      </c>
      <c r="D1714" s="4" t="inlineStr">
        <is>
          <t>-</t>
        </is>
      </c>
      <c r="E1714" s="4" t="inlineStr">
        <is>
          <t>TÉRREO - ÁREA EXTERNA RESIDENCIAL</t>
        </is>
      </c>
      <c r="F1714" s="118" t="n">
        <v>46920</v>
      </c>
      <c r="G1714" s="118" t="n">
        <v>46933</v>
      </c>
      <c r="H1714" s="118" t="n">
        <v>46289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IF(E1714="","",IF(LEFT(E1714,7)="SUBSOLO",-1,IF(LEFT(E1714,6)="TÉRREO",0,IFERROR(VALUE(LEFT(E1714,FIND("º",SUBSTITUTE(E1714,"°","º"))-1)),""))))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30205766</v>
      </c>
      <c r="C1715" s="4" t="inlineStr">
        <is>
          <t>FACHADA</t>
        </is>
      </c>
      <c r="D1715" s="4" t="inlineStr">
        <is>
          <t>-</t>
        </is>
      </c>
      <c r="E1715" s="4" t="inlineStr">
        <is>
          <t>TÉRREO - ÁREA EXTERNA RESIDENCIAL</t>
        </is>
      </c>
      <c r="F1715" s="118" t="n">
        <v>46920</v>
      </c>
      <c r="G1715" s="118" t="n">
        <v>47015</v>
      </c>
      <c r="H1715" s="118" t="n">
        <v>46289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IF(E1715="","",IF(LEFT(E1715,7)="SUBSOLO",-1,IF(LEFT(E1715,6)="TÉRREO",0,IFERROR(VALUE(LEFT(E1715,FIND("º",SUBSTITUTE(E1715,"°","º"))-1)),""))))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30206127</v>
      </c>
      <c r="C1716" s="4" t="inlineStr">
        <is>
          <t>FORRO</t>
        </is>
      </c>
      <c r="D1716" s="4" t="inlineStr">
        <is>
          <t>-</t>
        </is>
      </c>
      <c r="E1716" s="4" t="inlineStr">
        <is>
          <t>6º PAV (PILOTIS) - ACADEMIA</t>
        </is>
      </c>
      <c r="F1716" s="118" t="n">
        <v>46920</v>
      </c>
      <c r="G1716" s="118" t="n">
        <v>46933</v>
      </c>
      <c r="H1716" s="118" t="n">
        <v>46289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IF(E1716="","",IF(LEFT(E1716,7)="SUBSOLO",-1,IF(LEFT(E1716,6)="TÉRREO",0,IFERROR(VALUE(LEFT(E1716,FIND("º",SUBSTITUTE(E1716,"°","º"))-1)),""))))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30206071</v>
      </c>
      <c r="C1717" s="4" t="inlineStr">
        <is>
          <t>REVESTIMENTOS PORCELANATO PISO</t>
        </is>
      </c>
      <c r="D1717" s="4" t="inlineStr">
        <is>
          <t>-</t>
        </is>
      </c>
      <c r="E1717" s="4" t="inlineStr">
        <is>
          <t>6º PAV (PILOTIS) - SAUNA + DUCHA</t>
        </is>
      </c>
      <c r="F1717" s="118" t="n">
        <v>46920</v>
      </c>
      <c r="G1717" s="118" t="n">
        <v>46933</v>
      </c>
      <c r="H1717" s="118" t="n">
        <v>46289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IF(E1717="","",IF(LEFT(E1717,7)="SUBSOLO",-1,IF(LEFT(E1717,6)="TÉRREO",0,IFERROR(VALUE(LEFT(E1717,FIND("º",SUBSTITUTE(E1717,"°","º"))-1)),""))))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30206050</v>
      </c>
      <c r="C1718" s="4" t="inlineStr">
        <is>
          <t>REVESTIMENTO PORCELANATO PAREDE</t>
        </is>
      </c>
      <c r="D1718" s="4" t="inlineStr">
        <is>
          <t>-</t>
        </is>
      </c>
      <c r="E1718" s="4" t="inlineStr">
        <is>
          <t>6º PAV (PILOTIS) - CHURRASQUEIRA + IS MASC. PCD + IS FEM. PCD + CIRCULAÇÃO 1 + HALL 1</t>
        </is>
      </c>
      <c r="F1718" s="118" t="n">
        <v>46920</v>
      </c>
      <c r="G1718" s="118" t="n">
        <v>46933</v>
      </c>
      <c r="H1718" s="118" t="n">
        <v>46289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IF(E1718="","",IF(LEFT(E1718,7)="SUBSOLO",-1,IF(LEFT(E1718,6)="TÉRREO",0,IFERROR(VALUE(LEFT(E1718,FIND("º",SUBSTITUTE(E1718,"°","º"))-1)),""))))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30206012</v>
      </c>
      <c r="C1719" s="4" t="inlineStr">
        <is>
          <t>CONTRAPISO</t>
        </is>
      </c>
      <c r="D1719" s="4" t="inlineStr">
        <is>
          <t>-</t>
        </is>
      </c>
      <c r="E1719" s="4" t="inlineStr">
        <is>
          <t>6º PAV (PILOTIS) - COWORKING 1 E 2 + CIRC. 2 + HALL 2 + DML + VEST. MASC. + VEST. FEM</t>
        </is>
      </c>
      <c r="F1719" s="118" t="n">
        <v>46920</v>
      </c>
      <c r="G1719" s="118" t="n">
        <v>46933</v>
      </c>
      <c r="H1719" s="118" t="n">
        <v>46289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IF(E1719="","",IF(LEFT(E1719,7)="SUBSOLO",-1,IF(LEFT(E1719,6)="TÉRREO",0,IFERROR(VALUE(LEFT(E1719,FIND("º",SUBSTITUTE(E1719,"°","º"))-1)),""))))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30205974</v>
      </c>
      <c r="C1720" s="4" t="inlineStr">
        <is>
          <t>IMPERMEABILIZAÇÃO</t>
        </is>
      </c>
      <c r="D1720" s="4" t="inlineStr">
        <is>
          <t>-</t>
        </is>
      </c>
      <c r="E1720" s="4" t="inlineStr">
        <is>
          <t>6º PAV (PILOTIS) - LOUNGE + SALÃO + COZINHA + GOURMET + ESPAÇO KIDS</t>
        </is>
      </c>
      <c r="F1720" s="118" t="n">
        <v>46920</v>
      </c>
      <c r="G1720" s="118" t="n">
        <v>46933</v>
      </c>
      <c r="H1720" s="118" t="n">
        <v>46289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IF(E1720="","",IF(LEFT(E1720,7)="SUBSOLO",-1,IF(LEFT(E1720,6)="TÉRREO",0,IFERROR(VALUE(LEFT(E1720,FIND("º",SUBSTITUTE(E1720,"°","º"))-1)),""))))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29980848</v>
      </c>
      <c r="C1721" s="4" t="inlineStr">
        <is>
          <t>FORRO</t>
        </is>
      </c>
      <c r="D1721" s="4" t="inlineStr">
        <is>
          <t>-</t>
        </is>
      </c>
      <c r="E1721" s="4" t="inlineStr">
        <is>
          <t>26º PAV.</t>
        </is>
      </c>
      <c r="F1721" s="118" t="n">
        <v>46920</v>
      </c>
      <c r="G1721" s="118" t="n">
        <v>46932</v>
      </c>
      <c r="H1721" s="118" t="n">
        <v>46289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IF(E1721="","",IF(LEFT(E1721,7)="SUBSOLO",-1,IF(LEFT(E1721,6)="TÉRREO",0,IFERROR(VALUE(LEFT(E1721,FIND("º",SUBSTITUTE(E1721,"°","º"))-1)),""))))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29980809</v>
      </c>
      <c r="C1722" s="4" t="inlineStr">
        <is>
          <t>FIAÇÃO ELÉTRICA</t>
        </is>
      </c>
      <c r="D1722" s="4" t="inlineStr">
        <is>
          <t>-</t>
        </is>
      </c>
      <c r="E1722" s="4" t="inlineStr">
        <is>
          <t>27º PAV.</t>
        </is>
      </c>
      <c r="F1722" s="118" t="n">
        <v>46920</v>
      </c>
      <c r="G1722" s="118" t="n">
        <v>46932</v>
      </c>
      <c r="H1722" s="118" t="n">
        <v>46289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IF(E1722="","",IF(LEFT(E1722,7)="SUBSOLO",-1,IF(LEFT(E1722,6)="TÉRREO",0,IFERROR(VALUE(LEFT(E1722,FIND("º",SUBSTITUTE(E1722,"°","º"))-1)),""))))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29980814</v>
      </c>
      <c r="C1723" s="4" t="inlineStr">
        <is>
          <t>PRUMADA ELÉTRICA - CABOS</t>
        </is>
      </c>
      <c r="D1723" s="4" t="inlineStr">
        <is>
          <t>-</t>
        </is>
      </c>
      <c r="E1723" s="4" t="inlineStr">
        <is>
          <t>27º PAV.</t>
        </is>
      </c>
      <c r="F1723" s="118" t="n">
        <v>46920</v>
      </c>
      <c r="G1723" s="118" t="n">
        <v>46932</v>
      </c>
      <c r="H1723" s="118" t="n">
        <v>46289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IF(E1723="","",IF(LEFT(E1723,7)="SUBSOLO",-1,IF(LEFT(E1723,6)="TÉRREO",0,IFERROR(VALUE(LEFT(E1723,FIND("º",SUBSTITUTE(E1723,"°","º"))-1)),""))))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30214089</v>
      </c>
      <c r="C1724" s="4" t="inlineStr">
        <is>
          <t>FIAÇÃO TELECOM/DADOS</t>
        </is>
      </c>
      <c r="D1724" s="4" t="inlineStr">
        <is>
          <t>-</t>
        </is>
      </c>
      <c r="E1724" s="4" t="inlineStr">
        <is>
          <t>27º PAV.</t>
        </is>
      </c>
      <c r="F1724" s="118" t="n">
        <v>46920</v>
      </c>
      <c r="G1724" s="118" t="n">
        <v>46933</v>
      </c>
      <c r="H1724" s="118" t="n">
        <v>46289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IF(E1724="","",IF(LEFT(E1724,7)="SUBSOLO",-1,IF(LEFT(E1724,6)="TÉRREO",0,IFERROR(VALUE(LEFT(E1724,FIND("º",SUBSTITUTE(E1724,"°","º"))-1)),""))))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29980756</v>
      </c>
      <c r="C1725" s="4" t="inlineStr">
        <is>
          <t>BANCADAS</t>
        </is>
      </c>
      <c r="D1725" s="4" t="inlineStr">
        <is>
          <t>-</t>
        </is>
      </c>
      <c r="E1725" s="4" t="inlineStr">
        <is>
          <t>28º PAV.</t>
        </is>
      </c>
      <c r="F1725" s="118" t="n">
        <v>46920</v>
      </c>
      <c r="G1725" s="118" t="n">
        <v>46932</v>
      </c>
      <c r="H1725" s="118" t="n">
        <v>46289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IF(E1725="","",IF(LEFT(E1725,7)="SUBSOLO",-1,IF(LEFT(E1725,6)="TÉRREO",0,IFERROR(VALUE(LEFT(E1725,FIND("º",SUBSTITUTE(E1725,"°","º"))-1)),""))))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29980718</v>
      </c>
      <c r="C1726" s="4" t="inlineStr">
        <is>
          <t>REVESTIMENTOS PORCELANATO PISO</t>
        </is>
      </c>
      <c r="D1726" s="4" t="inlineStr">
        <is>
          <t>-</t>
        </is>
      </c>
      <c r="E1726" s="4" t="inlineStr">
        <is>
          <t>29º PAV.</t>
        </is>
      </c>
      <c r="F1726" s="118" t="n">
        <v>46920</v>
      </c>
      <c r="G1726" s="118" t="n">
        <v>46932</v>
      </c>
      <c r="H1726" s="118" t="n">
        <v>46289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IF(E1726="","",IF(LEFT(E1726,7)="SUBSOLO",-1,IF(LEFT(E1726,6)="TÉRREO",0,IFERROR(VALUE(LEFT(E1726,FIND("º",SUBSTITUTE(E1726,"°","º"))-1)),""))))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29980697</v>
      </c>
      <c r="C1727" s="4" t="inlineStr">
        <is>
          <t>REVESTIMENTO PORCELANATO PAREDE</t>
        </is>
      </c>
      <c r="D1727" s="4" t="inlineStr">
        <is>
          <t>-</t>
        </is>
      </c>
      <c r="E1727" s="4" t="inlineStr">
        <is>
          <t>30º PAV.</t>
        </is>
      </c>
      <c r="F1727" s="118" t="n">
        <v>46920</v>
      </c>
      <c r="G1727" s="118" t="n">
        <v>46932</v>
      </c>
      <c r="H1727" s="118" t="n">
        <v>46289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IF(E1727="","",IF(LEFT(E1727,7)="SUBSOLO",-1,IF(LEFT(E1727,6)="TÉRREO",0,IFERROR(VALUE(LEFT(E1727,FIND("º",SUBSTITUTE(E1727,"°","º"))-1)),""))))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29980658</v>
      </c>
      <c r="C1728" s="4" t="inlineStr">
        <is>
          <t>IMPERMEABILIZAÇÃO</t>
        </is>
      </c>
      <c r="D1728" s="4" t="inlineStr">
        <is>
          <t>-</t>
        </is>
      </c>
      <c r="E1728" s="4" t="inlineStr">
        <is>
          <t>31º PAV. - COBERTURA LINEAR</t>
        </is>
      </c>
      <c r="F1728" s="118" t="n">
        <v>46920</v>
      </c>
      <c r="G1728" s="118" t="n">
        <v>46932</v>
      </c>
      <c r="H1728" s="118" t="n">
        <v>46289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IF(E1728="","",IF(LEFT(E1728,7)="SUBSOLO",-1,IF(LEFT(E1728,6)="TÉRREO",0,IFERROR(VALUE(LEFT(E1728,FIND("º",SUBSTITUTE(E1728,"°","º"))-1)),""))))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32750458</v>
      </c>
      <c r="C1729" s="4" t="inlineStr">
        <is>
          <t>DRYWALL 2º FACE</t>
        </is>
      </c>
      <c r="D1729" s="4" t="inlineStr">
        <is>
          <t>-</t>
        </is>
      </c>
      <c r="E1729" s="4" t="inlineStr">
        <is>
          <t>32º PAV - COBERTURA GERAL</t>
        </is>
      </c>
      <c r="F1729" s="118" t="n">
        <v>46920</v>
      </c>
      <c r="G1729" s="118" t="n">
        <v>46932</v>
      </c>
      <c r="H1729" s="118" t="n">
        <v>46289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IF(E1729="","",IF(LEFT(E1729,7)="SUBSOLO",-1,IF(LEFT(E1729,6)="TÉRREO",0,IFERROR(VALUE(LEFT(E1729,FIND("º",SUBSTITUTE(E1729,"°","º"))-1)),""))))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29981080</v>
      </c>
      <c r="C1730" s="4" t="inlineStr">
        <is>
          <t>SHAFT INTERNO INST. HIDRAÚLICAS</t>
        </is>
      </c>
      <c r="D1730" s="4" t="inlineStr">
        <is>
          <t>-</t>
        </is>
      </c>
      <c r="E1730" s="4" t="inlineStr">
        <is>
          <t>19º PAV.</t>
        </is>
      </c>
      <c r="F1730" s="118" t="n">
        <v>46923</v>
      </c>
      <c r="G1730" s="118" t="n">
        <v>46933</v>
      </c>
      <c r="H1730" s="118" t="n">
        <v>46289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IF(E1730="","",IF(LEFT(E1730,7)="SUBSOLO",-1,IF(LEFT(E1730,6)="TÉRREO",0,IFERROR(VALUE(LEFT(E1730,FIND("º",SUBSTITUTE(E1730,"°","º"))-1)),""))))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29981113</v>
      </c>
      <c r="C1731" s="4" t="inlineStr">
        <is>
          <t>PRUMADA ELÉTRICA - INFRA</t>
        </is>
      </c>
      <c r="D1731" s="4" t="inlineStr">
        <is>
          <t>-</t>
        </is>
      </c>
      <c r="E1731" s="4" t="inlineStr">
        <is>
          <t>19º PAV.</t>
        </is>
      </c>
      <c r="F1731" s="118" t="n">
        <v>46923</v>
      </c>
      <c r="G1731" s="118" t="n">
        <v>46933</v>
      </c>
      <c r="H1731" s="118" t="n">
        <v>46289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IF(E1731="","",IF(LEFT(E1731,7)="SUBSOLO",-1,IF(LEFT(E1731,6)="TÉRREO",0,IFERROR(VALUE(LEFT(E1731,FIND("º",SUBSTITUTE(E1731,"°","º"))-1)),""))))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30211207</v>
      </c>
      <c r="C1732" s="4" t="inlineStr">
        <is>
          <t>IMPERMEABILIZAÇÃO</t>
        </is>
      </c>
      <c r="D1732" s="4" t="inlineStr">
        <is>
          <t>-</t>
        </is>
      </c>
      <c r="E1732" s="4" t="inlineStr">
        <is>
          <t>34º PAV - RESERVATÓRIO</t>
        </is>
      </c>
      <c r="F1732" s="118" t="n">
        <v>46923</v>
      </c>
      <c r="G1732" s="118" t="n">
        <v>46941</v>
      </c>
      <c r="H1732" s="118" t="n">
        <v>46289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IF(E1732="","",IF(LEFT(E1732,7)="SUBSOLO",-1,IF(LEFT(E1732,6)="TÉRREO",0,IFERROR(VALUE(LEFT(E1732,FIND("º",SUBSTITUTE(E1732,"°","º"))-1)),""))))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30205709</v>
      </c>
      <c r="C1733" s="4" t="inlineStr">
        <is>
          <t>CHECKLIST</t>
        </is>
      </c>
      <c r="D1733" s="4" t="inlineStr">
        <is>
          <t>-</t>
        </is>
      </c>
      <c r="E1733" s="4" t="inlineStr">
        <is>
          <t>TÉRREO - LOJA 1</t>
        </is>
      </c>
      <c r="F1733" s="118" t="n">
        <v>46924</v>
      </c>
      <c r="G1733" s="118" t="n">
        <v>46930</v>
      </c>
      <c r="H1733" s="118" t="n">
        <v>46289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IF(E1733="","",IF(LEFT(E1733,7)="SUBSOLO",-1,IF(LEFT(E1733,6)="TÉRREO",0,IFERROR(VALUE(LEFT(E1733,FIND("º",SUBSTITUTE(E1733,"°","º"))-1)),""))))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30205678</v>
      </c>
      <c r="C1734" s="4" t="inlineStr">
        <is>
          <t>LIMPEZA FINA</t>
        </is>
      </c>
      <c r="D1734" s="4" t="inlineStr">
        <is>
          <t>-</t>
        </is>
      </c>
      <c r="E1734" s="4" t="inlineStr">
        <is>
          <t>TÉRREO - LOJA 2</t>
        </is>
      </c>
      <c r="F1734" s="118" t="n">
        <v>46924</v>
      </c>
      <c r="G1734" s="118" t="n">
        <v>46937</v>
      </c>
      <c r="H1734" s="118" t="n">
        <v>46289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IF(E1734="","",IF(LEFT(E1734,7)="SUBSOLO",-1,IF(LEFT(E1734,6)="TÉRREO",0,IFERROR(VALUE(LEFT(E1734,FIND("º",SUBSTITUTE(E1734,"°","º"))-1)),""))))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30205641</v>
      </c>
      <c r="C1735" s="4" t="inlineStr">
        <is>
          <t>ACABAMENTOS ELÉTRICOS</t>
        </is>
      </c>
      <c r="D1735" s="4" t="inlineStr">
        <is>
          <t>-</t>
        </is>
      </c>
      <c r="E1735" s="4" t="inlineStr">
        <is>
          <t>TÉRREO - LOJA 3</t>
        </is>
      </c>
      <c r="F1735" s="118" t="n">
        <v>46924</v>
      </c>
      <c r="G1735" s="118" t="n">
        <v>46937</v>
      </c>
      <c r="H1735" s="118" t="n">
        <v>46289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IF(E1735="","",IF(LEFT(E1735,7)="SUBSOLO",-1,IF(LEFT(E1735,6)="TÉRREO",0,IFERROR(VALUE(LEFT(E1735,FIND("º",SUBSTITUTE(E1735,"°","º"))-1)),""))))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30205613</v>
      </c>
      <c r="C1736" s="4" t="inlineStr">
        <is>
          <t>PINTURA 2º DEMÃO</t>
        </is>
      </c>
      <c r="D1736" s="4" t="inlineStr">
        <is>
          <t>-</t>
        </is>
      </c>
      <c r="E1736" s="4" t="inlineStr">
        <is>
          <t>TÉRREO - LOJA 4</t>
        </is>
      </c>
      <c r="F1736" s="118" t="n">
        <v>46924</v>
      </c>
      <c r="G1736" s="118" t="n">
        <v>46937</v>
      </c>
      <c r="H1736" s="118" t="n">
        <v>46289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IF(E1736="","",IF(LEFT(E1736,7)="SUBSOLO",-1,IF(LEFT(E1736,6)="TÉRREO",0,IFERROR(VALUE(LEFT(E1736,FIND("º",SUBSTITUTE(E1736,"°","º"))-1)),""))))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30205599</v>
      </c>
      <c r="C1737" s="4" t="inlineStr">
        <is>
          <t>LIMPEZA GROSSA</t>
        </is>
      </c>
      <c r="D1737" s="4" t="inlineStr">
        <is>
          <t>-</t>
        </is>
      </c>
      <c r="E1737" s="4" t="inlineStr">
        <is>
          <t>TÉRREO - LOJA 5</t>
        </is>
      </c>
      <c r="F1737" s="118" t="n">
        <v>46924</v>
      </c>
      <c r="G1737" s="118" t="n">
        <v>46937</v>
      </c>
      <c r="H1737" s="118" t="n">
        <v>46289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IF(E1737="","",IF(LEFT(E1737,7)="SUBSOLO",-1,IF(LEFT(E1737,6)="TÉRREO",0,IFERROR(VALUE(LEFT(E1737,FIND("º",SUBSTITUTE(E1737,"°","º"))-1)),""))))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30205848</v>
      </c>
      <c r="C1738" s="4" t="inlineStr">
        <is>
          <t>ESQUADRIA DE ALUMÍNIO</t>
        </is>
      </c>
      <c r="D1738" s="4" t="inlineStr">
        <is>
          <t>-</t>
        </is>
      </c>
      <c r="E1738" s="4" t="inlineStr">
        <is>
          <t>1º PAV. (INTERMEDIÁRIO)</t>
        </is>
      </c>
      <c r="F1738" s="118" t="n">
        <v>46926</v>
      </c>
      <c r="G1738" s="118" t="n">
        <v>46939</v>
      </c>
      <c r="H1738" s="118" t="n">
        <v>46289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IF(E1738="","",IF(LEFT(E1738,7)="SUBSOLO",-1,IF(LEFT(E1738,6)="TÉRREO",0,IFERROR(VALUE(LEFT(E1738,FIND("º",SUBSTITUTE(E1738,"°","º"))-1)),""))))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29981439</v>
      </c>
      <c r="C1739" s="4" t="inlineStr">
        <is>
          <t>LIMPEZA FINA</t>
        </is>
      </c>
      <c r="D1739" s="4" t="inlineStr">
        <is>
          <t>-</t>
        </is>
      </c>
      <c r="E1739" s="4" t="inlineStr">
        <is>
          <t>10º PAV.</t>
        </is>
      </c>
      <c r="F1739" s="118" t="n">
        <v>46926</v>
      </c>
      <c r="G1739" s="118" t="n">
        <v>46938</v>
      </c>
      <c r="H1739" s="118" t="n">
        <v>46289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IF(E1739="","",IF(LEFT(E1739,7)="SUBSOLO",-1,IF(LEFT(E1739,6)="TÉRREO",0,IFERROR(VALUE(LEFT(E1739,FIND("º",SUBSTITUTE(E1739,"°","º"))-1)),""))))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29981392</v>
      </c>
      <c r="C1740" s="4" t="inlineStr">
        <is>
          <t>PINTURA 3º DEMÃO</t>
        </is>
      </c>
      <c r="D1740" s="4" t="inlineStr">
        <is>
          <t>-</t>
        </is>
      </c>
      <c r="E1740" s="4" t="inlineStr">
        <is>
          <t>11º PAV.</t>
        </is>
      </c>
      <c r="F1740" s="118" t="n">
        <v>46926</v>
      </c>
      <c r="G1740" s="118" t="n">
        <v>46938</v>
      </c>
      <c r="H1740" s="118" t="n">
        <v>46289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IF(E1740="","",IF(LEFT(E1740,7)="SUBSOLO",-1,IF(LEFT(E1740,6)="TÉRREO",0,IFERROR(VALUE(LEFT(E1740,FIND("º",SUBSTITUTE(E1740,"°","º"))-1)),""))))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30210374</v>
      </c>
      <c r="C1741" s="4" t="inlineStr">
        <is>
          <t>RESERVATÓRIO</t>
        </is>
      </c>
      <c r="D1741" s="4" t="inlineStr">
        <is>
          <t>-</t>
        </is>
      </c>
      <c r="E1741" s="4" t="inlineStr">
        <is>
          <t>33º PAV - BARRILETE</t>
        </is>
      </c>
      <c r="F1741" s="118" t="n">
        <v>46926</v>
      </c>
      <c r="G1741" s="118" t="n">
        <v>46955</v>
      </c>
      <c r="H1741" s="118" t="n">
        <v>46289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IF(E1741="","",IF(LEFT(E1741,7)="SUBSOLO",-1,IF(LEFT(E1741,6)="TÉRREO",0,IFERROR(VALUE(LEFT(E1741,FIND("º",SUBSTITUTE(E1741,"°","º"))-1)),""))))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30210376</v>
      </c>
      <c r="C1742" s="4" t="inlineStr">
        <is>
          <t>PRESSURIZAÇÃO (HIDRÁULICA)</t>
        </is>
      </c>
      <c r="D1742" s="4" t="inlineStr">
        <is>
          <t>-</t>
        </is>
      </c>
      <c r="E1742" s="4" t="inlineStr">
        <is>
          <t>33º PAV - BARRILETE</t>
        </is>
      </c>
      <c r="F1742" s="118" t="n">
        <v>46926</v>
      </c>
      <c r="G1742" s="118" t="n">
        <v>46946</v>
      </c>
      <c r="H1742" s="118" t="n">
        <v>46289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IF(E1742="","",IF(LEFT(E1742,7)="SUBSOLO",-1,IF(LEFT(E1742,6)="TÉRREO",0,IFERROR(VALUE(LEFT(E1742,FIND("º",SUBSTITUTE(E1742,"°","º"))-1)),""))))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31800456</v>
      </c>
      <c r="C1743" s="4" t="inlineStr">
        <is>
          <t>INSTALAÇÃO DE SHADOWBOX E BRISES - F3 + F4</t>
        </is>
      </c>
      <c r="D1743" s="4" t="inlineStr">
        <is>
          <t>-</t>
        </is>
      </c>
      <c r="E1743" s="4" t="inlineStr">
        <is>
          <t>FACHADA</t>
        </is>
      </c>
      <c r="F1743" s="118" t="n">
        <v>46926</v>
      </c>
      <c r="G1743" s="118" t="n">
        <v>46967</v>
      </c>
      <c r="H1743" s="118" t="n">
        <v>46289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IF(E1743="","",IF(LEFT(E1743,7)="SUBSOLO",-1,IF(LEFT(E1743,6)="TÉRREO",0,IFERROR(VALUE(LEFT(E1743,FIND("º",SUBSTITUTE(E1743,"°","º"))-1)),""))))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31800968</v>
      </c>
      <c r="C1744" s="4" t="inlineStr">
        <is>
          <t>TRATAMENTO DE CONCRETO APARENTE - F1 + F2</t>
        </is>
      </c>
      <c r="D1744" s="4" t="inlineStr">
        <is>
          <t>-</t>
        </is>
      </c>
      <c r="E1744" s="4" t="inlineStr">
        <is>
          <t>FACHADA</t>
        </is>
      </c>
      <c r="F1744" s="118" t="n">
        <v>46926</v>
      </c>
      <c r="G1744" s="118" t="n">
        <v>46953</v>
      </c>
      <c r="H1744" s="118" t="n">
        <v>46289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IF(E1744="","",IF(LEFT(E1744,7)="SUBSOLO",-1,IF(LEFT(E1744,6)="TÉRREO",0,IFERROR(VALUE(LEFT(E1744,FIND("º",SUBSTITUTE(E1744,"°","º"))-1)),""))))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30205724</v>
      </c>
      <c r="C1745" s="4" t="inlineStr">
        <is>
          <t>LIMPEZA</t>
        </is>
      </c>
      <c r="D1745" s="4" t="inlineStr">
        <is>
          <t>-</t>
        </is>
      </c>
      <c r="E1745" s="4" t="inlineStr">
        <is>
          <t>SUBSOLO</t>
        </is>
      </c>
      <c r="F1745" s="118" t="n">
        <v>46930</v>
      </c>
      <c r="G1745" s="118" t="n">
        <v>46934</v>
      </c>
      <c r="H1745" s="118" t="n">
        <v>46289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IF(E1745="","",IF(LEFT(E1745,7)="SUBSOLO",-1,IF(LEFT(E1745,6)="TÉRREO",0,IFERROR(VALUE(LEFT(E1745,FIND("º",SUBSTITUTE(E1745,"°","º"))-1)),""))))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30205553</v>
      </c>
      <c r="C1746" s="4" t="inlineStr">
        <is>
          <t>DISJUNTORES / MIOLOS</t>
        </is>
      </c>
      <c r="D1746" s="4" t="inlineStr">
        <is>
          <t>-</t>
        </is>
      </c>
      <c r="E1746" s="4" t="inlineStr">
        <is>
          <t>TÉRREO - LOJA 6</t>
        </is>
      </c>
      <c r="F1746" s="118" t="n">
        <v>46931</v>
      </c>
      <c r="G1746" s="118" t="n">
        <v>46937</v>
      </c>
      <c r="H1746" s="118" t="n">
        <v>46289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IF(E1746="","",IF(LEFT(E1746,7)="SUBSOLO",-1,IF(LEFT(E1746,6)="TÉRREO",0,IFERROR(VALUE(LEFT(E1746,FIND("º",SUBSTITUTE(E1746,"°","º"))-1)),""))))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30205528</v>
      </c>
      <c r="C1747" s="4" t="inlineStr">
        <is>
          <t>ESQUADRIA MADEIRA</t>
        </is>
      </c>
      <c r="D1747" s="4" t="inlineStr">
        <is>
          <t>-</t>
        </is>
      </c>
      <c r="E1747" s="4" t="inlineStr">
        <is>
          <t>TÉRREO - LOJA 7</t>
        </is>
      </c>
      <c r="F1747" s="118" t="n">
        <v>46931</v>
      </c>
      <c r="G1747" s="118" t="n">
        <v>46944</v>
      </c>
      <c r="H1747" s="118" t="n">
        <v>46289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IF(E1747="","",IF(LEFT(E1747,7)="SUBSOLO",-1,IF(LEFT(E1747,6)="TÉRREO",0,IFERROR(VALUE(LEFT(E1747,FIND("º",SUBSTITUTE(E1747,"°","º"))-1)),""))))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30205527</v>
      </c>
      <c r="C1748" s="4" t="inlineStr">
        <is>
          <t>LOUÇAS</t>
        </is>
      </c>
      <c r="D1748" s="4" t="inlineStr">
        <is>
          <t>-</t>
        </is>
      </c>
      <c r="E1748" s="4" t="inlineStr">
        <is>
          <t>TÉRREO - LOJA 7</t>
        </is>
      </c>
      <c r="F1748" s="118" t="n">
        <v>46931</v>
      </c>
      <c r="G1748" s="118" t="n">
        <v>46944</v>
      </c>
      <c r="H1748" s="118" t="n">
        <v>46289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IF(E1748="","",IF(LEFT(E1748,7)="SUBSOLO",-1,IF(LEFT(E1748,6)="TÉRREO",0,IFERROR(VALUE(LEFT(E1748,FIND("º",SUBSTITUTE(E1748,"°","º"))-1)),""))))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30205525</v>
      </c>
      <c r="C1749" s="4" t="inlineStr">
        <is>
          <t>METAIS</t>
        </is>
      </c>
      <c r="D1749" s="4" t="inlineStr">
        <is>
          <t>-</t>
        </is>
      </c>
      <c r="E1749" s="4" t="inlineStr">
        <is>
          <t>TÉRREO - LOJA 7</t>
        </is>
      </c>
      <c r="F1749" s="118" t="n">
        <v>46931</v>
      </c>
      <c r="G1749" s="118" t="n">
        <v>46944</v>
      </c>
      <c r="H1749" s="118" t="n">
        <v>46289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IF(E1749="","",IF(LEFT(E1749,7)="SUBSOLO",-1,IF(LEFT(E1749,6)="TÉRREO",0,IFERROR(VALUE(LEFT(E1749,FIND("º",SUBSTITUTE(E1749,"°","º"))-1)),""))))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29981354</v>
      </c>
      <c r="C1750" s="4" t="inlineStr">
        <is>
          <t>CHECKLIST</t>
        </is>
      </c>
      <c r="D1750" s="4" t="inlineStr">
        <is>
          <t>-</t>
        </is>
      </c>
      <c r="E1750" s="4" t="inlineStr">
        <is>
          <t>12º PAV.</t>
        </is>
      </c>
      <c r="F1750" s="118" t="n">
        <v>46932</v>
      </c>
      <c r="G1750" s="118" t="n">
        <v>46938</v>
      </c>
      <c r="H1750" s="118" t="n">
        <v>46289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IF(E1750="","",IF(LEFT(E1750,7)="SUBSOLO",-1,IF(LEFT(E1750,6)="TÉRREO",0,IFERROR(VALUE(LEFT(E1750,FIND("º",SUBSTITUTE(E1750,"°","º"))-1)),""))))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29981319</v>
      </c>
      <c r="C1751" s="4" t="inlineStr">
        <is>
          <t>ACABAMENTOS ELÉTRICOS</t>
        </is>
      </c>
      <c r="D1751" s="4" t="inlineStr">
        <is>
          <t>-</t>
        </is>
      </c>
      <c r="E1751" s="4" t="inlineStr">
        <is>
          <t>13º PAV.</t>
        </is>
      </c>
      <c r="F1751" s="118" t="n">
        <v>46932</v>
      </c>
      <c r="G1751" s="118" t="n">
        <v>46944</v>
      </c>
      <c r="H1751" s="118" t="n">
        <v>46289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IF(E1751="","",IF(LEFT(E1751,7)="SUBSOLO",-1,IF(LEFT(E1751,6)="TÉRREO",0,IFERROR(VALUE(LEFT(E1751,FIND("º",SUBSTITUTE(E1751,"°","º"))-1)),""))))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29981279</v>
      </c>
      <c r="C1752" s="4" t="inlineStr">
        <is>
          <t>PINTURA 2º DEMÃO</t>
        </is>
      </c>
      <c r="D1752" s="4" t="inlineStr">
        <is>
          <t>-</t>
        </is>
      </c>
      <c r="E1752" s="4" t="inlineStr">
        <is>
          <t>14º PAV.</t>
        </is>
      </c>
      <c r="F1752" s="118" t="n">
        <v>46932</v>
      </c>
      <c r="G1752" s="118" t="n">
        <v>46944</v>
      </c>
      <c r="H1752" s="118" t="n">
        <v>46289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IF(E1752="","",IF(LEFT(E1752,7)="SUBSOLO",-1,IF(LEFT(E1752,6)="TÉRREO",0,IFERROR(VALUE(LEFT(E1752,FIND("º",SUBSTITUTE(E1752,"°","º"))-1)),""))))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33919792</v>
      </c>
      <c r="C1753" s="4" t="inlineStr">
        <is>
          <t>TEXTURA - EXTERNA</t>
        </is>
      </c>
      <c r="D1753" s="4" t="inlineStr">
        <is>
          <t>-</t>
        </is>
      </c>
      <c r="E1753" s="4" t="inlineStr">
        <is>
          <t>14º PAV.</t>
        </is>
      </c>
      <c r="F1753" s="118" t="n">
        <v>46932</v>
      </c>
      <c r="G1753" s="118" t="n">
        <v>46944</v>
      </c>
      <c r="H1753" s="118" t="n">
        <v>46289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IF(E1753="","",IF(LEFT(E1753,7)="SUBSOLO",-1,IF(LEFT(E1753,6)="TÉRREO",0,IFERROR(VALUE(LEFT(E1753,FIND("º",SUBSTITUTE(E1753,"°","º"))-1)),""))))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29981241</v>
      </c>
      <c r="C1754" s="4" t="inlineStr">
        <is>
          <t>LIMPEZA GROSSA</t>
        </is>
      </c>
      <c r="D1754" s="4" t="inlineStr">
        <is>
          <t>-</t>
        </is>
      </c>
      <c r="E1754" s="4" t="inlineStr">
        <is>
          <t>15º PAV.</t>
        </is>
      </c>
      <c r="F1754" s="118" t="n">
        <v>46932</v>
      </c>
      <c r="G1754" s="118" t="n">
        <v>46944</v>
      </c>
      <c r="H1754" s="118" t="n">
        <v>46289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IF(E1754="","",IF(LEFT(E1754,7)="SUBSOLO",-1,IF(LEFT(E1754,6)="TÉRREO",0,IFERROR(VALUE(LEFT(E1754,FIND("º",SUBSTITUTE(E1754,"°","º"))-1)),""))))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29981198</v>
      </c>
      <c r="C1755" s="4" t="inlineStr">
        <is>
          <t>LOUÇAS</t>
        </is>
      </c>
      <c r="D1755" s="4" t="inlineStr">
        <is>
          <t>-</t>
        </is>
      </c>
      <c r="E1755" s="4" t="inlineStr">
        <is>
          <t>16º PAV.</t>
        </is>
      </c>
      <c r="F1755" s="118" t="n">
        <v>46932</v>
      </c>
      <c r="G1755" s="118" t="n">
        <v>46944</v>
      </c>
      <c r="H1755" s="118" t="n">
        <v>46289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IF(E1755="","",IF(LEFT(E1755,7)="SUBSOLO",-1,IF(LEFT(E1755,6)="TÉRREO",0,IFERROR(VALUE(LEFT(E1755,FIND("º",SUBSTITUTE(E1755,"°","º"))-1)),""))))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29981203</v>
      </c>
      <c r="C1756" s="4" t="inlineStr">
        <is>
          <t>METAIS</t>
        </is>
      </c>
      <c r="D1756" s="4" t="inlineStr">
        <is>
          <t>-</t>
        </is>
      </c>
      <c r="E1756" s="4" t="inlineStr">
        <is>
          <t>16º PAV.</t>
        </is>
      </c>
      <c r="F1756" s="118" t="n">
        <v>46932</v>
      </c>
      <c r="G1756" s="118" t="n">
        <v>46944</v>
      </c>
      <c r="H1756" s="118" t="n">
        <v>46289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IF(E1756="","",IF(LEFT(E1756,7)="SUBSOLO",-1,IF(LEFT(E1756,6)="TÉRREO",0,IFERROR(VALUE(LEFT(E1756,FIND("º",SUBSTITUTE(E1756,"°","º"))-1)),""))))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29981202</v>
      </c>
      <c r="C1757" s="4" t="inlineStr">
        <is>
          <t>DISJUNTORES / MIOLOS</t>
        </is>
      </c>
      <c r="D1757" s="4" t="inlineStr">
        <is>
          <t>-</t>
        </is>
      </c>
      <c r="E1757" s="4" t="inlineStr">
        <is>
          <t>16º PAV.</t>
        </is>
      </c>
      <c r="F1757" s="118" t="n">
        <v>46932</v>
      </c>
      <c r="G1757" s="118" t="n">
        <v>46944</v>
      </c>
      <c r="H1757" s="118" t="n">
        <v>46289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IF(E1757="","",IF(LEFT(E1757,7)="SUBSOLO",-1,IF(LEFT(E1757,6)="TÉRREO",0,IFERROR(VALUE(LEFT(E1757,FIND("º",SUBSTITUTE(E1757,"°","º"))-1)),""))))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29981201</v>
      </c>
      <c r="C1758" s="4" t="inlineStr">
        <is>
          <t>COMUNICAÇÃO E ALARME</t>
        </is>
      </c>
      <c r="D1758" s="4" t="inlineStr">
        <is>
          <t>-</t>
        </is>
      </c>
      <c r="E1758" s="4" t="inlineStr">
        <is>
          <t>16º PAV.</t>
        </is>
      </c>
      <c r="F1758" s="118" t="n">
        <v>46932</v>
      </c>
      <c r="G1758" s="118" t="n">
        <v>46944</v>
      </c>
      <c r="H1758" s="118" t="n">
        <v>46289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IF(E1758="","",IF(LEFT(E1758,7)="SUBSOLO",-1,IF(LEFT(E1758,6)="TÉRREO",0,IFERROR(VALUE(LEFT(E1758,FIND("º",SUBSTITUTE(E1758,"°","º"))-1)),""))))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29981160</v>
      </c>
      <c r="C1759" s="4" t="inlineStr">
        <is>
          <t>RODAPÉ MADEIRA / PVC</t>
        </is>
      </c>
      <c r="D1759" s="4" t="inlineStr">
        <is>
          <t>-</t>
        </is>
      </c>
      <c r="E1759" s="4" t="inlineStr">
        <is>
          <t>17º PAV.</t>
        </is>
      </c>
      <c r="F1759" s="118" t="n">
        <v>46932</v>
      </c>
      <c r="G1759" s="118" t="n">
        <v>46944</v>
      </c>
      <c r="H1759" s="118" t="n">
        <v>46289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IF(E1759="","",IF(LEFT(E1759,7)="SUBSOLO",-1,IF(LEFT(E1759,6)="TÉRREO",0,IFERROR(VALUE(LEFT(E1759,FIND("º",SUBSTITUTE(E1759,"°","º"))-1)),""))))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29981122</v>
      </c>
      <c r="C1760" s="4" t="inlineStr">
        <is>
          <t>ESQUADRIA MADEIRA</t>
        </is>
      </c>
      <c r="D1760" s="4" t="inlineStr">
        <is>
          <t>-</t>
        </is>
      </c>
      <c r="E1760" s="4" t="inlineStr">
        <is>
          <t>18º PAV.</t>
        </is>
      </c>
      <c r="F1760" s="118" t="n">
        <v>46932</v>
      </c>
      <c r="G1760" s="118" t="n">
        <v>46944</v>
      </c>
      <c r="H1760" s="118" t="n">
        <v>46289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IF(E1760="","",IF(LEFT(E1760,7)="SUBSOLO",-1,IF(LEFT(E1760,6)="TÉRREO",0,IFERROR(VALUE(LEFT(E1760,FIND("º",SUBSTITUTE(E1760,"°","º"))-1)),""))))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29981047</v>
      </c>
      <c r="C1761" s="4" t="inlineStr">
        <is>
          <t>PISO VINÍLICO / LAMINADO</t>
        </is>
      </c>
      <c r="D1761" s="4" t="inlineStr">
        <is>
          <t>-</t>
        </is>
      </c>
      <c r="E1761" s="4" t="inlineStr">
        <is>
          <t>20º PAV.</t>
        </is>
      </c>
      <c r="F1761" s="118" t="n">
        <v>46932</v>
      </c>
      <c r="G1761" s="118" t="n">
        <v>46944</v>
      </c>
      <c r="H1761" s="118" t="n">
        <v>46289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IF(E1761="","",IF(LEFT(E1761,7)="SUBSOLO",-1,IF(LEFT(E1761,6)="TÉRREO",0,IFERROR(VALUE(LEFT(E1761,FIND("º",SUBSTITUTE(E1761,"°","º"))-1)),""))))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29981009</v>
      </c>
      <c r="C1762" s="4" t="inlineStr">
        <is>
          <t>PINTURA 1º DEMÃO</t>
        </is>
      </c>
      <c r="D1762" s="4" t="inlineStr">
        <is>
          <t>-</t>
        </is>
      </c>
      <c r="E1762" s="4" t="inlineStr">
        <is>
          <t>21º PAV.</t>
        </is>
      </c>
      <c r="F1762" s="118" t="n">
        <v>46932</v>
      </c>
      <c r="G1762" s="118" t="n">
        <v>46944</v>
      </c>
      <c r="H1762" s="118" t="n">
        <v>46289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IF(E1762="","",IF(LEFT(E1762,7)="SUBSOLO",-1,IF(LEFT(E1762,6)="TÉRREO",0,IFERROR(VALUE(LEFT(E1762,FIND("º",SUBSTITUTE(E1762,"°","º"))-1)),""))))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29980998</v>
      </c>
      <c r="C1763" s="4" t="inlineStr">
        <is>
          <t>MASSA CORRIDA</t>
        </is>
      </c>
      <c r="D1763" s="4" t="inlineStr">
        <is>
          <t>-</t>
        </is>
      </c>
      <c r="E1763" s="4" t="inlineStr">
        <is>
          <t>22º PAV.</t>
        </is>
      </c>
      <c r="F1763" s="118" t="n">
        <v>46932</v>
      </c>
      <c r="G1763" s="118" t="n">
        <v>46944</v>
      </c>
      <c r="H1763" s="118" t="n">
        <v>46289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IF(E1763="","",IF(LEFT(E1763,7)="SUBSOLO",-1,IF(LEFT(E1763,6)="TÉRREO",0,IFERROR(VALUE(LEFT(E1763,FIND("º",SUBSTITUTE(E1763,"°","º"))-1)),""))))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33898107</v>
      </c>
      <c r="C1764" s="4" t="inlineStr">
        <is>
          <t>ESQUADRIA DE ALUMÍNIO</t>
        </is>
      </c>
      <c r="D1764" s="4" t="inlineStr">
        <is>
          <t>-</t>
        </is>
      </c>
      <c r="E1764" s="4" t="inlineStr">
        <is>
          <t>23º PAV.</t>
        </is>
      </c>
      <c r="F1764" s="118" t="n">
        <v>46932</v>
      </c>
      <c r="G1764" s="118" t="n">
        <v>46944</v>
      </c>
      <c r="H1764" s="118" t="n">
        <v>46289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IF(E1764="","",IF(LEFT(E1764,7)="SUBSOLO",-1,IF(LEFT(E1764,6)="TÉRREO",0,IFERROR(VALUE(LEFT(E1764,FIND("º",SUBSTITUTE(E1764,"°","º"))-1)),""))))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30205782</v>
      </c>
      <c r="C1765" s="4" t="inlineStr">
        <is>
          <t>ESQUADRIA MADEIRA</t>
        </is>
      </c>
      <c r="D1765" s="4" t="inlineStr">
        <is>
          <t>-</t>
        </is>
      </c>
      <c r="E1765" s="4" t="inlineStr">
        <is>
          <t>TÉRREO - ACESSO COMERCIAL + DML + ARS + ÁREA TEC + LAVABO + DISPENSA</t>
        </is>
      </c>
      <c r="F1765" s="118" t="n">
        <v>46933</v>
      </c>
      <c r="G1765" s="118" t="n">
        <v>46946</v>
      </c>
      <c r="H1765" s="118" t="n">
        <v>46289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IF(E1765="","",IF(LEFT(E1765,7)="SUBSOLO",-1,IF(LEFT(E1765,6)="TÉRREO",0,IFERROR(VALUE(LEFT(E1765,FIND("º",SUBSTITUTE(E1765,"°","º"))-1)),""))))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30205781</v>
      </c>
      <c r="C1766" s="4" t="inlineStr">
        <is>
          <t>LOUÇAS</t>
        </is>
      </c>
      <c r="D1766" s="4" t="inlineStr">
        <is>
          <t>-</t>
        </is>
      </c>
      <c r="E1766" s="4" t="inlineStr">
        <is>
          <t>TÉRREO - ACESSO COMERCIAL + DML + ARS + ÁREA TEC + LAVABO + DISPENSA</t>
        </is>
      </c>
      <c r="F1766" s="118" t="n">
        <v>46933</v>
      </c>
      <c r="G1766" s="118" t="n">
        <v>46946</v>
      </c>
      <c r="H1766" s="118" t="n">
        <v>46289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IF(E1766="","",IF(LEFT(E1766,7)="SUBSOLO",-1,IF(LEFT(E1766,6)="TÉRREO",0,IFERROR(VALUE(LEFT(E1766,FIND("º",SUBSTITUTE(E1766,"°","º"))-1)),""))))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30205779</v>
      </c>
      <c r="C1767" s="4" t="inlineStr">
        <is>
          <t>METAIS</t>
        </is>
      </c>
      <c r="D1767" s="4" t="inlineStr">
        <is>
          <t>-</t>
        </is>
      </c>
      <c r="E1767" s="4" t="inlineStr">
        <is>
          <t>TÉRREO - ACESSO COMERCIAL + DML + ARS + ÁREA TEC + LAVABO + DISPENSA</t>
        </is>
      </c>
      <c r="F1767" s="118" t="n">
        <v>46933</v>
      </c>
      <c r="G1767" s="118" t="n">
        <v>46946</v>
      </c>
      <c r="H1767" s="118" t="n">
        <v>46289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IF(E1767="","",IF(LEFT(E1767,7)="SUBSOLO",-1,IF(LEFT(E1767,6)="TÉRREO",0,IFERROR(VALUE(LEFT(E1767,FIND("º",SUBSTITUTE(E1767,"°","º"))-1)),""))))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30205818</v>
      </c>
      <c r="C1768" s="4" t="inlineStr">
        <is>
          <t>PINTURA 1º DEMÃO</t>
        </is>
      </c>
      <c r="D1768" s="4" t="inlineStr">
        <is>
          <t>-</t>
        </is>
      </c>
      <c r="E1768" s="4" t="inlineStr">
        <is>
          <t>TÉRREO - HALL SOCIAL + ECLUSA + CIRCULAÇÃO</t>
        </is>
      </c>
      <c r="F1768" s="118" t="n">
        <v>46933</v>
      </c>
      <c r="G1768" s="118" t="n">
        <v>46946</v>
      </c>
      <c r="H1768" s="118" t="n">
        <v>46289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IF(E1768="","",IF(LEFT(E1768,7)="SUBSOLO",-1,IF(LEFT(E1768,6)="TÉRREO",0,IFERROR(VALUE(LEFT(E1768,FIND("º",SUBSTITUTE(E1768,"°","º"))-1)),""))))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29980811</v>
      </c>
      <c r="C1769" s="4" t="inlineStr">
        <is>
          <t>FORRO</t>
        </is>
      </c>
      <c r="D1769" s="4" t="inlineStr">
        <is>
          <t>-</t>
        </is>
      </c>
      <c r="E1769" s="4" t="inlineStr">
        <is>
          <t>27º PAV.</t>
        </is>
      </c>
      <c r="F1769" s="118" t="n">
        <v>46933</v>
      </c>
      <c r="G1769" s="118" t="n">
        <v>46945</v>
      </c>
      <c r="H1769" s="118" t="n">
        <v>46289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IF(E1769="","",IF(LEFT(E1769,7)="SUBSOLO",-1,IF(LEFT(E1769,6)="TÉRREO",0,IFERROR(VALUE(LEFT(E1769,FIND("º",SUBSTITUTE(E1769,"°","º"))-1)),""))))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29980772</v>
      </c>
      <c r="C1770" s="4" t="inlineStr">
        <is>
          <t>FIAÇÃO ELÉTRICA</t>
        </is>
      </c>
      <c r="D1770" s="4" t="inlineStr">
        <is>
          <t>-</t>
        </is>
      </c>
      <c r="E1770" s="4" t="inlineStr">
        <is>
          <t>28º PAV.</t>
        </is>
      </c>
      <c r="F1770" s="118" t="n">
        <v>46933</v>
      </c>
      <c r="G1770" s="118" t="n">
        <v>46945</v>
      </c>
      <c r="H1770" s="118" t="n">
        <v>46289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IF(E1770="","",IF(LEFT(E1770,7)="SUBSOLO",-1,IF(LEFT(E1770,6)="TÉRREO",0,IFERROR(VALUE(LEFT(E1770,FIND("º",SUBSTITUTE(E1770,"°","º"))-1)),""))))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29980777</v>
      </c>
      <c r="C1771" s="4" t="inlineStr">
        <is>
          <t>PRUMADA ELÉTRICA - CABOS</t>
        </is>
      </c>
      <c r="D1771" s="4" t="inlineStr">
        <is>
          <t>-</t>
        </is>
      </c>
      <c r="E1771" s="4" t="inlineStr">
        <is>
          <t>28º PAV.</t>
        </is>
      </c>
      <c r="F1771" s="118" t="n">
        <v>46933</v>
      </c>
      <c r="G1771" s="118" t="n">
        <v>46945</v>
      </c>
      <c r="H1771" s="118" t="n">
        <v>46289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IF(E1771="","",IF(LEFT(E1771,7)="SUBSOLO",-1,IF(LEFT(E1771,6)="TÉRREO",0,IFERROR(VALUE(LEFT(E1771,FIND("º",SUBSTITUTE(E1771,"°","º"))-1)),""))))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30214090</v>
      </c>
      <c r="C1772" s="4" t="inlineStr">
        <is>
          <t>FIAÇÃO TELECOM/DADOS</t>
        </is>
      </c>
      <c r="D1772" s="4" t="inlineStr">
        <is>
          <t>-</t>
        </is>
      </c>
      <c r="E1772" s="4" t="inlineStr">
        <is>
          <t>28º PAV.</t>
        </is>
      </c>
      <c r="F1772" s="118" t="n">
        <v>46933</v>
      </c>
      <c r="G1772" s="118" t="n">
        <v>46946</v>
      </c>
      <c r="H1772" s="118" t="n">
        <v>46289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IF(E1772="","",IF(LEFT(E1772,7)="SUBSOLO",-1,IF(LEFT(E1772,6)="TÉRREO",0,IFERROR(VALUE(LEFT(E1772,FIND("º",SUBSTITUTE(E1772,"°","º"))-1)),""))))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29980719</v>
      </c>
      <c r="C1773" s="4" t="inlineStr">
        <is>
          <t>BANCADAS</t>
        </is>
      </c>
      <c r="D1773" s="4" t="inlineStr">
        <is>
          <t>-</t>
        </is>
      </c>
      <c r="E1773" s="4" t="inlineStr">
        <is>
          <t>29º PAV.</t>
        </is>
      </c>
      <c r="F1773" s="118" t="n">
        <v>46933</v>
      </c>
      <c r="G1773" s="118" t="n">
        <v>46945</v>
      </c>
      <c r="H1773" s="118" t="n">
        <v>46289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IF(E1773="","",IF(LEFT(E1773,7)="SUBSOLO",-1,IF(LEFT(E1773,6)="TÉRREO",0,IFERROR(VALUE(LEFT(E1773,FIND("º",SUBSTITUTE(E1773,"°","º"))-1)),""))))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29980681</v>
      </c>
      <c r="C1774" s="4" t="inlineStr">
        <is>
          <t>REVESTIMENTOS PORCELANATO PISO</t>
        </is>
      </c>
      <c r="D1774" s="4" t="inlineStr">
        <is>
          <t>-</t>
        </is>
      </c>
      <c r="E1774" s="4" t="inlineStr">
        <is>
          <t>30º PAV.</t>
        </is>
      </c>
      <c r="F1774" s="118" t="n">
        <v>46933</v>
      </c>
      <c r="G1774" s="118" t="n">
        <v>46945</v>
      </c>
      <c r="H1774" s="118" t="n">
        <v>46289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IF(E1774="","",IF(LEFT(E1774,7)="SUBSOLO",-1,IF(LEFT(E1774,6)="TÉRREO",0,IFERROR(VALUE(LEFT(E1774,FIND("º",SUBSTITUTE(E1774,"°","º"))-1)),""))))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29980660</v>
      </c>
      <c r="C1775" s="4" t="inlineStr">
        <is>
          <t>REVESTIMENTO PORCELANATO PAREDE</t>
        </is>
      </c>
      <c r="D1775" s="4" t="inlineStr">
        <is>
          <t>-</t>
        </is>
      </c>
      <c r="E1775" s="4" t="inlineStr">
        <is>
          <t>31º PAV. - COBERTURA LINEAR</t>
        </is>
      </c>
      <c r="F1775" s="118" t="n">
        <v>46933</v>
      </c>
      <c r="G1775" s="118" t="n">
        <v>46945</v>
      </c>
      <c r="H1775" s="118" t="n">
        <v>46289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IF(E1775="","",IF(LEFT(E1775,7)="SUBSOLO",-1,IF(LEFT(E1775,6)="TÉRREO",0,IFERROR(VALUE(LEFT(E1775,FIND("º",SUBSTITUTE(E1775,"°","º"))-1)),""))))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29980621</v>
      </c>
      <c r="C1776" s="4" t="inlineStr">
        <is>
          <t>IMPERMEABILIZAÇÃO</t>
        </is>
      </c>
      <c r="D1776" s="4" t="inlineStr">
        <is>
          <t>-</t>
        </is>
      </c>
      <c r="E1776" s="4" t="inlineStr">
        <is>
          <t>32º PAV - COBERTURA GERAL</t>
        </is>
      </c>
      <c r="F1776" s="118" t="n">
        <v>46933</v>
      </c>
      <c r="G1776" s="118" t="n">
        <v>46945</v>
      </c>
      <c r="H1776" s="118" t="n">
        <v>46289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IF(E1776="","",IF(LEFT(E1776,7)="SUBSOLO",-1,IF(LEFT(E1776,6)="TÉRREO",0,IFERROR(VALUE(LEFT(E1776,FIND("º",SUBSTITUTE(E1776,"°","º"))-1)),""))))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33904058</v>
      </c>
      <c r="C1777" s="4" t="inlineStr">
        <is>
          <t>ESQUADRIA DE ALUMÍNIO</t>
        </is>
      </c>
      <c r="D1777" s="4" t="inlineStr">
        <is>
          <t>-</t>
        </is>
      </c>
      <c r="E1777" s="4" t="inlineStr">
        <is>
          <t>6º PAV (PILOTIS) - ACADEMIA</t>
        </is>
      </c>
      <c r="F1777" s="118" t="n">
        <v>46934</v>
      </c>
      <c r="G1777" s="118" t="n">
        <v>46947</v>
      </c>
      <c r="H1777" s="118" t="n">
        <v>46289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IF(E1777="","",IF(LEFT(E1777,7)="SUBSOLO",-1,IF(LEFT(E1777,6)="TÉRREO",0,IFERROR(VALUE(LEFT(E1777,FIND("º",SUBSTITUTE(E1777,"°","º"))-1)),""))))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30206088</v>
      </c>
      <c r="C1778" s="4" t="inlineStr">
        <is>
          <t>FIAÇÃO ELÉTRICA</t>
        </is>
      </c>
      <c r="D1778" s="4" t="inlineStr">
        <is>
          <t>-</t>
        </is>
      </c>
      <c r="E1778" s="4" t="inlineStr">
        <is>
          <t>6º PAV (PILOTIS) - SAUNA + DUCHA</t>
        </is>
      </c>
      <c r="F1778" s="118" t="n">
        <v>46934</v>
      </c>
      <c r="G1778" s="118" t="n">
        <v>46947</v>
      </c>
      <c r="H1778" s="118" t="n">
        <v>46289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IF(E1778="","",IF(LEFT(E1778,7)="SUBSOLO",-1,IF(LEFT(E1778,6)="TÉRREO",0,IFERROR(VALUE(LEFT(E1778,FIND("º",SUBSTITUTE(E1778,"°","º"))-1)),""))))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30206034</v>
      </c>
      <c r="C1779" s="4" t="inlineStr">
        <is>
          <t>REVESTIMENTOS PORCELANATO PISO</t>
        </is>
      </c>
      <c r="D1779" s="4" t="inlineStr">
        <is>
          <t>-</t>
        </is>
      </c>
      <c r="E1779" s="4" t="inlineStr">
        <is>
          <t>6º PAV (PILOTIS) - CHURRASQUEIRA + IS MASC. PCD + IS FEM. PCD + CIRCULAÇÃO 1 + HALL 1</t>
        </is>
      </c>
      <c r="F1779" s="118" t="n">
        <v>46934</v>
      </c>
      <c r="G1779" s="118" t="n">
        <v>46947</v>
      </c>
      <c r="H1779" s="118" t="n">
        <v>46289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IF(E1779="","",IF(LEFT(E1779,7)="SUBSOLO",-1,IF(LEFT(E1779,6)="TÉRREO",0,IFERROR(VALUE(LEFT(E1779,FIND("º",SUBSTITUTE(E1779,"°","º"))-1)),""))))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30206013</v>
      </c>
      <c r="C1780" s="4" t="inlineStr">
        <is>
          <t>REVESTIMENTO PORCELANATO PAREDE</t>
        </is>
      </c>
      <c r="D1780" s="4" t="inlineStr">
        <is>
          <t>-</t>
        </is>
      </c>
      <c r="E1780" s="4" t="inlineStr">
        <is>
          <t>6º PAV (PILOTIS) - COWORKING 1 E 2 + CIRC. 2 + HALL 2 + DML + VEST. MASC. + VEST. FEM</t>
        </is>
      </c>
      <c r="F1780" s="118" t="n">
        <v>46934</v>
      </c>
      <c r="G1780" s="118" t="n">
        <v>46947</v>
      </c>
      <c r="H1780" s="118" t="n">
        <v>46289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IF(E1780="","",IF(LEFT(E1780,7)="SUBSOLO",-1,IF(LEFT(E1780,6)="TÉRREO",0,IFERROR(VALUE(LEFT(E1780,FIND("º",SUBSTITUTE(E1780,"°","º"))-1)),""))))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30205975</v>
      </c>
      <c r="C1781" s="4" t="inlineStr">
        <is>
          <t>CONTRAPISO</t>
        </is>
      </c>
      <c r="D1781" s="4" t="inlineStr">
        <is>
          <t>-</t>
        </is>
      </c>
      <c r="E1781" s="4" t="inlineStr">
        <is>
          <t>6º PAV (PILOTIS) - LOUNGE + SALÃO + COZINHA + GOURMET + ESPAÇO KIDS</t>
        </is>
      </c>
      <c r="F1781" s="118" t="n">
        <v>46934</v>
      </c>
      <c r="G1781" s="118" t="n">
        <v>46947</v>
      </c>
      <c r="H1781" s="118" t="n">
        <v>46289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IF(E1781="","",IF(LEFT(E1781,7)="SUBSOLO",-1,IF(LEFT(E1781,6)="TÉRREO",0,IFERROR(VALUE(LEFT(E1781,FIND("º",SUBSTITUTE(E1781,"°","º"))-1)),""))))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29981103</v>
      </c>
      <c r="C1782" s="4" t="inlineStr">
        <is>
          <t>CONTRAPISO</t>
        </is>
      </c>
      <c r="D1782" s="4" t="inlineStr">
        <is>
          <t>-</t>
        </is>
      </c>
      <c r="E1782" s="4" t="inlineStr">
        <is>
          <t>19º PAV.</t>
        </is>
      </c>
      <c r="F1782" s="118" t="n">
        <v>46934</v>
      </c>
      <c r="G1782" s="118" t="n">
        <v>46946</v>
      </c>
      <c r="H1782" s="118" t="n">
        <v>46289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IF(E1782="","",IF(LEFT(E1782,7)="SUBSOLO",-1,IF(LEFT(E1782,6)="TÉRREO",0,IFERROR(VALUE(LEFT(E1782,FIND("º",SUBSTITUTE(E1782,"°","º"))-1)),""))))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30171526</v>
      </c>
      <c r="C1783" s="4" t="inlineStr">
        <is>
          <t>FIAÇÃO ELÉTRICA</t>
        </is>
      </c>
      <c r="D1783" s="4" t="inlineStr">
        <is>
          <t>-</t>
        </is>
      </c>
      <c r="E1783" s="4" t="inlineStr">
        <is>
          <t>HALL - GARAGENS</t>
        </is>
      </c>
      <c r="F1783" s="118" t="n">
        <v>46937</v>
      </c>
      <c r="G1783" s="118" t="n">
        <v>46966</v>
      </c>
      <c r="H1783" s="118" t="n">
        <v>46289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IF(E1783="","",IF(LEFT(E1783,7)="SUBSOLO",-1,IF(LEFT(E1783,6)="TÉRREO",0,IFERROR(VALUE(LEFT(E1783,FIND("º",SUBSTITUTE(E1783,"°","º"))-1)),""))))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30171532</v>
      </c>
      <c r="C1784" s="4" t="inlineStr">
        <is>
          <t>PRUMADA ELÉTRICA - CABOS</t>
        </is>
      </c>
      <c r="D1784" s="4" t="inlineStr">
        <is>
          <t>-</t>
        </is>
      </c>
      <c r="E1784" s="4" t="inlineStr">
        <is>
          <t>HALL - GARAGENS</t>
        </is>
      </c>
      <c r="F1784" s="118" t="n">
        <v>46937</v>
      </c>
      <c r="G1784" s="118" t="n">
        <v>46966</v>
      </c>
      <c r="H1784" s="118" t="n">
        <v>46289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IF(E1784="","",IF(LEFT(E1784,7)="SUBSOLO",-1,IF(LEFT(E1784,6)="TÉRREO",0,IFERROR(VALUE(LEFT(E1784,FIND("º",SUBSTITUTE(E1784,"°","º"))-1)),""))))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30205682</v>
      </c>
      <c r="C1785" s="4" t="inlineStr">
        <is>
          <t>CHECKLIST</t>
        </is>
      </c>
      <c r="D1785" s="4" t="inlineStr">
        <is>
          <t>-</t>
        </is>
      </c>
      <c r="E1785" s="4" t="inlineStr">
        <is>
          <t>TÉRREO - LOJA 2</t>
        </is>
      </c>
      <c r="F1785" s="118" t="n">
        <v>46938</v>
      </c>
      <c r="G1785" s="118" t="n">
        <v>46944</v>
      </c>
      <c r="H1785" s="118" t="n">
        <v>46289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IF(E1785="","",IF(LEFT(E1785,7)="SUBSOLO",-1,IF(LEFT(E1785,6)="TÉRREO",0,IFERROR(VALUE(LEFT(E1785,FIND("º",SUBSTITUTE(E1785,"°","º"))-1)),""))))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30205651</v>
      </c>
      <c r="C1786" s="4" t="inlineStr">
        <is>
          <t>LIMPEZA FINA</t>
        </is>
      </c>
      <c r="D1786" s="4" t="inlineStr">
        <is>
          <t>-</t>
        </is>
      </c>
      <c r="E1786" s="4" t="inlineStr">
        <is>
          <t>TÉRREO - LOJA 3</t>
        </is>
      </c>
      <c r="F1786" s="118" t="n">
        <v>46938</v>
      </c>
      <c r="G1786" s="118" t="n">
        <v>46951</v>
      </c>
      <c r="H1786" s="118" t="n">
        <v>46289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IF(E1786="","",IF(LEFT(E1786,7)="SUBSOLO",-1,IF(LEFT(E1786,6)="TÉRREO",0,IFERROR(VALUE(LEFT(E1786,FIND("º",SUBSTITUTE(E1786,"°","º"))-1)),""))))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30205614</v>
      </c>
      <c r="C1787" s="4" t="inlineStr">
        <is>
          <t>ACABAMENTOS ELÉTRICOS</t>
        </is>
      </c>
      <c r="D1787" s="4" t="inlineStr">
        <is>
          <t>-</t>
        </is>
      </c>
      <c r="E1787" s="4" t="inlineStr">
        <is>
          <t>TÉRREO - LOJA 4</t>
        </is>
      </c>
      <c r="F1787" s="118" t="n">
        <v>46938</v>
      </c>
      <c r="G1787" s="118" t="n">
        <v>46951</v>
      </c>
      <c r="H1787" s="118" t="n">
        <v>46289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IF(E1787="","",IF(LEFT(E1787,7)="SUBSOLO",-1,IF(LEFT(E1787,6)="TÉRREO",0,IFERROR(VALUE(LEFT(E1787,FIND("º",SUBSTITUTE(E1787,"°","º"))-1)),""))))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30205586</v>
      </c>
      <c r="C1788" s="4" t="inlineStr">
        <is>
          <t>PINTURA 2º DEMÃO</t>
        </is>
      </c>
      <c r="D1788" s="4" t="inlineStr">
        <is>
          <t>-</t>
        </is>
      </c>
      <c r="E1788" s="4" t="inlineStr">
        <is>
          <t>TÉRREO - LOJA 5</t>
        </is>
      </c>
      <c r="F1788" s="118" t="n">
        <v>46938</v>
      </c>
      <c r="G1788" s="118" t="n">
        <v>46951</v>
      </c>
      <c r="H1788" s="118" t="n">
        <v>46289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IF(E1788="","",IF(LEFT(E1788,7)="SUBSOLO",-1,IF(LEFT(E1788,6)="TÉRREO",0,IFERROR(VALUE(LEFT(E1788,FIND("º",SUBSTITUTE(E1788,"°","º"))-1)),""))))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30205572</v>
      </c>
      <c r="C1789" s="4" t="inlineStr">
        <is>
          <t>LIMPEZA GROSSA</t>
        </is>
      </c>
      <c r="D1789" s="4" t="inlineStr">
        <is>
          <t>-</t>
        </is>
      </c>
      <c r="E1789" s="4" t="inlineStr">
        <is>
          <t>TÉRREO - LOJA 6</t>
        </is>
      </c>
      <c r="F1789" s="118" t="n">
        <v>46938</v>
      </c>
      <c r="G1789" s="118" t="n">
        <v>46951</v>
      </c>
      <c r="H1789" s="118" t="n">
        <v>46289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IF(E1789="","",IF(LEFT(E1789,7)="SUBSOLO",-1,IF(LEFT(E1789,6)="TÉRREO",0,IFERROR(VALUE(LEFT(E1789,FIND("º",SUBSTITUTE(E1789,"°","º"))-1)),""))))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29981402</v>
      </c>
      <c r="C1790" s="4" t="inlineStr">
        <is>
          <t>LIMPEZA FINA</t>
        </is>
      </c>
      <c r="D1790" s="4" t="inlineStr">
        <is>
          <t>-</t>
        </is>
      </c>
      <c r="E1790" s="4" t="inlineStr">
        <is>
          <t>11º PAV.</t>
        </is>
      </c>
      <c r="F1790" s="118" t="n">
        <v>46939</v>
      </c>
      <c r="G1790" s="118" t="n">
        <v>46951</v>
      </c>
      <c r="H1790" s="118" t="n">
        <v>46289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IF(E1790="","",IF(LEFT(E1790,7)="SUBSOLO",-1,IF(LEFT(E1790,6)="TÉRREO",0,IFERROR(VALUE(LEFT(E1790,FIND("º",SUBSTITUTE(E1790,"°","º"))-1)),""))))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29981355</v>
      </c>
      <c r="C1791" s="4" t="inlineStr">
        <is>
          <t>PINTURA 3º DEMÃO</t>
        </is>
      </c>
      <c r="D1791" s="4" t="inlineStr">
        <is>
          <t>-</t>
        </is>
      </c>
      <c r="E1791" s="4" t="inlineStr">
        <is>
          <t>12º PAV.</t>
        </is>
      </c>
      <c r="F1791" s="118" t="n">
        <v>46939</v>
      </c>
      <c r="G1791" s="118" t="n">
        <v>46951</v>
      </c>
      <c r="H1791" s="118" t="n">
        <v>46289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IF(E1791="","",IF(LEFT(E1791,7)="SUBSOLO",-1,IF(LEFT(E1791,6)="TÉRREO",0,IFERROR(VALUE(LEFT(E1791,FIND("º",SUBSTITUTE(E1791,"°","º"))-1)),""))))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30205849</v>
      </c>
      <c r="C1792" s="4" t="inlineStr">
        <is>
          <t>PINTURA 1º DEMÃO</t>
        </is>
      </c>
      <c r="D1792" s="4" t="inlineStr">
        <is>
          <t>-</t>
        </is>
      </c>
      <c r="E1792" s="4" t="inlineStr">
        <is>
          <t>1º PAV. (INTERMEDIÁRIO)</t>
        </is>
      </c>
      <c r="F1792" s="118" t="n">
        <v>46940</v>
      </c>
      <c r="G1792" s="118" t="n">
        <v>46960</v>
      </c>
      <c r="H1792" s="118" t="n">
        <v>46289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IF(E1792="","",IF(LEFT(E1792,7)="SUBSOLO",-1,IF(LEFT(E1792,6)="TÉRREO",0,IFERROR(VALUE(LEFT(E1792,FIND("º",SUBSTITUTE(E1792,"°","º"))-1)),""))))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30210367</v>
      </c>
      <c r="C1793" s="4" t="inlineStr">
        <is>
          <t>MONTAGEM - ELEVADOR 2</t>
        </is>
      </c>
      <c r="D1793" s="4" t="inlineStr">
        <is>
          <t>-</t>
        </is>
      </c>
      <c r="E1793" s="4" t="inlineStr">
        <is>
          <t>ELEVADORES</t>
        </is>
      </c>
      <c r="F1793" s="118" t="n">
        <v>46940</v>
      </c>
      <c r="G1793" s="118" t="n">
        <v>46987</v>
      </c>
      <c r="H1793" s="118" t="n">
        <v>46289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IF(E1793="","",IF(LEFT(E1793,7)="SUBSOLO",-1,IF(LEFT(E1793,6)="TÉRREO",0,IFERROR(VALUE(LEFT(E1793,FIND("º",SUBSTITUTE(E1793,"°","º"))-1)),""))))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30205881</v>
      </c>
      <c r="C1794" s="4" t="inlineStr">
        <is>
          <t>CONTRAPISO</t>
        </is>
      </c>
      <c r="D1794" s="4" t="inlineStr">
        <is>
          <t>-</t>
        </is>
      </c>
      <c r="E1794" s="4" t="inlineStr">
        <is>
          <t>6º PAV (PILOTIS) - PLAYGROUND + TERRAÇO DESCOBERTO + QUADRA DE RECREAÇÃO</t>
        </is>
      </c>
      <c r="F1794" s="118" t="n">
        <v>46941</v>
      </c>
      <c r="G1794" s="118" t="n">
        <v>46972</v>
      </c>
      <c r="H1794" s="118" t="n">
        <v>46289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IF(E1794="","",IF(LEFT(E1794,7)="SUBSOLO",-1,IF(LEFT(E1794,6)="TÉRREO",0,IFERROR(VALUE(LEFT(E1794,FIND("º",SUBSTITUTE(E1794,"°","º"))-1)),""))))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30211210</v>
      </c>
      <c r="C1795" s="4" t="inlineStr">
        <is>
          <t>CONTRAPISO</t>
        </is>
      </c>
      <c r="D1795" s="4" t="inlineStr">
        <is>
          <t>-</t>
        </is>
      </c>
      <c r="E1795" s="4" t="inlineStr">
        <is>
          <t>34º PAV - RESERVATÓRIO</t>
        </is>
      </c>
      <c r="F1795" s="118" t="n">
        <v>46944</v>
      </c>
      <c r="G1795" s="118" t="n">
        <v>46948</v>
      </c>
      <c r="H1795" s="118" t="n">
        <v>46289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IF(E1795="","",IF(LEFT(E1795,7)="SUBSOLO",-1,IF(LEFT(E1795,6)="TÉRREO",0,IFERROR(VALUE(LEFT(E1795,FIND("º",SUBSTITUTE(E1795,"°","º"))-1)),""))))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30205526</v>
      </c>
      <c r="C1796" s="4" t="inlineStr">
        <is>
          <t>DISJUNTORES / MIOLOS</t>
        </is>
      </c>
      <c r="D1796" s="4" t="inlineStr">
        <is>
          <t>-</t>
        </is>
      </c>
      <c r="E1796" s="4" t="inlineStr">
        <is>
          <t>TÉRREO - LOJA 7</t>
        </is>
      </c>
      <c r="F1796" s="118" t="n">
        <v>46945</v>
      </c>
      <c r="G1796" s="118" t="n">
        <v>46951</v>
      </c>
      <c r="H1796" s="118" t="n">
        <v>46289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IF(E1796="","",IF(LEFT(E1796,7)="SUBSOLO",-1,IF(LEFT(E1796,6)="TÉRREO",0,IFERROR(VALUE(LEFT(E1796,FIND("º",SUBSTITUTE(E1796,"°","º"))-1)),""))))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29981317</v>
      </c>
      <c r="C1797" s="4" t="inlineStr">
        <is>
          <t>CHECKLIST</t>
        </is>
      </c>
      <c r="D1797" s="4" t="inlineStr">
        <is>
          <t>-</t>
        </is>
      </c>
      <c r="E1797" s="4" t="inlineStr">
        <is>
          <t>13º PAV.</t>
        </is>
      </c>
      <c r="F1797" s="118" t="n">
        <v>46945</v>
      </c>
      <c r="G1797" s="118" t="n">
        <v>46951</v>
      </c>
      <c r="H1797" s="118" t="n">
        <v>46289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IF(E1797="","",IF(LEFT(E1797,7)="SUBSOLO",-1,IF(LEFT(E1797,6)="TÉRREO",0,IFERROR(VALUE(LEFT(E1797,FIND("º",SUBSTITUTE(E1797,"°","º"))-1)),""))))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29981282</v>
      </c>
      <c r="C1798" s="4" t="inlineStr">
        <is>
          <t>ACABAMENTOS ELÉTRICOS</t>
        </is>
      </c>
      <c r="D1798" s="4" t="inlineStr">
        <is>
          <t>-</t>
        </is>
      </c>
      <c r="E1798" s="4" t="inlineStr">
        <is>
          <t>14º PAV.</t>
        </is>
      </c>
      <c r="F1798" s="118" t="n">
        <v>46945</v>
      </c>
      <c r="G1798" s="118" t="n">
        <v>46955</v>
      </c>
      <c r="H1798" s="118" t="n">
        <v>46289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IF(E1798="","",IF(LEFT(E1798,7)="SUBSOLO",-1,IF(LEFT(E1798,6)="TÉRREO",0,IFERROR(VALUE(LEFT(E1798,FIND("º",SUBSTITUTE(E1798,"°","º"))-1)),""))))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29981242</v>
      </c>
      <c r="C1799" s="4" t="inlineStr">
        <is>
          <t>PINTURA 2º DEMÃO</t>
        </is>
      </c>
      <c r="D1799" s="4" t="inlineStr">
        <is>
          <t>-</t>
        </is>
      </c>
      <c r="E1799" s="4" t="inlineStr">
        <is>
          <t>15º PAV.</t>
        </is>
      </c>
      <c r="F1799" s="118" t="n">
        <v>46945</v>
      </c>
      <c r="G1799" s="118" t="n">
        <v>46955</v>
      </c>
      <c r="H1799" s="118" t="n">
        <v>46289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IF(E1799="","",IF(LEFT(E1799,7)="SUBSOLO",-1,IF(LEFT(E1799,6)="TÉRREO",0,IFERROR(VALUE(LEFT(E1799,FIND("º",SUBSTITUTE(E1799,"°","º"))-1)),""))))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33919793</v>
      </c>
      <c r="C1800" s="4" t="inlineStr">
        <is>
          <t>TEXTURA - EXTERNA</t>
        </is>
      </c>
      <c r="D1800" s="4" t="inlineStr">
        <is>
          <t>-</t>
        </is>
      </c>
      <c r="E1800" s="4" t="inlineStr">
        <is>
          <t>15º PAV.</t>
        </is>
      </c>
      <c r="F1800" s="118" t="n">
        <v>46945</v>
      </c>
      <c r="G1800" s="118" t="n">
        <v>46955</v>
      </c>
      <c r="H1800" s="118" t="n">
        <v>46289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IF(E1800="","",IF(LEFT(E1800,7)="SUBSOLO",-1,IF(LEFT(E1800,6)="TÉRREO",0,IFERROR(VALUE(LEFT(E1800,FIND("º",SUBSTITUTE(E1800,"°","º"))-1)),""))))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29981204</v>
      </c>
      <c r="C1801" s="4" t="inlineStr">
        <is>
          <t>LIMPEZA GROSSA</t>
        </is>
      </c>
      <c r="D1801" s="4" t="inlineStr">
        <is>
          <t>-</t>
        </is>
      </c>
      <c r="E1801" s="4" t="inlineStr">
        <is>
          <t>16º PAV.</t>
        </is>
      </c>
      <c r="F1801" s="118" t="n">
        <v>46945</v>
      </c>
      <c r="G1801" s="118" t="n">
        <v>46955</v>
      </c>
      <c r="H1801" s="118" t="n">
        <v>46289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IF(E1801="","",IF(LEFT(E1801,7)="SUBSOLO",-1,IF(LEFT(E1801,6)="TÉRREO",0,IFERROR(VALUE(LEFT(E1801,FIND("º",SUBSTITUTE(E1801,"°","º"))-1)),""))))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29981161</v>
      </c>
      <c r="C1802" s="4" t="inlineStr">
        <is>
          <t>LOUÇAS</t>
        </is>
      </c>
      <c r="D1802" s="4" t="inlineStr">
        <is>
          <t>-</t>
        </is>
      </c>
      <c r="E1802" s="4" t="inlineStr">
        <is>
          <t>17º PAV.</t>
        </is>
      </c>
      <c r="F1802" s="118" t="n">
        <v>46945</v>
      </c>
      <c r="G1802" s="118" t="n">
        <v>46955</v>
      </c>
      <c r="H1802" s="118" t="n">
        <v>46289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IF(E1802="","",IF(LEFT(E1802,7)="SUBSOLO",-1,IF(LEFT(E1802,6)="TÉRREO",0,IFERROR(VALUE(LEFT(E1802,FIND("º",SUBSTITUTE(E1802,"°","º"))-1)),""))))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29981166</v>
      </c>
      <c r="C1803" s="4" t="inlineStr">
        <is>
          <t>METAIS</t>
        </is>
      </c>
      <c r="D1803" s="4" t="inlineStr">
        <is>
          <t>-</t>
        </is>
      </c>
      <c r="E1803" s="4" t="inlineStr">
        <is>
          <t>17º PAV.</t>
        </is>
      </c>
      <c r="F1803" s="118" t="n">
        <v>46945</v>
      </c>
      <c r="G1803" s="118" t="n">
        <v>46955</v>
      </c>
      <c r="H1803" s="118" t="n">
        <v>46289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IF(E1803="","",IF(LEFT(E1803,7)="SUBSOLO",-1,IF(LEFT(E1803,6)="TÉRREO",0,IFERROR(VALUE(LEFT(E1803,FIND("º",SUBSTITUTE(E1803,"°","º"))-1)),""))))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29981165</v>
      </c>
      <c r="C1804" s="4" t="inlineStr">
        <is>
          <t>DISJUNTORES / MIOLOS</t>
        </is>
      </c>
      <c r="D1804" s="4" t="inlineStr">
        <is>
          <t>-</t>
        </is>
      </c>
      <c r="E1804" s="4" t="inlineStr">
        <is>
          <t>17º PAV.</t>
        </is>
      </c>
      <c r="F1804" s="118" t="n">
        <v>46945</v>
      </c>
      <c r="G1804" s="118" t="n">
        <v>46955</v>
      </c>
      <c r="H1804" s="118" t="n">
        <v>46289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IF(E1804="","",IF(LEFT(E1804,7)="SUBSOLO",-1,IF(LEFT(E1804,6)="TÉRREO",0,IFERROR(VALUE(LEFT(E1804,FIND("º",SUBSTITUTE(E1804,"°","º"))-1)),""))))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29981164</v>
      </c>
      <c r="C1805" s="4" t="inlineStr">
        <is>
          <t>COMUNICAÇÃO E ALARME</t>
        </is>
      </c>
      <c r="D1805" s="4" t="inlineStr">
        <is>
          <t>-</t>
        </is>
      </c>
      <c r="E1805" s="4" t="inlineStr">
        <is>
          <t>17º PAV.</t>
        </is>
      </c>
      <c r="F1805" s="118" t="n">
        <v>46945</v>
      </c>
      <c r="G1805" s="118" t="n">
        <v>46955</v>
      </c>
      <c r="H1805" s="118" t="n">
        <v>46289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IF(E1805="","",IF(LEFT(E1805,7)="SUBSOLO",-1,IF(LEFT(E1805,6)="TÉRREO",0,IFERROR(VALUE(LEFT(E1805,FIND("º",SUBSTITUTE(E1805,"°","º"))-1)),""))))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29981123</v>
      </c>
      <c r="C1806" s="4" t="inlineStr">
        <is>
          <t>RODAPÉ MADEIRA / PVC</t>
        </is>
      </c>
      <c r="D1806" s="4" t="inlineStr">
        <is>
          <t>-</t>
        </is>
      </c>
      <c r="E1806" s="4" t="inlineStr">
        <is>
          <t>18º PAV.</t>
        </is>
      </c>
      <c r="F1806" s="118" t="n">
        <v>46945</v>
      </c>
      <c r="G1806" s="118" t="n">
        <v>46955</v>
      </c>
      <c r="H1806" s="118" t="n">
        <v>46289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IF(E1806="","",IF(LEFT(E1806,7)="SUBSOLO",-1,IF(LEFT(E1806,6)="TÉRREO",0,IFERROR(VALUE(LEFT(E1806,FIND("º",SUBSTITUTE(E1806,"°","º"))-1)),""))))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29981048</v>
      </c>
      <c r="C1807" s="4" t="inlineStr">
        <is>
          <t>ESQUADRIA MADEIRA</t>
        </is>
      </c>
      <c r="D1807" s="4" t="inlineStr">
        <is>
          <t>-</t>
        </is>
      </c>
      <c r="E1807" s="4" t="inlineStr">
        <is>
          <t>20º PAV.</t>
        </is>
      </c>
      <c r="F1807" s="118" t="n">
        <v>46945</v>
      </c>
      <c r="G1807" s="118" t="n">
        <v>46955</v>
      </c>
      <c r="H1807" s="118" t="n">
        <v>46289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IF(E1807="","",IF(LEFT(E1807,7)="SUBSOLO",-1,IF(LEFT(E1807,6)="TÉRREO",0,IFERROR(VALUE(LEFT(E1807,FIND("º",SUBSTITUTE(E1807,"°","º"))-1)),""))))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29981010</v>
      </c>
      <c r="C1808" s="4" t="inlineStr">
        <is>
          <t>PISO VINÍLICO / LAMINADO</t>
        </is>
      </c>
      <c r="D1808" s="4" t="inlineStr">
        <is>
          <t>-</t>
        </is>
      </c>
      <c r="E1808" s="4" t="inlineStr">
        <is>
          <t>21º PAV.</t>
        </is>
      </c>
      <c r="F1808" s="118" t="n">
        <v>46945</v>
      </c>
      <c r="G1808" s="118" t="n">
        <v>46955</v>
      </c>
      <c r="H1808" s="118" t="n">
        <v>46289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IF(E1808="","",IF(LEFT(E1808,7)="SUBSOLO",-1,IF(LEFT(E1808,6)="TÉRREO",0,IFERROR(VALUE(LEFT(E1808,FIND("º",SUBSTITUTE(E1808,"°","º"))-1)),""))))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29980972</v>
      </c>
      <c r="C1809" s="4" t="inlineStr">
        <is>
          <t>PINTURA 1º DEMÃO</t>
        </is>
      </c>
      <c r="D1809" s="4" t="inlineStr">
        <is>
          <t>-</t>
        </is>
      </c>
      <c r="E1809" s="4" t="inlineStr">
        <is>
          <t>22º PAV.</t>
        </is>
      </c>
      <c r="F1809" s="118" t="n">
        <v>46945</v>
      </c>
      <c r="G1809" s="118" t="n">
        <v>46955</v>
      </c>
      <c r="H1809" s="118" t="n">
        <v>46289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IF(E1809="","",IF(LEFT(E1809,7)="SUBSOLO",-1,IF(LEFT(E1809,6)="TÉRREO",0,IFERROR(VALUE(LEFT(E1809,FIND("º",SUBSTITUTE(E1809,"°","º"))-1)),""))))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29980961</v>
      </c>
      <c r="C1810" s="4" t="inlineStr">
        <is>
          <t>MASSA CORRIDA</t>
        </is>
      </c>
      <c r="D1810" s="4" t="inlineStr">
        <is>
          <t>-</t>
        </is>
      </c>
      <c r="E1810" s="4" t="inlineStr">
        <is>
          <t>23º PAV.</t>
        </is>
      </c>
      <c r="F1810" s="118" t="n">
        <v>46945</v>
      </c>
      <c r="G1810" s="118" t="n">
        <v>46955</v>
      </c>
      <c r="H1810" s="118" t="n">
        <v>46289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IF(E1810="","",IF(LEFT(E1810,7)="SUBSOLO",-1,IF(LEFT(E1810,6)="TÉRREO",0,IFERROR(VALUE(LEFT(E1810,FIND("º",SUBSTITUTE(E1810,"°","º"))-1)),""))))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33898108</v>
      </c>
      <c r="C1811" s="4" t="inlineStr">
        <is>
          <t>ESQUADRIA DE ALUMÍNIO</t>
        </is>
      </c>
      <c r="D1811" s="4" t="inlineStr">
        <is>
          <t>-</t>
        </is>
      </c>
      <c r="E1811" s="4" t="inlineStr">
        <is>
          <t>24º PAV.</t>
        </is>
      </c>
      <c r="F1811" s="118" t="n">
        <v>46945</v>
      </c>
      <c r="G1811" s="118" t="n">
        <v>46955</v>
      </c>
      <c r="H1811" s="118" t="n">
        <v>46289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IF(E1811="","",IF(LEFT(E1811,7)="SUBSOLO",-1,IF(LEFT(E1811,6)="TÉRREO",0,IFERROR(VALUE(LEFT(E1811,FIND("º",SUBSTITUTE(E1811,"°","º"))-1)),""))))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30205934</v>
      </c>
      <c r="C1812" s="4" t="inlineStr">
        <is>
          <t>PAISAGISMO</t>
        </is>
      </c>
      <c r="D1812" s="4" t="inlineStr">
        <is>
          <t>-</t>
        </is>
      </c>
      <c r="E1812" s="4" t="inlineStr">
        <is>
          <t>2º PAV - GARAGEM</t>
        </is>
      </c>
      <c r="F1812" s="118" t="n">
        <v>46946</v>
      </c>
      <c r="G1812" s="118" t="n">
        <v>46959</v>
      </c>
      <c r="H1812" s="118" t="n">
        <v>46289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IF(E1812="","",IF(LEFT(E1812,7)="SUBSOLO",-1,IF(LEFT(E1812,6)="TÉRREO",0,IFERROR(VALUE(LEFT(E1812,FIND("º",SUBSTITUTE(E1812,"°","º"))-1)),""))))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29980774</v>
      </c>
      <c r="C1813" s="4" t="inlineStr">
        <is>
          <t>FORRO</t>
        </is>
      </c>
      <c r="D1813" s="4" t="inlineStr">
        <is>
          <t>-</t>
        </is>
      </c>
      <c r="E1813" s="4" t="inlineStr">
        <is>
          <t>28º PAV.</t>
        </is>
      </c>
      <c r="F1813" s="118" t="n">
        <v>46946</v>
      </c>
      <c r="G1813" s="118" t="n">
        <v>46958</v>
      </c>
      <c r="H1813" s="118" t="n">
        <v>46289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IF(E1813="","",IF(LEFT(E1813,7)="SUBSOLO",-1,IF(LEFT(E1813,6)="TÉRREO",0,IFERROR(VALUE(LEFT(E1813,FIND("º",SUBSTITUTE(E1813,"°","º"))-1)),""))))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29980735</v>
      </c>
      <c r="C1814" s="4" t="inlineStr">
        <is>
          <t>FIAÇÃO ELÉTRICA</t>
        </is>
      </c>
      <c r="D1814" s="4" t="inlineStr">
        <is>
          <t>-</t>
        </is>
      </c>
      <c r="E1814" s="4" t="inlineStr">
        <is>
          <t>29º PAV.</t>
        </is>
      </c>
      <c r="F1814" s="118" t="n">
        <v>46946</v>
      </c>
      <c r="G1814" s="118" t="n">
        <v>46958</v>
      </c>
      <c r="H1814" s="118" t="n">
        <v>46289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IF(E1814="","",IF(LEFT(E1814,7)="SUBSOLO",-1,IF(LEFT(E1814,6)="TÉRREO",0,IFERROR(VALUE(LEFT(E1814,FIND("º",SUBSTITUTE(E1814,"°","º"))-1)),""))))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29980740</v>
      </c>
      <c r="C1815" s="4" t="inlineStr">
        <is>
          <t>PRUMADA ELÉTRICA - CABOS</t>
        </is>
      </c>
      <c r="D1815" s="4" t="inlineStr">
        <is>
          <t>-</t>
        </is>
      </c>
      <c r="E1815" s="4" t="inlineStr">
        <is>
          <t>29º PAV.</t>
        </is>
      </c>
      <c r="F1815" s="118" t="n">
        <v>46946</v>
      </c>
      <c r="G1815" s="118" t="n">
        <v>46958</v>
      </c>
      <c r="H1815" s="118" t="n">
        <v>46289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IF(E1815="","",IF(LEFT(E1815,7)="SUBSOLO",-1,IF(LEFT(E1815,6)="TÉRREO",0,IFERROR(VALUE(LEFT(E1815,FIND("º",SUBSTITUTE(E1815,"°","º"))-1)),""))))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30214091</v>
      </c>
      <c r="C1816" s="4" t="inlineStr">
        <is>
          <t>FIAÇÃO TELECOM/DADOS</t>
        </is>
      </c>
      <c r="D1816" s="4" t="inlineStr">
        <is>
          <t>-</t>
        </is>
      </c>
      <c r="E1816" s="4" t="inlineStr">
        <is>
          <t>29º PAV.</t>
        </is>
      </c>
      <c r="F1816" s="118" t="n">
        <v>46946</v>
      </c>
      <c r="G1816" s="118" t="n">
        <v>46959</v>
      </c>
      <c r="H1816" s="118" t="n">
        <v>46289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IF(E1816="","",IF(LEFT(E1816,7)="SUBSOLO",-1,IF(LEFT(E1816,6)="TÉRREO",0,IFERROR(VALUE(LEFT(E1816,FIND("º",SUBSTITUTE(E1816,"°","º"))-1)),""))))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29980682</v>
      </c>
      <c r="C1817" s="4" t="inlineStr">
        <is>
          <t>BANCADAS</t>
        </is>
      </c>
      <c r="D1817" s="4" t="inlineStr">
        <is>
          <t>-</t>
        </is>
      </c>
      <c r="E1817" s="4" t="inlineStr">
        <is>
          <t>30º PAV.</t>
        </is>
      </c>
      <c r="F1817" s="118" t="n">
        <v>46946</v>
      </c>
      <c r="G1817" s="118" t="n">
        <v>46958</v>
      </c>
      <c r="H1817" s="118" t="n">
        <v>46289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IF(E1817="","",IF(LEFT(E1817,7)="SUBSOLO",-1,IF(LEFT(E1817,6)="TÉRREO",0,IFERROR(VALUE(LEFT(E1817,FIND("º",SUBSTITUTE(E1817,"°","º"))-1)),""))))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29980644</v>
      </c>
      <c r="C1818" s="4" t="inlineStr">
        <is>
          <t>REVESTIMENTOS PORCELANATO PISO</t>
        </is>
      </c>
      <c r="D1818" s="4" t="inlineStr">
        <is>
          <t>-</t>
        </is>
      </c>
      <c r="E1818" s="4" t="inlineStr">
        <is>
          <t>31º PAV. - COBERTURA LINEAR</t>
        </is>
      </c>
      <c r="F1818" s="118" t="n">
        <v>46946</v>
      </c>
      <c r="G1818" s="118" t="n">
        <v>46958</v>
      </c>
      <c r="H1818" s="118" t="n">
        <v>46289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IF(E1818="","",IF(LEFT(E1818,7)="SUBSOLO",-1,IF(LEFT(E1818,6)="TÉRREO",0,IFERROR(VALUE(LEFT(E1818,FIND("º",SUBSTITUTE(E1818,"°","º"))-1)),""))))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29980623</v>
      </c>
      <c r="C1819" s="4" t="inlineStr">
        <is>
          <t>REVESTIMENTO PORCELANATO PAREDE</t>
        </is>
      </c>
      <c r="D1819" s="4" t="inlineStr">
        <is>
          <t>-</t>
        </is>
      </c>
      <c r="E1819" s="4" t="inlineStr">
        <is>
          <t>32º PAV - COBERTURA GERAL</t>
        </is>
      </c>
      <c r="F1819" s="118" t="n">
        <v>46946</v>
      </c>
      <c r="G1819" s="118" t="n">
        <v>46958</v>
      </c>
      <c r="H1819" s="118" t="n">
        <v>46289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IF(E1819="","",IF(LEFT(E1819,7)="SUBSOLO",-1,IF(LEFT(E1819,6)="TÉRREO",0,IFERROR(VALUE(LEFT(E1819,FIND("º",SUBSTITUTE(E1819,"°","º"))-1)),""))))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30205780</v>
      </c>
      <c r="C1820" s="4" t="inlineStr">
        <is>
          <t>DISJUNTORES / MIOLOS</t>
        </is>
      </c>
      <c r="D1820" s="4" t="inlineStr">
        <is>
          <t>-</t>
        </is>
      </c>
      <c r="E1820" s="4" t="inlineStr">
        <is>
          <t>TÉRREO - ACESSO COMERCIAL + DML + ARS + ÁREA TEC + LAVABO + DISPENSA</t>
        </is>
      </c>
      <c r="F1820" s="118" t="n">
        <v>46947</v>
      </c>
      <c r="G1820" s="118" t="n">
        <v>46953</v>
      </c>
      <c r="H1820" s="118" t="n">
        <v>46289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IF(E1820="","",IF(LEFT(E1820,7)="SUBSOLO",-1,IF(LEFT(E1820,6)="TÉRREO",0,IFERROR(VALUE(LEFT(E1820,FIND("º",SUBSTITUTE(E1820,"°","º"))-1)),""))))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30205809</v>
      </c>
      <c r="C1821" s="4" t="inlineStr">
        <is>
          <t>ESQUADRIA MADEIRA</t>
        </is>
      </c>
      <c r="D1821" s="4" t="inlineStr">
        <is>
          <t>-</t>
        </is>
      </c>
      <c r="E1821" s="4" t="inlineStr">
        <is>
          <t>TÉRREO - HALL SOCIAL + ECLUSA + CIRCULAÇÃO</t>
        </is>
      </c>
      <c r="F1821" s="118" t="n">
        <v>46947</v>
      </c>
      <c r="G1821" s="118" t="n">
        <v>46960</v>
      </c>
      <c r="H1821" s="118" t="n">
        <v>46289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IF(E1821="","",IF(LEFT(E1821,7)="SUBSOLO",-1,IF(LEFT(E1821,6)="TÉRREO",0,IFERROR(VALUE(LEFT(E1821,FIND("º",SUBSTITUTE(E1821,"°","º"))-1)),""))))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30205808</v>
      </c>
      <c r="C1822" s="4" t="inlineStr">
        <is>
          <t>LOUÇAS</t>
        </is>
      </c>
      <c r="D1822" s="4" t="inlineStr">
        <is>
          <t>-</t>
        </is>
      </c>
      <c r="E1822" s="4" t="inlineStr">
        <is>
          <t>TÉRREO - HALL SOCIAL + ECLUSA + CIRCULAÇÃO</t>
        </is>
      </c>
      <c r="F1822" s="118" t="n">
        <v>46947</v>
      </c>
      <c r="G1822" s="118" t="n">
        <v>46960</v>
      </c>
      <c r="H1822" s="118" t="n">
        <v>46289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IF(E1822="","",IF(LEFT(E1822,7)="SUBSOLO",-1,IF(LEFT(E1822,6)="TÉRREO",0,IFERROR(VALUE(LEFT(E1822,FIND("º",SUBSTITUTE(E1822,"°","º"))-1)),""))))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30205806</v>
      </c>
      <c r="C1823" s="4" t="inlineStr">
        <is>
          <t>METAIS</t>
        </is>
      </c>
      <c r="D1823" s="4" t="inlineStr">
        <is>
          <t>-</t>
        </is>
      </c>
      <c r="E1823" s="4" t="inlineStr">
        <is>
          <t>TÉRREO - HALL SOCIAL + ECLUSA + CIRCULAÇÃO</t>
        </is>
      </c>
      <c r="F1823" s="118" t="n">
        <v>46947</v>
      </c>
      <c r="G1823" s="118" t="n">
        <v>46960</v>
      </c>
      <c r="H1823" s="118" t="n">
        <v>46289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IF(E1823="","",IF(LEFT(E1823,7)="SUBSOLO",-1,IF(LEFT(E1823,6)="TÉRREO",0,IFERROR(VALUE(LEFT(E1823,FIND("º",SUBSTITUTE(E1823,"°","º"))-1)),""))))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30171523</v>
      </c>
      <c r="C1824" s="4" t="inlineStr">
        <is>
          <t>REVESTIMENTOS PORCELANATO PISO</t>
        </is>
      </c>
      <c r="D1824" s="4" t="inlineStr">
        <is>
          <t>-</t>
        </is>
      </c>
      <c r="E1824" s="4" t="inlineStr">
        <is>
          <t>HALL - GARAGENS</t>
        </is>
      </c>
      <c r="F1824" s="118" t="n">
        <v>46947</v>
      </c>
      <c r="G1824" s="118" t="n">
        <v>46960</v>
      </c>
      <c r="H1824" s="118" t="n">
        <v>46289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IF(E1824="","",IF(LEFT(E1824,7)="SUBSOLO",-1,IF(LEFT(E1824,6)="TÉRREO",0,IFERROR(VALUE(LEFT(E1824,FIND("º",SUBSTITUTE(E1824,"°","º"))-1)),""))))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32749862</v>
      </c>
      <c r="C1825" s="4" t="inlineStr">
        <is>
          <t>DRYWALL 1º FACE</t>
        </is>
      </c>
      <c r="D1825" s="4" t="inlineStr">
        <is>
          <t>-</t>
        </is>
      </c>
      <c r="E1825" s="4" t="inlineStr">
        <is>
          <t>19º PAV.</t>
        </is>
      </c>
      <c r="F1825" s="118" t="n">
        <v>46947</v>
      </c>
      <c r="G1825" s="118" t="n">
        <v>46959</v>
      </c>
      <c r="H1825" s="118" t="n">
        <v>46289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IF(E1825="","",IF(LEFT(E1825,7)="SUBSOLO",-1,IF(LEFT(E1825,6)="TÉRREO",0,IFERROR(VALUE(LEFT(E1825,FIND("º",SUBSTITUTE(E1825,"°","º"))-1)),""))))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30214095</v>
      </c>
      <c r="C1826" s="4" t="inlineStr">
        <is>
          <t>FIAÇÃO TELECOM/DADOS</t>
        </is>
      </c>
      <c r="D1826" s="4" t="inlineStr">
        <is>
          <t>-</t>
        </is>
      </c>
      <c r="E1826" s="4" t="inlineStr">
        <is>
          <t>33º PAV - BARRILETE</t>
        </is>
      </c>
      <c r="F1826" s="118" t="n">
        <v>46947</v>
      </c>
      <c r="G1826" s="118" t="n">
        <v>46967</v>
      </c>
      <c r="H1826" s="118" t="n">
        <v>46289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IF(E1826="","",IF(LEFT(E1826,7)="SUBSOLO",-1,IF(LEFT(E1826,6)="TÉRREO",0,IFERROR(VALUE(LEFT(E1826,FIND("º",SUBSTITUTE(E1826,"°","º"))-1)),""))))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30206129</v>
      </c>
      <c r="C1827" s="4" t="inlineStr">
        <is>
          <t>MASSA CORRIDA</t>
        </is>
      </c>
      <c r="D1827" s="4" t="inlineStr">
        <is>
          <t>-</t>
        </is>
      </c>
      <c r="E1827" s="4" t="inlineStr">
        <is>
          <t>6º PAV (PILOTIS) - ACADEMIA</t>
        </is>
      </c>
      <c r="F1827" s="118" t="n">
        <v>46948</v>
      </c>
      <c r="G1827" s="118" t="n">
        <v>46961</v>
      </c>
      <c r="H1827" s="118" t="n">
        <v>46289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IF(E1827="","",IF(LEFT(E1827,7)="SUBSOLO",-1,IF(LEFT(E1827,6)="TÉRREO",0,IFERROR(VALUE(LEFT(E1827,FIND("º",SUBSTITUTE(E1827,"°","º"))-1)),""))))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30206090</v>
      </c>
      <c r="C1828" s="4" t="inlineStr">
        <is>
          <t>FORRO</t>
        </is>
      </c>
      <c r="D1828" s="4" t="inlineStr">
        <is>
          <t>-</t>
        </is>
      </c>
      <c r="E1828" s="4" t="inlineStr">
        <is>
          <t>6º PAV (PILOTIS) - SAUNA + DUCHA</t>
        </is>
      </c>
      <c r="F1828" s="118" t="n">
        <v>46948</v>
      </c>
      <c r="G1828" s="118" t="n">
        <v>46961</v>
      </c>
      <c r="H1828" s="118" t="n">
        <v>46289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IF(E1828="","",IF(LEFT(E1828,7)="SUBSOLO",-1,IF(LEFT(E1828,6)="TÉRREO",0,IFERROR(VALUE(LEFT(E1828,FIND("º",SUBSTITUTE(E1828,"°","º"))-1)),""))))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30206035</v>
      </c>
      <c r="C1829" s="4" t="inlineStr">
        <is>
          <t>BANCADAS</t>
        </is>
      </c>
      <c r="D1829" s="4" t="inlineStr">
        <is>
          <t>-</t>
        </is>
      </c>
      <c r="E1829" s="4" t="inlineStr">
        <is>
          <t>6º PAV (PILOTIS) - CHURRASQUEIRA + IS MASC. PCD + IS FEM. PCD + CIRCULAÇÃO 1 + HALL 1</t>
        </is>
      </c>
      <c r="F1829" s="118" t="n">
        <v>46948</v>
      </c>
      <c r="G1829" s="118" t="n">
        <v>46961</v>
      </c>
      <c r="H1829" s="118" t="n">
        <v>46289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IF(E1829="","",IF(LEFT(E1829,7)="SUBSOLO",-1,IF(LEFT(E1829,6)="TÉRREO",0,IFERROR(VALUE(LEFT(E1829,FIND("º",SUBSTITUTE(E1829,"°","º"))-1)),""))))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30205997</v>
      </c>
      <c r="C1830" s="4" t="inlineStr">
        <is>
          <t>REVESTIMENTOS PORCELANATO PISO</t>
        </is>
      </c>
      <c r="D1830" s="4" t="inlineStr">
        <is>
          <t>-</t>
        </is>
      </c>
      <c r="E1830" s="4" t="inlineStr">
        <is>
          <t>6º PAV (PILOTIS) - COWORKING 1 E 2 + CIRC. 2 + HALL 2 + DML + VEST. MASC. + VEST. FEM</t>
        </is>
      </c>
      <c r="F1830" s="118" t="n">
        <v>46948</v>
      </c>
      <c r="G1830" s="118" t="n">
        <v>46961</v>
      </c>
      <c r="H1830" s="118" t="n">
        <v>46289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IF(E1830="","",IF(LEFT(E1830,7)="SUBSOLO",-1,IF(LEFT(E1830,6)="TÉRREO",0,IFERROR(VALUE(LEFT(E1830,FIND("º",SUBSTITUTE(E1830,"°","º"))-1)),""))))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30205976</v>
      </c>
      <c r="C1831" s="4" t="inlineStr">
        <is>
          <t>REVESTIMENTO PORCELANATO PAREDE</t>
        </is>
      </c>
      <c r="D1831" s="4" t="inlineStr">
        <is>
          <t>-</t>
        </is>
      </c>
      <c r="E1831" s="4" t="inlineStr">
        <is>
          <t>6º PAV (PILOTIS) - LOUNGE + SALÃO + COZINHA + GOURMET + ESPAÇO KIDS</t>
        </is>
      </c>
      <c r="F1831" s="118" t="n">
        <v>46948</v>
      </c>
      <c r="G1831" s="118" t="n">
        <v>46961</v>
      </c>
      <c r="H1831" s="118" t="n">
        <v>46289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IF(E1831="","",IF(LEFT(E1831,7)="SUBSOLO",-1,IF(LEFT(E1831,6)="TÉRREO",0,IFERROR(VALUE(LEFT(E1831,FIND("º",SUBSTITUTE(E1831,"°","º"))-1)),""))))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33896917</v>
      </c>
      <c r="C1832" s="4" t="inlineStr">
        <is>
          <t>INFRAESTRUTURA - AR CONDICIONADO</t>
        </is>
      </c>
      <c r="D1832" s="4" t="inlineStr">
        <is>
          <t>-</t>
        </is>
      </c>
      <c r="E1832" s="4" t="inlineStr">
        <is>
          <t>6º PAV (PILOTIS) - LOUNGE + SALÃO + COZINHA + GOURMET + ESPAÇO KIDS</t>
        </is>
      </c>
      <c r="F1832" s="118" t="n">
        <v>46948</v>
      </c>
      <c r="G1832" s="118" t="n">
        <v>46961</v>
      </c>
      <c r="H1832" s="118" t="n">
        <v>46289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IF(E1832="","",IF(LEFT(E1832,7)="SUBSOLO",-1,IF(LEFT(E1832,6)="TÉRREO",0,IFERROR(VALUE(LEFT(E1832,FIND("º",SUBSTITUTE(E1832,"°","º"))-1)),""))))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30211211</v>
      </c>
      <c r="C1833" s="4" t="inlineStr">
        <is>
          <t>REVESTIMENTO ACABAMENTO</t>
        </is>
      </c>
      <c r="D1833" s="4" t="inlineStr">
        <is>
          <t>-</t>
        </is>
      </c>
      <c r="E1833" s="4" t="inlineStr">
        <is>
          <t>34º PAV - RESERVATÓRIO</t>
        </is>
      </c>
      <c r="F1833" s="118" t="n">
        <v>46951</v>
      </c>
      <c r="G1833" s="118" t="n">
        <v>46969</v>
      </c>
      <c r="H1833" s="118" t="n">
        <v>46289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IF(E1833="","",IF(LEFT(E1833,7)="SUBSOLO",-1,IF(LEFT(E1833,6)="TÉRREO",0,IFERROR(VALUE(LEFT(E1833,FIND("º",SUBSTITUTE(E1833,"°","º"))-1)),""))))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30205655</v>
      </c>
      <c r="C1834" s="4" t="inlineStr">
        <is>
          <t>CHECKLIST</t>
        </is>
      </c>
      <c r="D1834" s="4" t="inlineStr">
        <is>
          <t>-</t>
        </is>
      </c>
      <c r="E1834" s="4" t="inlineStr">
        <is>
          <t>TÉRREO - LOJA 3</t>
        </is>
      </c>
      <c r="F1834" s="118" t="n">
        <v>46952</v>
      </c>
      <c r="G1834" s="118" t="n">
        <v>46958</v>
      </c>
      <c r="H1834" s="118" t="n">
        <v>46289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IF(E1834="","",IF(LEFT(E1834,7)="SUBSOLO",-1,IF(LEFT(E1834,6)="TÉRREO",0,IFERROR(VALUE(LEFT(E1834,FIND("º",SUBSTITUTE(E1834,"°","º"))-1)),""))))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30205624</v>
      </c>
      <c r="C1835" s="4" t="inlineStr">
        <is>
          <t>LIMPEZA FINA</t>
        </is>
      </c>
      <c r="D1835" s="4" t="inlineStr">
        <is>
          <t>-</t>
        </is>
      </c>
      <c r="E1835" s="4" t="inlineStr">
        <is>
          <t>TÉRREO - LOJA 4</t>
        </is>
      </c>
      <c r="F1835" s="118" t="n">
        <v>46952</v>
      </c>
      <c r="G1835" s="118" t="n">
        <v>46965</v>
      </c>
      <c r="H1835" s="118" t="n">
        <v>46289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IF(E1835="","",IF(LEFT(E1835,7)="SUBSOLO",-1,IF(LEFT(E1835,6)="TÉRREO",0,IFERROR(VALUE(LEFT(E1835,FIND("º",SUBSTITUTE(E1835,"°","º"))-1)),""))))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30205587</v>
      </c>
      <c r="C1836" s="4" t="inlineStr">
        <is>
          <t>ACABAMENTOS ELÉTRICOS</t>
        </is>
      </c>
      <c r="D1836" s="4" t="inlineStr">
        <is>
          <t>-</t>
        </is>
      </c>
      <c r="E1836" s="4" t="inlineStr">
        <is>
          <t>TÉRREO - LOJA 5</t>
        </is>
      </c>
      <c r="F1836" s="118" t="n">
        <v>46952</v>
      </c>
      <c r="G1836" s="118" t="n">
        <v>46965</v>
      </c>
      <c r="H1836" s="118" t="n">
        <v>46289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IF(E1836="","",IF(LEFT(E1836,7)="SUBSOLO",-1,IF(LEFT(E1836,6)="TÉRREO",0,IFERROR(VALUE(LEFT(E1836,FIND("º",SUBSTITUTE(E1836,"°","º"))-1)),""))))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30205559</v>
      </c>
      <c r="C1837" s="4" t="inlineStr">
        <is>
          <t>PINTURA 2º DEMÃO</t>
        </is>
      </c>
      <c r="D1837" s="4" t="inlineStr">
        <is>
          <t>-</t>
        </is>
      </c>
      <c r="E1837" s="4" t="inlineStr">
        <is>
          <t>TÉRREO - LOJA 6</t>
        </is>
      </c>
      <c r="F1837" s="118" t="n">
        <v>46952</v>
      </c>
      <c r="G1837" s="118" t="n">
        <v>46965</v>
      </c>
      <c r="H1837" s="118" t="n">
        <v>46289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IF(E1837="","",IF(LEFT(E1837,7)="SUBSOLO",-1,IF(LEFT(E1837,6)="TÉRREO",0,IFERROR(VALUE(LEFT(E1837,FIND("º",SUBSTITUTE(E1837,"°","º"))-1)),""))))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30205545</v>
      </c>
      <c r="C1838" s="4" t="inlineStr">
        <is>
          <t>LIMPEZA GROSSA</t>
        </is>
      </c>
      <c r="D1838" s="4" t="inlineStr">
        <is>
          <t>-</t>
        </is>
      </c>
      <c r="E1838" s="4" t="inlineStr">
        <is>
          <t>TÉRREO - LOJA 7</t>
        </is>
      </c>
      <c r="F1838" s="118" t="n">
        <v>46952</v>
      </c>
      <c r="G1838" s="118" t="n">
        <v>46965</v>
      </c>
      <c r="H1838" s="118" t="n">
        <v>46289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IF(E1838="","",IF(LEFT(E1838,7)="SUBSOLO",-1,IF(LEFT(E1838,6)="TÉRREO",0,IFERROR(VALUE(LEFT(E1838,FIND("º",SUBSTITUTE(E1838,"°","º"))-1)),""))))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29981365</v>
      </c>
      <c r="C1839" s="4" t="inlineStr">
        <is>
          <t>LIMPEZA FINA</t>
        </is>
      </c>
      <c r="D1839" s="4" t="inlineStr">
        <is>
          <t>-</t>
        </is>
      </c>
      <c r="E1839" s="4" t="inlineStr">
        <is>
          <t>12º PAV.</t>
        </is>
      </c>
      <c r="F1839" s="118" t="n">
        <v>46952</v>
      </c>
      <c r="G1839" s="118" t="n">
        <v>46962</v>
      </c>
      <c r="H1839" s="118" t="n">
        <v>46289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IF(E1839="","",IF(LEFT(E1839,7)="SUBSOLO",-1,IF(LEFT(E1839,6)="TÉRREO",0,IFERROR(VALUE(LEFT(E1839,FIND("º",SUBSTITUTE(E1839,"°","º"))-1)),""))))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29981318</v>
      </c>
      <c r="C1840" s="4" t="inlineStr">
        <is>
          <t>PINTURA 3º DEMÃO</t>
        </is>
      </c>
      <c r="D1840" s="4" t="inlineStr">
        <is>
          <t>-</t>
        </is>
      </c>
      <c r="E1840" s="4" t="inlineStr">
        <is>
          <t>13º PAV.</t>
        </is>
      </c>
      <c r="F1840" s="118" t="n">
        <v>46952</v>
      </c>
      <c r="G1840" s="118" t="n">
        <v>46962</v>
      </c>
      <c r="H1840" s="118" t="n">
        <v>46289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IF(E1840="","",IF(LEFT(E1840,7)="SUBSOLO",-1,IF(LEFT(E1840,6)="TÉRREO",0,IFERROR(VALUE(LEFT(E1840,FIND("º",SUBSTITUTE(E1840,"°","º"))-1)),""))))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30205799</v>
      </c>
      <c r="C1841" s="4" t="inlineStr">
        <is>
          <t>LIMPEZA GROSSA</t>
        </is>
      </c>
      <c r="D1841" s="4" t="inlineStr">
        <is>
          <t>-</t>
        </is>
      </c>
      <c r="E1841" s="4" t="inlineStr">
        <is>
          <t>TÉRREO - ACESSO COMERCIAL + DML + ARS + ÁREA TEC + LAVABO + DISPENSA</t>
        </is>
      </c>
      <c r="F1841" s="118" t="n">
        <v>46954</v>
      </c>
      <c r="G1841" s="118" t="n">
        <v>46967</v>
      </c>
      <c r="H1841" s="118" t="n">
        <v>46289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IF(E1841="","",IF(LEFT(E1841,7)="SUBSOLO",-1,IF(LEFT(E1841,6)="TÉRREO",0,IFERROR(VALUE(LEFT(E1841,FIND("º",SUBSTITUTE(E1841,"°","º"))-1)),""))))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31791440</v>
      </c>
      <c r="C1842" s="4" t="inlineStr">
        <is>
          <t>PEITORIS E REQUADROS DE FACHADA - F5 (2º ETAPA)</t>
        </is>
      </c>
      <c r="D1842" s="4" t="inlineStr">
        <is>
          <t>-</t>
        </is>
      </c>
      <c r="E1842" s="4" t="inlineStr">
        <is>
          <t>FACHADA</t>
        </is>
      </c>
      <c r="F1842" s="118" t="n">
        <v>46954</v>
      </c>
      <c r="G1842" s="118" t="n">
        <v>46982</v>
      </c>
      <c r="H1842" s="118" t="n">
        <v>46289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IF(E1842="","",IF(LEFT(E1842,7)="SUBSOLO",-1,IF(LEFT(E1842,6)="TÉRREO",0,IFERROR(VALUE(LEFT(E1842,FIND("º",SUBSTITUTE(E1842,"°","º"))-1)),""))))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29981280</v>
      </c>
      <c r="C1843" s="4" t="inlineStr">
        <is>
          <t>CHECKLIST</t>
        </is>
      </c>
      <c r="D1843" s="4" t="inlineStr">
        <is>
          <t>-</t>
        </is>
      </c>
      <c r="E1843" s="4" t="inlineStr">
        <is>
          <t>14º PAV.</t>
        </is>
      </c>
      <c r="F1843" s="118" t="n">
        <v>46958</v>
      </c>
      <c r="G1843" s="118" t="n">
        <v>46962</v>
      </c>
      <c r="H1843" s="118" t="n">
        <v>46289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IF(E1843="","",IF(LEFT(E1843,7)="SUBSOLO",-1,IF(LEFT(E1843,6)="TÉRREO",0,IFERROR(VALUE(LEFT(E1843,FIND("º",SUBSTITUTE(E1843,"°","º"))-1)),""))))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29981245</v>
      </c>
      <c r="C1844" s="4" t="inlineStr">
        <is>
          <t>ACABAMENTOS ELÉTRICOS</t>
        </is>
      </c>
      <c r="D1844" s="4" t="inlineStr">
        <is>
          <t>-</t>
        </is>
      </c>
      <c r="E1844" s="4" t="inlineStr">
        <is>
          <t>15º PAV.</t>
        </is>
      </c>
      <c r="F1844" s="118" t="n">
        <v>46958</v>
      </c>
      <c r="G1844" s="118" t="n">
        <v>46968</v>
      </c>
      <c r="H1844" s="118" t="n">
        <v>46289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IF(E1844="","",IF(LEFT(E1844,7)="SUBSOLO",-1,IF(LEFT(E1844,6)="TÉRREO",0,IFERROR(VALUE(LEFT(E1844,FIND("º",SUBSTITUTE(E1844,"°","º"))-1)),""))))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29981205</v>
      </c>
      <c r="C1845" s="4" t="inlineStr">
        <is>
          <t>PINTURA 2º DEMÃO</t>
        </is>
      </c>
      <c r="D1845" s="4" t="inlineStr">
        <is>
          <t>-</t>
        </is>
      </c>
      <c r="E1845" s="4" t="inlineStr">
        <is>
          <t>16º PAV.</t>
        </is>
      </c>
      <c r="F1845" s="118" t="n">
        <v>46958</v>
      </c>
      <c r="G1845" s="118" t="n">
        <v>46968</v>
      </c>
      <c r="H1845" s="118" t="n">
        <v>46289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IF(E1845="","",IF(LEFT(E1845,7)="SUBSOLO",-1,IF(LEFT(E1845,6)="TÉRREO",0,IFERROR(VALUE(LEFT(E1845,FIND("º",SUBSTITUTE(E1845,"°","º"))-1)),""))))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33919794</v>
      </c>
      <c r="C1846" s="4" t="inlineStr">
        <is>
          <t>TEXTURA - EXTERNA</t>
        </is>
      </c>
      <c r="D1846" s="4" t="inlineStr">
        <is>
          <t>-</t>
        </is>
      </c>
      <c r="E1846" s="4" t="inlineStr">
        <is>
          <t>16º PAV.</t>
        </is>
      </c>
      <c r="F1846" s="118" t="n">
        <v>46958</v>
      </c>
      <c r="G1846" s="118" t="n">
        <v>46968</v>
      </c>
      <c r="H1846" s="118" t="n">
        <v>46289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IF(E1846="","",IF(LEFT(E1846,7)="SUBSOLO",-1,IF(LEFT(E1846,6)="TÉRREO",0,IFERROR(VALUE(LEFT(E1846,FIND("º",SUBSTITUTE(E1846,"°","º"))-1)),""))))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29981167</v>
      </c>
      <c r="C1847" s="4" t="inlineStr">
        <is>
          <t>LIMPEZA GROSSA</t>
        </is>
      </c>
      <c r="D1847" s="4" t="inlineStr">
        <is>
          <t>-</t>
        </is>
      </c>
      <c r="E1847" s="4" t="inlineStr">
        <is>
          <t>17º PAV.</t>
        </is>
      </c>
      <c r="F1847" s="118" t="n">
        <v>46958</v>
      </c>
      <c r="G1847" s="118" t="n">
        <v>46968</v>
      </c>
      <c r="H1847" s="118" t="n">
        <v>46289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IF(E1847="","",IF(LEFT(E1847,7)="SUBSOLO",-1,IF(LEFT(E1847,6)="TÉRREO",0,IFERROR(VALUE(LEFT(E1847,FIND("º",SUBSTITUTE(E1847,"°","º"))-1)),""))))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29981124</v>
      </c>
      <c r="C1848" s="4" t="inlineStr">
        <is>
          <t>LOUÇAS</t>
        </is>
      </c>
      <c r="D1848" s="4" t="inlineStr">
        <is>
          <t>-</t>
        </is>
      </c>
      <c r="E1848" s="4" t="inlineStr">
        <is>
          <t>18º PAV.</t>
        </is>
      </c>
      <c r="F1848" s="118" t="n">
        <v>46958</v>
      </c>
      <c r="G1848" s="118" t="n">
        <v>46968</v>
      </c>
      <c r="H1848" s="118" t="n">
        <v>46289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IF(E1848="","",IF(LEFT(E1848,7)="SUBSOLO",-1,IF(LEFT(E1848,6)="TÉRREO",0,IFERROR(VALUE(LEFT(E1848,FIND("º",SUBSTITUTE(E1848,"°","º"))-1)),""))))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29981129</v>
      </c>
      <c r="C1849" s="4" t="inlineStr">
        <is>
          <t>METAIS</t>
        </is>
      </c>
      <c r="D1849" s="4" t="inlineStr">
        <is>
          <t>-</t>
        </is>
      </c>
      <c r="E1849" s="4" t="inlineStr">
        <is>
          <t>18º PAV.</t>
        </is>
      </c>
      <c r="F1849" s="118" t="n">
        <v>46958</v>
      </c>
      <c r="G1849" s="118" t="n">
        <v>46968</v>
      </c>
      <c r="H1849" s="118" t="n">
        <v>46289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IF(E1849="","",IF(LEFT(E1849,7)="SUBSOLO",-1,IF(LEFT(E1849,6)="TÉRREO",0,IFERROR(VALUE(LEFT(E1849,FIND("º",SUBSTITUTE(E1849,"°","º"))-1)),""))))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29981128</v>
      </c>
      <c r="C1850" s="4" t="inlineStr">
        <is>
          <t>DISJUNTORES / MIOLOS</t>
        </is>
      </c>
      <c r="D1850" s="4" t="inlineStr">
        <is>
          <t>-</t>
        </is>
      </c>
      <c r="E1850" s="4" t="inlineStr">
        <is>
          <t>18º PAV.</t>
        </is>
      </c>
      <c r="F1850" s="118" t="n">
        <v>46958</v>
      </c>
      <c r="G1850" s="118" t="n">
        <v>46968</v>
      </c>
      <c r="H1850" s="118" t="n">
        <v>46289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IF(E1850="","",IF(LEFT(E1850,7)="SUBSOLO",-1,IF(LEFT(E1850,6)="TÉRREO",0,IFERROR(VALUE(LEFT(E1850,FIND("º",SUBSTITUTE(E1850,"°","º"))-1)),""))))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29981127</v>
      </c>
      <c r="C1851" s="4" t="inlineStr">
        <is>
          <t>COMUNICAÇÃO E ALARME</t>
        </is>
      </c>
      <c r="D1851" s="4" t="inlineStr">
        <is>
          <t>-</t>
        </is>
      </c>
      <c r="E1851" s="4" t="inlineStr">
        <is>
          <t>18º PAV.</t>
        </is>
      </c>
      <c r="F1851" s="118" t="n">
        <v>46958</v>
      </c>
      <c r="G1851" s="118" t="n">
        <v>46968</v>
      </c>
      <c r="H1851" s="118" t="n">
        <v>46289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IF(E1851="","",IF(LEFT(E1851,7)="SUBSOLO",-1,IF(LEFT(E1851,6)="TÉRREO",0,IFERROR(VALUE(LEFT(E1851,FIND("º",SUBSTITUTE(E1851,"°","º"))-1)),""))))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29981049</v>
      </c>
      <c r="C1852" s="4" t="inlineStr">
        <is>
          <t>RODAPÉ MADEIRA / PVC</t>
        </is>
      </c>
      <c r="D1852" s="4" t="inlineStr">
        <is>
          <t>-</t>
        </is>
      </c>
      <c r="E1852" s="4" t="inlineStr">
        <is>
          <t>20º PAV.</t>
        </is>
      </c>
      <c r="F1852" s="118" t="n">
        <v>46958</v>
      </c>
      <c r="G1852" s="118" t="n">
        <v>46968</v>
      </c>
      <c r="H1852" s="118" t="n">
        <v>46289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IF(E1852="","",IF(LEFT(E1852,7)="SUBSOLO",-1,IF(LEFT(E1852,6)="TÉRREO",0,IFERROR(VALUE(LEFT(E1852,FIND("º",SUBSTITUTE(E1852,"°","º"))-1)),""))))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29981011</v>
      </c>
      <c r="C1853" s="4" t="inlineStr">
        <is>
          <t>ESQUADRIA MADEIRA</t>
        </is>
      </c>
      <c r="D1853" s="4" t="inlineStr">
        <is>
          <t>-</t>
        </is>
      </c>
      <c r="E1853" s="4" t="inlineStr">
        <is>
          <t>21º PAV.</t>
        </is>
      </c>
      <c r="F1853" s="118" t="n">
        <v>46958</v>
      </c>
      <c r="G1853" s="118" t="n">
        <v>46968</v>
      </c>
      <c r="H1853" s="118" t="n">
        <v>46289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IF(E1853="","",IF(LEFT(E1853,7)="SUBSOLO",-1,IF(LEFT(E1853,6)="TÉRREO",0,IFERROR(VALUE(LEFT(E1853,FIND("º",SUBSTITUTE(E1853,"°","º"))-1)),""))))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29980973</v>
      </c>
      <c r="C1854" s="4" t="inlineStr">
        <is>
          <t>PISO VINÍLICO / LAMINADO</t>
        </is>
      </c>
      <c r="D1854" s="4" t="inlineStr">
        <is>
          <t>-</t>
        </is>
      </c>
      <c r="E1854" s="4" t="inlineStr">
        <is>
          <t>22º PAV.</t>
        </is>
      </c>
      <c r="F1854" s="118" t="n">
        <v>46958</v>
      </c>
      <c r="G1854" s="118" t="n">
        <v>46968</v>
      </c>
      <c r="H1854" s="118" t="n">
        <v>46289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IF(E1854="","",IF(LEFT(E1854,7)="SUBSOLO",-1,IF(LEFT(E1854,6)="TÉRREO",0,IFERROR(VALUE(LEFT(E1854,FIND("º",SUBSTITUTE(E1854,"°","º"))-1)),""))))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29980935</v>
      </c>
      <c r="C1855" s="4" t="inlineStr">
        <is>
          <t>PINTURA 1º DEMÃO</t>
        </is>
      </c>
      <c r="D1855" s="4" t="inlineStr">
        <is>
          <t>-</t>
        </is>
      </c>
      <c r="E1855" s="4" t="inlineStr">
        <is>
          <t>23º PAV.</t>
        </is>
      </c>
      <c r="F1855" s="118" t="n">
        <v>46958</v>
      </c>
      <c r="G1855" s="118" t="n">
        <v>46968</v>
      </c>
      <c r="H1855" s="118" t="n">
        <v>46289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IF(E1855="","",IF(LEFT(E1855,7)="SUBSOLO",-1,IF(LEFT(E1855,6)="TÉRREO",0,IFERROR(VALUE(LEFT(E1855,FIND("º",SUBSTITUTE(E1855,"°","º"))-1)),""))))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29980924</v>
      </c>
      <c r="C1856" s="4" t="inlineStr">
        <is>
          <t>MASSA CORRIDA</t>
        </is>
      </c>
      <c r="D1856" s="4" t="inlineStr">
        <is>
          <t>-</t>
        </is>
      </c>
      <c r="E1856" s="4" t="inlineStr">
        <is>
          <t>24º PAV.</t>
        </is>
      </c>
      <c r="F1856" s="118" t="n">
        <v>46958</v>
      </c>
      <c r="G1856" s="118" t="n">
        <v>46968</v>
      </c>
      <c r="H1856" s="118" t="n">
        <v>46289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IF(E1856="","",IF(LEFT(E1856,7)="SUBSOLO",-1,IF(LEFT(E1856,6)="TÉRREO",0,IFERROR(VALUE(LEFT(E1856,FIND("º",SUBSTITUTE(E1856,"°","º"))-1)),""))))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33898109</v>
      </c>
      <c r="C1857" s="4" t="inlineStr">
        <is>
          <t>ESQUADRIA DE ALUMÍNIO</t>
        </is>
      </c>
      <c r="D1857" s="4" t="inlineStr">
        <is>
          <t>-</t>
        </is>
      </c>
      <c r="E1857" s="4" t="inlineStr">
        <is>
          <t>25º PAV.</t>
        </is>
      </c>
      <c r="F1857" s="118" t="n">
        <v>46958</v>
      </c>
      <c r="G1857" s="118" t="n">
        <v>46968</v>
      </c>
      <c r="H1857" s="118" t="n">
        <v>46289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IF(E1857="","",IF(LEFT(E1857,7)="SUBSOLO",-1,IF(LEFT(E1857,6)="TÉRREO",0,IFERROR(VALUE(LEFT(E1857,FIND("º",SUBSTITUTE(E1857,"°","º"))-1)),""))))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30210377</v>
      </c>
      <c r="C1858" s="4" t="inlineStr">
        <is>
          <t>MONTAGEM - BOILERS E AQUECEDORES</t>
        </is>
      </c>
      <c r="D1858" s="4" t="inlineStr">
        <is>
          <t>-</t>
        </is>
      </c>
      <c r="E1858" s="4" t="inlineStr">
        <is>
          <t>33º PAV - BARRILETE</t>
        </is>
      </c>
      <c r="F1858" s="118" t="n">
        <v>46958</v>
      </c>
      <c r="G1858" s="118" t="n">
        <v>46988</v>
      </c>
      <c r="H1858" s="118" t="n">
        <v>46289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IF(E1858="","",IF(LEFT(E1858,7)="SUBSOLO",-1,IF(LEFT(E1858,6)="TÉRREO",0,IFERROR(VALUE(LEFT(E1858,FIND("º",SUBSTITUTE(E1858,"°","º"))-1)),""))))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29980737</v>
      </c>
      <c r="C1859" s="4" t="inlineStr">
        <is>
          <t>FORRO</t>
        </is>
      </c>
      <c r="D1859" s="4" t="inlineStr">
        <is>
          <t>-</t>
        </is>
      </c>
      <c r="E1859" s="4" t="inlineStr">
        <is>
          <t>29º PAV.</t>
        </is>
      </c>
      <c r="F1859" s="118" t="n">
        <v>46959</v>
      </c>
      <c r="G1859" s="118" t="n">
        <v>46969</v>
      </c>
      <c r="H1859" s="118" t="n">
        <v>46289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IF(E1859="","",IF(LEFT(E1859,7)="SUBSOLO",-1,IF(LEFT(E1859,6)="TÉRREO",0,IFERROR(VALUE(LEFT(E1859,FIND("º",SUBSTITUTE(E1859,"°","º"))-1)),""))))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29980698</v>
      </c>
      <c r="C1860" s="4" t="inlineStr">
        <is>
          <t>FIAÇÃO ELÉTRICA</t>
        </is>
      </c>
      <c r="D1860" s="4" t="inlineStr">
        <is>
          <t>-</t>
        </is>
      </c>
      <c r="E1860" s="4" t="inlineStr">
        <is>
          <t>30º PAV.</t>
        </is>
      </c>
      <c r="F1860" s="118" t="n">
        <v>46959</v>
      </c>
      <c r="G1860" s="118" t="n">
        <v>46969</v>
      </c>
      <c r="H1860" s="118" t="n">
        <v>46289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IF(E1860="","",IF(LEFT(E1860,7)="SUBSOLO",-1,IF(LEFT(E1860,6)="TÉRREO",0,IFERROR(VALUE(LEFT(E1860,FIND("º",SUBSTITUTE(E1860,"°","º"))-1)),""))))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29980703</v>
      </c>
      <c r="C1861" s="4" t="inlineStr">
        <is>
          <t>PRUMADA ELÉTRICA - CABOS</t>
        </is>
      </c>
      <c r="D1861" s="4" t="inlineStr">
        <is>
          <t>-</t>
        </is>
      </c>
      <c r="E1861" s="4" t="inlineStr">
        <is>
          <t>30º PAV.</t>
        </is>
      </c>
      <c r="F1861" s="118" t="n">
        <v>46959</v>
      </c>
      <c r="G1861" s="118" t="n">
        <v>46969</v>
      </c>
      <c r="H1861" s="118" t="n">
        <v>46289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IF(E1861="","",IF(LEFT(E1861,7)="SUBSOLO",-1,IF(LEFT(E1861,6)="TÉRREO",0,IFERROR(VALUE(LEFT(E1861,FIND("º",SUBSTITUTE(E1861,"°","º"))-1)),""))))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30214092</v>
      </c>
      <c r="C1862" s="4" t="inlineStr">
        <is>
          <t>FIAÇÃO TELECOM/DADOS</t>
        </is>
      </c>
      <c r="D1862" s="4" t="inlineStr">
        <is>
          <t>-</t>
        </is>
      </c>
      <c r="E1862" s="4" t="inlineStr">
        <is>
          <t>30º PAV.</t>
        </is>
      </c>
      <c r="F1862" s="118" t="n">
        <v>46959</v>
      </c>
      <c r="G1862" s="118" t="n">
        <v>46972</v>
      </c>
      <c r="H1862" s="118" t="n">
        <v>46289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IF(E1862="","",IF(LEFT(E1862,7)="SUBSOLO",-1,IF(LEFT(E1862,6)="TÉRREO",0,IFERROR(VALUE(LEFT(E1862,FIND("º",SUBSTITUTE(E1862,"°","º"))-1)),""))))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29980645</v>
      </c>
      <c r="C1863" s="4" t="inlineStr">
        <is>
          <t>BANCADAS</t>
        </is>
      </c>
      <c r="D1863" s="4" t="inlineStr">
        <is>
          <t>-</t>
        </is>
      </c>
      <c r="E1863" s="4" t="inlineStr">
        <is>
          <t>31º PAV. - COBERTURA LINEAR</t>
        </is>
      </c>
      <c r="F1863" s="118" t="n">
        <v>46959</v>
      </c>
      <c r="G1863" s="118" t="n">
        <v>46969</v>
      </c>
      <c r="H1863" s="118" t="n">
        <v>46289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IF(E1863="","",IF(LEFT(E1863,7)="SUBSOLO",-1,IF(LEFT(E1863,6)="TÉRREO",0,IFERROR(VALUE(LEFT(E1863,FIND("º",SUBSTITUTE(E1863,"°","º"))-1)),""))))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29980607</v>
      </c>
      <c r="C1864" s="4" t="inlineStr">
        <is>
          <t>REVESTIMENTOS PORCELANATO PISO</t>
        </is>
      </c>
      <c r="D1864" s="4" t="inlineStr">
        <is>
          <t>-</t>
        </is>
      </c>
      <c r="E1864" s="4" t="inlineStr">
        <is>
          <t>32º PAV - COBERTURA GERAL</t>
        </is>
      </c>
      <c r="F1864" s="118" t="n">
        <v>46959</v>
      </c>
      <c r="G1864" s="118" t="n">
        <v>46969</v>
      </c>
      <c r="H1864" s="118" t="n">
        <v>46289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IF(E1864="","",IF(LEFT(E1864,7)="SUBSOLO",-1,IF(LEFT(E1864,6)="TÉRREO",0,IFERROR(VALUE(LEFT(E1864,FIND("º",SUBSTITUTE(E1864,"°","º"))-1)),""))))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30205938</v>
      </c>
      <c r="C1865" s="4" t="inlineStr">
        <is>
          <t>BRISE</t>
        </is>
      </c>
      <c r="D1865" s="4" t="inlineStr">
        <is>
          <t>-</t>
        </is>
      </c>
      <c r="E1865" s="4" t="inlineStr">
        <is>
          <t>2º PAV - GARAGEM</t>
        </is>
      </c>
      <c r="F1865" s="118" t="n">
        <v>46960</v>
      </c>
      <c r="G1865" s="118" t="n">
        <v>46973</v>
      </c>
      <c r="H1865" s="118" t="n">
        <v>46289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IF(E1865="","",IF(LEFT(E1865,7)="SUBSOLO",-1,IF(LEFT(E1865,6)="TÉRREO",0,IFERROR(VALUE(LEFT(E1865,FIND("º",SUBSTITUTE(E1865,"°","º"))-1)),""))))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30205935</v>
      </c>
      <c r="C1866" s="4" t="inlineStr">
        <is>
          <t>PAISAGISMO</t>
        </is>
      </c>
      <c r="D1866" s="4" t="inlineStr">
        <is>
          <t>-</t>
        </is>
      </c>
      <c r="E1866" s="4" t="inlineStr">
        <is>
          <t>3º PAV - GARAGEM</t>
        </is>
      </c>
      <c r="F1866" s="118" t="n">
        <v>46960</v>
      </c>
      <c r="G1866" s="118" t="n">
        <v>46973</v>
      </c>
      <c r="H1866" s="118" t="n">
        <v>46289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IF(E1866="","",IF(LEFT(E1866,7)="SUBSOLO",-1,IF(LEFT(E1866,6)="TÉRREO",0,IFERROR(VALUE(LEFT(E1866,FIND("º",SUBSTITUTE(E1866,"°","º"))-1)),""))))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32750367</v>
      </c>
      <c r="C1867" s="4" t="inlineStr">
        <is>
          <t>DISTRIBUIÇÃO DE GÁS - DRYWALL</t>
        </is>
      </c>
      <c r="D1867" s="4" t="inlineStr">
        <is>
          <t>-</t>
        </is>
      </c>
      <c r="E1867" s="4" t="inlineStr">
        <is>
          <t>19º PAV.</t>
        </is>
      </c>
      <c r="F1867" s="118" t="n">
        <v>46960</v>
      </c>
      <c r="G1867" s="118" t="n">
        <v>46972</v>
      </c>
      <c r="H1867" s="118" t="n">
        <v>46289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IF(E1867="","",IF(LEFT(E1867,7)="SUBSOLO",-1,IF(LEFT(E1867,6)="TÉRREO",0,IFERROR(VALUE(LEFT(E1867,FIND("º",SUBSTITUTE(E1867,"°","º"))-1)),""))))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32750393</v>
      </c>
      <c r="C1868" s="4" t="inlineStr">
        <is>
          <t>DISTRIBUIÇÃO ELÉTRICA/QUADRO - DRYWALL</t>
        </is>
      </c>
      <c r="D1868" s="4" t="inlineStr">
        <is>
          <t>-</t>
        </is>
      </c>
      <c r="E1868" s="4" t="inlineStr">
        <is>
          <t>19º PAV.</t>
        </is>
      </c>
      <c r="F1868" s="118" t="n">
        <v>46960</v>
      </c>
      <c r="G1868" s="118" t="n">
        <v>46972</v>
      </c>
      <c r="H1868" s="118" t="n">
        <v>46289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IF(E1868="","",IF(LEFT(E1868,7)="SUBSOLO",-1,IF(LEFT(E1868,6)="TÉRREO",0,IFERROR(VALUE(LEFT(E1868,FIND("º",SUBSTITUTE(E1868,"°","º"))-1)),""))))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32750419</v>
      </c>
      <c r="C1869" s="4" t="inlineStr">
        <is>
          <t>DISTRIBUIÇÃO HIDRÁULICA - DRYWALL</t>
        </is>
      </c>
      <c r="D1869" s="4" t="inlineStr">
        <is>
          <t>-</t>
        </is>
      </c>
      <c r="E1869" s="4" t="inlineStr">
        <is>
          <t>19º PAV.</t>
        </is>
      </c>
      <c r="F1869" s="118" t="n">
        <v>46960</v>
      </c>
      <c r="G1869" s="118" t="n">
        <v>46972</v>
      </c>
      <c r="H1869" s="118" t="n">
        <v>46289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IF(E1869="","",IF(LEFT(E1869,7)="SUBSOLO",-1,IF(LEFT(E1869,6)="TÉRREO",0,IFERROR(VALUE(LEFT(E1869,FIND("º",SUBSTITUTE(E1869,"°","º"))-1)),""))))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33896837</v>
      </c>
      <c r="C1870" s="4" t="inlineStr">
        <is>
          <t>INFRAESTRUTURA - AR CONDICIONADO</t>
        </is>
      </c>
      <c r="D1870" s="4" t="inlineStr">
        <is>
          <t>-</t>
        </is>
      </c>
      <c r="E1870" s="4" t="inlineStr">
        <is>
          <t>19º PAV.</t>
        </is>
      </c>
      <c r="F1870" s="118" t="n">
        <v>46960</v>
      </c>
      <c r="G1870" s="118" t="n">
        <v>46972</v>
      </c>
      <c r="H1870" s="118" t="n">
        <v>46289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IF(E1870="","",IF(LEFT(E1870,7)="SUBSOLO",-1,IF(LEFT(E1870,6)="TÉRREO",0,IFERROR(VALUE(LEFT(E1870,FIND("º",SUBSTITUTE(E1870,"°","º"))-1)),""))))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30205807</v>
      </c>
      <c r="C1871" s="4" t="inlineStr">
        <is>
          <t>DISJUNTORES / MIOLOS</t>
        </is>
      </c>
      <c r="D1871" s="4" t="inlineStr">
        <is>
          <t>-</t>
        </is>
      </c>
      <c r="E1871" s="4" t="inlineStr">
        <is>
          <t>TÉRREO - HALL SOCIAL + ECLUSA + CIRCULAÇÃO</t>
        </is>
      </c>
      <c r="F1871" s="118" t="n">
        <v>46961</v>
      </c>
      <c r="G1871" s="118" t="n">
        <v>46967</v>
      </c>
      <c r="H1871" s="118" t="n">
        <v>46289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IF(E1871="","",IF(LEFT(E1871,7)="SUBSOLO",-1,IF(LEFT(E1871,6)="TÉRREO",0,IFERROR(VALUE(LEFT(E1871,FIND("º",SUBSTITUTE(E1871,"°","º"))-1)),""))))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30205840</v>
      </c>
      <c r="C1872" s="4" t="inlineStr">
        <is>
          <t>ESQUADRIA MADEIRA</t>
        </is>
      </c>
      <c r="D1872" s="4" t="inlineStr">
        <is>
          <t>-</t>
        </is>
      </c>
      <c r="E1872" s="4" t="inlineStr">
        <is>
          <t>1º PAV. (INTERMEDIÁRIO)</t>
        </is>
      </c>
      <c r="F1872" s="118" t="n">
        <v>46961</v>
      </c>
      <c r="G1872" s="118" t="n">
        <v>46974</v>
      </c>
      <c r="H1872" s="118" t="n">
        <v>46289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IF(E1872="","",IF(LEFT(E1872,7)="SUBSOLO",-1,IF(LEFT(E1872,6)="TÉRREO",0,IFERROR(VALUE(LEFT(E1872,FIND("º",SUBSTITUTE(E1872,"°","º"))-1)),""))))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30205839</v>
      </c>
      <c r="C1873" s="4" t="inlineStr">
        <is>
          <t>LOUÇAS</t>
        </is>
      </c>
      <c r="D1873" s="4" t="inlineStr">
        <is>
          <t>-</t>
        </is>
      </c>
      <c r="E1873" s="4" t="inlineStr">
        <is>
          <t>1º PAV. (INTERMEDIÁRIO)</t>
        </is>
      </c>
      <c r="F1873" s="118" t="n">
        <v>46961</v>
      </c>
      <c r="G1873" s="118" t="n">
        <v>46974</v>
      </c>
      <c r="H1873" s="118" t="n">
        <v>46289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IF(E1873="","",IF(LEFT(E1873,7)="SUBSOLO",-1,IF(LEFT(E1873,6)="TÉRREO",0,IFERROR(VALUE(LEFT(E1873,FIND("º",SUBSTITUTE(E1873,"°","º"))-1)),""))))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30205837</v>
      </c>
      <c r="C1874" s="4" t="inlineStr">
        <is>
          <t>METAIS</t>
        </is>
      </c>
      <c r="D1874" s="4" t="inlineStr">
        <is>
          <t>-</t>
        </is>
      </c>
      <c r="E1874" s="4" t="inlineStr">
        <is>
          <t>1º PAV. (INTERMEDIÁRIO)</t>
        </is>
      </c>
      <c r="F1874" s="118" t="n">
        <v>46961</v>
      </c>
      <c r="G1874" s="118" t="n">
        <v>46974</v>
      </c>
      <c r="H1874" s="118" t="n">
        <v>46289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IF(E1874="","",IF(LEFT(E1874,7)="SUBSOLO",-1,IF(LEFT(E1874,6)="TÉRREO",0,IFERROR(VALUE(LEFT(E1874,FIND("º",SUBSTITUTE(E1874,"°","º"))-1)),""))))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30206103</v>
      </c>
      <c r="C1875" s="4" t="inlineStr">
        <is>
          <t>PINTURA 1º DEMÃO</t>
        </is>
      </c>
      <c r="D1875" s="4" t="inlineStr">
        <is>
          <t>-</t>
        </is>
      </c>
      <c r="E1875" s="4" t="inlineStr">
        <is>
          <t>6º PAV (PILOTIS) - ACADEMIA</t>
        </is>
      </c>
      <c r="F1875" s="118" t="n">
        <v>46962</v>
      </c>
      <c r="G1875" s="118" t="n">
        <v>46975</v>
      </c>
      <c r="H1875" s="118" t="n">
        <v>46289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IF(E1875="","",IF(LEFT(E1875,7)="SUBSOLO",-1,IF(LEFT(E1875,6)="TÉRREO",0,IFERROR(VALUE(LEFT(E1875,FIND("º",SUBSTITUTE(E1875,"°","º"))-1)),""))))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33904059</v>
      </c>
      <c r="C1876" s="4" t="inlineStr">
        <is>
          <t>ESQUADRIA DE ALUMÍNIO</t>
        </is>
      </c>
      <c r="D1876" s="4" t="inlineStr">
        <is>
          <t>-</t>
        </is>
      </c>
      <c r="E1876" s="4" t="inlineStr">
        <is>
          <t>6º PAV (PILOTIS) - SAUNA + DUCHA</t>
        </is>
      </c>
      <c r="F1876" s="118" t="n">
        <v>46962</v>
      </c>
      <c r="G1876" s="118" t="n">
        <v>46975</v>
      </c>
      <c r="H1876" s="118" t="n">
        <v>46289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IF(E1876="","",IF(LEFT(E1876,7)="SUBSOLO",-1,IF(LEFT(E1876,6)="TÉRREO",0,IFERROR(VALUE(LEFT(E1876,FIND("º",SUBSTITUTE(E1876,"°","º"))-1)),""))))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30206051</v>
      </c>
      <c r="C1877" s="4" t="inlineStr">
        <is>
          <t>FIAÇÃO ELÉTRICA</t>
        </is>
      </c>
      <c r="D1877" s="4" t="inlineStr">
        <is>
          <t>-</t>
        </is>
      </c>
      <c r="E1877" s="4" t="inlineStr">
        <is>
          <t>6º PAV (PILOTIS) - CHURRASQUEIRA + IS MASC. PCD + IS FEM. PCD + CIRCULAÇÃO 1 + HALL 1</t>
        </is>
      </c>
      <c r="F1877" s="118" t="n">
        <v>46962</v>
      </c>
      <c r="G1877" s="118" t="n">
        <v>46975</v>
      </c>
      <c r="H1877" s="118" t="n">
        <v>46289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IF(E1877="","",IF(LEFT(E1877,7)="SUBSOLO",-1,IF(LEFT(E1877,6)="TÉRREO",0,IFERROR(VALUE(LEFT(E1877,FIND("º",SUBSTITUTE(E1877,"°","º"))-1)),""))))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30214066</v>
      </c>
      <c r="C1878" s="4" t="inlineStr">
        <is>
          <t>FIAÇÃO TELECOM/DADOS</t>
        </is>
      </c>
      <c r="D1878" s="4" t="inlineStr">
        <is>
          <t>-</t>
        </is>
      </c>
      <c r="E1878" s="4" t="inlineStr">
        <is>
          <t>6º PAV (PILOTIS) - CHURRASQUEIRA + IS MASC. PCD + IS FEM. PCD + CIRCULAÇÃO 1 + HALL 1</t>
        </is>
      </c>
      <c r="F1878" s="118" t="n">
        <v>46962</v>
      </c>
      <c r="G1878" s="118" t="n">
        <v>46975</v>
      </c>
      <c r="H1878" s="118" t="n">
        <v>46289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IF(E1878="","",IF(LEFT(E1878,7)="SUBSOLO",-1,IF(LEFT(E1878,6)="TÉRREO",0,IFERROR(VALUE(LEFT(E1878,FIND("º",SUBSTITUTE(E1878,"°","º"))-1)),""))))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30205998</v>
      </c>
      <c r="C1879" s="4" t="inlineStr">
        <is>
          <t>BANCADAS</t>
        </is>
      </c>
      <c r="D1879" s="4" t="inlineStr">
        <is>
          <t>-</t>
        </is>
      </c>
      <c r="E1879" s="4" t="inlineStr">
        <is>
          <t>6º PAV (PILOTIS) - COWORKING 1 E 2 + CIRC. 2 + HALL 2 + DML + VEST. MASC. + VEST. FEM</t>
        </is>
      </c>
      <c r="F1879" s="118" t="n">
        <v>46962</v>
      </c>
      <c r="G1879" s="118" t="n">
        <v>46975</v>
      </c>
      <c r="H1879" s="118" t="n">
        <v>46289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IF(E1879="","",IF(LEFT(E1879,7)="SUBSOLO",-1,IF(LEFT(E1879,6)="TÉRREO",0,IFERROR(VALUE(LEFT(E1879,FIND("º",SUBSTITUTE(E1879,"°","º"))-1)),""))))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30205960</v>
      </c>
      <c r="C1880" s="4" t="inlineStr">
        <is>
          <t>REVESTIMENTOS PORCELANATO PISO</t>
        </is>
      </c>
      <c r="D1880" s="4" t="inlineStr">
        <is>
          <t>-</t>
        </is>
      </c>
      <c r="E1880" s="4" t="inlineStr">
        <is>
          <t>6º PAV (PILOTIS) - LOUNGE + SALÃO + COZINHA + GOURMET + ESPAÇO KIDS</t>
        </is>
      </c>
      <c r="F1880" s="118" t="n">
        <v>46962</v>
      </c>
      <c r="G1880" s="118" t="n">
        <v>46975</v>
      </c>
      <c r="H1880" s="118" t="n">
        <v>46289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IF(E1880="","",IF(LEFT(E1880,7)="SUBSOLO",-1,IF(LEFT(E1880,6)="TÉRREO",0,IFERROR(VALUE(LEFT(E1880,FIND("º",SUBSTITUTE(E1880,"°","º"))-1)),""))))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30171386</v>
      </c>
      <c r="C1881" s="4" t="inlineStr">
        <is>
          <t>DISJUNTORES / MIOLOS</t>
        </is>
      </c>
      <c r="D1881" s="4" t="inlineStr">
        <is>
          <t>-</t>
        </is>
      </c>
      <c r="E1881" s="4" t="inlineStr">
        <is>
          <t>5º PAV - GARAGEM</t>
        </is>
      </c>
      <c r="F1881" s="118" t="n">
        <v>46965</v>
      </c>
      <c r="G1881" s="118" t="n">
        <v>46993</v>
      </c>
      <c r="H1881" s="118" t="n">
        <v>46289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IF(E1881="","",IF(LEFT(E1881,7)="SUBSOLO",-1,IF(LEFT(E1881,6)="TÉRREO",0,IFERROR(VALUE(LEFT(E1881,FIND("º",SUBSTITUTE(E1881,"°","º"))-1)),""))))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30171383</v>
      </c>
      <c r="C1882" s="4" t="inlineStr">
        <is>
          <t>INSTALAÇÃO DE LUMINÁRIAS E SENSORES</t>
        </is>
      </c>
      <c r="D1882" s="4" t="inlineStr">
        <is>
          <t>-</t>
        </is>
      </c>
      <c r="E1882" s="4" t="inlineStr">
        <is>
          <t>5º PAV - GARAGEM</t>
        </is>
      </c>
      <c r="F1882" s="118" t="n">
        <v>46965</v>
      </c>
      <c r="G1882" s="118" t="n">
        <v>46993</v>
      </c>
      <c r="H1882" s="118" t="n">
        <v>46289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IF(E1882="","",IF(LEFT(E1882,7)="SUBSOLO",-1,IF(LEFT(E1882,6)="TÉRREO",0,IFERROR(VALUE(LEFT(E1882,FIND("º",SUBSTITUTE(E1882,"°","º"))-1)),""))))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29981328</v>
      </c>
      <c r="C1883" s="4" t="inlineStr">
        <is>
          <t>LIMPEZA FINA</t>
        </is>
      </c>
      <c r="D1883" s="4" t="inlineStr">
        <is>
          <t>-</t>
        </is>
      </c>
      <c r="E1883" s="4" t="inlineStr">
        <is>
          <t>13º PAV.</t>
        </is>
      </c>
      <c r="F1883" s="118" t="n">
        <v>46965</v>
      </c>
      <c r="G1883" s="118" t="n">
        <v>46975</v>
      </c>
      <c r="H1883" s="118" t="n">
        <v>46289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IF(E1883="","",IF(LEFT(E1883,7)="SUBSOLO",-1,IF(LEFT(E1883,6)="TÉRREO",0,IFERROR(VALUE(LEFT(E1883,FIND("º",SUBSTITUTE(E1883,"°","º"))-1)),""))))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29981281</v>
      </c>
      <c r="C1884" s="4" t="inlineStr">
        <is>
          <t>PINTURA 3º DEMÃO</t>
        </is>
      </c>
      <c r="D1884" s="4" t="inlineStr">
        <is>
          <t>-</t>
        </is>
      </c>
      <c r="E1884" s="4" t="inlineStr">
        <is>
          <t>14º PAV.</t>
        </is>
      </c>
      <c r="F1884" s="118" t="n">
        <v>46965</v>
      </c>
      <c r="G1884" s="118" t="n">
        <v>46975</v>
      </c>
      <c r="H1884" s="118" t="n">
        <v>46289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IF(E1884="","",IF(LEFT(E1884,7)="SUBSOLO",-1,IF(LEFT(E1884,6)="TÉRREO",0,IFERROR(VALUE(LEFT(E1884,FIND("º",SUBSTITUTE(E1884,"°","º"))-1)),""))))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30205628</v>
      </c>
      <c r="C1885" s="4" t="inlineStr">
        <is>
          <t>CHECKLIST</t>
        </is>
      </c>
      <c r="D1885" s="4" t="inlineStr">
        <is>
          <t>-</t>
        </is>
      </c>
      <c r="E1885" s="4" t="inlineStr">
        <is>
          <t>TÉRREO - LOJA 4</t>
        </is>
      </c>
      <c r="F1885" s="118" t="n">
        <v>46966</v>
      </c>
      <c r="G1885" s="118" t="n">
        <v>46972</v>
      </c>
      <c r="H1885" s="118" t="n">
        <v>46289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IF(E1885="","",IF(LEFT(E1885,7)="SUBSOLO",-1,IF(LEFT(E1885,6)="TÉRREO",0,IFERROR(VALUE(LEFT(E1885,FIND("º",SUBSTITUTE(E1885,"°","º"))-1)),""))))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30205597</v>
      </c>
      <c r="C1886" s="4" t="inlineStr">
        <is>
          <t>LIMPEZA FINA</t>
        </is>
      </c>
      <c r="D1886" s="4" t="inlineStr">
        <is>
          <t>-</t>
        </is>
      </c>
      <c r="E1886" s="4" t="inlineStr">
        <is>
          <t>TÉRREO - LOJA 5</t>
        </is>
      </c>
      <c r="F1886" s="118" t="n">
        <v>46966</v>
      </c>
      <c r="G1886" s="118" t="n">
        <v>46979</v>
      </c>
      <c r="H1886" s="118" t="n">
        <v>46289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IF(E1886="","",IF(LEFT(E1886,7)="SUBSOLO",-1,IF(LEFT(E1886,6)="TÉRREO",0,IFERROR(VALUE(LEFT(E1886,FIND("º",SUBSTITUTE(E1886,"°","º"))-1)),""))))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30205560</v>
      </c>
      <c r="C1887" s="4" t="inlineStr">
        <is>
          <t>ACABAMENTOS ELÉTRICOS</t>
        </is>
      </c>
      <c r="D1887" s="4" t="inlineStr">
        <is>
          <t>-</t>
        </is>
      </c>
      <c r="E1887" s="4" t="inlineStr">
        <is>
          <t>TÉRREO - LOJA 6</t>
        </is>
      </c>
      <c r="F1887" s="118" t="n">
        <v>46966</v>
      </c>
      <c r="G1887" s="118" t="n">
        <v>46979</v>
      </c>
      <c r="H1887" s="118" t="n">
        <v>46289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IF(E1887="","",IF(LEFT(E1887,7)="SUBSOLO",-1,IF(LEFT(E1887,6)="TÉRREO",0,IFERROR(VALUE(LEFT(E1887,FIND("º",SUBSTITUTE(E1887,"°","º"))-1)),""))))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30205532</v>
      </c>
      <c r="C1888" s="4" t="inlineStr">
        <is>
          <t>PINTURA 2º DEMÃO</t>
        </is>
      </c>
      <c r="D1888" s="4" t="inlineStr">
        <is>
          <t>-</t>
        </is>
      </c>
      <c r="E1888" s="4" t="inlineStr">
        <is>
          <t>TÉRREO - LOJA 7</t>
        </is>
      </c>
      <c r="F1888" s="118" t="n">
        <v>46966</v>
      </c>
      <c r="G1888" s="118" t="n">
        <v>46979</v>
      </c>
      <c r="H1888" s="118" t="n">
        <v>46289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IF(E1888="","",IF(LEFT(E1888,7)="SUBSOLO",-1,IF(LEFT(E1888,6)="TÉRREO",0,IFERROR(VALUE(LEFT(E1888,FIND("º",SUBSTITUTE(E1888,"°","º"))-1)),""))))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30171527</v>
      </c>
      <c r="C1889" s="4" t="inlineStr">
        <is>
          <t>FORRO</t>
        </is>
      </c>
      <c r="D1889" s="4" t="inlineStr">
        <is>
          <t>-</t>
        </is>
      </c>
      <c r="E1889" s="4" t="inlineStr">
        <is>
          <t>HALL - GARAGENS</t>
        </is>
      </c>
      <c r="F1889" s="118" t="n">
        <v>46967</v>
      </c>
      <c r="G1889" s="118" t="n">
        <v>46981</v>
      </c>
      <c r="H1889" s="118" t="n">
        <v>46289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IF(E1889="","",IF(LEFT(E1889,7)="SUBSOLO",-1,IF(LEFT(E1889,6)="TÉRREO",0,IFERROR(VALUE(LEFT(E1889,FIND("º",SUBSTITUTE(E1889,"°","º"))-1)),""))))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30208612</v>
      </c>
      <c r="C1890" s="4" t="inlineStr">
        <is>
          <t>INSTALAÇÃO DE LUMINÁRIAS</t>
        </is>
      </c>
      <c r="D1890" s="4" t="inlineStr">
        <is>
          <t>-</t>
        </is>
      </c>
      <c r="E1890" s="4" t="inlineStr">
        <is>
          <t>6º PAV (PILOTIS) - PISCINA + PRAINHA + DECK</t>
        </is>
      </c>
      <c r="F1890" s="118" t="n">
        <v>46967</v>
      </c>
      <c r="G1890" s="118" t="n">
        <v>46973</v>
      </c>
      <c r="H1890" s="118" t="n">
        <v>46289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IF(E1890="","",IF(LEFT(E1890,7)="SUBSOLO",-1,IF(LEFT(E1890,6)="TÉRREO",0,IFERROR(VALUE(LEFT(E1890,FIND("º",SUBSTITUTE(E1890,"°","º"))-1)),""))))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30209538</v>
      </c>
      <c r="C1891" s="4" t="inlineStr">
        <is>
          <t>EQUIPAMENTOS - PISCINA</t>
        </is>
      </c>
      <c r="D1891" s="4" t="inlineStr">
        <is>
          <t>-</t>
        </is>
      </c>
      <c r="E1891" s="4" t="inlineStr">
        <is>
          <t>6º PAV (PILOTIS) - PISCINA + PRAINHA + DECK</t>
        </is>
      </c>
      <c r="F1891" s="118" t="n">
        <v>46967</v>
      </c>
      <c r="G1891" s="118" t="n">
        <v>46997</v>
      </c>
      <c r="H1891" s="118" t="n">
        <v>46289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IF(E1891="","",IF(LEFT(E1891,7)="SUBSOLO",-1,IF(LEFT(E1891,6)="TÉRREO",0,IFERROR(VALUE(LEFT(E1891,FIND("º",SUBSTITUTE(E1891,"°","º"))-1)),""))))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30205786</v>
      </c>
      <c r="C1892" s="4" t="inlineStr">
        <is>
          <t>PINTURA 2º DEMÃO</t>
        </is>
      </c>
      <c r="D1892" s="4" t="inlineStr">
        <is>
          <t>-</t>
        </is>
      </c>
      <c r="E1892" s="4" t="inlineStr">
        <is>
          <t>TÉRREO - ACESSO COMERCIAL + DML + ARS + ÁREA TEC + LAVABO + DISPENSA</t>
        </is>
      </c>
      <c r="F1892" s="118" t="n">
        <v>46968</v>
      </c>
      <c r="G1892" s="118" t="n">
        <v>46989</v>
      </c>
      <c r="H1892" s="118" t="n">
        <v>46289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IF(E1892="","",IF(LEFT(E1892,7)="SUBSOLO",-1,IF(LEFT(E1892,6)="TÉRREO",0,IFERROR(VALUE(LEFT(E1892,FIND("º",SUBSTITUTE(E1892,"°","º"))-1)),""))))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30205826</v>
      </c>
      <c r="C1893" s="4" t="inlineStr">
        <is>
          <t>LIMPEZA GROSSA</t>
        </is>
      </c>
      <c r="D1893" s="4" t="inlineStr">
        <is>
          <t>-</t>
        </is>
      </c>
      <c r="E1893" s="4" t="inlineStr">
        <is>
          <t>TÉRREO - HALL SOCIAL + ECLUSA + CIRCULAÇÃO</t>
        </is>
      </c>
      <c r="F1893" s="118" t="n">
        <v>46968</v>
      </c>
      <c r="G1893" s="118" t="n">
        <v>46982</v>
      </c>
      <c r="H1893" s="118" t="n">
        <v>46289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IF(E1893="","",IF(LEFT(E1893,7)="SUBSOLO",-1,IF(LEFT(E1893,6)="TÉRREO",0,IFERROR(VALUE(LEFT(E1893,FIND("º",SUBSTITUTE(E1893,"°","º"))-1)),""))))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30214417</v>
      </c>
      <c r="C1894" s="4" t="inlineStr">
        <is>
          <t>SPDA</t>
        </is>
      </c>
      <c r="D1894" s="4" t="inlineStr">
        <is>
          <t>-</t>
        </is>
      </c>
      <c r="E1894" s="4" t="inlineStr">
        <is>
          <t>33º PAV - BARRILETE</t>
        </is>
      </c>
      <c r="F1894" s="118" t="n">
        <v>46968</v>
      </c>
      <c r="G1894" s="118" t="n">
        <v>46982</v>
      </c>
      <c r="H1894" s="118" t="n">
        <v>46289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IF(E1894="","",IF(LEFT(E1894,7)="SUBSOLO",-1,IF(LEFT(E1894,6)="TÉRREO",0,IFERROR(VALUE(LEFT(E1894,FIND("º",SUBSTITUTE(E1894,"°","º"))-1)),""))))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31800969</v>
      </c>
      <c r="C1895" s="4" t="inlineStr">
        <is>
          <t>TRATAMENTO DE CONCRETO APARENTE - F3 + F4</t>
        </is>
      </c>
      <c r="D1895" s="4" t="inlineStr">
        <is>
          <t>-</t>
        </is>
      </c>
      <c r="E1895" s="4" t="inlineStr">
        <is>
          <t>FACHADA</t>
        </is>
      </c>
      <c r="F1895" s="118" t="n">
        <v>46968</v>
      </c>
      <c r="G1895" s="118" t="n">
        <v>46996</v>
      </c>
      <c r="H1895" s="118" t="n">
        <v>46289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IF(E1895="","",IF(LEFT(E1895,7)="SUBSOLO",-1,IF(LEFT(E1895,6)="TÉRREO",0,IFERROR(VALUE(LEFT(E1895,FIND("º",SUBSTITUTE(E1895,"°","º"))-1)),""))))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29981243</v>
      </c>
      <c r="C1896" s="4" t="inlineStr">
        <is>
          <t>CHECKLIST</t>
        </is>
      </c>
      <c r="D1896" s="4" t="inlineStr">
        <is>
          <t>-</t>
        </is>
      </c>
      <c r="E1896" s="4" t="inlineStr">
        <is>
          <t>15º PAV.</t>
        </is>
      </c>
      <c r="F1896" s="118" t="n">
        <v>46969</v>
      </c>
      <c r="G1896" s="118" t="n">
        <v>46975</v>
      </c>
      <c r="H1896" s="118" t="n">
        <v>46289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IF(E1896="","",IF(LEFT(E1896,7)="SUBSOLO",-1,IF(LEFT(E1896,6)="TÉRREO",0,IFERROR(VALUE(LEFT(E1896,FIND("º",SUBSTITUTE(E1896,"°","º"))-1)),""))))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29981208</v>
      </c>
      <c r="C1897" s="4" t="inlineStr">
        <is>
          <t>ACABAMENTOS ELÉTRICOS</t>
        </is>
      </c>
      <c r="D1897" s="4" t="inlineStr">
        <is>
          <t>-</t>
        </is>
      </c>
      <c r="E1897" s="4" t="inlineStr">
        <is>
          <t>16º PAV.</t>
        </is>
      </c>
      <c r="F1897" s="118" t="n">
        <v>46969</v>
      </c>
      <c r="G1897" s="118" t="n">
        <v>46982</v>
      </c>
      <c r="H1897" s="118" t="n">
        <v>46289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IF(E1897="","",IF(LEFT(E1897,7)="SUBSOLO",-1,IF(LEFT(E1897,6)="TÉRREO",0,IFERROR(VALUE(LEFT(E1897,FIND("º",SUBSTITUTE(E1897,"°","º"))-1)),""))))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29981168</v>
      </c>
      <c r="C1898" s="4" t="inlineStr">
        <is>
          <t>PINTURA 2º DEMÃO</t>
        </is>
      </c>
      <c r="D1898" s="4" t="inlineStr">
        <is>
          <t>-</t>
        </is>
      </c>
      <c r="E1898" s="4" t="inlineStr">
        <is>
          <t>17º PAV.</t>
        </is>
      </c>
      <c r="F1898" s="118" t="n">
        <v>46969</v>
      </c>
      <c r="G1898" s="118" t="n">
        <v>46982</v>
      </c>
      <c r="H1898" s="118" t="n">
        <v>46289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IF(E1898="","",IF(LEFT(E1898,7)="SUBSOLO",-1,IF(LEFT(E1898,6)="TÉRREO",0,IFERROR(VALUE(LEFT(E1898,FIND("º",SUBSTITUTE(E1898,"°","º"))-1)),""))))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33919795</v>
      </c>
      <c r="C1899" s="4" t="inlineStr">
        <is>
          <t>TEXTURA - EXTERNA</t>
        </is>
      </c>
      <c r="D1899" s="4" t="inlineStr">
        <is>
          <t>-</t>
        </is>
      </c>
      <c r="E1899" s="4" t="inlineStr">
        <is>
          <t>17º PAV.</t>
        </is>
      </c>
      <c r="F1899" s="118" t="n">
        <v>46969</v>
      </c>
      <c r="G1899" s="118" t="n">
        <v>46982</v>
      </c>
      <c r="H1899" s="118" t="n">
        <v>46289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IF(E1899="","",IF(LEFT(E1899,7)="SUBSOLO",-1,IF(LEFT(E1899,6)="TÉRREO",0,IFERROR(VALUE(LEFT(E1899,FIND("º",SUBSTITUTE(E1899,"°","º"))-1)),""))))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29981130</v>
      </c>
      <c r="C1900" s="4" t="inlineStr">
        <is>
          <t>LIMPEZA GROSSA</t>
        </is>
      </c>
      <c r="D1900" s="4" t="inlineStr">
        <is>
          <t>-</t>
        </is>
      </c>
      <c r="E1900" s="4" t="inlineStr">
        <is>
          <t>18º PAV.</t>
        </is>
      </c>
      <c r="F1900" s="118" t="n">
        <v>46969</v>
      </c>
      <c r="G1900" s="118" t="n">
        <v>46982</v>
      </c>
      <c r="H1900" s="118" t="n">
        <v>46289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IF(E1900="","",IF(LEFT(E1900,7)="SUBSOLO",-1,IF(LEFT(E1900,6)="TÉRREO",0,IFERROR(VALUE(LEFT(E1900,FIND("º",SUBSTITUTE(E1900,"°","º"))-1)),""))))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29981050</v>
      </c>
      <c r="C1901" s="4" t="inlineStr">
        <is>
          <t>LOUÇAS</t>
        </is>
      </c>
      <c r="D1901" s="4" t="inlineStr">
        <is>
          <t>-</t>
        </is>
      </c>
      <c r="E1901" s="4" t="inlineStr">
        <is>
          <t>20º PAV.</t>
        </is>
      </c>
      <c r="F1901" s="118" t="n">
        <v>46969</v>
      </c>
      <c r="G1901" s="118" t="n">
        <v>46982</v>
      </c>
      <c r="H1901" s="118" t="n">
        <v>46289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IF(E1901="","",IF(LEFT(E1901,7)="SUBSOLO",-1,IF(LEFT(E1901,6)="TÉRREO",0,IFERROR(VALUE(LEFT(E1901,FIND("º",SUBSTITUTE(E1901,"°","º"))-1)),""))))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29981055</v>
      </c>
      <c r="C1902" s="4" t="inlineStr">
        <is>
          <t>METAIS</t>
        </is>
      </c>
      <c r="D1902" s="4" t="inlineStr">
        <is>
          <t>-</t>
        </is>
      </c>
      <c r="E1902" s="4" t="inlineStr">
        <is>
          <t>20º PAV.</t>
        </is>
      </c>
      <c r="F1902" s="118" t="n">
        <v>46969</v>
      </c>
      <c r="G1902" s="118" t="n">
        <v>46982</v>
      </c>
      <c r="H1902" s="118" t="n">
        <v>46289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IF(E1902="","",IF(LEFT(E1902,7)="SUBSOLO",-1,IF(LEFT(E1902,6)="TÉRREO",0,IFERROR(VALUE(LEFT(E1902,FIND("º",SUBSTITUTE(E1902,"°","º"))-1)),""))))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29981054</v>
      </c>
      <c r="C1903" s="4" t="inlineStr">
        <is>
          <t>DISJUNTORES / MIOLOS</t>
        </is>
      </c>
      <c r="D1903" s="4" t="inlineStr">
        <is>
          <t>-</t>
        </is>
      </c>
      <c r="E1903" s="4" t="inlineStr">
        <is>
          <t>20º PAV.</t>
        </is>
      </c>
      <c r="F1903" s="118" t="n">
        <v>46969</v>
      </c>
      <c r="G1903" s="118" t="n">
        <v>46982</v>
      </c>
      <c r="H1903" s="118" t="n">
        <v>46289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IF(E1903="","",IF(LEFT(E1903,7)="SUBSOLO",-1,IF(LEFT(E1903,6)="TÉRREO",0,IFERROR(VALUE(LEFT(E1903,FIND("º",SUBSTITUTE(E1903,"°","º"))-1)),""))))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29981053</v>
      </c>
      <c r="C1904" s="4" t="inlineStr">
        <is>
          <t>COMUNICAÇÃO E ALARME</t>
        </is>
      </c>
      <c r="D1904" s="4" t="inlineStr">
        <is>
          <t>-</t>
        </is>
      </c>
      <c r="E1904" s="4" t="inlineStr">
        <is>
          <t>20º PAV.</t>
        </is>
      </c>
      <c r="F1904" s="118" t="n">
        <v>46969</v>
      </c>
      <c r="G1904" s="118" t="n">
        <v>46982</v>
      </c>
      <c r="H1904" s="118" t="n">
        <v>46289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IF(E1904="","",IF(LEFT(E1904,7)="SUBSOLO",-1,IF(LEFT(E1904,6)="TÉRREO",0,IFERROR(VALUE(LEFT(E1904,FIND("º",SUBSTITUTE(E1904,"°","º"))-1)),""))))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29981012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21º PAV.</t>
        </is>
      </c>
      <c r="F1905" s="118" t="n">
        <v>46969</v>
      </c>
      <c r="G1905" s="118" t="n">
        <v>46982</v>
      </c>
      <c r="H1905" s="118" t="n">
        <v>46289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IF(E1905="","",IF(LEFT(E1905,7)="SUBSOLO",-1,IF(LEFT(E1905,6)="TÉRREO",0,IFERROR(VALUE(LEFT(E1905,FIND("º",SUBSTITUTE(E1905,"°","º"))-1)),""))))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29980974</v>
      </c>
      <c r="C1906" s="4" t="inlineStr">
        <is>
          <t>ESQUADRIA MADEIRA</t>
        </is>
      </c>
      <c r="D1906" s="4" t="inlineStr">
        <is>
          <t>-</t>
        </is>
      </c>
      <c r="E1906" s="4" t="inlineStr">
        <is>
          <t>22º PAV.</t>
        </is>
      </c>
      <c r="F1906" s="118" t="n">
        <v>46969</v>
      </c>
      <c r="G1906" s="118" t="n">
        <v>46982</v>
      </c>
      <c r="H1906" s="118" t="n">
        <v>46289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IF(E1906="","",IF(LEFT(E1906,7)="SUBSOLO",-1,IF(LEFT(E1906,6)="TÉRREO",0,IFERROR(VALUE(LEFT(E1906,FIND("º",SUBSTITUTE(E1906,"°","º"))-1)),""))))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29980936</v>
      </c>
      <c r="C1907" s="4" t="inlineStr">
        <is>
          <t>PISO VINÍLICO / LAMINADO</t>
        </is>
      </c>
      <c r="D1907" s="4" t="inlineStr">
        <is>
          <t>-</t>
        </is>
      </c>
      <c r="E1907" s="4" t="inlineStr">
        <is>
          <t>23º PAV.</t>
        </is>
      </c>
      <c r="F1907" s="118" t="n">
        <v>46969</v>
      </c>
      <c r="G1907" s="118" t="n">
        <v>46982</v>
      </c>
      <c r="H1907" s="118" t="n">
        <v>46289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IF(E1907="","",IF(LEFT(E1907,7)="SUBSOLO",-1,IF(LEFT(E1907,6)="TÉRREO",0,IFERROR(VALUE(LEFT(E1907,FIND("º",SUBSTITUTE(E1907,"°","º"))-1)),""))))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29980898</v>
      </c>
      <c r="C1908" s="4" t="inlineStr">
        <is>
          <t>PINTURA 1º DEMÃO</t>
        </is>
      </c>
      <c r="D1908" s="4" t="inlineStr">
        <is>
          <t>-</t>
        </is>
      </c>
      <c r="E1908" s="4" t="inlineStr">
        <is>
          <t>24º PAV.</t>
        </is>
      </c>
      <c r="F1908" s="118" t="n">
        <v>46969</v>
      </c>
      <c r="G1908" s="118" t="n">
        <v>46982</v>
      </c>
      <c r="H1908" s="118" t="n">
        <v>46289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IF(E1908="","",IF(LEFT(E1908,7)="SUBSOLO",-1,IF(LEFT(E1908,6)="TÉRREO",0,IFERROR(VALUE(LEFT(E1908,FIND("º",SUBSTITUTE(E1908,"°","º"))-1)),""))))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29980887</v>
      </c>
      <c r="C1909" s="4" t="inlineStr">
        <is>
          <t>MASSA CORRIDA</t>
        </is>
      </c>
      <c r="D1909" s="4" t="inlineStr">
        <is>
          <t>-</t>
        </is>
      </c>
      <c r="E1909" s="4" t="inlineStr">
        <is>
          <t>25º PAV.</t>
        </is>
      </c>
      <c r="F1909" s="118" t="n">
        <v>46969</v>
      </c>
      <c r="G1909" s="118" t="n">
        <v>46982</v>
      </c>
      <c r="H1909" s="118" t="n">
        <v>46289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IF(E1909="","",IF(LEFT(E1909,7)="SUBSOLO",-1,IF(LEFT(E1909,6)="TÉRREO",0,IFERROR(VALUE(LEFT(E1909,FIND("º",SUBSTITUTE(E1909,"°","º"))-1)),""))))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33898110</v>
      </c>
      <c r="C1910" s="4" t="inlineStr">
        <is>
          <t>ESQUADRIA DE ALUMÍNIO</t>
        </is>
      </c>
      <c r="D1910" s="4" t="inlineStr">
        <is>
          <t>-</t>
        </is>
      </c>
      <c r="E1910" s="4" t="inlineStr">
        <is>
          <t>26º PAV.</t>
        </is>
      </c>
      <c r="F1910" s="118" t="n">
        <v>46969</v>
      </c>
      <c r="G1910" s="118" t="n">
        <v>46982</v>
      </c>
      <c r="H1910" s="118" t="n">
        <v>46289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IF(E1910="","",IF(LEFT(E1910,7)="SUBSOLO",-1,IF(LEFT(E1910,6)="TÉRREO",0,IFERROR(VALUE(LEFT(E1910,FIND("º",SUBSTITUTE(E1910,"°","º"))-1)),""))))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29980700</v>
      </c>
      <c r="C1911" s="4" t="inlineStr">
        <is>
          <t>FORRO</t>
        </is>
      </c>
      <c r="D1911" s="4" t="inlineStr">
        <is>
          <t>-</t>
        </is>
      </c>
      <c r="E1911" s="4" t="inlineStr">
        <is>
          <t>30º PAV.</t>
        </is>
      </c>
      <c r="F1911" s="118" t="n">
        <v>46972</v>
      </c>
      <c r="G1911" s="118" t="n">
        <v>46983</v>
      </c>
      <c r="H1911" s="118" t="n">
        <v>46289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IF(E1911="","",IF(LEFT(E1911,7)="SUBSOLO",-1,IF(LEFT(E1911,6)="TÉRREO",0,IFERROR(VALUE(LEFT(E1911,FIND("º",SUBSTITUTE(E1911,"°","º"))-1)),""))))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29980661</v>
      </c>
      <c r="C1912" s="4" t="inlineStr">
        <is>
          <t>FIAÇÃO ELÉTRICA</t>
        </is>
      </c>
      <c r="D1912" s="4" t="inlineStr">
        <is>
          <t>-</t>
        </is>
      </c>
      <c r="E1912" s="4" t="inlineStr">
        <is>
          <t>31º PAV. - COBERTURA LINEAR</t>
        </is>
      </c>
      <c r="F1912" s="118" t="n">
        <v>46972</v>
      </c>
      <c r="G1912" s="118" t="n">
        <v>46983</v>
      </c>
      <c r="H1912" s="118" t="n">
        <v>46289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IF(E1912="","",IF(LEFT(E1912,7)="SUBSOLO",-1,IF(LEFT(E1912,6)="TÉRREO",0,IFERROR(VALUE(LEFT(E1912,FIND("º",SUBSTITUTE(E1912,"°","º"))-1)),""))))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29980666</v>
      </c>
      <c r="C1913" s="4" t="inlineStr">
        <is>
          <t>PRUMADA ELÉTRICA - CABOS</t>
        </is>
      </c>
      <c r="D1913" s="4" t="inlineStr">
        <is>
          <t>-</t>
        </is>
      </c>
      <c r="E1913" s="4" t="inlineStr">
        <is>
          <t>31º PAV. - COBERTURA LINEAR</t>
        </is>
      </c>
      <c r="F1913" s="118" t="n">
        <v>46972</v>
      </c>
      <c r="G1913" s="118" t="n">
        <v>46983</v>
      </c>
      <c r="H1913" s="118" t="n">
        <v>46289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IF(E1913="","",IF(LEFT(E1913,7)="SUBSOLO",-1,IF(LEFT(E1913,6)="TÉRREO",0,IFERROR(VALUE(LEFT(E1913,FIND("º",SUBSTITUTE(E1913,"°","º"))-1)),""))))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30214093</v>
      </c>
      <c r="C1914" s="4" t="inlineStr">
        <is>
          <t>FIAÇÃO TELECOM/DADOS</t>
        </is>
      </c>
      <c r="D1914" s="4" t="inlineStr">
        <is>
          <t>-</t>
        </is>
      </c>
      <c r="E1914" s="4" t="inlineStr">
        <is>
          <t>31º PAV. - COBERTURA LINEAR</t>
        </is>
      </c>
      <c r="F1914" s="118" t="n">
        <v>46972</v>
      </c>
      <c r="G1914" s="118" t="n">
        <v>46986</v>
      </c>
      <c r="H1914" s="118" t="n">
        <v>46289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IF(E1914="","",IF(LEFT(E1914,7)="SUBSOLO",-1,IF(LEFT(E1914,6)="TÉRREO",0,IFERROR(VALUE(LEFT(E1914,FIND("º",SUBSTITUTE(E1914,"°","º"))-1)),""))))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29980608</v>
      </c>
      <c r="C1915" s="4" t="inlineStr">
        <is>
          <t>BANCADAS</t>
        </is>
      </c>
      <c r="D1915" s="4" t="inlineStr">
        <is>
          <t>-</t>
        </is>
      </c>
      <c r="E1915" s="4" t="inlineStr">
        <is>
          <t>32º PAV - COBERTURA GERAL</t>
        </is>
      </c>
      <c r="F1915" s="118" t="n">
        <v>46972</v>
      </c>
      <c r="G1915" s="118" t="n">
        <v>46983</v>
      </c>
      <c r="H1915" s="118" t="n">
        <v>46289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IF(E1915="","",IF(LEFT(E1915,7)="SUBSOLO",-1,IF(LEFT(E1915,6)="TÉRREO",0,IFERROR(VALUE(LEFT(E1915,FIND("º",SUBSTITUTE(E1915,"°","º"))-1)),""))))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30214415</v>
      </c>
      <c r="C1916" s="4" t="inlineStr">
        <is>
          <t>SPDA</t>
        </is>
      </c>
      <c r="D1916" s="4" t="inlineStr">
        <is>
          <t>-</t>
        </is>
      </c>
      <c r="E1916" s="4" t="inlineStr">
        <is>
          <t>34º PAV - RESERVATÓRIO</t>
        </is>
      </c>
      <c r="F1916" s="118" t="n">
        <v>46972</v>
      </c>
      <c r="G1916" s="118" t="n">
        <v>46986</v>
      </c>
      <c r="H1916" s="118" t="n">
        <v>46289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IF(E1916="","",IF(LEFT(E1916,7)="SUBSOLO",-1,IF(LEFT(E1916,6)="TÉRREO",0,IFERROR(VALUE(LEFT(E1916,FIND("º",SUBSTITUTE(E1916,"°","º"))-1)),""))))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30205906</v>
      </c>
      <c r="C1917" s="4" t="inlineStr">
        <is>
          <t>PAISAGISMO</t>
        </is>
      </c>
      <c r="D1917" s="4" t="inlineStr">
        <is>
          <t>-</t>
        </is>
      </c>
      <c r="E1917" s="4" t="inlineStr">
        <is>
          <t>6º PAV (PILOTIS) - PLAYGROUND + TERRAÇO DESCOBERTO + QUADRA DE RECREAÇÃO</t>
        </is>
      </c>
      <c r="F1917" s="118" t="n">
        <v>46973</v>
      </c>
      <c r="G1917" s="118" t="n">
        <v>47004</v>
      </c>
      <c r="H1917" s="118" t="n">
        <v>46289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IF(E1917="","",IF(LEFT(E1917,7)="SUBSOLO",-1,IF(LEFT(E1917,6)="TÉRREO",0,IFERROR(VALUE(LEFT(E1917,FIND("º",SUBSTITUTE(E1917,"°","º"))-1)),""))))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30205882</v>
      </c>
      <c r="C1918" s="4" t="inlineStr">
        <is>
          <t>QUADRA DE RECREAÇÃO</t>
        </is>
      </c>
      <c r="D1918" s="4" t="inlineStr">
        <is>
          <t>-</t>
        </is>
      </c>
      <c r="E1918" s="4" t="inlineStr">
        <is>
          <t>6º PAV (PILOTIS) - PLAYGROUND + TERRAÇO DESCOBERTO + QUADRA DE RECREAÇÃO</t>
        </is>
      </c>
      <c r="F1918" s="118" t="n">
        <v>46973</v>
      </c>
      <c r="G1918" s="118" t="n">
        <v>47036</v>
      </c>
      <c r="H1918" s="118" t="n">
        <v>46289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IF(E1918="","",IF(LEFT(E1918,7)="SUBSOLO",-1,IF(LEFT(E1918,6)="TÉRREO",0,IFERROR(VALUE(LEFT(E1918,FIND("º",SUBSTITUTE(E1918,"°","º"))-1)),""))))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32750445</v>
      </c>
      <c r="C1919" s="4" t="inlineStr">
        <is>
          <t>DRYWALL 2º FACE</t>
        </is>
      </c>
      <c r="D1919" s="4" t="inlineStr">
        <is>
          <t>-</t>
        </is>
      </c>
      <c r="E1919" s="4" t="inlineStr">
        <is>
          <t>19º PAV.</t>
        </is>
      </c>
      <c r="F1919" s="118" t="n">
        <v>46973</v>
      </c>
      <c r="G1919" s="118" t="n">
        <v>46986</v>
      </c>
      <c r="H1919" s="118" t="n">
        <v>46289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IF(E1919="","",IF(LEFT(E1919,7)="SUBSOLO",-1,IF(LEFT(E1919,6)="TÉRREO",0,IFERROR(VALUE(LEFT(E1919,FIND("º",SUBSTITUTE(E1919,"°","º"))-1)),""))))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30171469</v>
      </c>
      <c r="C1920" s="4" t="inlineStr">
        <is>
          <t>POLIMENTO DE PISO</t>
        </is>
      </c>
      <c r="D1920" s="4" t="inlineStr">
        <is>
          <t>-</t>
        </is>
      </c>
      <c r="E1920" s="4" t="inlineStr">
        <is>
          <t>2º PAV - GARAGEM</t>
        </is>
      </c>
      <c r="F1920" s="118" t="n">
        <v>46974</v>
      </c>
      <c r="G1920" s="118" t="n">
        <v>47002</v>
      </c>
      <c r="H1920" s="118" t="n">
        <v>46289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IF(E1920="","",IF(LEFT(E1920,7)="SUBSOLO",-1,IF(LEFT(E1920,6)="TÉRREO",0,IFERROR(VALUE(LEFT(E1920,FIND("º",SUBSTITUTE(E1920,"°","º"))-1)),""))))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30205939</v>
      </c>
      <c r="C1921" s="4" t="inlineStr">
        <is>
          <t>BRISE</t>
        </is>
      </c>
      <c r="D1921" s="4" t="inlineStr">
        <is>
          <t>-</t>
        </is>
      </c>
      <c r="E1921" s="4" t="inlineStr">
        <is>
          <t>3º PAV - GARAGEM</t>
        </is>
      </c>
      <c r="F1921" s="118" t="n">
        <v>46974</v>
      </c>
      <c r="G1921" s="118" t="n">
        <v>46988</v>
      </c>
      <c r="H1921" s="118" t="n">
        <v>46289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IF(E1921="","",IF(LEFT(E1921,7)="SUBSOLO",-1,IF(LEFT(E1921,6)="TÉRREO",0,IFERROR(VALUE(LEFT(E1921,FIND("º",SUBSTITUTE(E1921,"°","º"))-1)),""))))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30205936</v>
      </c>
      <c r="C1922" s="4" t="inlineStr">
        <is>
          <t>PAISAGISMO</t>
        </is>
      </c>
      <c r="D1922" s="4" t="inlineStr">
        <is>
          <t>-</t>
        </is>
      </c>
      <c r="E1922" s="4" t="inlineStr">
        <is>
          <t>4º PAV - GARAGEM</t>
        </is>
      </c>
      <c r="F1922" s="118" t="n">
        <v>46974</v>
      </c>
      <c r="G1922" s="118" t="n">
        <v>46988</v>
      </c>
      <c r="H1922" s="118" t="n">
        <v>46289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IF(E1922="","",IF(LEFT(E1922,7)="SUBSOLO",-1,IF(LEFT(E1922,6)="TÉRREO",0,IFERROR(VALUE(LEFT(E1922,FIND("º",SUBSTITUTE(E1922,"°","º"))-1)),""))))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30205838</v>
      </c>
      <c r="C1923" s="4" t="inlineStr">
        <is>
          <t>DISJUNTORES / MIOLOS</t>
        </is>
      </c>
      <c r="D1923" s="4" t="inlineStr">
        <is>
          <t>-</t>
        </is>
      </c>
      <c r="E1923" s="4" t="inlineStr">
        <is>
          <t>1º PAV. (INTERMEDIÁRIO)</t>
        </is>
      </c>
      <c r="F1923" s="118" t="n">
        <v>46975</v>
      </c>
      <c r="G1923" s="118" t="n">
        <v>46982</v>
      </c>
      <c r="H1923" s="118" t="n">
        <v>46289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IF(E1923="","",IF(LEFT(E1923,7)="SUBSOLO",-1,IF(LEFT(E1923,6)="TÉRREO",0,IFERROR(VALUE(LEFT(E1923,FIND("º",SUBSTITUTE(E1923,"°","º"))-1)),""))))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33919462</v>
      </c>
      <c r="C1924" s="4" t="inlineStr">
        <is>
          <t>PINTURA 1º DEMÃO</t>
        </is>
      </c>
      <c r="D1924" s="4" t="inlineStr">
        <is>
          <t>-</t>
        </is>
      </c>
      <c r="E1924" s="4" t="inlineStr">
        <is>
          <t>CX DE ESCADA DE INCÊND.</t>
        </is>
      </c>
      <c r="F1924" s="118" t="n">
        <v>46975</v>
      </c>
      <c r="G1924" s="118" t="n">
        <v>47064</v>
      </c>
      <c r="H1924" s="118" t="n">
        <v>46289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IF(E1924="","",IF(LEFT(E1924,7)="SUBSOLO",-1,IF(LEFT(E1924,6)="TÉRREO",0,IFERROR(VALUE(LEFT(E1924,FIND("º",SUBSTITUTE(E1924,"°","º"))-1)),""))))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30206111</v>
      </c>
      <c r="C1925" s="4" t="inlineStr">
        <is>
          <t>DISJUNTORES / MIOLOS</t>
        </is>
      </c>
      <c r="D1925" s="4" t="inlineStr">
        <is>
          <t>-</t>
        </is>
      </c>
      <c r="E1925" s="4" t="inlineStr">
        <is>
          <t>6º PAV (PILOTIS) - ACADEMIA</t>
        </is>
      </c>
      <c r="F1925" s="118" t="n">
        <v>46976</v>
      </c>
      <c r="G1925" s="118" t="n">
        <v>46990</v>
      </c>
      <c r="H1925" s="118" t="n">
        <v>46289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IF(E1925="","",IF(LEFT(E1925,7)="SUBSOLO",-1,IF(LEFT(E1925,6)="TÉRREO",0,IFERROR(VALUE(LEFT(E1925,FIND("º",SUBSTITUTE(E1925,"°","º"))-1)),""))))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30208617</v>
      </c>
      <c r="C1926" s="4" t="inlineStr">
        <is>
          <t>INSTALAÇÃO DE LUMINÁRIAS</t>
        </is>
      </c>
      <c r="D1926" s="4" t="inlineStr">
        <is>
          <t>-</t>
        </is>
      </c>
      <c r="E1926" s="4" t="inlineStr">
        <is>
          <t>6º PAV (PILOTIS) - ACADEMIA</t>
        </is>
      </c>
      <c r="F1926" s="118" t="n">
        <v>46976</v>
      </c>
      <c r="G1926" s="118" t="n">
        <v>46983</v>
      </c>
      <c r="H1926" s="118" t="n">
        <v>46289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IF(E1926="","",IF(LEFT(E1926,7)="SUBSOLO",-1,IF(LEFT(E1926,6)="TÉRREO",0,IFERROR(VALUE(LEFT(E1926,FIND("º",SUBSTITUTE(E1926,"°","º"))-1)),""))))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30206092</v>
      </c>
      <c r="C1927" s="4" t="inlineStr">
        <is>
          <t>MASSA CORRIDA</t>
        </is>
      </c>
      <c r="D1927" s="4" t="inlineStr">
        <is>
          <t>-</t>
        </is>
      </c>
      <c r="E1927" s="4" t="inlineStr">
        <is>
          <t>6º PAV (PILOTIS) - SAUNA + DUCHA</t>
        </is>
      </c>
      <c r="F1927" s="118" t="n">
        <v>46976</v>
      </c>
      <c r="G1927" s="118" t="n">
        <v>46990</v>
      </c>
      <c r="H1927" s="118" t="n">
        <v>46289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IF(E1927="","",IF(LEFT(E1927,7)="SUBSOLO",-1,IF(LEFT(E1927,6)="TÉRREO",0,IFERROR(VALUE(LEFT(E1927,FIND("º",SUBSTITUTE(E1927,"°","º"))-1)),""))))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30206053</v>
      </c>
      <c r="C1928" s="4" t="inlineStr">
        <is>
          <t>FORRO</t>
        </is>
      </c>
      <c r="D1928" s="4" t="inlineStr">
        <is>
          <t>-</t>
        </is>
      </c>
      <c r="E1928" s="4" t="inlineStr">
        <is>
          <t>6º PAV (PILOTIS) - CHURRASQUEIRA + IS MASC. PCD + IS FEM. PCD + CIRCULAÇÃO 1 + HALL 1</t>
        </is>
      </c>
      <c r="F1928" s="118" t="n">
        <v>46976</v>
      </c>
      <c r="G1928" s="118" t="n">
        <v>46990</v>
      </c>
      <c r="H1928" s="118" t="n">
        <v>46289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IF(E1928="","",IF(LEFT(E1928,7)="SUBSOLO",-1,IF(LEFT(E1928,6)="TÉRREO",0,IFERROR(VALUE(LEFT(E1928,FIND("º",SUBSTITUTE(E1928,"°","º"))-1)),""))))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30206014</v>
      </c>
      <c r="C1929" s="4" t="inlineStr">
        <is>
          <t>FIAÇÃO ELÉTRICA</t>
        </is>
      </c>
      <c r="D1929" s="4" t="inlineStr">
        <is>
          <t>-</t>
        </is>
      </c>
      <c r="E1929" s="4" t="inlineStr">
        <is>
          <t>6º PAV (PILOTIS) - COWORKING 1 E 2 + CIRC. 2 + HALL 2 + DML + VEST. MASC. + VEST. FEM</t>
        </is>
      </c>
      <c r="F1929" s="118" t="n">
        <v>46976</v>
      </c>
      <c r="G1929" s="118" t="n">
        <v>46990</v>
      </c>
      <c r="H1929" s="118" t="n">
        <v>46289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IF(E1929="","",IF(LEFT(E1929,7)="SUBSOLO",-1,IF(LEFT(E1929,6)="TÉRREO",0,IFERROR(VALUE(LEFT(E1929,FIND("º",SUBSTITUTE(E1929,"°","º"))-1)),""))))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30214067</v>
      </c>
      <c r="C1930" s="4" t="inlineStr">
        <is>
          <t>FIAÇÃO TELECOM/DADOS</t>
        </is>
      </c>
      <c r="D1930" s="4" t="inlineStr">
        <is>
          <t>-</t>
        </is>
      </c>
      <c r="E1930" s="4" t="inlineStr">
        <is>
          <t>6º PAV (PILOTIS) - COWORKING 1 E 2 + CIRC. 2 + HALL 2 + DML + VEST. MASC. + VEST. FEM</t>
        </is>
      </c>
      <c r="F1930" s="118" t="n">
        <v>46976</v>
      </c>
      <c r="G1930" s="118" t="n">
        <v>46990</v>
      </c>
      <c r="H1930" s="118" t="n">
        <v>46289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IF(E1930="","",IF(LEFT(E1930,7)="SUBSOLO",-1,IF(LEFT(E1930,6)="TÉRREO",0,IFERROR(VALUE(LEFT(E1930,FIND("º",SUBSTITUTE(E1930,"°","º"))-1)),""))))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30205961</v>
      </c>
      <c r="C1931" s="4" t="inlineStr">
        <is>
          <t>BANCADAS</t>
        </is>
      </c>
      <c r="D1931" s="4" t="inlineStr">
        <is>
          <t>-</t>
        </is>
      </c>
      <c r="E1931" s="4" t="inlineStr">
        <is>
          <t>6º PAV (PILOTIS) - LOUNGE + SALÃO + COZINHA + GOURMET + ESPAÇO KIDS</t>
        </is>
      </c>
      <c r="F1931" s="118" t="n">
        <v>46976</v>
      </c>
      <c r="G1931" s="118" t="n">
        <v>46990</v>
      </c>
      <c r="H1931" s="118" t="n">
        <v>46289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IF(E1931="","",IF(LEFT(E1931,7)="SUBSOLO",-1,IF(LEFT(E1931,6)="TÉRREO",0,IFERROR(VALUE(LEFT(E1931,FIND("º",SUBSTITUTE(E1931,"°","º"))-1)),""))))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29981291</v>
      </c>
      <c r="C1932" s="4" t="inlineStr">
        <is>
          <t>LIMPEZA FINA</t>
        </is>
      </c>
      <c r="D1932" s="4" t="inlineStr">
        <is>
          <t>-</t>
        </is>
      </c>
      <c r="E1932" s="4" t="inlineStr">
        <is>
          <t>14º PAV.</t>
        </is>
      </c>
      <c r="F1932" s="118" t="n">
        <v>46976</v>
      </c>
      <c r="G1932" s="118" t="n">
        <v>46989</v>
      </c>
      <c r="H1932" s="118" t="n">
        <v>46289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IF(E1932="","",IF(LEFT(E1932,7)="SUBSOLO",-1,IF(LEFT(E1932,6)="TÉRREO",0,IFERROR(VALUE(LEFT(E1932,FIND("º",SUBSTITUTE(E1932,"°","º"))-1)),""))))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29981244</v>
      </c>
      <c r="C1933" s="4" t="inlineStr">
        <is>
          <t>PINTURA 3º DEMÃO</t>
        </is>
      </c>
      <c r="D1933" s="4" t="inlineStr">
        <is>
          <t>-</t>
        </is>
      </c>
      <c r="E1933" s="4" t="inlineStr">
        <is>
          <t>15º PAV.</t>
        </is>
      </c>
      <c r="F1933" s="118" t="n">
        <v>46976</v>
      </c>
      <c r="G1933" s="118" t="n">
        <v>46989</v>
      </c>
      <c r="H1933" s="118" t="n">
        <v>46289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IF(E1933="","",IF(LEFT(E1933,7)="SUBSOLO",-1,IF(LEFT(E1933,6)="TÉRREO",0,IFERROR(VALUE(LEFT(E1933,FIND("º",SUBSTITUTE(E1933,"°","º"))-1)),""))))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30205601</v>
      </c>
      <c r="C1934" s="4" t="inlineStr">
        <is>
          <t>CHECKLIST</t>
        </is>
      </c>
      <c r="D1934" s="4" t="inlineStr">
        <is>
          <t>-</t>
        </is>
      </c>
      <c r="E1934" s="4" t="inlineStr">
        <is>
          <t>TÉRREO - LOJA 5</t>
        </is>
      </c>
      <c r="F1934" s="118" t="n">
        <v>46981</v>
      </c>
      <c r="G1934" s="118" t="n">
        <v>46987</v>
      </c>
      <c r="H1934" s="118" t="n">
        <v>46289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IF(E1934="","",IF(LEFT(E1934,7)="SUBSOLO",-1,IF(LEFT(E1934,6)="TÉRREO",0,IFERROR(VALUE(LEFT(E1934,FIND("º",SUBSTITUTE(E1934,"°","º"))-1)),""))))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30205570</v>
      </c>
      <c r="C1935" s="4" t="inlineStr">
        <is>
          <t>LIMPEZA FINA</t>
        </is>
      </c>
      <c r="D1935" s="4" t="inlineStr">
        <is>
          <t>-</t>
        </is>
      </c>
      <c r="E1935" s="4" t="inlineStr">
        <is>
          <t>TÉRREO - LOJA 6</t>
        </is>
      </c>
      <c r="F1935" s="118" t="n">
        <v>46981</v>
      </c>
      <c r="G1935" s="118" t="n">
        <v>46994</v>
      </c>
      <c r="H1935" s="118" t="n">
        <v>46289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IF(E1935="","",IF(LEFT(E1935,7)="SUBSOLO",-1,IF(LEFT(E1935,6)="TÉRREO",0,IFERROR(VALUE(LEFT(E1935,FIND("º",SUBSTITUTE(E1935,"°","º"))-1)),""))))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30205533</v>
      </c>
      <c r="C1936" s="4" t="inlineStr">
        <is>
          <t>ACABAMENTOS ELÉTRICOS</t>
        </is>
      </c>
      <c r="D1936" s="4" t="inlineStr">
        <is>
          <t>-</t>
        </is>
      </c>
      <c r="E1936" s="4" t="inlineStr">
        <is>
          <t>TÉRREO - LOJA 7</t>
        </is>
      </c>
      <c r="F1936" s="118" t="n">
        <v>46981</v>
      </c>
      <c r="G1936" s="118" t="n">
        <v>46994</v>
      </c>
      <c r="H1936" s="118" t="n">
        <v>46289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IF(E1936="","",IF(LEFT(E1936,7)="SUBSOLO",-1,IF(LEFT(E1936,6)="TÉRREO",0,IFERROR(VALUE(LEFT(E1936,FIND("º",SUBSTITUTE(E1936,"°","º"))-1)),""))))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30171535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HALL - GARAGENS</t>
        </is>
      </c>
      <c r="F1937" s="118" t="n">
        <v>46982</v>
      </c>
      <c r="G1937" s="118" t="n">
        <v>47024</v>
      </c>
      <c r="H1937" s="118" t="n">
        <v>46289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IF(E1937="","",IF(LEFT(E1937,7)="SUBSOLO",-1,IF(LEFT(E1937,6)="TÉRREO",0,IFERROR(VALUE(LEFT(E1937,FIND("º",SUBSTITUTE(E1937,"°","º"))-1)),""))))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30205813</v>
      </c>
      <c r="C1938" s="4" t="inlineStr">
        <is>
          <t>PINTURA 2º DEMÃO</t>
        </is>
      </c>
      <c r="D1938" s="4" t="inlineStr">
        <is>
          <t>-</t>
        </is>
      </c>
      <c r="E1938" s="4" t="inlineStr">
        <is>
          <t>TÉRREO - HALL SOCIAL + ECLUSA + CIRCULAÇÃO</t>
        </is>
      </c>
      <c r="F1938" s="118" t="n">
        <v>46983</v>
      </c>
      <c r="G1938" s="118" t="n">
        <v>46996</v>
      </c>
      <c r="H1938" s="118" t="n">
        <v>46289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IF(E1938="","",IF(LEFT(E1938,7)="SUBSOLO",-1,IF(LEFT(E1938,6)="TÉRREO",0,IFERROR(VALUE(LEFT(E1938,FIND("º",SUBSTITUTE(E1938,"°","º"))-1)),""))))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34179701</v>
      </c>
      <c r="C1939" s="4" t="inlineStr">
        <is>
          <t>REVESTIMENTO ACABAMENTO</t>
        </is>
      </c>
      <c r="D1939" s="4" t="inlineStr">
        <is>
          <t>-</t>
        </is>
      </c>
      <c r="E1939" s="4" t="inlineStr">
        <is>
          <t>TÉRREO ÁREA EXTERNA - COMERCIAL</t>
        </is>
      </c>
      <c r="F1939" s="118" t="n">
        <v>46983</v>
      </c>
      <c r="G1939" s="118" t="n">
        <v>47046</v>
      </c>
      <c r="H1939" s="118" t="n">
        <v>46289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IF(E1939="","",IF(LEFT(E1939,7)="SUBSOLO",-1,IF(LEFT(E1939,6)="TÉRREO",0,IFERROR(VALUE(LEFT(E1939,FIND("º",SUBSTITUTE(E1939,"°","º"))-1)),""))))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34179699</v>
      </c>
      <c r="C1940" s="4" t="inlineStr">
        <is>
          <t>INSTALAÇÃO DE LUMINÁRIAS</t>
        </is>
      </c>
      <c r="D1940" s="4" t="inlineStr">
        <is>
          <t>-</t>
        </is>
      </c>
      <c r="E1940" s="4" t="inlineStr">
        <is>
          <t>TÉRREO ÁREA EXTERNA - COMERCIAL</t>
        </is>
      </c>
      <c r="F1940" s="118" t="n">
        <v>46983</v>
      </c>
      <c r="G1940" s="118" t="n">
        <v>47004</v>
      </c>
      <c r="H1940" s="118" t="n">
        <v>46289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IF(E1940="","",IF(LEFT(E1940,7)="SUBSOLO",-1,IF(LEFT(E1940,6)="TÉRREO",0,IFERROR(VALUE(LEFT(E1940,FIND("º",SUBSTITUTE(E1940,"°","º"))-1)),""))))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30205857</v>
      </c>
      <c r="C1941" s="4" t="inlineStr">
        <is>
          <t>LIMPEZA GROSSA</t>
        </is>
      </c>
      <c r="D1941" s="4" t="inlineStr">
        <is>
          <t>-</t>
        </is>
      </c>
      <c r="E1941" s="4" t="inlineStr">
        <is>
          <t>1º PAV. (INTERMEDIÁRIO)</t>
        </is>
      </c>
      <c r="F1941" s="118" t="n">
        <v>46983</v>
      </c>
      <c r="G1941" s="118" t="n">
        <v>46996</v>
      </c>
      <c r="H1941" s="118" t="n">
        <v>46289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IF(E1941="","",IF(LEFT(E1941,7)="SUBSOLO",-1,IF(LEFT(E1941,6)="TÉRREO",0,IFERROR(VALUE(LEFT(E1941,FIND("º",SUBSTITUTE(E1941,"°","º"))-1)),""))))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29981206</v>
      </c>
      <c r="C1942" s="4" t="inlineStr">
        <is>
          <t>CHECKLIST</t>
        </is>
      </c>
      <c r="D1942" s="4" t="inlineStr">
        <is>
          <t>-</t>
        </is>
      </c>
      <c r="E1942" s="4" t="inlineStr">
        <is>
          <t>16º PAV.</t>
        </is>
      </c>
      <c r="F1942" s="118" t="n">
        <v>46983</v>
      </c>
      <c r="G1942" s="118" t="n">
        <v>46989</v>
      </c>
      <c r="H1942" s="118" t="n">
        <v>46289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IF(E1942="","",IF(LEFT(E1942,7)="SUBSOLO",-1,IF(LEFT(E1942,6)="TÉRREO",0,IFERROR(VALUE(LEFT(E1942,FIND("º",SUBSTITUTE(E1942,"°","º"))-1)),""))))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29981171</v>
      </c>
      <c r="C1943" s="4" t="inlineStr">
        <is>
          <t>ACABAMENTOS ELÉTRICOS</t>
        </is>
      </c>
      <c r="D1943" s="4" t="inlineStr">
        <is>
          <t>-</t>
        </is>
      </c>
      <c r="E1943" s="4" t="inlineStr">
        <is>
          <t>17º PAV.</t>
        </is>
      </c>
      <c r="F1943" s="118" t="n">
        <v>46983</v>
      </c>
      <c r="G1943" s="118" t="n">
        <v>46995</v>
      </c>
      <c r="H1943" s="118" t="n">
        <v>46289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IF(E1943="","",IF(LEFT(E1943,7)="SUBSOLO",-1,IF(LEFT(E1943,6)="TÉRREO",0,IFERROR(VALUE(LEFT(E1943,FIND("º",SUBSTITUTE(E1943,"°","º"))-1)),""))))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29981131</v>
      </c>
      <c r="C1944" s="4" t="inlineStr">
        <is>
          <t>PINTURA 2º DEMÃO</t>
        </is>
      </c>
      <c r="D1944" s="4" t="inlineStr">
        <is>
          <t>-</t>
        </is>
      </c>
      <c r="E1944" s="4" t="inlineStr">
        <is>
          <t>18º PAV.</t>
        </is>
      </c>
      <c r="F1944" s="118" t="n">
        <v>46983</v>
      </c>
      <c r="G1944" s="118" t="n">
        <v>46995</v>
      </c>
      <c r="H1944" s="118" t="n">
        <v>46289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IF(E1944="","",IF(LEFT(E1944,7)="SUBSOLO",-1,IF(LEFT(E1944,6)="TÉRREO",0,IFERROR(VALUE(LEFT(E1944,FIND("º",SUBSTITUTE(E1944,"°","º"))-1)),""))))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33919796</v>
      </c>
      <c r="C1945" s="4" t="inlineStr">
        <is>
          <t>TEXTURA - EXTERNA</t>
        </is>
      </c>
      <c r="D1945" s="4" t="inlineStr">
        <is>
          <t>-</t>
        </is>
      </c>
      <c r="E1945" s="4" t="inlineStr">
        <is>
          <t>18º PAV.</t>
        </is>
      </c>
      <c r="F1945" s="118" t="n">
        <v>46983</v>
      </c>
      <c r="G1945" s="118" t="n">
        <v>46995</v>
      </c>
      <c r="H1945" s="118" t="n">
        <v>46289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IF(E1945="","",IF(LEFT(E1945,7)="SUBSOLO",-1,IF(LEFT(E1945,6)="TÉRREO",0,IFERROR(VALUE(LEFT(E1945,FIND("º",SUBSTITUTE(E1945,"°","º"))-1)),""))))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29981056</v>
      </c>
      <c r="C1946" s="4" t="inlineStr">
        <is>
          <t>LIMPEZA GROSSA</t>
        </is>
      </c>
      <c r="D1946" s="4" t="inlineStr">
        <is>
          <t>-</t>
        </is>
      </c>
      <c r="E1946" s="4" t="inlineStr">
        <is>
          <t>20º PAV.</t>
        </is>
      </c>
      <c r="F1946" s="118" t="n">
        <v>46983</v>
      </c>
      <c r="G1946" s="118" t="n">
        <v>46995</v>
      </c>
      <c r="H1946" s="118" t="n">
        <v>46289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IF(E1946="","",IF(LEFT(E1946,7)="SUBSOLO",-1,IF(LEFT(E1946,6)="TÉRREO",0,IFERROR(VALUE(LEFT(E1946,FIND("º",SUBSTITUTE(E1946,"°","º"))-1)),""))))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29981013</v>
      </c>
      <c r="C1947" s="4" t="inlineStr">
        <is>
          <t>LOUÇAS</t>
        </is>
      </c>
      <c r="D1947" s="4" t="inlineStr">
        <is>
          <t>-</t>
        </is>
      </c>
      <c r="E1947" s="4" t="inlineStr">
        <is>
          <t>21º PAV.</t>
        </is>
      </c>
      <c r="F1947" s="118" t="n">
        <v>46983</v>
      </c>
      <c r="G1947" s="118" t="n">
        <v>46995</v>
      </c>
      <c r="H1947" s="118" t="n">
        <v>46289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IF(E1947="","",IF(LEFT(E1947,7)="SUBSOLO",-1,IF(LEFT(E1947,6)="TÉRREO",0,IFERROR(VALUE(LEFT(E1947,FIND("º",SUBSTITUTE(E1947,"°","º"))-1)),""))))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29981018</v>
      </c>
      <c r="C1948" s="4" t="inlineStr">
        <is>
          <t>METAIS</t>
        </is>
      </c>
      <c r="D1948" s="4" t="inlineStr">
        <is>
          <t>-</t>
        </is>
      </c>
      <c r="E1948" s="4" t="inlineStr">
        <is>
          <t>21º PAV.</t>
        </is>
      </c>
      <c r="F1948" s="118" t="n">
        <v>46983</v>
      </c>
      <c r="G1948" s="118" t="n">
        <v>46995</v>
      </c>
      <c r="H1948" s="118" t="n">
        <v>46289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IF(E1948="","",IF(LEFT(E1948,7)="SUBSOLO",-1,IF(LEFT(E1948,6)="TÉRREO",0,IFERROR(VALUE(LEFT(E1948,FIND("º",SUBSTITUTE(E1948,"°","º"))-1)),""))))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29981017</v>
      </c>
      <c r="C1949" s="4" t="inlineStr">
        <is>
          <t>DISJUNTORES / MIOLOS</t>
        </is>
      </c>
      <c r="D1949" s="4" t="inlineStr">
        <is>
          <t>-</t>
        </is>
      </c>
      <c r="E1949" s="4" t="inlineStr">
        <is>
          <t>21º PAV.</t>
        </is>
      </c>
      <c r="F1949" s="118" t="n">
        <v>46983</v>
      </c>
      <c r="G1949" s="118" t="n">
        <v>46995</v>
      </c>
      <c r="H1949" s="118" t="n">
        <v>46289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IF(E1949="","",IF(LEFT(E1949,7)="SUBSOLO",-1,IF(LEFT(E1949,6)="TÉRREO",0,IFERROR(VALUE(LEFT(E1949,FIND("º",SUBSTITUTE(E1949,"°","º"))-1)),""))))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29981016</v>
      </c>
      <c r="C1950" s="4" t="inlineStr">
        <is>
          <t>COMUNICAÇÃO E ALARME</t>
        </is>
      </c>
      <c r="D1950" s="4" t="inlineStr">
        <is>
          <t>-</t>
        </is>
      </c>
      <c r="E1950" s="4" t="inlineStr">
        <is>
          <t>21º PAV.</t>
        </is>
      </c>
      <c r="F1950" s="118" t="n">
        <v>46983</v>
      </c>
      <c r="G1950" s="118" t="n">
        <v>46995</v>
      </c>
      <c r="H1950" s="118" t="n">
        <v>46289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IF(E1950="","",IF(LEFT(E1950,7)="SUBSOLO",-1,IF(LEFT(E1950,6)="TÉRREO",0,IFERROR(VALUE(LEFT(E1950,FIND("º",SUBSTITUTE(E1950,"°","º"))-1)),""))))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29980975</v>
      </c>
      <c r="C1951" s="4" t="inlineStr">
        <is>
          <t>RODAPÉ MADEIRA / PVC</t>
        </is>
      </c>
      <c r="D1951" s="4" t="inlineStr">
        <is>
          <t>-</t>
        </is>
      </c>
      <c r="E1951" s="4" t="inlineStr">
        <is>
          <t>22º PAV.</t>
        </is>
      </c>
      <c r="F1951" s="118" t="n">
        <v>46983</v>
      </c>
      <c r="G1951" s="118" t="n">
        <v>46995</v>
      </c>
      <c r="H1951" s="118" t="n">
        <v>46289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IF(E1951="","",IF(LEFT(E1951,7)="SUBSOLO",-1,IF(LEFT(E1951,6)="TÉRREO",0,IFERROR(VALUE(LEFT(E1951,FIND("º",SUBSTITUTE(E1951,"°","º"))-1)),""))))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29980937</v>
      </c>
      <c r="C1952" s="4" t="inlineStr">
        <is>
          <t>ESQUADRIA MADEIRA</t>
        </is>
      </c>
      <c r="D1952" s="4" t="inlineStr">
        <is>
          <t>-</t>
        </is>
      </c>
      <c r="E1952" s="4" t="inlineStr">
        <is>
          <t>23º PAV.</t>
        </is>
      </c>
      <c r="F1952" s="118" t="n">
        <v>46983</v>
      </c>
      <c r="G1952" s="118" t="n">
        <v>46995</v>
      </c>
      <c r="H1952" s="118" t="n">
        <v>46289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IF(E1952="","",IF(LEFT(E1952,7)="SUBSOLO",-1,IF(LEFT(E1952,6)="TÉRREO",0,IFERROR(VALUE(LEFT(E1952,FIND("º",SUBSTITUTE(E1952,"°","º"))-1)),""))))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29980899</v>
      </c>
      <c r="C1953" s="4" t="inlineStr">
        <is>
          <t>PISO VINÍLICO / LAMINADO</t>
        </is>
      </c>
      <c r="D1953" s="4" t="inlineStr">
        <is>
          <t>-</t>
        </is>
      </c>
      <c r="E1953" s="4" t="inlineStr">
        <is>
          <t>24º PAV.</t>
        </is>
      </c>
      <c r="F1953" s="118" t="n">
        <v>46983</v>
      </c>
      <c r="G1953" s="118" t="n">
        <v>46995</v>
      </c>
      <c r="H1953" s="118" t="n">
        <v>46289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IF(E1953="","",IF(LEFT(E1953,7)="SUBSOLO",-1,IF(LEFT(E1953,6)="TÉRREO",0,IFERROR(VALUE(LEFT(E1953,FIND("º",SUBSTITUTE(E1953,"°","º"))-1)),""))))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29980861</v>
      </c>
      <c r="C1954" s="4" t="inlineStr">
        <is>
          <t>PINTURA 1º DEMÃO</t>
        </is>
      </c>
      <c r="D1954" s="4" t="inlineStr">
        <is>
          <t>-</t>
        </is>
      </c>
      <c r="E1954" s="4" t="inlineStr">
        <is>
          <t>25º PAV.</t>
        </is>
      </c>
      <c r="F1954" s="118" t="n">
        <v>46983</v>
      </c>
      <c r="G1954" s="118" t="n">
        <v>46995</v>
      </c>
      <c r="H1954" s="118" t="n">
        <v>46289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IF(E1954="","",IF(LEFT(E1954,7)="SUBSOLO",-1,IF(LEFT(E1954,6)="TÉRREO",0,IFERROR(VALUE(LEFT(E1954,FIND("º",SUBSTITUTE(E1954,"°","º"))-1)),""))))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29980850</v>
      </c>
      <c r="C1955" s="4" t="inlineStr">
        <is>
          <t>MASSA CORRIDA</t>
        </is>
      </c>
      <c r="D1955" s="4" t="inlineStr">
        <is>
          <t>-</t>
        </is>
      </c>
      <c r="E1955" s="4" t="inlineStr">
        <is>
          <t>26º PAV.</t>
        </is>
      </c>
      <c r="F1955" s="118" t="n">
        <v>46983</v>
      </c>
      <c r="G1955" s="118" t="n">
        <v>46995</v>
      </c>
      <c r="H1955" s="118" t="n">
        <v>46289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IF(E1955="","",IF(LEFT(E1955,7)="SUBSOLO",-1,IF(LEFT(E1955,6)="TÉRREO",0,IFERROR(VALUE(LEFT(E1955,FIND("º",SUBSTITUTE(E1955,"°","º"))-1)),""))))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33898111</v>
      </c>
      <c r="C1956" s="4" t="inlineStr">
        <is>
          <t>ESQUADRIA DE ALUMÍNIO</t>
        </is>
      </c>
      <c r="D1956" s="4" t="inlineStr">
        <is>
          <t>-</t>
        </is>
      </c>
      <c r="E1956" s="4" t="inlineStr">
        <is>
          <t>27º PAV.</t>
        </is>
      </c>
      <c r="F1956" s="118" t="n">
        <v>46983</v>
      </c>
      <c r="G1956" s="118" t="n">
        <v>46995</v>
      </c>
      <c r="H1956" s="118" t="n">
        <v>46289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IF(E1956="","",IF(LEFT(E1956,7)="SUBSOLO",-1,IF(LEFT(E1956,6)="TÉRREO",0,IFERROR(VALUE(LEFT(E1956,FIND("º",SUBSTITUTE(E1956,"°","º"))-1)),""))))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31800478</v>
      </c>
      <c r="C1957" s="4" t="inlineStr">
        <is>
          <t>INSTALAÇÃO DE SHADOWBOX E BRISES - F5</t>
        </is>
      </c>
      <c r="D1957" s="4" t="inlineStr">
        <is>
          <t>-</t>
        </is>
      </c>
      <c r="E1957" s="4" t="inlineStr">
        <is>
          <t>FACHADA</t>
        </is>
      </c>
      <c r="F1957" s="118" t="n">
        <v>46983</v>
      </c>
      <c r="G1957" s="118" t="n">
        <v>47032</v>
      </c>
      <c r="H1957" s="118" t="n">
        <v>46289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IF(E1957="","",IF(LEFT(E1957,7)="SUBSOLO",-1,IF(LEFT(E1957,6)="TÉRREO",0,IFERROR(VALUE(LEFT(E1957,FIND("º",SUBSTITUTE(E1957,"°","º"))-1)),""))))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31801078</v>
      </c>
      <c r="C1958" s="4" t="inlineStr">
        <is>
          <t>FACHADA EMBASAMENTO</t>
        </is>
      </c>
      <c r="D1958" s="4" t="inlineStr">
        <is>
          <t>-</t>
        </is>
      </c>
      <c r="E1958" s="4" t="inlineStr">
        <is>
          <t>FACHADA</t>
        </is>
      </c>
      <c r="F1958" s="118" t="n">
        <v>46983</v>
      </c>
      <c r="G1958" s="118" t="n">
        <v>47122</v>
      </c>
      <c r="H1958" s="118" t="n">
        <v>46289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IF(E1958="","",IF(LEFT(E1958,7)="SUBSOLO",-1,IF(LEFT(E1958,6)="TÉRREO",0,IFERROR(VALUE(LEFT(E1958,FIND("º",SUBSTITUTE(E1958,"°","º"))-1)),""))))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30206113</v>
      </c>
      <c r="C1959" s="4" t="inlineStr">
        <is>
          <t>LIMPEZA GROSSA</t>
        </is>
      </c>
      <c r="D1959" s="4" t="inlineStr">
        <is>
          <t>-</t>
        </is>
      </c>
      <c r="E1959" s="4" t="inlineStr">
        <is>
          <t>6º PAV (PILOTIS) - ACADEMIA</t>
        </is>
      </c>
      <c r="F1959" s="118" t="n">
        <v>46986</v>
      </c>
      <c r="G1959" s="118" t="n">
        <v>46997</v>
      </c>
      <c r="H1959" s="118" t="n">
        <v>46289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IF(E1959="","",IF(LEFT(E1959,7)="SUBSOLO",-1,IF(LEFT(E1959,6)="TÉRREO",0,IFERROR(VALUE(LEFT(E1959,FIND("º",SUBSTITUTE(E1959,"°","º"))-1)),""))))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29980663</v>
      </c>
      <c r="C1960" s="4" t="inlineStr">
        <is>
          <t>FORRO</t>
        </is>
      </c>
      <c r="D1960" s="4" t="inlineStr">
        <is>
          <t>-</t>
        </is>
      </c>
      <c r="E1960" s="4" t="inlineStr">
        <is>
          <t>31º PAV. - COBERTURA LINEAR</t>
        </is>
      </c>
      <c r="F1960" s="118" t="n">
        <v>46986</v>
      </c>
      <c r="G1960" s="118" t="n">
        <v>46996</v>
      </c>
      <c r="H1960" s="118" t="n">
        <v>46289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IF(E1960="","",IF(LEFT(E1960,7)="SUBSOLO",-1,IF(LEFT(E1960,6)="TÉRREO",0,IFERROR(VALUE(LEFT(E1960,FIND("º",SUBSTITUTE(E1960,"°","º"))-1)),""))))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29980624</v>
      </c>
      <c r="C1961" s="4" t="inlineStr">
        <is>
          <t>FIAÇÃO ELÉTRICA</t>
        </is>
      </c>
      <c r="D1961" s="4" t="inlineStr">
        <is>
          <t>-</t>
        </is>
      </c>
      <c r="E1961" s="4" t="inlineStr">
        <is>
          <t>32º PAV - COBERTURA GERAL</t>
        </is>
      </c>
      <c r="F1961" s="118" t="n">
        <v>46986</v>
      </c>
      <c r="G1961" s="118" t="n">
        <v>46996</v>
      </c>
      <c r="H1961" s="118" t="n">
        <v>46289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IF(E1961="","",IF(LEFT(E1961,7)="SUBSOLO",-1,IF(LEFT(E1961,6)="TÉRREO",0,IFERROR(VALUE(LEFT(E1961,FIND("º",SUBSTITUTE(E1961,"°","º"))-1)),""))))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29980629</v>
      </c>
      <c r="C1962" s="4" t="inlineStr">
        <is>
          <t>PRUMADA ELÉTRICA - CABOS</t>
        </is>
      </c>
      <c r="D1962" s="4" t="inlineStr">
        <is>
          <t>-</t>
        </is>
      </c>
      <c r="E1962" s="4" t="inlineStr">
        <is>
          <t>32º PAV - COBERTURA GERAL</t>
        </is>
      </c>
      <c r="F1962" s="118" t="n">
        <v>46986</v>
      </c>
      <c r="G1962" s="118" t="n">
        <v>46996</v>
      </c>
      <c r="H1962" s="118" t="n">
        <v>46289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IF(E1962="","",IF(LEFT(E1962,7)="SUBSOLO",-1,IF(LEFT(E1962,6)="TÉRREO",0,IFERROR(VALUE(LEFT(E1962,FIND("º",SUBSTITUTE(E1962,"°","º"))-1)),""))))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30214094</v>
      </c>
      <c r="C1963" s="4" t="inlineStr">
        <is>
          <t>FIAÇÃO TELECOM/DADOS</t>
        </is>
      </c>
      <c r="D1963" s="4" t="inlineStr">
        <is>
          <t>-</t>
        </is>
      </c>
      <c r="E1963" s="4" t="inlineStr">
        <is>
          <t>32º PAV - COBERTURA GERAL</t>
        </is>
      </c>
      <c r="F1963" s="118" t="n">
        <v>46986</v>
      </c>
      <c r="G1963" s="118" t="n">
        <v>46997</v>
      </c>
      <c r="H1963" s="118" t="n">
        <v>46289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IF(E1963="","",IF(LEFT(E1963,7)="SUBSOLO",-1,IF(LEFT(E1963,6)="TÉRREO",0,IFERROR(VALUE(LEFT(E1963,FIND("º",SUBSTITUTE(E1963,"°","º"))-1)),""))))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29981102</v>
      </c>
      <c r="C1964" s="4" t="inlineStr">
        <is>
          <t>IMPERMEABILIZAÇÃO</t>
        </is>
      </c>
      <c r="D1964" s="4" t="inlineStr">
        <is>
          <t>-</t>
        </is>
      </c>
      <c r="E1964" s="4" t="inlineStr">
        <is>
          <t>19º PAV.</t>
        </is>
      </c>
      <c r="F1964" s="118" t="n">
        <v>46987</v>
      </c>
      <c r="G1964" s="118" t="n">
        <v>46997</v>
      </c>
      <c r="H1964" s="118" t="n">
        <v>46289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IF(E1964="","",IF(LEFT(E1964,7)="SUBSOLO",-1,IF(LEFT(E1964,6)="TÉRREO",0,IFERROR(VALUE(LEFT(E1964,FIND("º",SUBSTITUTE(E1964,"°","º"))-1)),""))))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30210368</v>
      </c>
      <c r="C1965" s="4" t="inlineStr">
        <is>
          <t>MONTAGEM - ELEVADOR 3</t>
        </is>
      </c>
      <c r="D1965" s="4" t="inlineStr">
        <is>
          <t>-</t>
        </is>
      </c>
      <c r="E1965" s="4" t="inlineStr">
        <is>
          <t>ELEVADORES</t>
        </is>
      </c>
      <c r="F1965" s="118" t="n">
        <v>46988</v>
      </c>
      <c r="G1965" s="118" t="n">
        <v>47035</v>
      </c>
      <c r="H1965" s="118" t="n">
        <v>46289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IF(E1965="","",IF(LEFT(E1965,7)="SUBSOLO",-1,IF(LEFT(E1965,6)="TÉRREO",0,IFERROR(VALUE(LEFT(E1965,FIND("º",SUBSTITUTE(E1965,"°","º"))-1)),""))))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30205940</v>
      </c>
      <c r="C1966" s="4" t="inlineStr">
        <is>
          <t>BRISE</t>
        </is>
      </c>
      <c r="D1966" s="4" t="inlineStr">
        <is>
          <t>-</t>
        </is>
      </c>
      <c r="E1966" s="4" t="inlineStr">
        <is>
          <t>4º PAV - GARAGEM</t>
        </is>
      </c>
      <c r="F1966" s="118" t="n">
        <v>46989</v>
      </c>
      <c r="G1966" s="118" t="n">
        <v>47002</v>
      </c>
      <c r="H1966" s="118" t="n">
        <v>46289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IF(E1966="","",IF(LEFT(E1966,7)="SUBSOLO",-1,IF(LEFT(E1966,6)="TÉRREO",0,IFERROR(VALUE(LEFT(E1966,FIND("º",SUBSTITUTE(E1966,"°","º"))-1)),""))))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30210552</v>
      </c>
      <c r="C1967" s="4" t="inlineStr">
        <is>
          <t>PRESSURIZAÇÃO (INCÊNDIO)</t>
        </is>
      </c>
      <c r="D1967" s="4" t="inlineStr">
        <is>
          <t>-</t>
        </is>
      </c>
      <c r="E1967" s="4" t="inlineStr">
        <is>
          <t>33º PAV - BARRILETE</t>
        </is>
      </c>
      <c r="F1967" s="118" t="n">
        <v>46989</v>
      </c>
      <c r="G1967" s="118" t="n">
        <v>47010</v>
      </c>
      <c r="H1967" s="118" t="n">
        <v>46289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IF(E1967="","",IF(LEFT(E1967,7)="SUBSOLO",-1,IF(LEFT(E1967,6)="TÉRREO",0,IFERROR(VALUE(LEFT(E1967,FIND("º",SUBSTITUTE(E1967,"°","º"))-1)),""))))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30205787</v>
      </c>
      <c r="C1968" s="4" t="inlineStr">
        <is>
          <t>ACABAMENTOS ELÉTRICOS</t>
        </is>
      </c>
      <c r="D1968" s="4" t="inlineStr">
        <is>
          <t>-</t>
        </is>
      </c>
      <c r="E1968" s="4" t="inlineStr">
        <is>
          <t>TÉRREO - ACESSO COMERCIAL + DML + ARS + ÁREA TEC + LAVABO + DISPENSA</t>
        </is>
      </c>
      <c r="F1968" s="118" t="n">
        <v>46990</v>
      </c>
      <c r="G1968" s="118" t="n">
        <v>47004</v>
      </c>
      <c r="H1968" s="118" t="n">
        <v>46289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IF(E1968="","",IF(LEFT(E1968,7)="SUBSOLO",-1,IF(LEFT(E1968,6)="TÉRREO",0,IFERROR(VALUE(LEFT(E1968,FIND("º",SUBSTITUTE(E1968,"°","º"))-1)),""))))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29981254</v>
      </c>
      <c r="C1969" s="4" t="inlineStr">
        <is>
          <t>LIMPEZA FINA</t>
        </is>
      </c>
      <c r="D1969" s="4" t="inlineStr">
        <is>
          <t>-</t>
        </is>
      </c>
      <c r="E1969" s="4" t="inlineStr">
        <is>
          <t>15º PAV.</t>
        </is>
      </c>
      <c r="F1969" s="118" t="n">
        <v>46990</v>
      </c>
      <c r="G1969" s="118" t="n">
        <v>47002</v>
      </c>
      <c r="H1969" s="118" t="n">
        <v>46289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IF(E1969="","",IF(LEFT(E1969,7)="SUBSOLO",-1,IF(LEFT(E1969,6)="TÉRREO",0,IFERROR(VALUE(LEFT(E1969,FIND("º",SUBSTITUTE(E1969,"°","º"))-1)),""))))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29981207</v>
      </c>
      <c r="C1970" s="4" t="inlineStr">
        <is>
          <t>PINTURA 3º DEMÃO</t>
        </is>
      </c>
      <c r="D1970" s="4" t="inlineStr">
        <is>
          <t>-</t>
        </is>
      </c>
      <c r="E1970" s="4" t="inlineStr">
        <is>
          <t>16º PAV.</t>
        </is>
      </c>
      <c r="F1970" s="118" t="n">
        <v>46990</v>
      </c>
      <c r="G1970" s="118" t="n">
        <v>47002</v>
      </c>
      <c r="H1970" s="118" t="n">
        <v>46289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IF(E1970="","",IF(LEFT(E1970,7)="SUBSOLO",-1,IF(LEFT(E1970,6)="TÉRREO",0,IFERROR(VALUE(LEFT(E1970,FIND("º",SUBSTITUTE(E1970,"°","º"))-1)),""))))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30206110</v>
      </c>
      <c r="C1971" s="4" t="inlineStr">
        <is>
          <t>COMUNICAÇÃO E ALARME</t>
        </is>
      </c>
      <c r="D1971" s="4" t="inlineStr">
        <is>
          <t>-</t>
        </is>
      </c>
      <c r="E1971" s="4" t="inlineStr">
        <is>
          <t>6º PAV (PILOTIS) - ACADEMIA</t>
        </is>
      </c>
      <c r="F1971" s="118" t="n">
        <v>46993</v>
      </c>
      <c r="G1971" s="118" t="n">
        <v>47007</v>
      </c>
      <c r="H1971" s="118" t="n">
        <v>46289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IF(E1971="","",IF(LEFT(E1971,7)="SUBSOLO",-1,IF(LEFT(E1971,6)="TÉRREO",0,IFERROR(VALUE(LEFT(E1971,FIND("º",SUBSTITUTE(E1971,"°","º"))-1)),""))))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30206066</v>
      </c>
      <c r="C1972" s="4" t="inlineStr">
        <is>
          <t>PINTURA 1º DEMÃO</t>
        </is>
      </c>
      <c r="D1972" s="4" t="inlineStr">
        <is>
          <t>-</t>
        </is>
      </c>
      <c r="E1972" s="4" t="inlineStr">
        <is>
          <t>6º PAV (PILOTIS) - SAUNA + DUCHA</t>
        </is>
      </c>
      <c r="F1972" s="118" t="n">
        <v>46993</v>
      </c>
      <c r="G1972" s="118" t="n">
        <v>47007</v>
      </c>
      <c r="H1972" s="118" t="n">
        <v>46289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IF(E1972="","",IF(LEFT(E1972,7)="SUBSOLO",-1,IF(LEFT(E1972,6)="TÉRREO",0,IFERROR(VALUE(LEFT(E1972,FIND("º",SUBSTITUTE(E1972,"°","º"))-1)),""))))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33904060</v>
      </c>
      <c r="C1973" s="4" t="inlineStr">
        <is>
          <t>ESQUADRIA DE ALUMÍNIO</t>
        </is>
      </c>
      <c r="D1973" s="4" t="inlineStr">
        <is>
          <t>-</t>
        </is>
      </c>
      <c r="E1973" s="4" t="inlineStr">
        <is>
          <t>6º PAV (PILOTIS) - CHURRASQUEIRA + IS MASC. PCD + IS FEM. PCD + CIRCULAÇÃO 1 + HALL 1</t>
        </is>
      </c>
      <c r="F1973" s="118" t="n">
        <v>46993</v>
      </c>
      <c r="G1973" s="118" t="n">
        <v>47007</v>
      </c>
      <c r="H1973" s="118" t="n">
        <v>46289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IF(E1973="","",IF(LEFT(E1973,7)="SUBSOLO",-1,IF(LEFT(E1973,6)="TÉRREO",0,IFERROR(VALUE(LEFT(E1973,FIND("º",SUBSTITUTE(E1973,"°","º"))-1)),""))))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30206016</v>
      </c>
      <c r="C1974" s="4" t="inlineStr">
        <is>
          <t>FORRO</t>
        </is>
      </c>
      <c r="D1974" s="4" t="inlineStr">
        <is>
          <t>-</t>
        </is>
      </c>
      <c r="E1974" s="4" t="inlineStr">
        <is>
          <t>6º PAV (PILOTIS) - COWORKING 1 E 2 + CIRC. 2 + HALL 2 + DML + VEST. MASC. + VEST. FEM</t>
        </is>
      </c>
      <c r="F1974" s="118" t="n">
        <v>46993</v>
      </c>
      <c r="G1974" s="118" t="n">
        <v>47007</v>
      </c>
      <c r="H1974" s="118" t="n">
        <v>46289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IF(E1974="","",IF(LEFT(E1974,7)="SUBSOLO",-1,IF(LEFT(E1974,6)="TÉRREO",0,IFERROR(VALUE(LEFT(E1974,FIND("º",SUBSTITUTE(E1974,"°","º"))-1)),""))))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30205977</v>
      </c>
      <c r="C1975" s="4" t="inlineStr">
        <is>
          <t>FIAÇÃO ELÉTRICA</t>
        </is>
      </c>
      <c r="D1975" s="4" t="inlineStr">
        <is>
          <t>-</t>
        </is>
      </c>
      <c r="E1975" s="4" t="inlineStr">
        <is>
          <t>6º PAV (PILOTIS) - LOUNGE + SALÃO + COZINHA + GOURMET + ESPAÇO KIDS</t>
        </is>
      </c>
      <c r="F1975" s="118" t="n">
        <v>46993</v>
      </c>
      <c r="G1975" s="118" t="n">
        <v>47007</v>
      </c>
      <c r="H1975" s="118" t="n">
        <v>46289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IF(E1975="","",IF(LEFT(E1975,7)="SUBSOLO",-1,IF(LEFT(E1975,6)="TÉRREO",0,IFERROR(VALUE(LEFT(E1975,FIND("º",SUBSTITUTE(E1975,"°","º"))-1)),""))))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30214068</v>
      </c>
      <c r="C1976" s="4" t="inlineStr">
        <is>
          <t>FIAÇÃO TELECOM/DADOS</t>
        </is>
      </c>
      <c r="D1976" s="4" t="inlineStr">
        <is>
          <t>-</t>
        </is>
      </c>
      <c r="E1976" s="4" t="inlineStr">
        <is>
          <t>6º PAV (PILOTIS) - LOUNGE + SALÃO + COZINHA + GOURMET + ESPAÇO KIDS</t>
        </is>
      </c>
      <c r="F1976" s="118" t="n">
        <v>46993</v>
      </c>
      <c r="G1976" s="118" t="n">
        <v>47007</v>
      </c>
      <c r="H1976" s="118" t="n">
        <v>46289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IF(E1976="","",IF(LEFT(E1976,7)="SUBSOLO",-1,IF(LEFT(E1976,6)="TÉRREO",0,IFERROR(VALUE(LEFT(E1976,FIND("º",SUBSTITUTE(E1976,"°","º"))-1)),""))))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30205937</v>
      </c>
      <c r="C1977" s="4" t="inlineStr">
        <is>
          <t>PAISAGISMO</t>
        </is>
      </c>
      <c r="D1977" s="4" t="inlineStr">
        <is>
          <t>-</t>
        </is>
      </c>
      <c r="E1977" s="4" t="inlineStr">
        <is>
          <t>5º PAV - GARAGEM</t>
        </is>
      </c>
      <c r="F1977" s="118" t="n">
        <v>46994</v>
      </c>
      <c r="G1977" s="118" t="n">
        <v>47008</v>
      </c>
      <c r="H1977" s="118" t="n">
        <v>46289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IF(E1977="","",IF(LEFT(E1977,7)="SUBSOLO",-1,IF(LEFT(E1977,6)="TÉRREO",0,IFERROR(VALUE(LEFT(E1977,FIND("º",SUBSTITUTE(E1977,"°","º"))-1)),""))))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30205574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TÉRREO - LOJA 6</t>
        </is>
      </c>
      <c r="F1978" s="118" t="n">
        <v>46995</v>
      </c>
      <c r="G1978" s="118" t="n">
        <v>47001</v>
      </c>
      <c r="H1978" s="118" t="n">
        <v>46289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IF(E1978="","",IF(LEFT(E1978,7)="SUBSOLO",-1,IF(LEFT(E1978,6)="TÉRREO",0,IFERROR(VALUE(LEFT(E1978,FIND("º",SUBSTITUTE(E1978,"°","º"))-1)),""))))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30205543</v>
      </c>
      <c r="C1979" s="4" t="inlineStr">
        <is>
          <t>LIMPEZA FINA</t>
        </is>
      </c>
      <c r="D1979" s="4" t="inlineStr">
        <is>
          <t>-</t>
        </is>
      </c>
      <c r="E1979" s="4" t="inlineStr">
        <is>
          <t>TÉRREO - LOJA 7</t>
        </is>
      </c>
      <c r="F1979" s="118" t="n">
        <v>46995</v>
      </c>
      <c r="G1979" s="118" t="n">
        <v>47009</v>
      </c>
      <c r="H1979" s="118" t="n">
        <v>46289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IF(E1979="","",IF(LEFT(E1979,7)="SUBSOLO",-1,IF(LEFT(E1979,6)="TÉRREO",0,IFERROR(VALUE(LEFT(E1979,FIND("º",SUBSTITUTE(E1979,"°","º"))-1)),""))))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29981169</v>
      </c>
      <c r="C1980" s="4" t="inlineStr">
        <is>
          <t>CHECKLIST</t>
        </is>
      </c>
      <c r="D1980" s="4" t="inlineStr">
        <is>
          <t>-</t>
        </is>
      </c>
      <c r="E1980" s="4" t="inlineStr">
        <is>
          <t>17º PAV.</t>
        </is>
      </c>
      <c r="F1980" s="118" t="n">
        <v>46996</v>
      </c>
      <c r="G1980" s="118" t="n">
        <v>47002</v>
      </c>
      <c r="H1980" s="118" t="n">
        <v>46289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IF(E1980="","",IF(LEFT(E1980,7)="SUBSOLO",-1,IF(LEFT(E1980,6)="TÉRREO",0,IFERROR(VALUE(LEFT(E1980,FIND("º",SUBSTITUTE(E1980,"°","º"))-1)),""))))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29981134</v>
      </c>
      <c r="C1981" s="4" t="inlineStr">
        <is>
          <t>ACABAMENTOS ELÉTRICOS</t>
        </is>
      </c>
      <c r="D1981" s="4" t="inlineStr">
        <is>
          <t>-</t>
        </is>
      </c>
      <c r="E1981" s="4" t="inlineStr">
        <is>
          <t>18º PAV.</t>
        </is>
      </c>
      <c r="F1981" s="118" t="n">
        <v>46996</v>
      </c>
      <c r="G1981" s="118" t="n">
        <v>47009</v>
      </c>
      <c r="H1981" s="118" t="n">
        <v>46289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IF(E1981="","",IF(LEFT(E1981,7)="SUBSOLO",-1,IF(LEFT(E1981,6)="TÉRREO",0,IFERROR(VALUE(LEFT(E1981,FIND("º",SUBSTITUTE(E1981,"°","º"))-1)),""))))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29981057</v>
      </c>
      <c r="C1982" s="4" t="inlineStr">
        <is>
          <t>PINTURA 2º DEMÃO</t>
        </is>
      </c>
      <c r="D1982" s="4" t="inlineStr">
        <is>
          <t>-</t>
        </is>
      </c>
      <c r="E1982" s="4" t="inlineStr">
        <is>
          <t>20º PAV.</t>
        </is>
      </c>
      <c r="F1982" s="118" t="n">
        <v>46996</v>
      </c>
      <c r="G1982" s="118" t="n">
        <v>47009</v>
      </c>
      <c r="H1982" s="118" t="n">
        <v>46289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IF(E1982="","",IF(LEFT(E1982,7)="SUBSOLO",-1,IF(LEFT(E1982,6)="TÉRREO",0,IFERROR(VALUE(LEFT(E1982,FIND("º",SUBSTITUTE(E1982,"°","º"))-1)),""))))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33919797</v>
      </c>
      <c r="C1983" s="4" t="inlineStr">
        <is>
          <t>TEXTURA - EXTERNA</t>
        </is>
      </c>
      <c r="D1983" s="4" t="inlineStr">
        <is>
          <t>-</t>
        </is>
      </c>
      <c r="E1983" s="4" t="inlineStr">
        <is>
          <t>20º PAV.</t>
        </is>
      </c>
      <c r="F1983" s="118" t="n">
        <v>46996</v>
      </c>
      <c r="G1983" s="118" t="n">
        <v>47009</v>
      </c>
      <c r="H1983" s="118" t="n">
        <v>46289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IF(E1983="","",IF(LEFT(E1983,7)="SUBSOLO",-1,IF(LEFT(E1983,6)="TÉRREO",0,IFERROR(VALUE(LEFT(E1983,FIND("º",SUBSTITUTE(E1983,"°","º"))-1)),""))))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29981019</v>
      </c>
      <c r="C1984" s="4" t="inlineStr">
        <is>
          <t>LIMPEZA GROSSA</t>
        </is>
      </c>
      <c r="D1984" s="4" t="inlineStr">
        <is>
          <t>-</t>
        </is>
      </c>
      <c r="E1984" s="4" t="inlineStr">
        <is>
          <t>21º PAV.</t>
        </is>
      </c>
      <c r="F1984" s="118" t="n">
        <v>46996</v>
      </c>
      <c r="G1984" s="118" t="n">
        <v>47009</v>
      </c>
      <c r="H1984" s="118" t="n">
        <v>46289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IF(E1984="","",IF(LEFT(E1984,7)="SUBSOLO",-1,IF(LEFT(E1984,6)="TÉRREO",0,IFERROR(VALUE(LEFT(E1984,FIND("º",SUBSTITUTE(E1984,"°","º"))-1)),""))))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29980976</v>
      </c>
      <c r="C1985" s="4" t="inlineStr">
        <is>
          <t>LOUÇAS</t>
        </is>
      </c>
      <c r="D1985" s="4" t="inlineStr">
        <is>
          <t>-</t>
        </is>
      </c>
      <c r="E1985" s="4" t="inlineStr">
        <is>
          <t>22º PAV.</t>
        </is>
      </c>
      <c r="F1985" s="118" t="n">
        <v>46996</v>
      </c>
      <c r="G1985" s="118" t="n">
        <v>47009</v>
      </c>
      <c r="H1985" s="118" t="n">
        <v>46289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IF(E1985="","",IF(LEFT(E1985,7)="SUBSOLO",-1,IF(LEFT(E1985,6)="TÉRREO",0,IFERROR(VALUE(LEFT(E1985,FIND("º",SUBSTITUTE(E1985,"°","º"))-1)),""))))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29980981</v>
      </c>
      <c r="C1986" s="4" t="inlineStr">
        <is>
          <t>METAIS</t>
        </is>
      </c>
      <c r="D1986" s="4" t="inlineStr">
        <is>
          <t>-</t>
        </is>
      </c>
      <c r="E1986" s="4" t="inlineStr">
        <is>
          <t>22º PAV.</t>
        </is>
      </c>
      <c r="F1986" s="118" t="n">
        <v>46996</v>
      </c>
      <c r="G1986" s="118" t="n">
        <v>47009</v>
      </c>
      <c r="H1986" s="118" t="n">
        <v>46289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IF(E1986="","",IF(LEFT(E1986,7)="SUBSOLO",-1,IF(LEFT(E1986,6)="TÉRREO",0,IFERROR(VALUE(LEFT(E1986,FIND("º",SUBSTITUTE(E1986,"°","º"))-1)),""))))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29980980</v>
      </c>
      <c r="C1987" s="4" t="inlineStr">
        <is>
          <t>DISJUNTORES / MIOLOS</t>
        </is>
      </c>
      <c r="D1987" s="4" t="inlineStr">
        <is>
          <t>-</t>
        </is>
      </c>
      <c r="E1987" s="4" t="inlineStr">
        <is>
          <t>22º PAV.</t>
        </is>
      </c>
      <c r="F1987" s="118" t="n">
        <v>46996</v>
      </c>
      <c r="G1987" s="118" t="n">
        <v>47009</v>
      </c>
      <c r="H1987" s="118" t="n">
        <v>46289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IF(E1987="","",IF(LEFT(E1987,7)="SUBSOLO",-1,IF(LEFT(E1987,6)="TÉRREO",0,IFERROR(VALUE(LEFT(E1987,FIND("º",SUBSTITUTE(E1987,"°","º"))-1)),""))))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29980979</v>
      </c>
      <c r="C1988" s="4" t="inlineStr">
        <is>
          <t>COMUNICAÇÃO E ALARME</t>
        </is>
      </c>
      <c r="D1988" s="4" t="inlineStr">
        <is>
          <t>-</t>
        </is>
      </c>
      <c r="E1988" s="4" t="inlineStr">
        <is>
          <t>22º PAV.</t>
        </is>
      </c>
      <c r="F1988" s="118" t="n">
        <v>46996</v>
      </c>
      <c r="G1988" s="118" t="n">
        <v>47009</v>
      </c>
      <c r="H1988" s="118" t="n">
        <v>46289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IF(E1988="","",IF(LEFT(E1988,7)="SUBSOLO",-1,IF(LEFT(E1988,6)="TÉRREO",0,IFERROR(VALUE(LEFT(E1988,FIND("º",SUBSTITUTE(E1988,"°","º"))-1)),""))))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29980938</v>
      </c>
      <c r="C1989" s="4" t="inlineStr">
        <is>
          <t>RODAPÉ MADEIRA / PVC</t>
        </is>
      </c>
      <c r="D1989" s="4" t="inlineStr">
        <is>
          <t>-</t>
        </is>
      </c>
      <c r="E1989" s="4" t="inlineStr">
        <is>
          <t>23º PAV.</t>
        </is>
      </c>
      <c r="F1989" s="118" t="n">
        <v>46996</v>
      </c>
      <c r="G1989" s="118" t="n">
        <v>47009</v>
      </c>
      <c r="H1989" s="118" t="n">
        <v>46289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IF(E1989="","",IF(LEFT(E1989,7)="SUBSOLO",-1,IF(LEFT(E1989,6)="TÉRREO",0,IFERROR(VALUE(LEFT(E1989,FIND("º",SUBSTITUTE(E1989,"°","º"))-1)),""))))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29980900</v>
      </c>
      <c r="C1990" s="4" t="inlineStr">
        <is>
          <t>ESQUADRIA MADEIRA</t>
        </is>
      </c>
      <c r="D1990" s="4" t="inlineStr">
        <is>
          <t>-</t>
        </is>
      </c>
      <c r="E1990" s="4" t="inlineStr">
        <is>
          <t>24º PAV.</t>
        </is>
      </c>
      <c r="F1990" s="118" t="n">
        <v>46996</v>
      </c>
      <c r="G1990" s="118" t="n">
        <v>47009</v>
      </c>
      <c r="H1990" s="118" t="n">
        <v>46289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IF(E1990="","",IF(LEFT(E1990,7)="SUBSOLO",-1,IF(LEFT(E1990,6)="TÉRREO",0,IFERROR(VALUE(LEFT(E1990,FIND("º",SUBSTITUTE(E1990,"°","º"))-1)),""))))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29980862</v>
      </c>
      <c r="C1991" s="4" t="inlineStr">
        <is>
          <t>PISO VINÍLICO / LAMINADO</t>
        </is>
      </c>
      <c r="D1991" s="4" t="inlineStr">
        <is>
          <t>-</t>
        </is>
      </c>
      <c r="E1991" s="4" t="inlineStr">
        <is>
          <t>25º PAV.</t>
        </is>
      </c>
      <c r="F1991" s="118" t="n">
        <v>46996</v>
      </c>
      <c r="G1991" s="118" t="n">
        <v>47009</v>
      </c>
      <c r="H1991" s="118" t="n">
        <v>46289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IF(E1991="","",IF(LEFT(E1991,7)="SUBSOLO",-1,IF(LEFT(E1991,6)="TÉRREO",0,IFERROR(VALUE(LEFT(E1991,FIND("º",SUBSTITUTE(E1991,"°","º"))-1)),""))))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29980824</v>
      </c>
      <c r="C1992" s="4" t="inlineStr">
        <is>
          <t>PINTURA 1º DEMÃO</t>
        </is>
      </c>
      <c r="D1992" s="4" t="inlineStr">
        <is>
          <t>-</t>
        </is>
      </c>
      <c r="E1992" s="4" t="inlineStr">
        <is>
          <t>26º PAV.</t>
        </is>
      </c>
      <c r="F1992" s="118" t="n">
        <v>46996</v>
      </c>
      <c r="G1992" s="118" t="n">
        <v>47009</v>
      </c>
      <c r="H1992" s="118" t="n">
        <v>46289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IF(E1992="","",IF(LEFT(E1992,7)="SUBSOLO",-1,IF(LEFT(E1992,6)="TÉRREO",0,IFERROR(VALUE(LEFT(E1992,FIND("º",SUBSTITUTE(E1992,"°","º"))-1)),""))))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29980813</v>
      </c>
      <c r="C1993" s="4" t="inlineStr">
        <is>
          <t>MASSA CORRIDA</t>
        </is>
      </c>
      <c r="D1993" s="4" t="inlineStr">
        <is>
          <t>-</t>
        </is>
      </c>
      <c r="E1993" s="4" t="inlineStr">
        <is>
          <t>27º PAV.</t>
        </is>
      </c>
      <c r="F1993" s="118" t="n">
        <v>46996</v>
      </c>
      <c r="G1993" s="118" t="n">
        <v>47009</v>
      </c>
      <c r="H1993" s="118" t="n">
        <v>46289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IF(E1993="","",IF(LEFT(E1993,7)="SUBSOLO",-1,IF(LEFT(E1993,6)="TÉRREO",0,IFERROR(VALUE(LEFT(E1993,FIND("º",SUBSTITUTE(E1993,"°","º"))-1)),""))))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33898112</v>
      </c>
      <c r="C1994" s="4" t="inlineStr">
        <is>
          <t>ESQUADRIA DE ALUMÍNIO</t>
        </is>
      </c>
      <c r="D1994" s="4" t="inlineStr">
        <is>
          <t>-</t>
        </is>
      </c>
      <c r="E1994" s="4" t="inlineStr">
        <is>
          <t>28º PAV.</t>
        </is>
      </c>
      <c r="F1994" s="118" t="n">
        <v>46996</v>
      </c>
      <c r="G1994" s="118" t="n">
        <v>47009</v>
      </c>
      <c r="H1994" s="118" t="n">
        <v>46289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IF(E1994="","",IF(LEFT(E1994,7)="SUBSOLO",-1,IF(LEFT(E1994,6)="TÉRREO",0,IFERROR(VALUE(LEFT(E1994,FIND("º",SUBSTITUTE(E1994,"°","º"))-1)),""))))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30205814</v>
      </c>
      <c r="C1995" s="4" t="inlineStr">
        <is>
          <t>ACABAMENTOS ELÉTRICOS</t>
        </is>
      </c>
      <c r="D1995" s="4" t="inlineStr">
        <is>
          <t>-</t>
        </is>
      </c>
      <c r="E1995" s="4" t="inlineStr">
        <is>
          <t>TÉRREO - HALL SOCIAL + ECLUSA + CIRCULAÇÃO</t>
        </is>
      </c>
      <c r="F1995" s="118" t="n">
        <v>46997</v>
      </c>
      <c r="G1995" s="118" t="n">
        <v>47011</v>
      </c>
      <c r="H1995" s="118" t="n">
        <v>46289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IF(E1995="","",IF(LEFT(E1995,7)="SUBSOLO",-1,IF(LEFT(E1995,6)="TÉRREO",0,IFERROR(VALUE(LEFT(E1995,FIND("º",SUBSTITUTE(E1995,"°","º"))-1)),""))))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30205844</v>
      </c>
      <c r="C1996" s="4" t="inlineStr">
        <is>
          <t>PINTURA 2º DEMÃO</t>
        </is>
      </c>
      <c r="D1996" s="4" t="inlineStr">
        <is>
          <t>-</t>
        </is>
      </c>
      <c r="E1996" s="4" t="inlineStr">
        <is>
          <t>1º PAV. (INTERMEDIÁRIO)</t>
        </is>
      </c>
      <c r="F1996" s="118" t="n">
        <v>46997</v>
      </c>
      <c r="G1996" s="118" t="n">
        <v>47018</v>
      </c>
      <c r="H1996" s="118" t="n">
        <v>46289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IF(E1996="","",IF(LEFT(E1996,7)="SUBSOLO",-1,IF(LEFT(E1996,6)="TÉRREO",0,IFERROR(VALUE(LEFT(E1996,FIND("º",SUBSTITUTE(E1996,"°","º"))-1)),""))))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29980626</v>
      </c>
      <c r="C1997" s="4" t="inlineStr">
        <is>
          <t>FORRO</t>
        </is>
      </c>
      <c r="D1997" s="4" t="inlineStr">
        <is>
          <t>-</t>
        </is>
      </c>
      <c r="E1997" s="4" t="inlineStr">
        <is>
          <t>32º PAV - COBERTURA GERAL</t>
        </is>
      </c>
      <c r="F1997" s="118" t="n">
        <v>46997</v>
      </c>
      <c r="G1997" s="118" t="n">
        <v>47010</v>
      </c>
      <c r="H1997" s="118" t="n">
        <v>46289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IF(E1997="","",IF(LEFT(E1997,7)="SUBSOLO",-1,IF(LEFT(E1997,6)="TÉRREO",0,IFERROR(VALUE(LEFT(E1997,FIND("º",SUBSTITUTE(E1997,"°","º"))-1)),""))))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30206114</v>
      </c>
      <c r="C1998" s="4" t="inlineStr">
        <is>
          <t>PINTURA 2º DEMÃO</t>
        </is>
      </c>
      <c r="D1998" s="4" t="inlineStr">
        <is>
          <t>-</t>
        </is>
      </c>
      <c r="E1998" s="4" t="inlineStr">
        <is>
          <t>6º PAV (PILOTIS) - ACADEMIA</t>
        </is>
      </c>
      <c r="F1998" s="118" t="n">
        <v>47000</v>
      </c>
      <c r="G1998" s="118" t="n">
        <v>47014</v>
      </c>
      <c r="H1998" s="118" t="n">
        <v>46289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IF(E1998="","",IF(LEFT(E1998,7)="SUBSOLO",-1,IF(LEFT(E1998,6)="TÉRREO",0,IFERROR(VALUE(LEFT(E1998,FIND("º",SUBSTITUTE(E1998,"°","º"))-1)),""))))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30208613</v>
      </c>
      <c r="C1999" s="4" t="inlineStr">
        <is>
          <t>LIMPEZA</t>
        </is>
      </c>
      <c r="D1999" s="4" t="inlineStr">
        <is>
          <t>-</t>
        </is>
      </c>
      <c r="E1999" s="4" t="inlineStr">
        <is>
          <t>6º PAV (PILOTIS) - PISCINA + PRAINHA + DECK</t>
        </is>
      </c>
      <c r="F1999" s="118" t="n">
        <v>47000</v>
      </c>
      <c r="G1999" s="118" t="n">
        <v>47007</v>
      </c>
      <c r="H1999" s="118" t="n">
        <v>46289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IF(E1999="","",IF(LEFT(E1999,7)="SUBSOLO",-1,IF(LEFT(E1999,6)="TÉRREO",0,IFERROR(VALUE(LEFT(E1999,FIND("º",SUBSTITUTE(E1999,"°","º"))-1)),""))))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29981104</v>
      </c>
      <c r="C2000" s="4" t="inlineStr">
        <is>
          <t>REVESTIMENTO PORCELANATO PAREDE</t>
        </is>
      </c>
      <c r="D2000" s="4" t="inlineStr">
        <is>
          <t>-</t>
        </is>
      </c>
      <c r="E2000" s="4" t="inlineStr">
        <is>
          <t>19º PAV.</t>
        </is>
      </c>
      <c r="F2000" s="118" t="n">
        <v>47000</v>
      </c>
      <c r="G2000" s="118" t="n">
        <v>47011</v>
      </c>
      <c r="H2000" s="118" t="n">
        <v>46289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IF(E2000="","",IF(LEFT(E2000,7)="SUBSOLO",-1,IF(LEFT(E2000,6)="TÉRREO",0,IFERROR(VALUE(LEFT(E2000,FIND("º",SUBSTITUTE(E2000,"°","º"))-1)),""))))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30171473</v>
      </c>
      <c r="C2001" s="4" t="inlineStr">
        <is>
          <t>TEXTURA - 1º DEMÃO</t>
        </is>
      </c>
      <c r="D2001" s="4" t="inlineStr">
        <is>
          <t>-</t>
        </is>
      </c>
      <c r="E2001" s="4" t="inlineStr">
        <is>
          <t>2º PAV - GARAGEM</t>
        </is>
      </c>
      <c r="F2001" s="118" t="n">
        <v>47004</v>
      </c>
      <c r="G2001" s="118" t="n">
        <v>47039</v>
      </c>
      <c r="H2001" s="118" t="n">
        <v>46289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IF(E2001="","",IF(LEFT(E2001,7)="SUBSOLO",-1,IF(LEFT(E2001,6)="TÉRREO",0,IFERROR(VALUE(LEFT(E2001,FIND("º",SUBSTITUTE(E2001,"°","º"))-1)),""))))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30171489</v>
      </c>
      <c r="C2002" s="4" t="inlineStr">
        <is>
          <t>PINTURA DE TUBULAÇÕES (PAREDE E TETO)</t>
        </is>
      </c>
      <c r="D2002" s="4" t="inlineStr">
        <is>
          <t>-</t>
        </is>
      </c>
      <c r="E2002" s="4" t="inlineStr">
        <is>
          <t>2º PAV - GARAGEM</t>
        </is>
      </c>
      <c r="F2002" s="118" t="n">
        <v>47004</v>
      </c>
      <c r="G2002" s="118" t="n">
        <v>47024</v>
      </c>
      <c r="H2002" s="118" t="n">
        <v>46289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IF(E2002="","",IF(LEFT(E2002,7)="SUBSOLO",-1,IF(LEFT(E2002,6)="TÉRREO",0,IFERROR(VALUE(LEFT(E2002,FIND("º",SUBSTITUTE(E2002,"°","º"))-1)),""))))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30171441</v>
      </c>
      <c r="C2003" s="4" t="inlineStr">
        <is>
          <t>POLIMENTO DE PISO</t>
        </is>
      </c>
      <c r="D2003" s="4" t="inlineStr">
        <is>
          <t>-</t>
        </is>
      </c>
      <c r="E2003" s="4" t="inlineStr">
        <is>
          <t>3º PAV - GARAGEM</t>
        </is>
      </c>
      <c r="F2003" s="118" t="n">
        <v>47004</v>
      </c>
      <c r="G2003" s="118" t="n">
        <v>47035</v>
      </c>
      <c r="H2003" s="118" t="n">
        <v>46289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IF(E2003="","",IF(LEFT(E2003,7)="SUBSOLO",-1,IF(LEFT(E2003,6)="TÉRREO",0,IFERROR(VALUE(LEFT(E2003,FIND("º",SUBSTITUTE(E2003,"°","º"))-1)),""))))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29981217</v>
      </c>
      <c r="C2004" s="4" t="inlineStr">
        <is>
          <t>LIMPEZA FINA</t>
        </is>
      </c>
      <c r="D2004" s="4" t="inlineStr">
        <is>
          <t>-</t>
        </is>
      </c>
      <c r="E2004" s="4" t="inlineStr">
        <is>
          <t>16º PAV.</t>
        </is>
      </c>
      <c r="F2004" s="118" t="n">
        <v>47004</v>
      </c>
      <c r="G2004" s="118" t="n">
        <v>47016</v>
      </c>
      <c r="H2004" s="118" t="n">
        <v>46289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IF(E2004="","",IF(LEFT(E2004,7)="SUBSOLO",-1,IF(LEFT(E2004,6)="TÉRREO",0,IFERROR(VALUE(LEFT(E2004,FIND("º",SUBSTITUTE(E2004,"°","º"))-1)),""))))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29981170</v>
      </c>
      <c r="C2005" s="4" t="inlineStr">
        <is>
          <t>PINTURA 3º DEMÃO</t>
        </is>
      </c>
      <c r="D2005" s="4" t="inlineStr">
        <is>
          <t>-</t>
        </is>
      </c>
      <c r="E2005" s="4" t="inlineStr">
        <is>
          <t>17º PAV.</t>
        </is>
      </c>
      <c r="F2005" s="118" t="n">
        <v>47004</v>
      </c>
      <c r="G2005" s="118" t="n">
        <v>47016</v>
      </c>
      <c r="H2005" s="118" t="n">
        <v>46289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IF(E2005="","",IF(LEFT(E2005,7)="SUBSOLO",-1,IF(LEFT(E2005,6)="TÉRREO",0,IFERROR(VALUE(LEFT(E2005,FIND("º",SUBSTITUTE(E2005,"°","º"))-1)),""))))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30205797</v>
      </c>
      <c r="C2006" s="4" t="inlineStr">
        <is>
          <t>LIMPEZA FINA</t>
        </is>
      </c>
      <c r="D2006" s="4" t="inlineStr">
        <is>
          <t>-</t>
        </is>
      </c>
      <c r="E2006" s="4" t="inlineStr">
        <is>
          <t>TÉRREO - ACESSO COMERCIAL + DML + ARS + ÁREA TEC + LAVABO + DISPENSA</t>
        </is>
      </c>
      <c r="F2006" s="118" t="n">
        <v>47007</v>
      </c>
      <c r="G2006" s="118" t="n">
        <v>47018</v>
      </c>
      <c r="H2006" s="118" t="n">
        <v>46289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IF(E2006="","",IF(LEFT(E2006,7)="SUBSOLO",-1,IF(LEFT(E2006,6)="TÉRREO",0,IFERROR(VALUE(LEFT(E2006,FIND("º",SUBSTITUTE(E2006,"°","º"))-1)),""))))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30205885</v>
      </c>
      <c r="C2007" s="4" t="inlineStr">
        <is>
          <t>PISO ELEVADO</t>
        </is>
      </c>
      <c r="D2007" s="4" t="inlineStr">
        <is>
          <t>-</t>
        </is>
      </c>
      <c r="E2007" s="4" t="inlineStr">
        <is>
          <t>6º PAV (PILOTIS) - PLAYGROUND + TERRAÇO DESCOBERTO + QUADRA DE RECREAÇÃO</t>
        </is>
      </c>
      <c r="F2007" s="118" t="n">
        <v>47007</v>
      </c>
      <c r="G2007" s="118" t="n">
        <v>47052</v>
      </c>
      <c r="H2007" s="118" t="n">
        <v>46289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IF(E2007="","",IF(LEFT(E2007,7)="SUBSOLO",-1,IF(LEFT(E2007,6)="TÉRREO",0,IFERROR(VALUE(LEFT(E2007,FIND("º",SUBSTITUTE(E2007,"°","º"))-1)),""))))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30208600</v>
      </c>
      <c r="C2008" s="4" t="inlineStr">
        <is>
          <t>PRUMADA ELÉTRICA - CABOS</t>
        </is>
      </c>
      <c r="D2008" s="4" t="inlineStr">
        <is>
          <t>-</t>
        </is>
      </c>
      <c r="E2008" s="4" t="inlineStr">
        <is>
          <t>6º PAV - PILOTIS</t>
        </is>
      </c>
      <c r="F2008" s="118" t="n">
        <v>47008</v>
      </c>
      <c r="G2008" s="118" t="n">
        <v>47021</v>
      </c>
      <c r="H2008" s="118" t="n">
        <v>46289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IF(E2008="","",IF(LEFT(E2008,7)="SUBSOLO",-1,IF(LEFT(E2008,6)="TÉRREO",0,IFERROR(VALUE(LEFT(E2008,FIND("º",SUBSTITUTE(E2008,"°","º"))-1)),""))))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30206074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6º PAV (PILOTIS) - SAUNA + DUCHA</t>
        </is>
      </c>
      <c r="F2009" s="118" t="n">
        <v>47008</v>
      </c>
      <c r="G2009" s="118" t="n">
        <v>47021</v>
      </c>
      <c r="H2009" s="118" t="n">
        <v>46289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IF(E2009="","",IF(LEFT(E2009,7)="SUBSOLO",-1,IF(LEFT(E2009,6)="TÉRREO",0,IFERROR(VALUE(LEFT(E2009,FIND("º",SUBSTITUTE(E2009,"°","º"))-1)),""))))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30206055</v>
      </c>
      <c r="C2010" s="4" t="inlineStr">
        <is>
          <t>MASSA CORRIDA</t>
        </is>
      </c>
      <c r="D2010" s="4" t="inlineStr">
        <is>
          <t>-</t>
        </is>
      </c>
      <c r="E2010" s="4" t="inlineStr">
        <is>
          <t>6º PAV (PILOTIS) - CHURRASQUEIRA + IS MASC. PCD + IS FEM. PCD + CIRCULAÇÃO 1 + HALL 1</t>
        </is>
      </c>
      <c r="F2010" s="118" t="n">
        <v>47008</v>
      </c>
      <c r="G2010" s="118" t="n">
        <v>47021</v>
      </c>
      <c r="H2010" s="118" t="n">
        <v>46289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IF(E2010="","",IF(LEFT(E2010,7)="SUBSOLO",-1,IF(LEFT(E2010,6)="TÉRREO",0,IFERROR(VALUE(LEFT(E2010,FIND("º",SUBSTITUTE(E2010,"°","º"))-1)),""))))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33904061</v>
      </c>
      <c r="C2011" s="4" t="inlineStr">
        <is>
          <t>ESQUADRIA DE ALUMÍNIO</t>
        </is>
      </c>
      <c r="D2011" s="4" t="inlineStr">
        <is>
          <t>-</t>
        </is>
      </c>
      <c r="E2011" s="4" t="inlineStr">
        <is>
          <t>6º PAV (PILOTIS) - COWORKING 1 E 2 + CIRC. 2 + HALL 2 + DML + VEST. MASC. + VEST. FEM</t>
        </is>
      </c>
      <c r="F2011" s="118" t="n">
        <v>47008</v>
      </c>
      <c r="G2011" s="118" t="n">
        <v>47021</v>
      </c>
      <c r="H2011" s="118" t="n">
        <v>46289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IF(E2011="","",IF(LEFT(E2011,7)="SUBSOLO",-1,IF(LEFT(E2011,6)="TÉRREO",0,IFERROR(VALUE(LEFT(E2011,FIND("º",SUBSTITUTE(E2011,"°","º"))-1)),""))))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30205979</v>
      </c>
      <c r="C2012" s="4" t="inlineStr">
        <is>
          <t>FORRO</t>
        </is>
      </c>
      <c r="D2012" s="4" t="inlineStr">
        <is>
          <t>-</t>
        </is>
      </c>
      <c r="E2012" s="4" t="inlineStr">
        <is>
          <t>6º PAV (PILOTIS) - LOUNGE + SALÃO + COZINHA + GOURMET + ESPAÇO KIDS</t>
        </is>
      </c>
      <c r="F2012" s="118" t="n">
        <v>47008</v>
      </c>
      <c r="G2012" s="118" t="n">
        <v>47021</v>
      </c>
      <c r="H2012" s="118" t="n">
        <v>46289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IF(E2012="","",IF(LEFT(E2012,7)="SUBSOLO",-1,IF(LEFT(E2012,6)="TÉRREO",0,IFERROR(VALUE(LEFT(E2012,FIND("º",SUBSTITUTE(E2012,"°","º"))-1)),""))))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30205941</v>
      </c>
      <c r="C2013" s="4" t="inlineStr">
        <is>
          <t>BRISE</t>
        </is>
      </c>
      <c r="D2013" s="4" t="inlineStr">
        <is>
          <t>-</t>
        </is>
      </c>
      <c r="E2013" s="4" t="inlineStr">
        <is>
          <t>5º PAV - GARAGEM</t>
        </is>
      </c>
      <c r="F2013" s="118" t="n">
        <v>47009</v>
      </c>
      <c r="G2013" s="118" t="n">
        <v>47022</v>
      </c>
      <c r="H2013" s="118" t="n">
        <v>46289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IF(E2013="","",IF(LEFT(E2013,7)="SUBSOLO",-1,IF(LEFT(E2013,6)="TÉRREO",0,IFERROR(VALUE(LEFT(E2013,FIND("º",SUBSTITUTE(E2013,"°","º"))-1)),""))))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30205547</v>
      </c>
      <c r="C2014" s="4" t="inlineStr">
        <is>
          <t>CHECKLIST</t>
        </is>
      </c>
      <c r="D2014" s="4" t="inlineStr">
        <is>
          <t>-</t>
        </is>
      </c>
      <c r="E2014" s="4" t="inlineStr">
        <is>
          <t>TÉRREO - LOJA 7</t>
        </is>
      </c>
      <c r="F2014" s="118" t="n">
        <v>47010</v>
      </c>
      <c r="G2014" s="118" t="n">
        <v>47016</v>
      </c>
      <c r="H2014" s="118" t="n">
        <v>46289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IF(E2014="","",IF(LEFT(E2014,7)="SUBSOLO",-1,IF(LEFT(E2014,6)="TÉRREO",0,IFERROR(VALUE(LEFT(E2014,FIND("º",SUBSTITUTE(E2014,"°","º"))-1)),""))))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29981132</v>
      </c>
      <c r="C2015" s="4" t="inlineStr">
        <is>
          <t>CHECKLIST</t>
        </is>
      </c>
      <c r="D2015" s="4" t="inlineStr">
        <is>
          <t>-</t>
        </is>
      </c>
      <c r="E2015" s="4" t="inlineStr">
        <is>
          <t>18º PAV.</t>
        </is>
      </c>
      <c r="F2015" s="118" t="n">
        <v>47010</v>
      </c>
      <c r="G2015" s="118" t="n">
        <v>47016</v>
      </c>
      <c r="H2015" s="118" t="n">
        <v>46289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IF(E2015="","",IF(LEFT(E2015,7)="SUBSOLO",-1,IF(LEFT(E2015,6)="TÉRREO",0,IFERROR(VALUE(LEFT(E2015,FIND("º",SUBSTITUTE(E2015,"°","º"))-1)),""))))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29981060</v>
      </c>
      <c r="C2016" s="4" t="inlineStr">
        <is>
          <t>ACABAMENTOS ELÉTRICOS</t>
        </is>
      </c>
      <c r="D2016" s="4" t="inlineStr">
        <is>
          <t>-</t>
        </is>
      </c>
      <c r="E2016" s="4" t="inlineStr">
        <is>
          <t>20º PAV.</t>
        </is>
      </c>
      <c r="F2016" s="118" t="n">
        <v>47010</v>
      </c>
      <c r="G2016" s="118" t="n">
        <v>47022</v>
      </c>
      <c r="H2016" s="118" t="n">
        <v>46289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IF(E2016="","",IF(LEFT(E2016,7)="SUBSOLO",-1,IF(LEFT(E2016,6)="TÉRREO",0,IFERROR(VALUE(LEFT(E2016,FIND("º",SUBSTITUTE(E2016,"°","º"))-1)),""))))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29981020</v>
      </c>
      <c r="C2017" s="4" t="inlineStr">
        <is>
          <t>PINTURA 2º DEMÃO</t>
        </is>
      </c>
      <c r="D2017" s="4" t="inlineStr">
        <is>
          <t>-</t>
        </is>
      </c>
      <c r="E2017" s="4" t="inlineStr">
        <is>
          <t>21º PAV.</t>
        </is>
      </c>
      <c r="F2017" s="118" t="n">
        <v>47010</v>
      </c>
      <c r="G2017" s="118" t="n">
        <v>47022</v>
      </c>
      <c r="H2017" s="118" t="n">
        <v>46289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IF(E2017="","",IF(LEFT(E2017,7)="SUBSOLO",-1,IF(LEFT(E2017,6)="TÉRREO",0,IFERROR(VALUE(LEFT(E2017,FIND("º",SUBSTITUTE(E2017,"°","º"))-1)),""))))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33919798</v>
      </c>
      <c r="C2018" s="4" t="inlineStr">
        <is>
          <t>TEXTURA - EXTERNA</t>
        </is>
      </c>
      <c r="D2018" s="4" t="inlineStr">
        <is>
          <t>-</t>
        </is>
      </c>
      <c r="E2018" s="4" t="inlineStr">
        <is>
          <t>21º PAV.</t>
        </is>
      </c>
      <c r="F2018" s="118" t="n">
        <v>47010</v>
      </c>
      <c r="G2018" s="118" t="n">
        <v>47022</v>
      </c>
      <c r="H2018" s="118" t="n">
        <v>46289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IF(E2018="","",IF(LEFT(E2018,7)="SUBSOLO",-1,IF(LEFT(E2018,6)="TÉRREO",0,IFERROR(VALUE(LEFT(E2018,FIND("º",SUBSTITUTE(E2018,"°","º"))-1)),""))))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29980982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22º PAV.</t>
        </is>
      </c>
      <c r="F2019" s="118" t="n">
        <v>47010</v>
      </c>
      <c r="G2019" s="118" t="n">
        <v>47022</v>
      </c>
      <c r="H2019" s="118" t="n">
        <v>46289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IF(E2019="","",IF(LEFT(E2019,7)="SUBSOLO",-1,IF(LEFT(E2019,6)="TÉRREO",0,IFERROR(VALUE(LEFT(E2019,FIND("º",SUBSTITUTE(E2019,"°","º"))-1)),""))))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29980939</v>
      </c>
      <c r="C2020" s="4" t="inlineStr">
        <is>
          <t>LOUÇAS</t>
        </is>
      </c>
      <c r="D2020" s="4" t="inlineStr">
        <is>
          <t>-</t>
        </is>
      </c>
      <c r="E2020" s="4" t="inlineStr">
        <is>
          <t>23º PAV.</t>
        </is>
      </c>
      <c r="F2020" s="118" t="n">
        <v>47010</v>
      </c>
      <c r="G2020" s="118" t="n">
        <v>47022</v>
      </c>
      <c r="H2020" s="118" t="n">
        <v>46289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IF(E2020="","",IF(LEFT(E2020,7)="SUBSOLO",-1,IF(LEFT(E2020,6)="TÉRREO",0,IFERROR(VALUE(LEFT(E2020,FIND("º",SUBSTITUTE(E2020,"°","º"))-1)),""))))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29980944</v>
      </c>
      <c r="C2021" s="4" t="inlineStr">
        <is>
          <t>METAIS</t>
        </is>
      </c>
      <c r="D2021" s="4" t="inlineStr">
        <is>
          <t>-</t>
        </is>
      </c>
      <c r="E2021" s="4" t="inlineStr">
        <is>
          <t>23º PAV.</t>
        </is>
      </c>
      <c r="F2021" s="118" t="n">
        <v>47010</v>
      </c>
      <c r="G2021" s="118" t="n">
        <v>47022</v>
      </c>
      <c r="H2021" s="118" t="n">
        <v>46289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IF(E2021="","",IF(LEFT(E2021,7)="SUBSOLO",-1,IF(LEFT(E2021,6)="TÉRREO",0,IFERROR(VALUE(LEFT(E2021,FIND("º",SUBSTITUTE(E2021,"°","º"))-1)),""))))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29980943</v>
      </c>
      <c r="C2022" s="4" t="inlineStr">
        <is>
          <t>DISJUNTORES / MIOLOS</t>
        </is>
      </c>
      <c r="D2022" s="4" t="inlineStr">
        <is>
          <t>-</t>
        </is>
      </c>
      <c r="E2022" s="4" t="inlineStr">
        <is>
          <t>23º PAV.</t>
        </is>
      </c>
      <c r="F2022" s="118" t="n">
        <v>47010</v>
      </c>
      <c r="G2022" s="118" t="n">
        <v>47022</v>
      </c>
      <c r="H2022" s="118" t="n">
        <v>46289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IF(E2022="","",IF(LEFT(E2022,7)="SUBSOLO",-1,IF(LEFT(E2022,6)="TÉRREO",0,IFERROR(VALUE(LEFT(E2022,FIND("º",SUBSTITUTE(E2022,"°","º"))-1)),""))))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29980942</v>
      </c>
      <c r="C2023" s="4" t="inlineStr">
        <is>
          <t>COMUNICAÇÃO E ALARME</t>
        </is>
      </c>
      <c r="D2023" s="4" t="inlineStr">
        <is>
          <t>-</t>
        </is>
      </c>
      <c r="E2023" s="4" t="inlineStr">
        <is>
          <t>23º PAV.</t>
        </is>
      </c>
      <c r="F2023" s="118" t="n">
        <v>47010</v>
      </c>
      <c r="G2023" s="118" t="n">
        <v>47022</v>
      </c>
      <c r="H2023" s="118" t="n">
        <v>46289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IF(E2023="","",IF(LEFT(E2023,7)="SUBSOLO",-1,IF(LEFT(E2023,6)="TÉRREO",0,IFERROR(VALUE(LEFT(E2023,FIND("º",SUBSTITUTE(E2023,"°","º"))-1)),""))))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29980901</v>
      </c>
      <c r="C2024" s="4" t="inlineStr">
        <is>
          <t>RODAPÉ MADEIRA / PVC</t>
        </is>
      </c>
      <c r="D2024" s="4" t="inlineStr">
        <is>
          <t>-</t>
        </is>
      </c>
      <c r="E2024" s="4" t="inlineStr">
        <is>
          <t>24º PAV.</t>
        </is>
      </c>
      <c r="F2024" s="118" t="n">
        <v>47010</v>
      </c>
      <c r="G2024" s="118" t="n">
        <v>47022</v>
      </c>
      <c r="H2024" s="118" t="n">
        <v>46289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IF(E2024="","",IF(LEFT(E2024,7)="SUBSOLO",-1,IF(LEFT(E2024,6)="TÉRREO",0,IFERROR(VALUE(LEFT(E2024,FIND("º",SUBSTITUTE(E2024,"°","º"))-1)),""))))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29980863</v>
      </c>
      <c r="C2025" s="4" t="inlineStr">
        <is>
          <t>ESQUADRIA MADEIRA</t>
        </is>
      </c>
      <c r="D2025" s="4" t="inlineStr">
        <is>
          <t>-</t>
        </is>
      </c>
      <c r="E2025" s="4" t="inlineStr">
        <is>
          <t>25º PAV.</t>
        </is>
      </c>
      <c r="F2025" s="118" t="n">
        <v>47010</v>
      </c>
      <c r="G2025" s="118" t="n">
        <v>47022</v>
      </c>
      <c r="H2025" s="118" t="n">
        <v>46289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IF(E2025="","",IF(LEFT(E2025,7)="SUBSOLO",-1,IF(LEFT(E2025,6)="TÉRREO",0,IFERROR(VALUE(LEFT(E2025,FIND("º",SUBSTITUTE(E2025,"°","º"))-1)),""))))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29980825</v>
      </c>
      <c r="C2026" s="4" t="inlineStr">
        <is>
          <t>PISO VINÍLICO / LAMINADO</t>
        </is>
      </c>
      <c r="D2026" s="4" t="inlineStr">
        <is>
          <t>-</t>
        </is>
      </c>
      <c r="E2026" s="4" t="inlineStr">
        <is>
          <t>26º PAV.</t>
        </is>
      </c>
      <c r="F2026" s="118" t="n">
        <v>47010</v>
      </c>
      <c r="G2026" s="118" t="n">
        <v>47022</v>
      </c>
      <c r="H2026" s="118" t="n">
        <v>46289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IF(E2026="","",IF(LEFT(E2026,7)="SUBSOLO",-1,IF(LEFT(E2026,6)="TÉRREO",0,IFERROR(VALUE(LEFT(E2026,FIND("º",SUBSTITUTE(E2026,"°","º"))-1)),""))))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29980787</v>
      </c>
      <c r="C2027" s="4" t="inlineStr">
        <is>
          <t>PINTURA 1º DEMÃO</t>
        </is>
      </c>
      <c r="D2027" s="4" t="inlineStr">
        <is>
          <t>-</t>
        </is>
      </c>
      <c r="E2027" s="4" t="inlineStr">
        <is>
          <t>27º PAV.</t>
        </is>
      </c>
      <c r="F2027" s="118" t="n">
        <v>47010</v>
      </c>
      <c r="G2027" s="118" t="n">
        <v>47022</v>
      </c>
      <c r="H2027" s="118" t="n">
        <v>46289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IF(E2027="","",IF(LEFT(E2027,7)="SUBSOLO",-1,IF(LEFT(E2027,6)="TÉRREO",0,IFERROR(VALUE(LEFT(E2027,FIND("º",SUBSTITUTE(E2027,"°","º"))-1)),""))))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29980776</v>
      </c>
      <c r="C2028" s="4" t="inlineStr">
        <is>
          <t>MASSA CORRIDA</t>
        </is>
      </c>
      <c r="D2028" s="4" t="inlineStr">
        <is>
          <t>-</t>
        </is>
      </c>
      <c r="E2028" s="4" t="inlineStr">
        <is>
          <t>28º PAV.</t>
        </is>
      </c>
      <c r="F2028" s="118" t="n">
        <v>47010</v>
      </c>
      <c r="G2028" s="118" t="n">
        <v>47022</v>
      </c>
      <c r="H2028" s="118" t="n">
        <v>46289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IF(E2028="","",IF(LEFT(E2028,7)="SUBSOLO",-1,IF(LEFT(E2028,6)="TÉRREO",0,IFERROR(VALUE(LEFT(E2028,FIND("º",SUBSTITUTE(E2028,"°","º"))-1)),""))))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33898113</v>
      </c>
      <c r="C2029" s="4" t="inlineStr">
        <is>
          <t>ESQUADRIA DE ALUMÍNIO</t>
        </is>
      </c>
      <c r="D2029" s="4" t="inlineStr">
        <is>
          <t>-</t>
        </is>
      </c>
      <c r="E2029" s="4" t="inlineStr">
        <is>
          <t>29º PAV.</t>
        </is>
      </c>
      <c r="F2029" s="118" t="n">
        <v>47010</v>
      </c>
      <c r="G2029" s="118" t="n">
        <v>47022</v>
      </c>
      <c r="H2029" s="118" t="n">
        <v>46289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IF(E2029="","",IF(LEFT(E2029,7)="SUBSOLO",-1,IF(LEFT(E2029,6)="TÉRREO",0,IFERROR(VALUE(LEFT(E2029,FIND("º",SUBSTITUTE(E2029,"°","º"))-1)),""))))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30205824</v>
      </c>
      <c r="C2030" s="4" t="inlineStr">
        <is>
          <t>LIMPEZA FINA</t>
        </is>
      </c>
      <c r="D2030" s="4" t="inlineStr">
        <is>
          <t>-</t>
        </is>
      </c>
      <c r="E2030" s="4" t="inlineStr">
        <is>
          <t>TÉRREO - HALL SOCIAL + ECLUSA + CIRCULAÇÃO</t>
        </is>
      </c>
      <c r="F2030" s="118" t="n">
        <v>47014</v>
      </c>
      <c r="G2030" s="118" t="n">
        <v>47025</v>
      </c>
      <c r="H2030" s="118" t="n">
        <v>46289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IF(E2030="","",IF(LEFT(E2030,7)="SUBSOLO",-1,IF(LEFT(E2030,6)="TÉRREO",0,IFERROR(VALUE(LEFT(E2030,FIND("º",SUBSTITUTE(E2030,"°","º"))-1)),""))))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29981088</v>
      </c>
      <c r="C2031" s="4" t="inlineStr">
        <is>
          <t>REVESTIMENTOS PORCELANATO PISO</t>
        </is>
      </c>
      <c r="D2031" s="4" t="inlineStr">
        <is>
          <t>-</t>
        </is>
      </c>
      <c r="E2031" s="4" t="inlineStr">
        <is>
          <t>19º PAV.</t>
        </is>
      </c>
      <c r="F2031" s="118" t="n">
        <v>47014</v>
      </c>
      <c r="G2031" s="118" t="n">
        <v>47024</v>
      </c>
      <c r="H2031" s="118" t="n">
        <v>46289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IF(E2031="","",IF(LEFT(E2031,7)="SUBSOLO",-1,IF(LEFT(E2031,6)="TÉRREO",0,IFERROR(VALUE(LEFT(E2031,FIND("º",SUBSTITUTE(E2031,"°","º"))-1)),""))))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30206117</v>
      </c>
      <c r="C2032" s="4" t="inlineStr">
        <is>
          <t>ACABAMENTOS ELÉTRICOS</t>
        </is>
      </c>
      <c r="D2032" s="4" t="inlineStr">
        <is>
          <t>-</t>
        </is>
      </c>
      <c r="E2032" s="4" t="inlineStr">
        <is>
          <t>6º PAV (PILOTIS) - ACADEMIA</t>
        </is>
      </c>
      <c r="F2032" s="118" t="n">
        <v>47015</v>
      </c>
      <c r="G2032" s="118" t="n">
        <v>47018</v>
      </c>
      <c r="H2032" s="118" t="n">
        <v>46289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IF(E2032="","",IF(LEFT(E2032,7)="SUBSOLO",-1,IF(LEFT(E2032,6)="TÉRREO",0,IFERROR(VALUE(LEFT(E2032,FIND("º",SUBSTITUTE(E2032,"°","º"))-1)),""))))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29981180</v>
      </c>
      <c r="C2033" s="4" t="inlineStr">
        <is>
          <t>LIMPEZA FINA</t>
        </is>
      </c>
      <c r="D2033" s="4" t="inlineStr">
        <is>
          <t>-</t>
        </is>
      </c>
      <c r="E2033" s="4" t="inlineStr">
        <is>
          <t>17º PAV.</t>
        </is>
      </c>
      <c r="F2033" s="118" t="n">
        <v>47017</v>
      </c>
      <c r="G2033" s="118" t="n">
        <v>47029</v>
      </c>
      <c r="H2033" s="118" t="n">
        <v>46289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IF(E2033="","",IF(LEFT(E2033,7)="SUBSOLO",-1,IF(LEFT(E2033,6)="TÉRREO",0,IFERROR(VALUE(LEFT(E2033,FIND("º",SUBSTITUTE(E2033,"°","º"))-1)),""))))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29981133</v>
      </c>
      <c r="C2034" s="4" t="inlineStr">
        <is>
          <t>PINTURA 3º DEMÃO</t>
        </is>
      </c>
      <c r="D2034" s="4" t="inlineStr">
        <is>
          <t>-</t>
        </is>
      </c>
      <c r="E2034" s="4" t="inlineStr">
        <is>
          <t>18º PAV.</t>
        </is>
      </c>
      <c r="F2034" s="118" t="n">
        <v>47017</v>
      </c>
      <c r="G2034" s="118" t="n">
        <v>47029</v>
      </c>
      <c r="H2034" s="118" t="n">
        <v>46289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IF(E2034="","",IF(LEFT(E2034,7)="SUBSOLO",-1,IF(LEFT(E2034,6)="TÉRREO",0,IFERROR(VALUE(LEFT(E2034,FIND("º",SUBSTITUTE(E2034,"°","º"))-1)),""))))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30205801</v>
      </c>
      <c r="C2035" s="4" t="inlineStr">
        <is>
          <t>CHECKLIST</t>
        </is>
      </c>
      <c r="D2035" s="4" t="inlineStr">
        <is>
          <t>-</t>
        </is>
      </c>
      <c r="E2035" s="4" t="inlineStr">
        <is>
          <t>TÉRREO - ACESSO COMERCIAL + DML + ARS + ÁREA TEC + LAVABO + DISPENSA</t>
        </is>
      </c>
      <c r="F2035" s="118" t="n">
        <v>47021</v>
      </c>
      <c r="G2035" s="118" t="n">
        <v>47025</v>
      </c>
      <c r="H2035" s="118" t="n">
        <v>46289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IF(E2035="","",IF(LEFT(E2035,7)="SUBSOLO",-1,IF(LEFT(E2035,6)="TÉRREO",0,IFERROR(VALUE(LEFT(E2035,FIND("º",SUBSTITUTE(E2035,"°","º"))-1)),""))))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30205761</v>
      </c>
      <c r="C2036" s="4" t="inlineStr">
        <is>
          <t>IRRIGAÇÃO</t>
        </is>
      </c>
      <c r="D2036" s="4" t="inlineStr">
        <is>
          <t>-</t>
        </is>
      </c>
      <c r="E2036" s="4" t="inlineStr">
        <is>
          <t>TÉRREO - ÁREA EXTERNA RESIDENCIAL</t>
        </is>
      </c>
      <c r="F2036" s="118" t="n">
        <v>47021</v>
      </c>
      <c r="G2036" s="118" t="n">
        <v>47051</v>
      </c>
      <c r="H2036" s="118" t="n">
        <v>46289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IF(E2036="","",IF(LEFT(E2036,7)="SUBSOLO",-1,IF(LEFT(E2036,6)="TÉRREO",0,IFERROR(VALUE(LEFT(E2036,FIND("º",SUBSTITUTE(E2036,"°","º"))-1)),""))))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30205845</v>
      </c>
      <c r="C2037" s="4" t="inlineStr">
        <is>
          <t>ACABAMENTOS ELÉTRICOS</t>
        </is>
      </c>
      <c r="D2037" s="4" t="inlineStr">
        <is>
          <t>-</t>
        </is>
      </c>
      <c r="E2037" s="4" t="inlineStr">
        <is>
          <t>1º PAV. (INTERMEDIÁRIO)</t>
        </is>
      </c>
      <c r="F2037" s="118" t="n">
        <v>47021</v>
      </c>
      <c r="G2037" s="118" t="n">
        <v>47032</v>
      </c>
      <c r="H2037" s="118" t="n">
        <v>46289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IF(E2037="","",IF(LEFT(E2037,7)="SUBSOLO",-1,IF(LEFT(E2037,6)="TÉRREO",0,IFERROR(VALUE(LEFT(E2037,FIND("º",SUBSTITUTE(E2037,"°","º"))-1)),""))))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30206115</v>
      </c>
      <c r="C2038" s="4" t="inlineStr">
        <is>
          <t>CHECKLIST</t>
        </is>
      </c>
      <c r="D2038" s="4" t="inlineStr">
        <is>
          <t>-</t>
        </is>
      </c>
      <c r="E2038" s="4" t="inlineStr">
        <is>
          <t>6º PAV (PILOTIS) - ACADEMIA</t>
        </is>
      </c>
      <c r="F2038" s="118" t="n">
        <v>47021</v>
      </c>
      <c r="G2038" s="118" t="n">
        <v>47025</v>
      </c>
      <c r="H2038" s="118" t="n">
        <v>46289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IF(E2038="","",IF(LEFT(E2038,7)="SUBSOLO",-1,IF(LEFT(E2038,6)="TÉRREO",0,IFERROR(VALUE(LEFT(E2038,FIND("º",SUBSTITUTE(E2038,"°","º"))-1)),""))))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30214063</v>
      </c>
      <c r="C2039" s="4" t="inlineStr">
        <is>
          <t>FIAÇÃO TELECOM/DADOS</t>
        </is>
      </c>
      <c r="D2039" s="4" t="inlineStr">
        <is>
          <t>-</t>
        </is>
      </c>
      <c r="E2039" s="4" t="inlineStr">
        <is>
          <t>6º PAV - PILOTIS</t>
        </is>
      </c>
      <c r="F2039" s="118" t="n">
        <v>47022</v>
      </c>
      <c r="G2039" s="118" t="n">
        <v>47035</v>
      </c>
      <c r="H2039" s="118" t="n">
        <v>46289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IF(E2039="","",IF(LEFT(E2039,7)="SUBSOLO",-1,IF(LEFT(E2039,6)="TÉRREO",0,IFERROR(VALUE(LEFT(E2039,FIND("º",SUBSTITUTE(E2039,"°","º"))-1)),""))))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30206075</v>
      </c>
      <c r="C2040" s="4" t="inlineStr">
        <is>
          <t>METAIS</t>
        </is>
      </c>
      <c r="D2040" s="4" t="inlineStr">
        <is>
          <t>-</t>
        </is>
      </c>
      <c r="E2040" s="4" t="inlineStr">
        <is>
          <t>6º PAV (PILOTIS) - SAUNA + DUCHA</t>
        </is>
      </c>
      <c r="F2040" s="118" t="n">
        <v>47022</v>
      </c>
      <c r="G2040" s="118" t="n">
        <v>47028</v>
      </c>
      <c r="H2040" s="118" t="n">
        <v>46289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IF(E2040="","",IF(LEFT(E2040,7)="SUBSOLO",-1,IF(LEFT(E2040,6)="TÉRREO",0,IFERROR(VALUE(LEFT(E2040,FIND("º",SUBSTITUTE(E2040,"°","º"))-1)),""))))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30206073</v>
      </c>
      <c r="C2041" s="4" t="inlineStr">
        <is>
          <t>COMUNICAÇÃO E ALARME</t>
        </is>
      </c>
      <c r="D2041" s="4" t="inlineStr">
        <is>
          <t>-</t>
        </is>
      </c>
      <c r="E2041" s="4" t="inlineStr">
        <is>
          <t>6º PAV (PILOTIS) - SAUNA + DUCHA</t>
        </is>
      </c>
      <c r="F2041" s="118" t="n">
        <v>47022</v>
      </c>
      <c r="G2041" s="118" t="n">
        <v>47035</v>
      </c>
      <c r="H2041" s="118" t="n">
        <v>46289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IF(E2041="","",IF(LEFT(E2041,7)="SUBSOLO",-1,IF(LEFT(E2041,6)="TÉRREO",0,IFERROR(VALUE(LEFT(E2041,FIND("º",SUBSTITUTE(E2041,"°","º"))-1)),""))))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30206029</v>
      </c>
      <c r="C2042" s="4" t="inlineStr">
        <is>
          <t>PINTURA 1º DEMÃO</t>
        </is>
      </c>
      <c r="D2042" s="4" t="inlineStr">
        <is>
          <t>-</t>
        </is>
      </c>
      <c r="E2042" s="4" t="inlineStr">
        <is>
          <t>6º PAV (PILOTIS) - CHURRASQUEIRA + IS MASC. PCD + IS FEM. PCD + CIRCULAÇÃO 1 + HALL 1</t>
        </is>
      </c>
      <c r="F2042" s="118" t="n">
        <v>47022</v>
      </c>
      <c r="G2042" s="118" t="n">
        <v>47035</v>
      </c>
      <c r="H2042" s="118" t="n">
        <v>46289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IF(E2042="","",IF(LEFT(E2042,7)="SUBSOLO",-1,IF(LEFT(E2042,6)="TÉRREO",0,IFERROR(VALUE(LEFT(E2042,FIND("º",SUBSTITUTE(E2042,"°","º"))-1)),""))))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30206037</v>
      </c>
      <c r="C2043" s="4" t="inlineStr">
        <is>
          <t>DISJUNTORES / MIOLOS</t>
        </is>
      </c>
      <c r="D2043" s="4" t="inlineStr">
        <is>
          <t>-</t>
        </is>
      </c>
      <c r="E2043" s="4" t="inlineStr">
        <is>
          <t>6º PAV (PILOTIS) - CHURRASQUEIRA + IS MASC. PCD + IS FEM. PCD + CIRCULAÇÃO 1 + HALL 1</t>
        </is>
      </c>
      <c r="F2043" s="118" t="n">
        <v>47022</v>
      </c>
      <c r="G2043" s="118" t="n">
        <v>47035</v>
      </c>
      <c r="H2043" s="118" t="n">
        <v>46289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IF(E2043="","",IF(LEFT(E2043,7)="SUBSOLO",-1,IF(LEFT(E2043,6)="TÉRREO",0,IFERROR(VALUE(LEFT(E2043,FIND("º",SUBSTITUTE(E2043,"°","º"))-1)),""))))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30206018</v>
      </c>
      <c r="C2044" s="4" t="inlineStr">
        <is>
          <t>MASSA CORRIDA</t>
        </is>
      </c>
      <c r="D2044" s="4" t="inlineStr">
        <is>
          <t>-</t>
        </is>
      </c>
      <c r="E2044" s="4" t="inlineStr">
        <is>
          <t>6º PAV (PILOTIS) - COWORKING 1 E 2 + CIRC. 2 + HALL 2 + DML + VEST. MASC. + VEST. FEM</t>
        </is>
      </c>
      <c r="F2044" s="118" t="n">
        <v>47022</v>
      </c>
      <c r="G2044" s="118" t="n">
        <v>47035</v>
      </c>
      <c r="H2044" s="118" t="n">
        <v>46289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IF(E2044="","",IF(LEFT(E2044,7)="SUBSOLO",-1,IF(LEFT(E2044,6)="TÉRREO",0,IFERROR(VALUE(LEFT(E2044,FIND("º",SUBSTITUTE(E2044,"°","º"))-1)),""))))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33904062</v>
      </c>
      <c r="C2045" s="4" t="inlineStr">
        <is>
          <t>ESQUADRIA DE ALUMÍNIO</t>
        </is>
      </c>
      <c r="D2045" s="4" t="inlineStr">
        <is>
          <t>-</t>
        </is>
      </c>
      <c r="E2045" s="4" t="inlineStr">
        <is>
          <t>6º PAV (PILOTIS) - LOUNGE + SALÃO + COZINHA + GOURMET + ESPAÇO KIDS</t>
        </is>
      </c>
      <c r="F2045" s="118" t="n">
        <v>47022</v>
      </c>
      <c r="G2045" s="118" t="n">
        <v>47035</v>
      </c>
      <c r="H2045" s="118" t="n">
        <v>46289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IF(E2045="","",IF(LEFT(E2045,7)="SUBSOLO",-1,IF(LEFT(E2045,6)="TÉRREO",0,IFERROR(VALUE(LEFT(E2045,FIND("º",SUBSTITUTE(E2045,"°","º"))-1)),""))))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29981058</v>
      </c>
      <c r="C2046" s="4" t="inlineStr">
        <is>
          <t>CHECKLIST</t>
        </is>
      </c>
      <c r="D2046" s="4" t="inlineStr">
        <is>
          <t>-</t>
        </is>
      </c>
      <c r="E2046" s="4" t="inlineStr">
        <is>
          <t>20º PAV.</t>
        </is>
      </c>
      <c r="F2046" s="118" t="n">
        <v>47023</v>
      </c>
      <c r="G2046" s="118" t="n">
        <v>47029</v>
      </c>
      <c r="H2046" s="118" t="n">
        <v>46289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IF(E2046="","",IF(LEFT(E2046,7)="SUBSOLO",-1,IF(LEFT(E2046,6)="TÉRREO",0,IFERROR(VALUE(LEFT(E2046,FIND("º",SUBSTITUTE(E2046,"°","º"))-1)),""))))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29981023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21º PAV.</t>
        </is>
      </c>
      <c r="F2047" s="118" t="n">
        <v>47023</v>
      </c>
      <c r="G2047" s="118" t="n">
        <v>47035</v>
      </c>
      <c r="H2047" s="118" t="n">
        <v>46289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IF(E2047="","",IF(LEFT(E2047,7)="SUBSOLO",-1,IF(LEFT(E2047,6)="TÉRREO",0,IFERROR(VALUE(LEFT(E2047,FIND("º",SUBSTITUTE(E2047,"°","º"))-1)),""))))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29980983</v>
      </c>
      <c r="C2048" s="4" t="inlineStr">
        <is>
          <t>PINTURA 2º DEMÃO</t>
        </is>
      </c>
      <c r="D2048" s="4" t="inlineStr">
        <is>
          <t>-</t>
        </is>
      </c>
      <c r="E2048" s="4" t="inlineStr">
        <is>
          <t>22º PAV.</t>
        </is>
      </c>
      <c r="F2048" s="118" t="n">
        <v>47023</v>
      </c>
      <c r="G2048" s="118" t="n">
        <v>47035</v>
      </c>
      <c r="H2048" s="118" t="n">
        <v>46289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IF(E2048="","",IF(LEFT(E2048,7)="SUBSOLO",-1,IF(LEFT(E2048,6)="TÉRREO",0,IFERROR(VALUE(LEFT(E2048,FIND("º",SUBSTITUTE(E2048,"°","º"))-1)),""))))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33919799</v>
      </c>
      <c r="C2049" s="4" t="inlineStr">
        <is>
          <t>TEXTURA - EXTERNA</t>
        </is>
      </c>
      <c r="D2049" s="4" t="inlineStr">
        <is>
          <t>-</t>
        </is>
      </c>
      <c r="E2049" s="4" t="inlineStr">
        <is>
          <t>22º PAV.</t>
        </is>
      </c>
      <c r="F2049" s="118" t="n">
        <v>47023</v>
      </c>
      <c r="G2049" s="118" t="n">
        <v>47035</v>
      </c>
      <c r="H2049" s="118" t="n">
        <v>46289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IF(E2049="","",IF(LEFT(E2049,7)="SUBSOLO",-1,IF(LEFT(E2049,6)="TÉRREO",0,IFERROR(VALUE(LEFT(E2049,FIND("º",SUBSTITUTE(E2049,"°","º"))-1)),""))))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29980945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23º PAV.</t>
        </is>
      </c>
      <c r="F2050" s="118" t="n">
        <v>47023</v>
      </c>
      <c r="G2050" s="118" t="n">
        <v>47035</v>
      </c>
      <c r="H2050" s="118" t="n">
        <v>46289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IF(E2050="","",IF(LEFT(E2050,7)="SUBSOLO",-1,IF(LEFT(E2050,6)="TÉRREO",0,IFERROR(VALUE(LEFT(E2050,FIND("º",SUBSTITUTE(E2050,"°","º"))-1)),""))))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29980902</v>
      </c>
      <c r="C2051" s="4" t="inlineStr">
        <is>
          <t>LOUÇAS</t>
        </is>
      </c>
      <c r="D2051" s="4" t="inlineStr">
        <is>
          <t>-</t>
        </is>
      </c>
      <c r="E2051" s="4" t="inlineStr">
        <is>
          <t>24º PAV.</t>
        </is>
      </c>
      <c r="F2051" s="118" t="n">
        <v>47023</v>
      </c>
      <c r="G2051" s="118" t="n">
        <v>47035</v>
      </c>
      <c r="H2051" s="118" t="n">
        <v>46289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IF(E2051="","",IF(LEFT(E2051,7)="SUBSOLO",-1,IF(LEFT(E2051,6)="TÉRREO",0,IFERROR(VALUE(LEFT(E2051,FIND("º",SUBSTITUTE(E2051,"°","º"))-1)),""))))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29980907</v>
      </c>
      <c r="C2052" s="4" t="inlineStr">
        <is>
          <t>METAIS</t>
        </is>
      </c>
      <c r="D2052" s="4" t="inlineStr">
        <is>
          <t>-</t>
        </is>
      </c>
      <c r="E2052" s="4" t="inlineStr">
        <is>
          <t>24º PAV.</t>
        </is>
      </c>
      <c r="F2052" s="118" t="n">
        <v>47023</v>
      </c>
      <c r="G2052" s="118" t="n">
        <v>47035</v>
      </c>
      <c r="H2052" s="118" t="n">
        <v>46289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IF(E2052="","",IF(LEFT(E2052,7)="SUBSOLO",-1,IF(LEFT(E2052,6)="TÉRREO",0,IFERROR(VALUE(LEFT(E2052,FIND("º",SUBSTITUTE(E2052,"°","º"))-1)),""))))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29980906</v>
      </c>
      <c r="C2053" s="4" t="inlineStr">
        <is>
          <t>DISJUNTORES / MIOLOS</t>
        </is>
      </c>
      <c r="D2053" s="4" t="inlineStr">
        <is>
          <t>-</t>
        </is>
      </c>
      <c r="E2053" s="4" t="inlineStr">
        <is>
          <t>24º PAV.</t>
        </is>
      </c>
      <c r="F2053" s="118" t="n">
        <v>47023</v>
      </c>
      <c r="G2053" s="118" t="n">
        <v>47035</v>
      </c>
      <c r="H2053" s="118" t="n">
        <v>46289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IF(E2053="","",IF(LEFT(E2053,7)="SUBSOLO",-1,IF(LEFT(E2053,6)="TÉRREO",0,IFERROR(VALUE(LEFT(E2053,FIND("º",SUBSTITUTE(E2053,"°","º"))-1)),""))))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29980905</v>
      </c>
      <c r="C2054" s="4" t="inlineStr">
        <is>
          <t>COMUNICAÇÃO E ALARME</t>
        </is>
      </c>
      <c r="D2054" s="4" t="inlineStr">
        <is>
          <t>-</t>
        </is>
      </c>
      <c r="E2054" s="4" t="inlineStr">
        <is>
          <t>24º PAV.</t>
        </is>
      </c>
      <c r="F2054" s="118" t="n">
        <v>47023</v>
      </c>
      <c r="G2054" s="118" t="n">
        <v>47035</v>
      </c>
      <c r="H2054" s="118" t="n">
        <v>46289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IF(E2054="","",IF(LEFT(E2054,7)="SUBSOLO",-1,IF(LEFT(E2054,6)="TÉRREO",0,IFERROR(VALUE(LEFT(E2054,FIND("º",SUBSTITUTE(E2054,"°","º"))-1)),""))))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29980864</v>
      </c>
      <c r="C2055" s="4" t="inlineStr">
        <is>
          <t>RODAPÉ MADEIRA / PVC</t>
        </is>
      </c>
      <c r="D2055" s="4" t="inlineStr">
        <is>
          <t>-</t>
        </is>
      </c>
      <c r="E2055" s="4" t="inlineStr">
        <is>
          <t>25º PAV.</t>
        </is>
      </c>
      <c r="F2055" s="118" t="n">
        <v>47023</v>
      </c>
      <c r="G2055" s="118" t="n">
        <v>47035</v>
      </c>
      <c r="H2055" s="118" t="n">
        <v>46289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IF(E2055="","",IF(LEFT(E2055,7)="SUBSOLO",-1,IF(LEFT(E2055,6)="TÉRREO",0,IFERROR(VALUE(LEFT(E2055,FIND("º",SUBSTITUTE(E2055,"°","º"))-1)),""))))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29980826</v>
      </c>
      <c r="C2056" s="4" t="inlineStr">
        <is>
          <t>ESQUADRIA MADEIRA</t>
        </is>
      </c>
      <c r="D2056" s="4" t="inlineStr">
        <is>
          <t>-</t>
        </is>
      </c>
      <c r="E2056" s="4" t="inlineStr">
        <is>
          <t>26º PAV.</t>
        </is>
      </c>
      <c r="F2056" s="118" t="n">
        <v>47023</v>
      </c>
      <c r="G2056" s="118" t="n">
        <v>47035</v>
      </c>
      <c r="H2056" s="118" t="n">
        <v>46289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IF(E2056="","",IF(LEFT(E2056,7)="SUBSOLO",-1,IF(LEFT(E2056,6)="TÉRREO",0,IFERROR(VALUE(LEFT(E2056,FIND("º",SUBSTITUTE(E2056,"°","º"))-1)),""))))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29980788</v>
      </c>
      <c r="C2057" s="4" t="inlineStr">
        <is>
          <t>PISO VINÍLICO / LAMINADO</t>
        </is>
      </c>
      <c r="D2057" s="4" t="inlineStr">
        <is>
          <t>-</t>
        </is>
      </c>
      <c r="E2057" s="4" t="inlineStr">
        <is>
          <t>27º PAV.</t>
        </is>
      </c>
      <c r="F2057" s="118" t="n">
        <v>47023</v>
      </c>
      <c r="G2057" s="118" t="n">
        <v>47035</v>
      </c>
      <c r="H2057" s="118" t="n">
        <v>46289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IF(E2057="","",IF(LEFT(E2057,7)="SUBSOLO",-1,IF(LEFT(E2057,6)="TÉRREO",0,IFERROR(VALUE(LEFT(E2057,FIND("º",SUBSTITUTE(E2057,"°","º"))-1)),""))))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29980750</v>
      </c>
      <c r="C2058" s="4" t="inlineStr">
        <is>
          <t>PINTURA 1º DEMÃO</t>
        </is>
      </c>
      <c r="D2058" s="4" t="inlineStr">
        <is>
          <t>-</t>
        </is>
      </c>
      <c r="E2058" s="4" t="inlineStr">
        <is>
          <t>28º PAV.</t>
        </is>
      </c>
      <c r="F2058" s="118" t="n">
        <v>47023</v>
      </c>
      <c r="G2058" s="118" t="n">
        <v>47035</v>
      </c>
      <c r="H2058" s="118" t="n">
        <v>46289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IF(E2058="","",IF(LEFT(E2058,7)="SUBSOLO",-1,IF(LEFT(E2058,6)="TÉRREO",0,IFERROR(VALUE(LEFT(E2058,FIND("º",SUBSTITUTE(E2058,"°","º"))-1)),""))))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29980739</v>
      </c>
      <c r="C2059" s="4" t="inlineStr">
        <is>
          <t>MASSA CORRIDA</t>
        </is>
      </c>
      <c r="D2059" s="4" t="inlineStr">
        <is>
          <t>-</t>
        </is>
      </c>
      <c r="E2059" s="4" t="inlineStr">
        <is>
          <t>29º PAV.</t>
        </is>
      </c>
      <c r="F2059" s="118" t="n">
        <v>47023</v>
      </c>
      <c r="G2059" s="118" t="n">
        <v>47035</v>
      </c>
      <c r="H2059" s="118" t="n">
        <v>46289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IF(E2059="","",IF(LEFT(E2059,7)="SUBSOLO",-1,IF(LEFT(E2059,6)="TÉRREO",0,IFERROR(VALUE(LEFT(E2059,FIND("º",SUBSTITUTE(E2059,"°","º"))-1)),""))))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33898114</v>
      </c>
      <c r="C2060" s="4" t="inlineStr">
        <is>
          <t>ESQUADRIA DE ALUMÍNIO</t>
        </is>
      </c>
      <c r="D2060" s="4" t="inlineStr">
        <is>
          <t>-</t>
        </is>
      </c>
      <c r="E2060" s="4" t="inlineStr">
        <is>
          <t>30º PAV.</t>
        </is>
      </c>
      <c r="F2060" s="118" t="n">
        <v>47023</v>
      </c>
      <c r="G2060" s="118" t="n">
        <v>47035</v>
      </c>
      <c r="H2060" s="118" t="n">
        <v>46289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IF(E2060="","",IF(LEFT(E2060,7)="SUBSOLO",-1,IF(LEFT(E2060,6)="TÉRREO",0,IFERROR(VALUE(LEFT(E2060,FIND("º",SUBSTITUTE(E2060,"°","º"))-1)),""))))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30171529</v>
      </c>
      <c r="C2061" s="4" t="inlineStr">
        <is>
          <t>PINTURA 1º DEMÃO</t>
        </is>
      </c>
      <c r="D2061" s="4" t="inlineStr">
        <is>
          <t>-</t>
        </is>
      </c>
      <c r="E2061" s="4" t="inlineStr">
        <is>
          <t>HALL - GARAGENS</t>
        </is>
      </c>
      <c r="F2061" s="118" t="n">
        <v>47025</v>
      </c>
      <c r="G2061" s="118" t="n">
        <v>47057</v>
      </c>
      <c r="H2061" s="118" t="n">
        <v>46289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IF(E2061="","",IF(LEFT(E2061,7)="SUBSOLO",-1,IF(LEFT(E2061,6)="TÉRREO",0,IFERROR(VALUE(LEFT(E2061,FIND("º",SUBSTITUTE(E2061,"°","º"))-1)),""))))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29981089</v>
      </c>
      <c r="C2062" s="4" t="inlineStr">
        <is>
          <t>BANCADAS</t>
        </is>
      </c>
      <c r="D2062" s="4" t="inlineStr">
        <is>
          <t>-</t>
        </is>
      </c>
      <c r="E2062" s="4" t="inlineStr">
        <is>
          <t>19º PAV.</t>
        </is>
      </c>
      <c r="F2062" s="118" t="n">
        <v>47025</v>
      </c>
      <c r="G2062" s="118" t="n">
        <v>47037</v>
      </c>
      <c r="H2062" s="118" t="n">
        <v>46289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IF(E2062="","",IF(LEFT(E2062,7)="SUBSOLO",-1,IF(LEFT(E2062,6)="TÉRREO",0,IFERROR(VALUE(LEFT(E2062,FIND("º",SUBSTITUTE(E2062,"°","º"))-1)),""))))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30205828</v>
      </c>
      <c r="C2063" s="4" t="inlineStr">
        <is>
          <t>CHECKLIST</t>
        </is>
      </c>
      <c r="D2063" s="4" t="inlineStr">
        <is>
          <t>-</t>
        </is>
      </c>
      <c r="E2063" s="4" t="inlineStr">
        <is>
          <t>TÉRREO - HALL SOCIAL + ECLUSA + CIRCULAÇÃO</t>
        </is>
      </c>
      <c r="F2063" s="118" t="n">
        <v>47028</v>
      </c>
      <c r="G2063" s="118" t="n">
        <v>47032</v>
      </c>
      <c r="H2063" s="118" t="n">
        <v>46289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IF(E2063="","",IF(LEFT(E2063,7)="SUBSOLO",-1,IF(LEFT(E2063,6)="TÉRREO",0,IFERROR(VALUE(LEFT(E2063,FIND("º",SUBSTITUTE(E2063,"°","º"))-1)),""))))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30205758</v>
      </c>
      <c r="C2064" s="4" t="inlineStr">
        <is>
          <t>PAISAGISMO</t>
        </is>
      </c>
      <c r="D2064" s="4" t="inlineStr">
        <is>
          <t>-</t>
        </is>
      </c>
      <c r="E2064" s="4" t="inlineStr">
        <is>
          <t>TÉRREO - ÁREA EXTERNA RESIDENCIAL</t>
        </is>
      </c>
      <c r="F2064" s="118" t="n">
        <v>47028</v>
      </c>
      <c r="G2064" s="118" t="n">
        <v>47093</v>
      </c>
      <c r="H2064" s="118" t="n">
        <v>46289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IF(E2064="","",IF(LEFT(E2064,7)="SUBSOLO",-1,IF(LEFT(E2064,6)="TÉRREO",0,IFERROR(VALUE(LEFT(E2064,FIND("º",SUBSTITUTE(E2064,"°","º"))-1)),""))))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30206116</v>
      </c>
      <c r="C2065" s="4" t="inlineStr">
        <is>
          <t>PINTURA 3º DEMÃO</t>
        </is>
      </c>
      <c r="D2065" s="4" t="inlineStr">
        <is>
          <t>-</t>
        </is>
      </c>
      <c r="E2065" s="4" t="inlineStr">
        <is>
          <t>6º PAV (PILOTIS) - ACADEMIA</t>
        </is>
      </c>
      <c r="F2065" s="118" t="n">
        <v>47028</v>
      </c>
      <c r="G2065" s="118" t="n">
        <v>47042</v>
      </c>
      <c r="H2065" s="118" t="n">
        <v>46289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IF(E2065="","",IF(LEFT(E2065,7)="SUBSOLO",-1,IF(LEFT(E2065,6)="TÉRREO",0,IFERROR(VALUE(LEFT(E2065,FIND("º",SUBSTITUTE(E2065,"°","º"))-1)),""))))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29981143</v>
      </c>
      <c r="C2066" s="4" t="inlineStr">
        <is>
          <t>LIMPEZA FINA</t>
        </is>
      </c>
      <c r="D2066" s="4" t="inlineStr">
        <is>
          <t>-</t>
        </is>
      </c>
      <c r="E2066" s="4" t="inlineStr">
        <is>
          <t>18º PAV.</t>
        </is>
      </c>
      <c r="F2066" s="118" t="n">
        <v>47030</v>
      </c>
      <c r="G2066" s="118" t="n">
        <v>47043</v>
      </c>
      <c r="H2066" s="118" t="n">
        <v>46289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IF(E2066="","",IF(LEFT(E2066,7)="SUBSOLO",-1,IF(LEFT(E2066,6)="TÉRREO",0,IFERROR(VALUE(LEFT(E2066,FIND("º",SUBSTITUTE(E2066,"°","º"))-1)),""))))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29981059</v>
      </c>
      <c r="C2067" s="4" t="inlineStr">
        <is>
          <t>PINTURA 3º DEMÃO</t>
        </is>
      </c>
      <c r="D2067" s="4" t="inlineStr">
        <is>
          <t>-</t>
        </is>
      </c>
      <c r="E2067" s="4" t="inlineStr">
        <is>
          <t>20º PAV.</t>
        </is>
      </c>
      <c r="F2067" s="118" t="n">
        <v>47030</v>
      </c>
      <c r="G2067" s="118" t="n">
        <v>47043</v>
      </c>
      <c r="H2067" s="118" t="n">
        <v>46289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IF(E2067="","",IF(LEFT(E2067,7)="SUBSOLO",-1,IF(LEFT(E2067,6)="TÉRREO",0,IFERROR(VALUE(LEFT(E2067,FIND("º",SUBSTITUTE(E2067,"°","º"))-1)),""))))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30205855</v>
      </c>
      <c r="C2068" s="4" t="inlineStr">
        <is>
          <t>LIMPEZA FINA</t>
        </is>
      </c>
      <c r="D2068" s="4" t="inlineStr">
        <is>
          <t>-</t>
        </is>
      </c>
      <c r="E2068" s="4" t="inlineStr">
        <is>
          <t>1º PAV. (INTERMEDIÁRIO)</t>
        </is>
      </c>
      <c r="F2068" s="118" t="n">
        <v>47035</v>
      </c>
      <c r="G2068" s="118" t="n">
        <v>47049</v>
      </c>
      <c r="H2068" s="118" t="n">
        <v>46289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IF(E2068="","",IF(LEFT(E2068,7)="SUBSOLO",-1,IF(LEFT(E2068,6)="TÉRREO",0,IFERROR(VALUE(LEFT(E2068,FIND("º",SUBSTITUTE(E2068,"°","º"))-1)),""))))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31800970</v>
      </c>
      <c r="C2069" s="4" t="inlineStr">
        <is>
          <t>TRATAMENTO DE CONCRETO APARENTE - F5</t>
        </is>
      </c>
      <c r="D2069" s="4" t="inlineStr">
        <is>
          <t>-</t>
        </is>
      </c>
      <c r="E2069" s="4" t="inlineStr">
        <is>
          <t>FACHADA</t>
        </is>
      </c>
      <c r="F2069" s="118" t="n">
        <v>47035</v>
      </c>
      <c r="G2069" s="118" t="n">
        <v>47064</v>
      </c>
      <c r="H2069" s="118" t="n">
        <v>46289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IF(E2069="","",IF(LEFT(E2069,7)="SUBSOLO",-1,IF(LEFT(E2069,6)="TÉRREO",0,IFERROR(VALUE(LEFT(E2069,FIND("º",SUBSTITUTE(E2069,"°","º"))-1)),""))))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30171461</v>
      </c>
      <c r="C2070" s="4" t="inlineStr">
        <is>
          <t>PINTURA DE TUBULAÇÕES (PAREDE E TETO)</t>
        </is>
      </c>
      <c r="D2070" s="4" t="inlineStr">
        <is>
          <t>-</t>
        </is>
      </c>
      <c r="E2070" s="4" t="inlineStr">
        <is>
          <t>3º PAV - GARAGEM</t>
        </is>
      </c>
      <c r="F2070" s="118" t="n">
        <v>47036</v>
      </c>
      <c r="G2070" s="118" t="n">
        <v>47057</v>
      </c>
      <c r="H2070" s="118" t="n">
        <v>46289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IF(E2070="","",IF(LEFT(E2070,7)="SUBSOLO",-1,IF(LEFT(E2070,6)="TÉRREO",0,IFERROR(VALUE(LEFT(E2070,FIND("º",SUBSTITUTE(E2070,"°","º"))-1)),""))))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30171413</v>
      </c>
      <c r="C2071" s="4" t="inlineStr">
        <is>
          <t>POLIMENTO DE PISO</t>
        </is>
      </c>
      <c r="D2071" s="4" t="inlineStr">
        <is>
          <t>-</t>
        </is>
      </c>
      <c r="E2071" s="4" t="inlineStr">
        <is>
          <t>4º PAV - GARAGEM</t>
        </is>
      </c>
      <c r="F2071" s="118" t="n">
        <v>47036</v>
      </c>
      <c r="G2071" s="118" t="n">
        <v>47067</v>
      </c>
      <c r="H2071" s="118" t="n">
        <v>46289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IF(E2071="","",IF(LEFT(E2071,7)="SUBSOLO",-1,IF(LEFT(E2071,6)="TÉRREO",0,IFERROR(VALUE(LEFT(E2071,FIND("º",SUBSTITUTE(E2071,"°","º"))-1)),""))))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30208618</v>
      </c>
      <c r="C2072" s="4" t="inlineStr">
        <is>
          <t>INSTALAÇÃO DE LUMINÁRIAS</t>
        </is>
      </c>
      <c r="D2072" s="4" t="inlineStr">
        <is>
          <t>-</t>
        </is>
      </c>
      <c r="E2072" s="4" t="inlineStr">
        <is>
          <t>6º PAV (PILOTIS) - SAUNA + DUCHA</t>
        </is>
      </c>
      <c r="F2072" s="118" t="n">
        <v>47036</v>
      </c>
      <c r="G2072" s="118" t="n">
        <v>47043</v>
      </c>
      <c r="H2072" s="118" t="n">
        <v>46289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IF(E2072="","",IF(LEFT(E2072,7)="SUBSOLO",-1,IF(LEFT(E2072,6)="TÉRREO",0,IFERROR(VALUE(LEFT(E2072,FIND("º",SUBSTITUTE(E2072,"°","º"))-1)),""))))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30206031</v>
      </c>
      <c r="C2073" s="4" t="inlineStr">
        <is>
          <t>ESQUADRIA MADEIRA</t>
        </is>
      </c>
      <c r="D2073" s="4" t="inlineStr">
        <is>
          <t>-</t>
        </is>
      </c>
      <c r="E2073" s="4" t="inlineStr">
        <is>
          <t>6º PAV (PILOTIS) - CHURRASQUEIRA + IS MASC. PCD + IS FEM. PCD + CIRCULAÇÃO 1 + HALL 1</t>
        </is>
      </c>
      <c r="F2073" s="118" t="n">
        <v>47036</v>
      </c>
      <c r="G2073" s="118" t="n">
        <v>47043</v>
      </c>
      <c r="H2073" s="118" t="n">
        <v>46289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IF(E2073="","",IF(LEFT(E2073,7)="SUBSOLO",-1,IF(LEFT(E2073,6)="TÉRREO",0,IFERROR(VALUE(LEFT(E2073,FIND("º",SUBSTITUTE(E2073,"°","º"))-1)),""))))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30206033</v>
      </c>
      <c r="C2074" s="4" t="inlineStr">
        <is>
          <t>LOUÇAS</t>
        </is>
      </c>
      <c r="D2074" s="4" t="inlineStr">
        <is>
          <t>-</t>
        </is>
      </c>
      <c r="E2074" s="4" t="inlineStr">
        <is>
          <t>6º PAV (PILOTIS) - CHURRASQUEIRA + IS MASC. PCD + IS FEM. PCD + CIRCULAÇÃO 1 + HALL 1</t>
        </is>
      </c>
      <c r="F2074" s="118" t="n">
        <v>47036</v>
      </c>
      <c r="G2074" s="118" t="n">
        <v>47043</v>
      </c>
      <c r="H2074" s="118" t="n">
        <v>46289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IF(E2074="","",IF(LEFT(E2074,7)="SUBSOLO",-1,IF(LEFT(E2074,6)="TÉRREO",0,IFERROR(VALUE(LEFT(E2074,FIND("º",SUBSTITUTE(E2074,"°","º"))-1)),""))))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30206038</v>
      </c>
      <c r="C2075" s="4" t="inlineStr">
        <is>
          <t>METAIS</t>
        </is>
      </c>
      <c r="D2075" s="4" t="inlineStr">
        <is>
          <t>-</t>
        </is>
      </c>
      <c r="E2075" s="4" t="inlineStr">
        <is>
          <t>6º PAV (PILOTIS) - CHURRASQUEIRA + IS MASC. PCD + IS FEM. PCD + CIRCULAÇÃO 1 + HALL 1</t>
        </is>
      </c>
      <c r="F2075" s="118" t="n">
        <v>47036</v>
      </c>
      <c r="G2075" s="118" t="n">
        <v>47043</v>
      </c>
      <c r="H2075" s="118" t="n">
        <v>46289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IF(E2075="","",IF(LEFT(E2075,7)="SUBSOLO",-1,IF(LEFT(E2075,6)="TÉRREO",0,IFERROR(VALUE(LEFT(E2075,FIND("º",SUBSTITUTE(E2075,"°","º"))-1)),""))))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30206036</v>
      </c>
      <c r="C2076" s="4" t="inlineStr">
        <is>
          <t>COMUNICAÇÃO E ALARME</t>
        </is>
      </c>
      <c r="D2076" s="4" t="inlineStr">
        <is>
          <t>-</t>
        </is>
      </c>
      <c r="E2076" s="4" t="inlineStr">
        <is>
          <t>6º PAV (PILOTIS) - CHURRASQUEIRA + IS MASC. PCD + IS FEM. PCD + CIRCULAÇÃO 1 + HALL 1</t>
        </is>
      </c>
      <c r="F2076" s="118" t="n">
        <v>47036</v>
      </c>
      <c r="G2076" s="118" t="n">
        <v>47050</v>
      </c>
      <c r="H2076" s="118" t="n">
        <v>46289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IF(E2076="","",IF(LEFT(E2076,7)="SUBSOLO",-1,IF(LEFT(E2076,6)="TÉRREO",0,IFERROR(VALUE(LEFT(E2076,FIND("º",SUBSTITUTE(E2076,"°","º"))-1)),""))))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30205992</v>
      </c>
      <c r="C2077" s="4" t="inlineStr">
        <is>
          <t>PINTURA 1º DEMÃO</t>
        </is>
      </c>
      <c r="D2077" s="4" t="inlineStr">
        <is>
          <t>-</t>
        </is>
      </c>
      <c r="E2077" s="4" t="inlineStr">
        <is>
          <t>6º PAV (PILOTIS) - COWORKING 1 E 2 + CIRC. 2 + HALL 2 + DML + VEST. MASC. + VEST. FEM</t>
        </is>
      </c>
      <c r="F2077" s="118" t="n">
        <v>47036</v>
      </c>
      <c r="G2077" s="118" t="n">
        <v>47050</v>
      </c>
      <c r="H2077" s="118" t="n">
        <v>46289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IF(E2077="","",IF(LEFT(E2077,7)="SUBSOLO",-1,IF(LEFT(E2077,6)="TÉRREO",0,IFERROR(VALUE(LEFT(E2077,FIND("º",SUBSTITUTE(E2077,"°","º"))-1)),""))))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30205981</v>
      </c>
      <c r="C2078" s="4" t="inlineStr">
        <is>
          <t>MASSA CORRIDA</t>
        </is>
      </c>
      <c r="D2078" s="4" t="inlineStr">
        <is>
          <t>-</t>
        </is>
      </c>
      <c r="E2078" s="4" t="inlineStr">
        <is>
          <t>6º PAV (PILOTIS) - LOUNGE + SALÃO + COZINHA + GOURMET + ESPAÇO KIDS</t>
        </is>
      </c>
      <c r="F2078" s="118" t="n">
        <v>47036</v>
      </c>
      <c r="G2078" s="118" t="n">
        <v>47050</v>
      </c>
      <c r="H2078" s="118" t="n">
        <v>46289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IF(E2078="","",IF(LEFT(E2078,7)="SUBSOLO",-1,IF(LEFT(E2078,6)="TÉRREO",0,IFERROR(VALUE(LEFT(E2078,FIND("º",SUBSTITUTE(E2078,"°","º"))-1)),""))))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29981021</v>
      </c>
      <c r="C2079" s="4" t="inlineStr">
        <is>
          <t>CHECKLIST</t>
        </is>
      </c>
      <c r="D2079" s="4" t="inlineStr">
        <is>
          <t>-</t>
        </is>
      </c>
      <c r="E2079" s="4" t="inlineStr">
        <is>
          <t>21º PAV.</t>
        </is>
      </c>
      <c r="F2079" s="118" t="n">
        <v>47036</v>
      </c>
      <c r="G2079" s="118" t="n">
        <v>47043</v>
      </c>
      <c r="H2079" s="118" t="n">
        <v>46289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IF(E2079="","",IF(LEFT(E2079,7)="SUBSOLO",-1,IF(LEFT(E2079,6)="TÉRREO",0,IFERROR(VALUE(LEFT(E2079,FIND("º",SUBSTITUTE(E2079,"°","º"))-1)),""))))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29980986</v>
      </c>
      <c r="C2080" s="4" t="inlineStr">
        <is>
          <t>ACABAMENTOS ELÉTRICOS</t>
        </is>
      </c>
      <c r="D2080" s="4" t="inlineStr">
        <is>
          <t>-</t>
        </is>
      </c>
      <c r="E2080" s="4" t="inlineStr">
        <is>
          <t>22º PAV.</t>
        </is>
      </c>
      <c r="F2080" s="118" t="n">
        <v>47036</v>
      </c>
      <c r="G2080" s="118" t="n">
        <v>47049</v>
      </c>
      <c r="H2080" s="118" t="n">
        <v>46289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IF(E2080="","",IF(LEFT(E2080,7)="SUBSOLO",-1,IF(LEFT(E2080,6)="TÉRREO",0,IFERROR(VALUE(LEFT(E2080,FIND("º",SUBSTITUTE(E2080,"°","º"))-1)),""))))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29980946</v>
      </c>
      <c r="C2081" s="4" t="inlineStr">
        <is>
          <t>PINTURA 2º DEMÃO</t>
        </is>
      </c>
      <c r="D2081" s="4" t="inlineStr">
        <is>
          <t>-</t>
        </is>
      </c>
      <c r="E2081" s="4" t="inlineStr">
        <is>
          <t>23º PAV.</t>
        </is>
      </c>
      <c r="F2081" s="118" t="n">
        <v>47036</v>
      </c>
      <c r="G2081" s="118" t="n">
        <v>47049</v>
      </c>
      <c r="H2081" s="118" t="n">
        <v>46289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IF(E2081="","",IF(LEFT(E2081,7)="SUBSOLO",-1,IF(LEFT(E2081,6)="TÉRREO",0,IFERROR(VALUE(LEFT(E2081,FIND("º",SUBSTITUTE(E2081,"°","º"))-1)),""))))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33919800</v>
      </c>
      <c r="C2082" s="4" t="inlineStr">
        <is>
          <t>TEXTURA - EXTERNA</t>
        </is>
      </c>
      <c r="D2082" s="4" t="inlineStr">
        <is>
          <t>-</t>
        </is>
      </c>
      <c r="E2082" s="4" t="inlineStr">
        <is>
          <t>23º PAV.</t>
        </is>
      </c>
      <c r="F2082" s="118" t="n">
        <v>47036</v>
      </c>
      <c r="G2082" s="118" t="n">
        <v>47049</v>
      </c>
      <c r="H2082" s="118" t="n">
        <v>46289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IF(E2082="","",IF(LEFT(E2082,7)="SUBSOLO",-1,IF(LEFT(E2082,6)="TÉRREO",0,IFERROR(VALUE(LEFT(E2082,FIND("º",SUBSTITUTE(E2082,"°","º"))-1)),""))))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29980908</v>
      </c>
      <c r="C2083" s="4" t="inlineStr">
        <is>
          <t>LIMPEZA GROSSA</t>
        </is>
      </c>
      <c r="D2083" s="4" t="inlineStr">
        <is>
          <t>-</t>
        </is>
      </c>
      <c r="E2083" s="4" t="inlineStr">
        <is>
          <t>24º PAV.</t>
        </is>
      </c>
      <c r="F2083" s="118" t="n">
        <v>47036</v>
      </c>
      <c r="G2083" s="118" t="n">
        <v>47049</v>
      </c>
      <c r="H2083" s="118" t="n">
        <v>46289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IF(E2083="","",IF(LEFT(E2083,7)="SUBSOLO",-1,IF(LEFT(E2083,6)="TÉRREO",0,IFERROR(VALUE(LEFT(E2083,FIND("º",SUBSTITUTE(E2083,"°","º"))-1)),""))))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29980865</v>
      </c>
      <c r="C2084" s="4" t="inlineStr">
        <is>
          <t>LOUÇAS</t>
        </is>
      </c>
      <c r="D2084" s="4" t="inlineStr">
        <is>
          <t>-</t>
        </is>
      </c>
      <c r="E2084" s="4" t="inlineStr">
        <is>
          <t>25º PAV.</t>
        </is>
      </c>
      <c r="F2084" s="118" t="n">
        <v>47036</v>
      </c>
      <c r="G2084" s="118" t="n">
        <v>47049</v>
      </c>
      <c r="H2084" s="118" t="n">
        <v>46289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IF(E2084="","",IF(LEFT(E2084,7)="SUBSOLO",-1,IF(LEFT(E2084,6)="TÉRREO",0,IFERROR(VALUE(LEFT(E2084,FIND("º",SUBSTITUTE(E2084,"°","º"))-1)),""))))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29980870</v>
      </c>
      <c r="C2085" s="4" t="inlineStr">
        <is>
          <t>METAIS</t>
        </is>
      </c>
      <c r="D2085" s="4" t="inlineStr">
        <is>
          <t>-</t>
        </is>
      </c>
      <c r="E2085" s="4" t="inlineStr">
        <is>
          <t>25º PAV.</t>
        </is>
      </c>
      <c r="F2085" s="118" t="n">
        <v>47036</v>
      </c>
      <c r="G2085" s="118" t="n">
        <v>47049</v>
      </c>
      <c r="H2085" s="118" t="n">
        <v>46289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IF(E2085="","",IF(LEFT(E2085,7)="SUBSOLO",-1,IF(LEFT(E2085,6)="TÉRREO",0,IFERROR(VALUE(LEFT(E2085,FIND("º",SUBSTITUTE(E2085,"°","º"))-1)),""))))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29980869</v>
      </c>
      <c r="C2086" s="4" t="inlineStr">
        <is>
          <t>DISJUNTORES / MIOLOS</t>
        </is>
      </c>
      <c r="D2086" s="4" t="inlineStr">
        <is>
          <t>-</t>
        </is>
      </c>
      <c r="E2086" s="4" t="inlineStr">
        <is>
          <t>25º PAV.</t>
        </is>
      </c>
      <c r="F2086" s="118" t="n">
        <v>47036</v>
      </c>
      <c r="G2086" s="118" t="n">
        <v>47049</v>
      </c>
      <c r="H2086" s="118" t="n">
        <v>46289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IF(E2086="","",IF(LEFT(E2086,7)="SUBSOLO",-1,IF(LEFT(E2086,6)="TÉRREO",0,IFERROR(VALUE(LEFT(E2086,FIND("º",SUBSTITUTE(E2086,"°","º"))-1)),""))))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29980868</v>
      </c>
      <c r="C2087" s="4" t="inlineStr">
        <is>
          <t>COMUNICAÇÃO E ALARME</t>
        </is>
      </c>
      <c r="D2087" s="4" t="inlineStr">
        <is>
          <t>-</t>
        </is>
      </c>
      <c r="E2087" s="4" t="inlineStr">
        <is>
          <t>25º PAV.</t>
        </is>
      </c>
      <c r="F2087" s="118" t="n">
        <v>47036</v>
      </c>
      <c r="G2087" s="118" t="n">
        <v>47049</v>
      </c>
      <c r="H2087" s="118" t="n">
        <v>46289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IF(E2087="","",IF(LEFT(E2087,7)="SUBSOLO",-1,IF(LEFT(E2087,6)="TÉRREO",0,IFERROR(VALUE(LEFT(E2087,FIND("º",SUBSTITUTE(E2087,"°","º"))-1)),""))))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29980827</v>
      </c>
      <c r="C2088" s="4" t="inlineStr">
        <is>
          <t>RODAPÉ MADEIRA / PVC</t>
        </is>
      </c>
      <c r="D2088" s="4" t="inlineStr">
        <is>
          <t>-</t>
        </is>
      </c>
      <c r="E2088" s="4" t="inlineStr">
        <is>
          <t>26º PAV.</t>
        </is>
      </c>
      <c r="F2088" s="118" t="n">
        <v>47036</v>
      </c>
      <c r="G2088" s="118" t="n">
        <v>47049</v>
      </c>
      <c r="H2088" s="118" t="n">
        <v>46289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IF(E2088="","",IF(LEFT(E2088,7)="SUBSOLO",-1,IF(LEFT(E2088,6)="TÉRREO",0,IFERROR(VALUE(LEFT(E2088,FIND("º",SUBSTITUTE(E2088,"°","º"))-1)),""))))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29980789</v>
      </c>
      <c r="C2089" s="4" t="inlineStr">
        <is>
          <t>ESQUADRIA MADEIRA</t>
        </is>
      </c>
      <c r="D2089" s="4" t="inlineStr">
        <is>
          <t>-</t>
        </is>
      </c>
      <c r="E2089" s="4" t="inlineStr">
        <is>
          <t>27º PAV.</t>
        </is>
      </c>
      <c r="F2089" s="118" t="n">
        <v>47036</v>
      </c>
      <c r="G2089" s="118" t="n">
        <v>47049</v>
      </c>
      <c r="H2089" s="118" t="n">
        <v>46289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IF(E2089="","",IF(LEFT(E2089,7)="SUBSOLO",-1,IF(LEFT(E2089,6)="TÉRREO",0,IFERROR(VALUE(LEFT(E2089,FIND("º",SUBSTITUTE(E2089,"°","º"))-1)),""))))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29980751</v>
      </c>
      <c r="C2090" s="4" t="inlineStr">
        <is>
          <t>PISO VINÍLICO / LAMINADO</t>
        </is>
      </c>
      <c r="D2090" s="4" t="inlineStr">
        <is>
          <t>-</t>
        </is>
      </c>
      <c r="E2090" s="4" t="inlineStr">
        <is>
          <t>28º PAV.</t>
        </is>
      </c>
      <c r="F2090" s="118" t="n">
        <v>47036</v>
      </c>
      <c r="G2090" s="118" t="n">
        <v>47049</v>
      </c>
      <c r="H2090" s="118" t="n">
        <v>46289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IF(E2090="","",IF(LEFT(E2090,7)="SUBSOLO",-1,IF(LEFT(E2090,6)="TÉRREO",0,IFERROR(VALUE(LEFT(E2090,FIND("º",SUBSTITUTE(E2090,"°","º"))-1)),""))))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29980713</v>
      </c>
      <c r="C2091" s="4" t="inlineStr">
        <is>
          <t>PINTURA 1º DEMÃO</t>
        </is>
      </c>
      <c r="D2091" s="4" t="inlineStr">
        <is>
          <t>-</t>
        </is>
      </c>
      <c r="E2091" s="4" t="inlineStr">
        <is>
          <t>29º PAV.</t>
        </is>
      </c>
      <c r="F2091" s="118" t="n">
        <v>47036</v>
      </c>
      <c r="G2091" s="118" t="n">
        <v>47049</v>
      </c>
      <c r="H2091" s="118" t="n">
        <v>46289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IF(E2091="","",IF(LEFT(E2091,7)="SUBSOLO",-1,IF(LEFT(E2091,6)="TÉRREO",0,IFERROR(VALUE(LEFT(E2091,FIND("º",SUBSTITUTE(E2091,"°","º"))-1)),""))))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29980702</v>
      </c>
      <c r="C2092" s="4" t="inlineStr">
        <is>
          <t>MASSA CORRIDA</t>
        </is>
      </c>
      <c r="D2092" s="4" t="inlineStr">
        <is>
          <t>-</t>
        </is>
      </c>
      <c r="E2092" s="4" t="inlineStr">
        <is>
          <t>30º PAV.</t>
        </is>
      </c>
      <c r="F2092" s="118" t="n">
        <v>47036</v>
      </c>
      <c r="G2092" s="118" t="n">
        <v>47049</v>
      </c>
      <c r="H2092" s="118" t="n">
        <v>46289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IF(E2092="","",IF(LEFT(E2092,7)="SUBSOLO",-1,IF(LEFT(E2092,6)="TÉRREO",0,IFERROR(VALUE(LEFT(E2092,FIND("º",SUBSTITUTE(E2092,"°","º"))-1)),""))))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33898115</v>
      </c>
      <c r="C2093" s="4" t="inlineStr">
        <is>
          <t>ESQUADRIA DE ALUMÍNIO</t>
        </is>
      </c>
      <c r="D2093" s="4" t="inlineStr">
        <is>
          <t>-</t>
        </is>
      </c>
      <c r="E2093" s="4" t="inlineStr">
        <is>
          <t>31º PAV. - COBERTURA LINEAR</t>
        </is>
      </c>
      <c r="F2093" s="118" t="n">
        <v>47036</v>
      </c>
      <c r="G2093" s="118" t="n">
        <v>47049</v>
      </c>
      <c r="H2093" s="118" t="n">
        <v>46289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IF(E2093="","",IF(LEFT(E2093,7)="SUBSOLO",-1,IF(LEFT(E2093,6)="TÉRREO",0,IFERROR(VALUE(LEFT(E2093,FIND("º",SUBSTITUTE(E2093,"°","º"))-1)),""))))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29981105</v>
      </c>
      <c r="C2094" s="4" t="inlineStr">
        <is>
          <t>FIAÇÃO ELÉTRICA</t>
        </is>
      </c>
      <c r="D2094" s="4" t="inlineStr">
        <is>
          <t>-</t>
        </is>
      </c>
      <c r="E2094" s="4" t="inlineStr">
        <is>
          <t>19º PAV.</t>
        </is>
      </c>
      <c r="F2094" s="118" t="n">
        <v>47039</v>
      </c>
      <c r="G2094" s="118" t="n">
        <v>47050</v>
      </c>
      <c r="H2094" s="118" t="n">
        <v>46289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IF(E2094="","",IF(LEFT(E2094,7)="SUBSOLO",-1,IF(LEFT(E2094,6)="TÉRREO",0,IFERROR(VALUE(LEFT(E2094,FIND("º",SUBSTITUTE(E2094,"°","º"))-1)),""))))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29981110</v>
      </c>
      <c r="C2095" s="4" t="inlineStr">
        <is>
          <t>PRUMADA ELÉTRICA - CABOS</t>
        </is>
      </c>
      <c r="D2095" s="4" t="inlineStr">
        <is>
          <t>-</t>
        </is>
      </c>
      <c r="E2095" s="4" t="inlineStr">
        <is>
          <t>19º PAV.</t>
        </is>
      </c>
      <c r="F2095" s="118" t="n">
        <v>47039</v>
      </c>
      <c r="G2095" s="118" t="n">
        <v>47051</v>
      </c>
      <c r="H2095" s="118" t="n">
        <v>46289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IF(E2095="","",IF(LEFT(E2095,7)="SUBSOLO",-1,IF(LEFT(E2095,6)="TÉRREO",0,IFERROR(VALUE(LEFT(E2095,FIND("º",SUBSTITUTE(E2095,"°","º"))-1)),""))))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30214081</v>
      </c>
      <c r="C2096" s="4" t="inlineStr">
        <is>
          <t>FIAÇÃO TELECOM/DADOS</t>
        </is>
      </c>
      <c r="D2096" s="4" t="inlineStr">
        <is>
          <t>-</t>
        </is>
      </c>
      <c r="E2096" s="4" t="inlineStr">
        <is>
          <t>19º PAV.</t>
        </is>
      </c>
      <c r="F2096" s="118" t="n">
        <v>47039</v>
      </c>
      <c r="G2096" s="118" t="n">
        <v>47052</v>
      </c>
      <c r="H2096" s="118" t="n">
        <v>46289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IF(E2096="","",IF(LEFT(E2096,7)="SUBSOLO",-1,IF(LEFT(E2096,6)="TÉRREO",0,IFERROR(VALUE(LEFT(E2096,FIND("º",SUBSTITUTE(E2096,"°","º"))-1)),""))))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30171475</v>
      </c>
      <c r="C2097" s="4" t="inlineStr">
        <is>
          <t>ACABAMENTOS ELÉTRICOS</t>
        </is>
      </c>
      <c r="D2097" s="4" t="inlineStr">
        <is>
          <t>-</t>
        </is>
      </c>
      <c r="E2097" s="4" t="inlineStr">
        <is>
          <t>2º PAV - GARAGEM</t>
        </is>
      </c>
      <c r="F2097" s="118" t="n">
        <v>47042</v>
      </c>
      <c r="G2097" s="118" t="n">
        <v>47053</v>
      </c>
      <c r="H2097" s="118" t="n">
        <v>46289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IF(E2097="","",IF(LEFT(E2097,7)="SUBSOLO",-1,IF(LEFT(E2097,6)="TÉRREO",0,IFERROR(VALUE(LEFT(E2097,FIND("º",SUBSTITUTE(E2097,"°","º"))-1)),""))))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30171474</v>
      </c>
      <c r="C2098" s="4" t="inlineStr">
        <is>
          <t>DEMARCAÇÃO DE VAGAS</t>
        </is>
      </c>
      <c r="D2098" s="4" t="inlineStr">
        <is>
          <t>-</t>
        </is>
      </c>
      <c r="E2098" s="4" t="inlineStr">
        <is>
          <t>2º PAV - GARAGEM</t>
        </is>
      </c>
      <c r="F2098" s="118" t="n">
        <v>47042</v>
      </c>
      <c r="G2098" s="118" t="n">
        <v>47070</v>
      </c>
      <c r="H2098" s="118" t="n">
        <v>46289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IF(E2098="","",IF(LEFT(E2098,7)="SUBSOLO",-1,IF(LEFT(E2098,6)="TÉRREO",0,IFERROR(VALUE(LEFT(E2098,FIND("º",SUBSTITUTE(E2098,"°","º"))-1)),""))))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30171486</v>
      </c>
      <c r="C2099" s="4" t="inlineStr">
        <is>
          <t>INSTALAÇÃO DE METAIS</t>
        </is>
      </c>
      <c r="D2099" s="4" t="inlineStr">
        <is>
          <t>-</t>
        </is>
      </c>
      <c r="E2099" s="4" t="inlineStr">
        <is>
          <t>2º PAV - GARAGEM</t>
        </is>
      </c>
      <c r="F2099" s="118" t="n">
        <v>47042</v>
      </c>
      <c r="G2099" s="118" t="n">
        <v>47053</v>
      </c>
      <c r="H2099" s="118" t="n">
        <v>46289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IF(E2099="","",IF(LEFT(E2099,7)="SUBSOLO",-1,IF(LEFT(E2099,6)="TÉRREO",0,IFERROR(VALUE(LEFT(E2099,FIND("º",SUBSTITUTE(E2099,"°","º"))-1)),""))))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30171487</v>
      </c>
      <c r="C2100" s="4" t="inlineStr">
        <is>
          <t>INST. CARREGADOR DE VEÍCULOS</t>
        </is>
      </c>
      <c r="D2100" s="4" t="inlineStr">
        <is>
          <t>-</t>
        </is>
      </c>
      <c r="E2100" s="4" t="inlineStr">
        <is>
          <t>2º PAV - GARAGEM</t>
        </is>
      </c>
      <c r="F2100" s="118" t="n">
        <v>47042</v>
      </c>
      <c r="G2100" s="118" t="n">
        <v>47053</v>
      </c>
      <c r="H2100" s="118" t="n">
        <v>46289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IF(E2100="","",IF(LEFT(E2100,7)="SUBSOLO",-1,IF(LEFT(E2100,6)="TÉRREO",0,IFERROR(VALUE(LEFT(E2100,FIND("º",SUBSTITUTE(E2100,"°","º"))-1)),""))))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30171490</v>
      </c>
      <c r="C2101" s="4" t="inlineStr">
        <is>
          <t>PLACAS E IDEINTIFIC. VISUAIS</t>
        </is>
      </c>
      <c r="D2101" s="4" t="inlineStr">
        <is>
          <t>-</t>
        </is>
      </c>
      <c r="E2101" s="4" t="inlineStr">
        <is>
          <t>2º PAV - GARAGEM</t>
        </is>
      </c>
      <c r="F2101" s="118" t="n">
        <v>47042</v>
      </c>
      <c r="G2101" s="118" t="n">
        <v>47053</v>
      </c>
      <c r="H2101" s="118" t="n">
        <v>46289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IF(E2101="","",IF(LEFT(E2101,7)="SUBSOLO",-1,IF(LEFT(E2101,6)="TÉRREO",0,IFERROR(VALUE(LEFT(E2101,FIND("º",SUBSTITUTE(E2101,"°","º"))-1)),""))))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30171445</v>
      </c>
      <c r="C2102" s="4" t="inlineStr">
        <is>
          <t>TEXTURA - 1º DEMÃO</t>
        </is>
      </c>
      <c r="D2102" s="4" t="inlineStr">
        <is>
          <t>-</t>
        </is>
      </c>
      <c r="E2102" s="4" t="inlineStr">
        <is>
          <t>3º PAV - GARAGEM</t>
        </is>
      </c>
      <c r="F2102" s="118" t="n">
        <v>47042</v>
      </c>
      <c r="G2102" s="118" t="n">
        <v>47079</v>
      </c>
      <c r="H2102" s="118" t="n">
        <v>46289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IF(E2102="","",IF(LEFT(E2102,7)="SUBSOLO",-1,IF(LEFT(E2102,6)="TÉRREO",0,IFERROR(VALUE(LEFT(E2102,FIND("º",SUBSTITUTE(E2102,"°","º"))-1)),""))))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30206126</v>
      </c>
      <c r="C2103" s="4" t="inlineStr">
        <is>
          <t>LIMPEZA FINA</t>
        </is>
      </c>
      <c r="D2103" s="4" t="inlineStr">
        <is>
          <t>-</t>
        </is>
      </c>
      <c r="E2103" s="4" t="inlineStr">
        <is>
          <t>6º PAV (PILOTIS) - ACADEMIA</t>
        </is>
      </c>
      <c r="F2103" s="118" t="n">
        <v>47043</v>
      </c>
      <c r="G2103" s="118" t="n">
        <v>47056</v>
      </c>
      <c r="H2103" s="118" t="n">
        <v>46289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IF(E2103="","",IF(LEFT(E2103,7)="SUBSOLO",-1,IF(LEFT(E2103,6)="TÉRREO",0,IFERROR(VALUE(LEFT(E2103,FIND("º",SUBSTITUTE(E2103,"°","º"))-1)),""))))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30206076</v>
      </c>
      <c r="C2104" s="4" t="inlineStr">
        <is>
          <t>LIMPEZA GROSSA</t>
        </is>
      </c>
      <c r="D2104" s="4" t="inlineStr">
        <is>
          <t>-</t>
        </is>
      </c>
      <c r="E2104" s="4" t="inlineStr">
        <is>
          <t>6º PAV (PILOTIS) - SAUNA + DUCHA</t>
        </is>
      </c>
      <c r="F2104" s="118" t="n">
        <v>47044</v>
      </c>
      <c r="G2104" s="118" t="n">
        <v>47057</v>
      </c>
      <c r="H2104" s="118" t="n">
        <v>46289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IF(E2104="","",IF(LEFT(E2104,7)="SUBSOLO",-1,IF(LEFT(E2104,6)="TÉRREO",0,IFERROR(VALUE(LEFT(E2104,FIND("º",SUBSTITUTE(E2104,"°","º"))-1)),""))))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30208619</v>
      </c>
      <c r="C2105" s="4" t="inlineStr">
        <is>
          <t>INSTALAÇÃO DE LUMINÁRIAS</t>
        </is>
      </c>
      <c r="D2105" s="4" t="inlineStr">
        <is>
          <t>-</t>
        </is>
      </c>
      <c r="E2105" s="4" t="inlineStr">
        <is>
          <t>6º PAV (PILOTIS) - CHURRASQUEIRA + IS MASC. PCD + IS FEM. PCD + CIRCULAÇÃO 1 + HALL 1</t>
        </is>
      </c>
      <c r="F2105" s="118" t="n">
        <v>47044</v>
      </c>
      <c r="G2105" s="118" t="n">
        <v>47050</v>
      </c>
      <c r="H2105" s="118" t="n">
        <v>46289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IF(E2105="","",IF(LEFT(E2105,7)="SUBSOLO",-1,IF(LEFT(E2105,6)="TÉRREO",0,IFERROR(VALUE(LEFT(E2105,FIND("º",SUBSTITUTE(E2105,"°","º"))-1)),""))))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29981069</v>
      </c>
      <c r="C2106" s="4" t="inlineStr">
        <is>
          <t>LIMPEZA FINA</t>
        </is>
      </c>
      <c r="D2106" s="4" t="inlineStr">
        <is>
          <t>-</t>
        </is>
      </c>
      <c r="E2106" s="4" t="inlineStr">
        <is>
          <t>20º PAV.</t>
        </is>
      </c>
      <c r="F2106" s="118" t="n">
        <v>47044</v>
      </c>
      <c r="G2106" s="118" t="n">
        <v>47056</v>
      </c>
      <c r="H2106" s="118" t="n">
        <v>46289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IF(E2106="","",IF(LEFT(E2106,7)="SUBSOLO",-1,IF(LEFT(E2106,6)="TÉRREO",0,IFERROR(VALUE(LEFT(E2106,FIND("º",SUBSTITUTE(E2106,"°","º"))-1)),""))))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29981022</v>
      </c>
      <c r="C2107" s="4" t="inlineStr">
        <is>
          <t>PINTURA 3º DEMÃO</t>
        </is>
      </c>
      <c r="D2107" s="4" t="inlineStr">
        <is>
          <t>-</t>
        </is>
      </c>
      <c r="E2107" s="4" t="inlineStr">
        <is>
          <t>21º PAV.</t>
        </is>
      </c>
      <c r="F2107" s="118" t="n">
        <v>47044</v>
      </c>
      <c r="G2107" s="118" t="n">
        <v>47056</v>
      </c>
      <c r="H2107" s="118" t="n">
        <v>46289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IF(E2107="","",IF(LEFT(E2107,7)="SUBSOLO",-1,IF(LEFT(E2107,6)="TÉRREO",0,IFERROR(VALUE(LEFT(E2107,FIND("º",SUBSTITUTE(E2107,"°","º"))-1)),""))))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34179704</v>
      </c>
      <c r="C2108" s="4" t="inlineStr">
        <is>
          <t>LIMPEZA</t>
        </is>
      </c>
      <c r="D2108" s="4" t="inlineStr">
        <is>
          <t>-</t>
        </is>
      </c>
      <c r="E2108" s="4" t="inlineStr">
        <is>
          <t>TÉRREO ÁREA EXTERNA - COMERCIAL</t>
        </is>
      </c>
      <c r="F2108" s="118" t="n">
        <v>47049</v>
      </c>
      <c r="G2108" s="118" t="n">
        <v>47081</v>
      </c>
      <c r="H2108" s="118" t="n">
        <v>46289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IF(E2108="","",IF(LEFT(E2108,7)="SUBSOLO",-1,IF(LEFT(E2108,6)="TÉRREO",0,IFERROR(VALUE(LEFT(E2108,FIND("º",SUBSTITUTE(E2108,"°","º"))-1)),""))))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30205859</v>
      </c>
      <c r="C2109" s="4" t="inlineStr">
        <is>
          <t>CHECKLIST</t>
        </is>
      </c>
      <c r="D2109" s="4" t="inlineStr">
        <is>
          <t>-</t>
        </is>
      </c>
      <c r="E2109" s="4" t="inlineStr">
        <is>
          <t>1º PAV. (INTERMEDIÁRIO)</t>
        </is>
      </c>
      <c r="F2109" s="118" t="n">
        <v>47050</v>
      </c>
      <c r="G2109" s="118" t="n">
        <v>47056</v>
      </c>
      <c r="H2109" s="118" t="n">
        <v>46289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IF(E2109="","",IF(LEFT(E2109,7)="SUBSOLO",-1,IF(LEFT(E2109,6)="TÉRREO",0,IFERROR(VALUE(LEFT(E2109,FIND("º",SUBSTITUTE(E2109,"°","º"))-1)),""))))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29980984</v>
      </c>
      <c r="C2110" s="4" t="inlineStr">
        <is>
          <t>CHECKLIST</t>
        </is>
      </c>
      <c r="D2110" s="4" t="inlineStr">
        <is>
          <t>-</t>
        </is>
      </c>
      <c r="E2110" s="4" t="inlineStr">
        <is>
          <t>22º PAV.</t>
        </is>
      </c>
      <c r="F2110" s="118" t="n">
        <v>47050</v>
      </c>
      <c r="G2110" s="118" t="n">
        <v>47056</v>
      </c>
      <c r="H2110" s="118" t="n">
        <v>46289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IF(E2110="","",IF(LEFT(E2110,7)="SUBSOLO",-1,IF(LEFT(E2110,6)="TÉRREO",0,IFERROR(VALUE(LEFT(E2110,FIND("º",SUBSTITUTE(E2110,"°","º"))-1)),""))))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29980949</v>
      </c>
      <c r="C2111" s="4" t="inlineStr">
        <is>
          <t>ACABAMENTOS ELÉTRICOS</t>
        </is>
      </c>
      <c r="D2111" s="4" t="inlineStr">
        <is>
          <t>-</t>
        </is>
      </c>
      <c r="E2111" s="4" t="inlineStr">
        <is>
          <t>23º PAV.</t>
        </is>
      </c>
      <c r="F2111" s="118" t="n">
        <v>47050</v>
      </c>
      <c r="G2111" s="118" t="n">
        <v>47063</v>
      </c>
      <c r="H2111" s="118" t="n">
        <v>46289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IF(E2111="","",IF(LEFT(E2111,7)="SUBSOLO",-1,IF(LEFT(E2111,6)="TÉRREO",0,IFERROR(VALUE(LEFT(E2111,FIND("º",SUBSTITUTE(E2111,"°","º"))-1)),""))))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29980909</v>
      </c>
      <c r="C2112" s="4" t="inlineStr">
        <is>
          <t>PINTURA 2º DEMÃO</t>
        </is>
      </c>
      <c r="D2112" s="4" t="inlineStr">
        <is>
          <t>-</t>
        </is>
      </c>
      <c r="E2112" s="4" t="inlineStr">
        <is>
          <t>24º PAV.</t>
        </is>
      </c>
      <c r="F2112" s="118" t="n">
        <v>47050</v>
      </c>
      <c r="G2112" s="118" t="n">
        <v>47063</v>
      </c>
      <c r="H2112" s="118" t="n">
        <v>46289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IF(E2112="","",IF(LEFT(E2112,7)="SUBSOLO",-1,IF(LEFT(E2112,6)="TÉRREO",0,IFERROR(VALUE(LEFT(E2112,FIND("º",SUBSTITUTE(E2112,"°","º"))-1)),""))))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33919801</v>
      </c>
      <c r="C2113" s="4" t="inlineStr">
        <is>
          <t>TEXTURA - EXTERNA</t>
        </is>
      </c>
      <c r="D2113" s="4" t="inlineStr">
        <is>
          <t>-</t>
        </is>
      </c>
      <c r="E2113" s="4" t="inlineStr">
        <is>
          <t>24º PAV.</t>
        </is>
      </c>
      <c r="F2113" s="118" t="n">
        <v>47050</v>
      </c>
      <c r="G2113" s="118" t="n">
        <v>47063</v>
      </c>
      <c r="H2113" s="118" t="n">
        <v>46289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IF(E2113="","",IF(LEFT(E2113,7)="SUBSOLO",-1,IF(LEFT(E2113,6)="TÉRREO",0,IFERROR(VALUE(LEFT(E2113,FIND("º",SUBSTITUTE(E2113,"°","º"))-1)),""))))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29980871</v>
      </c>
      <c r="C2114" s="4" t="inlineStr">
        <is>
          <t>LIMPEZA GROSSA</t>
        </is>
      </c>
      <c r="D2114" s="4" t="inlineStr">
        <is>
          <t>-</t>
        </is>
      </c>
      <c r="E2114" s="4" t="inlineStr">
        <is>
          <t>25º PAV.</t>
        </is>
      </c>
      <c r="F2114" s="118" t="n">
        <v>47050</v>
      </c>
      <c r="G2114" s="118" t="n">
        <v>47063</v>
      </c>
      <c r="H2114" s="118" t="n">
        <v>46289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IF(E2114="","",IF(LEFT(E2114,7)="SUBSOLO",-1,IF(LEFT(E2114,6)="TÉRREO",0,IFERROR(VALUE(LEFT(E2114,FIND("º",SUBSTITUTE(E2114,"°","º"))-1)),""))))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29980828</v>
      </c>
      <c r="C2115" s="4" t="inlineStr">
        <is>
          <t>LOUÇAS</t>
        </is>
      </c>
      <c r="D2115" s="4" t="inlineStr">
        <is>
          <t>-</t>
        </is>
      </c>
      <c r="E2115" s="4" t="inlineStr">
        <is>
          <t>26º PAV.</t>
        </is>
      </c>
      <c r="F2115" s="118" t="n">
        <v>47050</v>
      </c>
      <c r="G2115" s="118" t="n">
        <v>47063</v>
      </c>
      <c r="H2115" s="118" t="n">
        <v>46289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IF(E2115="","",IF(LEFT(E2115,7)="SUBSOLO",-1,IF(LEFT(E2115,6)="TÉRREO",0,IFERROR(VALUE(LEFT(E2115,FIND("º",SUBSTITUTE(E2115,"°","º"))-1)),""))))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29980833</v>
      </c>
      <c r="C2116" s="4" t="inlineStr">
        <is>
          <t>METAIS</t>
        </is>
      </c>
      <c r="D2116" s="4" t="inlineStr">
        <is>
          <t>-</t>
        </is>
      </c>
      <c r="E2116" s="4" t="inlineStr">
        <is>
          <t>26º PAV.</t>
        </is>
      </c>
      <c r="F2116" s="118" t="n">
        <v>47050</v>
      </c>
      <c r="G2116" s="118" t="n">
        <v>47063</v>
      </c>
      <c r="H2116" s="118" t="n">
        <v>46289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IF(E2116="","",IF(LEFT(E2116,7)="SUBSOLO",-1,IF(LEFT(E2116,6)="TÉRREO",0,IFERROR(VALUE(LEFT(E2116,FIND("º",SUBSTITUTE(E2116,"°","º"))-1)),""))))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29980832</v>
      </c>
      <c r="C2117" s="4" t="inlineStr">
        <is>
          <t>DISJUNTORES / MIOLOS</t>
        </is>
      </c>
      <c r="D2117" s="4" t="inlineStr">
        <is>
          <t>-</t>
        </is>
      </c>
      <c r="E2117" s="4" t="inlineStr">
        <is>
          <t>26º PAV.</t>
        </is>
      </c>
      <c r="F2117" s="118" t="n">
        <v>47050</v>
      </c>
      <c r="G2117" s="118" t="n">
        <v>47063</v>
      </c>
      <c r="H2117" s="118" t="n">
        <v>46289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IF(E2117="","",IF(LEFT(E2117,7)="SUBSOLO",-1,IF(LEFT(E2117,6)="TÉRREO",0,IFERROR(VALUE(LEFT(E2117,FIND("º",SUBSTITUTE(E2117,"°","º"))-1)),""))))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29980831</v>
      </c>
      <c r="C2118" s="4" t="inlineStr">
        <is>
          <t>COMUNICAÇÃO E ALARME</t>
        </is>
      </c>
      <c r="D2118" s="4" t="inlineStr">
        <is>
          <t>-</t>
        </is>
      </c>
      <c r="E2118" s="4" t="inlineStr">
        <is>
          <t>26º PAV.</t>
        </is>
      </c>
      <c r="F2118" s="118" t="n">
        <v>47050</v>
      </c>
      <c r="G2118" s="118" t="n">
        <v>47063</v>
      </c>
      <c r="H2118" s="118" t="n">
        <v>46289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IF(E2118="","",IF(LEFT(E2118,7)="SUBSOLO",-1,IF(LEFT(E2118,6)="TÉRREO",0,IFERROR(VALUE(LEFT(E2118,FIND("º",SUBSTITUTE(E2118,"°","º"))-1)),""))))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29980790</v>
      </c>
      <c r="C2119" s="4" t="inlineStr">
        <is>
          <t>RODAPÉ MADEIRA / PVC</t>
        </is>
      </c>
      <c r="D2119" s="4" t="inlineStr">
        <is>
          <t>-</t>
        </is>
      </c>
      <c r="E2119" s="4" t="inlineStr">
        <is>
          <t>27º PAV.</t>
        </is>
      </c>
      <c r="F2119" s="118" t="n">
        <v>47050</v>
      </c>
      <c r="G2119" s="118" t="n">
        <v>47063</v>
      </c>
      <c r="H2119" s="118" t="n">
        <v>46289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IF(E2119="","",IF(LEFT(E2119,7)="SUBSOLO",-1,IF(LEFT(E2119,6)="TÉRREO",0,IFERROR(VALUE(LEFT(E2119,FIND("º",SUBSTITUTE(E2119,"°","º"))-1)),""))))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29980752</v>
      </c>
      <c r="C2120" s="4" t="inlineStr">
        <is>
          <t>ESQUADRIA MADEIRA</t>
        </is>
      </c>
      <c r="D2120" s="4" t="inlineStr">
        <is>
          <t>-</t>
        </is>
      </c>
      <c r="E2120" s="4" t="inlineStr">
        <is>
          <t>28º PAV.</t>
        </is>
      </c>
      <c r="F2120" s="118" t="n">
        <v>47050</v>
      </c>
      <c r="G2120" s="118" t="n">
        <v>47063</v>
      </c>
      <c r="H2120" s="118" t="n">
        <v>46289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IF(E2120="","",IF(LEFT(E2120,7)="SUBSOLO",-1,IF(LEFT(E2120,6)="TÉRREO",0,IFERROR(VALUE(LEFT(E2120,FIND("º",SUBSTITUTE(E2120,"°","º"))-1)),""))))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29980714</v>
      </c>
      <c r="C2121" s="4" t="inlineStr">
        <is>
          <t>PISO VINÍLICO / LAMINADO</t>
        </is>
      </c>
      <c r="D2121" s="4" t="inlineStr">
        <is>
          <t>-</t>
        </is>
      </c>
      <c r="E2121" s="4" t="inlineStr">
        <is>
          <t>29º PAV.</t>
        </is>
      </c>
      <c r="F2121" s="118" t="n">
        <v>47050</v>
      </c>
      <c r="G2121" s="118" t="n">
        <v>47063</v>
      </c>
      <c r="H2121" s="118" t="n">
        <v>46289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IF(E2121="","",IF(LEFT(E2121,7)="SUBSOLO",-1,IF(LEFT(E2121,6)="TÉRREO",0,IFERROR(VALUE(LEFT(E2121,FIND("º",SUBSTITUTE(E2121,"°","º"))-1)),""))))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29980676</v>
      </c>
      <c r="C2122" s="4" t="inlineStr">
        <is>
          <t>PINTURA 1º DEMÃO</t>
        </is>
      </c>
      <c r="D2122" s="4" t="inlineStr">
        <is>
          <t>-</t>
        </is>
      </c>
      <c r="E2122" s="4" t="inlineStr">
        <is>
          <t>30º PAV.</t>
        </is>
      </c>
      <c r="F2122" s="118" t="n">
        <v>47050</v>
      </c>
      <c r="G2122" s="118" t="n">
        <v>47063</v>
      </c>
      <c r="H2122" s="118" t="n">
        <v>46289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IF(E2122="","",IF(LEFT(E2122,7)="SUBSOLO",-1,IF(LEFT(E2122,6)="TÉRREO",0,IFERROR(VALUE(LEFT(E2122,FIND("º",SUBSTITUTE(E2122,"°","º"))-1)),""))))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29980665</v>
      </c>
      <c r="C2123" s="4" t="inlineStr">
        <is>
          <t>MASSA CORRIDA</t>
        </is>
      </c>
      <c r="D2123" s="4" t="inlineStr">
        <is>
          <t>-</t>
        </is>
      </c>
      <c r="E2123" s="4" t="inlineStr">
        <is>
          <t>31º PAV. - COBERTURA LINEAR</t>
        </is>
      </c>
      <c r="F2123" s="118" t="n">
        <v>47050</v>
      </c>
      <c r="G2123" s="118" t="n">
        <v>47063</v>
      </c>
      <c r="H2123" s="118" t="n">
        <v>46289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IF(E2123="","",IF(LEFT(E2123,7)="SUBSOLO",-1,IF(LEFT(E2123,6)="TÉRREO",0,IFERROR(VALUE(LEFT(E2123,FIND("º",SUBSTITUTE(E2123,"°","º"))-1)),""))))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33898116</v>
      </c>
      <c r="C2124" s="4" t="inlineStr">
        <is>
          <t>ESQUADRIA DE ALUMÍNIO</t>
        </is>
      </c>
      <c r="D2124" s="4" t="inlineStr">
        <is>
          <t>-</t>
        </is>
      </c>
      <c r="E2124" s="4" t="inlineStr">
        <is>
          <t>32º PAV - COBERTURA GERAL</t>
        </is>
      </c>
      <c r="F2124" s="118" t="n">
        <v>47050</v>
      </c>
      <c r="G2124" s="118" t="n">
        <v>47063</v>
      </c>
      <c r="H2124" s="118" t="n">
        <v>46289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IF(E2124="","",IF(LEFT(E2124,7)="SUBSOLO",-1,IF(LEFT(E2124,6)="TÉRREO",0,IFERROR(VALUE(LEFT(E2124,FIND("º",SUBSTITUTE(E2124,"°","º"))-1)),""))))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30206039</v>
      </c>
      <c r="C2125" s="4" t="inlineStr">
        <is>
          <t>LIMPEZA GROSSA</t>
        </is>
      </c>
      <c r="D2125" s="4" t="inlineStr">
        <is>
          <t>-</t>
        </is>
      </c>
      <c r="E2125" s="4" t="inlineStr">
        <is>
          <t>6º PAV (PILOTIS) - CHURRASQUEIRA + IS MASC. PCD + IS FEM. PCD + CIRCULAÇÃO 1 + HALL 1</t>
        </is>
      </c>
      <c r="F2125" s="118" t="n">
        <v>47051</v>
      </c>
      <c r="G2125" s="118" t="n">
        <v>47065</v>
      </c>
      <c r="H2125" s="118" t="n">
        <v>46289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IF(E2125="","",IF(LEFT(E2125,7)="SUBSOLO",-1,IF(LEFT(E2125,6)="TÉRREO",0,IFERROR(VALUE(LEFT(E2125,FIND("º",SUBSTITUTE(E2125,"°","º"))-1)),""))))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30205994</v>
      </c>
      <c r="C2126" s="4" t="inlineStr">
        <is>
          <t>ESQUADRIA MADEIRA</t>
        </is>
      </c>
      <c r="D2126" s="4" t="inlineStr">
        <is>
          <t>-</t>
        </is>
      </c>
      <c r="E2126" s="4" t="inlineStr">
        <is>
          <t>6º PAV (PILOTIS) - COWORKING 1 E 2 + CIRC. 2 + HALL 2 + DML + VEST. MASC. + VEST. FEM</t>
        </is>
      </c>
      <c r="F2126" s="118" t="n">
        <v>47051</v>
      </c>
      <c r="G2126" s="118" t="n">
        <v>47057</v>
      </c>
      <c r="H2126" s="118" t="n">
        <v>46289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IF(E2126="","",IF(LEFT(E2126,7)="SUBSOLO",-1,IF(LEFT(E2126,6)="TÉRREO",0,IFERROR(VALUE(LEFT(E2126,FIND("º",SUBSTITUTE(E2126,"°","º"))-1)),""))))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30206000</v>
      </c>
      <c r="C2127" s="4" t="inlineStr">
        <is>
          <t>DISJUNTORES / MIOLOS</t>
        </is>
      </c>
      <c r="D2127" s="4" t="inlineStr">
        <is>
          <t>-</t>
        </is>
      </c>
      <c r="E2127" s="4" t="inlineStr">
        <is>
          <t>6º PAV (PILOTIS) - COWORKING 1 E 2 + CIRC. 2 + HALL 2 + DML + VEST. MASC. + VEST. FEM</t>
        </is>
      </c>
      <c r="F2127" s="118" t="n">
        <v>47051</v>
      </c>
      <c r="G2127" s="118" t="n">
        <v>47065</v>
      </c>
      <c r="H2127" s="118" t="n">
        <v>46289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IF(E2127="","",IF(LEFT(E2127,7)="SUBSOLO",-1,IF(LEFT(E2127,6)="TÉRREO",0,IFERROR(VALUE(LEFT(E2127,FIND("º",SUBSTITUTE(E2127,"°","º"))-1)),""))))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30205999</v>
      </c>
      <c r="C2128" s="4" t="inlineStr">
        <is>
          <t>COMUNICAÇÃO E ALARME</t>
        </is>
      </c>
      <c r="D2128" s="4" t="inlineStr">
        <is>
          <t>-</t>
        </is>
      </c>
      <c r="E2128" s="4" t="inlineStr">
        <is>
          <t>6º PAV (PILOTIS) - COWORKING 1 E 2 + CIRC. 2 + HALL 2 + DML + VEST. MASC. + VEST. FEM</t>
        </is>
      </c>
      <c r="F2128" s="118" t="n">
        <v>47051</v>
      </c>
      <c r="G2128" s="118" t="n">
        <v>47065</v>
      </c>
      <c r="H2128" s="118" t="n">
        <v>46289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IF(E2128="","",IF(LEFT(E2128,7)="SUBSOLO",-1,IF(LEFT(E2128,6)="TÉRREO",0,IFERROR(VALUE(LEFT(E2128,FIND("º",SUBSTITUTE(E2128,"°","º"))-1)),""))))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30205955</v>
      </c>
      <c r="C2129" s="4" t="inlineStr">
        <is>
          <t>PINTURA 1º DEMÃO</t>
        </is>
      </c>
      <c r="D2129" s="4" t="inlineStr">
        <is>
          <t>-</t>
        </is>
      </c>
      <c r="E2129" s="4" t="inlineStr">
        <is>
          <t>6º PAV (PILOTIS) - LOUNGE + SALÃO + COZINHA + GOURMET + ESPAÇO KIDS</t>
        </is>
      </c>
      <c r="F2129" s="118" t="n">
        <v>47051</v>
      </c>
      <c r="G2129" s="118" t="n">
        <v>47065</v>
      </c>
      <c r="H2129" s="118" t="n">
        <v>46289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IF(E2129="","",IF(LEFT(E2129,7)="SUBSOLO",-1,IF(LEFT(E2129,6)="TÉRREO",0,IFERROR(VALUE(LEFT(E2129,FIND("º",SUBSTITUTE(E2129,"°","º"))-1)),""))))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29981107</v>
      </c>
      <c r="C2130" s="4" t="inlineStr">
        <is>
          <t>FORRO</t>
        </is>
      </c>
      <c r="D2130" s="4" t="inlineStr">
        <is>
          <t>-</t>
        </is>
      </c>
      <c r="E2130" s="4" t="inlineStr">
        <is>
          <t>19º PAV.</t>
        </is>
      </c>
      <c r="F2130" s="118" t="n">
        <v>47051</v>
      </c>
      <c r="G2130" s="118" t="n">
        <v>47060</v>
      </c>
      <c r="H2130" s="118" t="n">
        <v>46289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IF(E2130="","",IF(LEFT(E2130,7)="SUBSOLO",-1,IF(LEFT(E2130,6)="TÉRREO",0,IFERROR(VALUE(LEFT(E2130,FIND("º",SUBSTITUTE(E2130,"°","º"))-1)),""))))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30205896</v>
      </c>
      <c r="C2131" s="4" t="inlineStr">
        <is>
          <t>REVESTIMENTO ACABAMENTO</t>
        </is>
      </c>
      <c r="D2131" s="4" t="inlineStr">
        <is>
          <t>-</t>
        </is>
      </c>
      <c r="E2131" s="4" t="inlineStr">
        <is>
          <t>6º PAV (PILOTIS) - PLAYGROUND + TERRAÇO DESCOBERTO + QUADRA DE RECREAÇÃO</t>
        </is>
      </c>
      <c r="F2131" s="118" t="n">
        <v>47053</v>
      </c>
      <c r="G2131" s="118" t="n">
        <v>47105</v>
      </c>
      <c r="H2131" s="118" t="n">
        <v>46289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IF(E2131="","",IF(LEFT(E2131,7)="SUBSOLO",-1,IF(LEFT(E2131,6)="TÉRREO",0,IFERROR(VALUE(LEFT(E2131,FIND("º",SUBSTITUTE(E2131,"°","º"))-1)),""))))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30206132</v>
      </c>
      <c r="C2132" s="4" t="inlineStr">
        <is>
          <t>CHECKLIST FINAL</t>
        </is>
      </c>
      <c r="D2132" s="4" t="inlineStr">
        <is>
          <t>-</t>
        </is>
      </c>
      <c r="E2132" s="4" t="inlineStr">
        <is>
          <t>6º PAV (PILOTIS) - ACADEMIA</t>
        </is>
      </c>
      <c r="F2132" s="118" t="n">
        <v>47057</v>
      </c>
      <c r="G2132" s="118" t="n">
        <v>47071</v>
      </c>
      <c r="H2132" s="118" t="n">
        <v>46289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IF(E2132="","",IF(LEFT(E2132,7)="SUBSOLO",-1,IF(LEFT(E2132,6)="TÉRREO",0,IFERROR(VALUE(LEFT(E2132,FIND("º",SUBSTITUTE(E2132,"°","º"))-1)),""))))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29981032</v>
      </c>
      <c r="C2133" s="4" t="inlineStr">
        <is>
          <t>LIMPEZA FINA</t>
        </is>
      </c>
      <c r="D2133" s="4" t="inlineStr">
        <is>
          <t>-</t>
        </is>
      </c>
      <c r="E2133" s="4" t="inlineStr">
        <is>
          <t>21º PAV.</t>
        </is>
      </c>
      <c r="F2133" s="118" t="n">
        <v>47057</v>
      </c>
      <c r="G2133" s="118" t="n">
        <v>47070</v>
      </c>
      <c r="H2133" s="118" t="n">
        <v>46289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IF(E2133="","",IF(LEFT(E2133,7)="SUBSOLO",-1,IF(LEFT(E2133,6)="TÉRREO",0,IFERROR(VALUE(LEFT(E2133,FIND("º",SUBSTITUTE(E2133,"°","º"))-1)),""))))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29980985</v>
      </c>
      <c r="C2134" s="4" t="inlineStr">
        <is>
          <t>PINTURA 3º DEMÃO</t>
        </is>
      </c>
      <c r="D2134" s="4" t="inlineStr">
        <is>
          <t>-</t>
        </is>
      </c>
      <c r="E2134" s="4" t="inlineStr">
        <is>
          <t>22º PAV.</t>
        </is>
      </c>
      <c r="F2134" s="118" t="n">
        <v>47057</v>
      </c>
      <c r="G2134" s="118" t="n">
        <v>47070</v>
      </c>
      <c r="H2134" s="118" t="n">
        <v>46289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IF(E2134="","",IF(LEFT(E2134,7)="SUBSOLO",-1,IF(LEFT(E2134,6)="TÉRREO",0,IFERROR(VALUE(LEFT(E2134,FIND("º",SUBSTITUTE(E2134,"°","º"))-1)),""))))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30171537</v>
      </c>
      <c r="C2135" s="4" t="inlineStr">
        <is>
          <t>PLACAS E IDEINTIFIC. VISUAIS</t>
        </is>
      </c>
      <c r="D2135" s="4" t="inlineStr">
        <is>
          <t>-</t>
        </is>
      </c>
      <c r="E2135" s="4" t="inlineStr">
        <is>
          <t>HALL - GARAGENS</t>
        </is>
      </c>
      <c r="F2135" s="118" t="n">
        <v>47058</v>
      </c>
      <c r="G2135" s="118" t="n">
        <v>47073</v>
      </c>
      <c r="H2135" s="118" t="n">
        <v>46289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IF(E2135="","",IF(LEFT(E2135,7)="SUBSOLO",-1,IF(LEFT(E2135,6)="TÉRREO",0,IFERROR(VALUE(LEFT(E2135,FIND("º",SUBSTITUTE(E2135,"°","º"))-1)),""))))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30171530</v>
      </c>
      <c r="C2136" s="4" t="inlineStr">
        <is>
          <t>INSTALAÇÃO DE LUMINÁRIAS</t>
        </is>
      </c>
      <c r="D2136" s="4" t="inlineStr">
        <is>
          <t>-</t>
        </is>
      </c>
      <c r="E2136" s="4" t="inlineStr">
        <is>
          <t>HALL - GARAGENS</t>
        </is>
      </c>
      <c r="F2136" s="118" t="n">
        <v>47058</v>
      </c>
      <c r="G2136" s="118" t="n">
        <v>47065</v>
      </c>
      <c r="H2136" s="118" t="n">
        <v>46289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IF(E2136="","",IF(LEFT(E2136,7)="SUBSOLO",-1,IF(LEFT(E2136,6)="TÉRREO",0,IFERROR(VALUE(LEFT(E2136,FIND("º",SUBSTITUTE(E2136,"°","º"))-1)),""))))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30171536</v>
      </c>
      <c r="C2137" s="4" t="inlineStr">
        <is>
          <t>INSTALAÇÃO DE PCF (FOLHA)</t>
        </is>
      </c>
      <c r="D2137" s="4" t="inlineStr">
        <is>
          <t>-</t>
        </is>
      </c>
      <c r="E2137" s="4" t="inlineStr">
        <is>
          <t>HALL - GARAGENS</t>
        </is>
      </c>
      <c r="F2137" s="118" t="n">
        <v>47058</v>
      </c>
      <c r="G2137" s="118" t="n">
        <v>47073</v>
      </c>
      <c r="H2137" s="118" t="n">
        <v>46289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IF(E2137="","",IF(LEFT(E2137,7)="SUBSOLO",-1,IF(LEFT(E2137,6)="TÉRREO",0,IFERROR(VALUE(LEFT(E2137,FIND("º",SUBSTITUTE(E2137,"°","º"))-1)),""))))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30171538</v>
      </c>
      <c r="C2138" s="4" t="inlineStr">
        <is>
          <t>MARCENARIA - SHAFTS</t>
        </is>
      </c>
      <c r="D2138" s="4" t="inlineStr">
        <is>
          <t>-</t>
        </is>
      </c>
      <c r="E2138" s="4" t="inlineStr">
        <is>
          <t>HALL - GARAGENS</t>
        </is>
      </c>
      <c r="F2138" s="118" t="n">
        <v>47058</v>
      </c>
      <c r="G2138" s="118" t="n">
        <v>47073</v>
      </c>
      <c r="H2138" s="118" t="n">
        <v>46289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IF(E2138="","",IF(LEFT(E2138,7)="SUBSOLO",-1,IF(LEFT(E2138,6)="TÉRREO",0,IFERROR(VALUE(LEFT(E2138,FIND("º",SUBSTITUTE(E2138,"°","º"))-1)),""))))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30206077</v>
      </c>
      <c r="C2139" s="4" t="inlineStr">
        <is>
          <t>PINTURA 2º DEMÃO</t>
        </is>
      </c>
      <c r="D2139" s="4" t="inlineStr">
        <is>
          <t>-</t>
        </is>
      </c>
      <c r="E2139" s="4" t="inlineStr">
        <is>
          <t>6º PAV (PILOTIS) - SAUNA + DUCHA</t>
        </is>
      </c>
      <c r="F2139" s="118" t="n">
        <v>47058</v>
      </c>
      <c r="G2139" s="118" t="n">
        <v>47073</v>
      </c>
      <c r="H2139" s="118" t="n">
        <v>46289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IF(E2139="","",IF(LEFT(E2139,7)="SUBSOLO",-1,IF(LEFT(E2139,6)="TÉRREO",0,IFERROR(VALUE(LEFT(E2139,FIND("º",SUBSTITUTE(E2139,"°","º"))-1)),""))))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30208711</v>
      </c>
      <c r="C2140" s="4" t="inlineStr">
        <is>
          <t>INSTALAÇÃO DE LUMINÁRIAS</t>
        </is>
      </c>
      <c r="D2140" s="4" t="inlineStr">
        <is>
          <t>-</t>
        </is>
      </c>
      <c r="E2140" s="4" t="inlineStr">
        <is>
          <t>6º PAV (PILOTIS) - COWORKING 1 E 2 + CIRC. 2 + HALL 2 + DML + VEST. MASC. + VEST. FEM</t>
        </is>
      </c>
      <c r="F2140" s="118" t="n">
        <v>47058</v>
      </c>
      <c r="G2140" s="118" t="n">
        <v>47065</v>
      </c>
      <c r="H2140" s="118" t="n">
        <v>46289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IF(E2140="","",IF(LEFT(E2140,7)="SUBSOLO",-1,IF(LEFT(E2140,6)="TÉRREO",0,IFERROR(VALUE(LEFT(E2140,FIND("º",SUBSTITUTE(E2140,"°","º"))-1)),""))))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33898100</v>
      </c>
      <c r="C2141" s="4" t="inlineStr">
        <is>
          <t>ESQUADRIA DE ALUMÍNIO</t>
        </is>
      </c>
      <c r="D2141" s="4" t="inlineStr">
        <is>
          <t>-</t>
        </is>
      </c>
      <c r="E2141" s="4" t="inlineStr">
        <is>
          <t>19º PAV.</t>
        </is>
      </c>
      <c r="F2141" s="118" t="n">
        <v>47063</v>
      </c>
      <c r="G2141" s="118" t="n">
        <v>47074</v>
      </c>
      <c r="H2141" s="118" t="n">
        <v>46289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IF(E2141="","",IF(LEFT(E2141,7)="SUBSOLO",-1,IF(LEFT(E2141,6)="TÉRREO",0,IFERROR(VALUE(LEFT(E2141,FIND("º",SUBSTITUTE(E2141,"°","º"))-1)),""))))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29980947</v>
      </c>
      <c r="C2142" s="4" t="inlineStr">
        <is>
          <t>CHECKLIST</t>
        </is>
      </c>
      <c r="D2142" s="4" t="inlineStr">
        <is>
          <t>-</t>
        </is>
      </c>
      <c r="E2142" s="4" t="inlineStr">
        <is>
          <t>23º PAV.</t>
        </is>
      </c>
      <c r="F2142" s="118" t="n">
        <v>47064</v>
      </c>
      <c r="G2142" s="118" t="n">
        <v>47070</v>
      </c>
      <c r="H2142" s="118" t="n">
        <v>46289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IF(E2142="","",IF(LEFT(E2142,7)="SUBSOLO",-1,IF(LEFT(E2142,6)="TÉRREO",0,IFERROR(VALUE(LEFT(E2142,FIND("º",SUBSTITUTE(E2142,"°","º"))-1)),""))))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29980912</v>
      </c>
      <c r="C2143" s="4" t="inlineStr">
        <is>
          <t>ACABAMENTOS ELÉTRICOS</t>
        </is>
      </c>
      <c r="D2143" s="4" t="inlineStr">
        <is>
          <t>-</t>
        </is>
      </c>
      <c r="E2143" s="4" t="inlineStr">
        <is>
          <t>24º PAV.</t>
        </is>
      </c>
      <c r="F2143" s="118" t="n">
        <v>47064</v>
      </c>
      <c r="G2143" s="118" t="n">
        <v>47078</v>
      </c>
      <c r="H2143" s="118" t="n">
        <v>46289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IF(E2143="","",IF(LEFT(E2143,7)="SUBSOLO",-1,IF(LEFT(E2143,6)="TÉRREO",0,IFERROR(VALUE(LEFT(E2143,FIND("º",SUBSTITUTE(E2143,"°","º"))-1)),""))))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29980872</v>
      </c>
      <c r="C2144" s="4" t="inlineStr">
        <is>
          <t>PINTURA 2º DEMÃO</t>
        </is>
      </c>
      <c r="D2144" s="4" t="inlineStr">
        <is>
          <t>-</t>
        </is>
      </c>
      <c r="E2144" s="4" t="inlineStr">
        <is>
          <t>25º PAV.</t>
        </is>
      </c>
      <c r="F2144" s="118" t="n">
        <v>47064</v>
      </c>
      <c r="G2144" s="118" t="n">
        <v>47078</v>
      </c>
      <c r="H2144" s="118" t="n">
        <v>46289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IF(E2144="","",IF(LEFT(E2144,7)="SUBSOLO",-1,IF(LEFT(E2144,6)="TÉRREO",0,IFERROR(VALUE(LEFT(E2144,FIND("º",SUBSTITUTE(E2144,"°","º"))-1)),""))))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33919802</v>
      </c>
      <c r="C2145" s="4" t="inlineStr">
        <is>
          <t>TEXTURA - EXTERNA</t>
        </is>
      </c>
      <c r="D2145" s="4" t="inlineStr">
        <is>
          <t>-</t>
        </is>
      </c>
      <c r="E2145" s="4" t="inlineStr">
        <is>
          <t>25º PAV.</t>
        </is>
      </c>
      <c r="F2145" s="118" t="n">
        <v>47064</v>
      </c>
      <c r="G2145" s="118" t="n">
        <v>47078</v>
      </c>
      <c r="H2145" s="118" t="n">
        <v>46289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IF(E2145="","",IF(LEFT(E2145,7)="SUBSOLO",-1,IF(LEFT(E2145,6)="TÉRREO",0,IFERROR(VALUE(LEFT(E2145,FIND("º",SUBSTITUTE(E2145,"°","º"))-1)),""))))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29980834</v>
      </c>
      <c r="C2146" s="4" t="inlineStr">
        <is>
          <t>LIMPEZA GROSSA</t>
        </is>
      </c>
      <c r="D2146" s="4" t="inlineStr">
        <is>
          <t>-</t>
        </is>
      </c>
      <c r="E2146" s="4" t="inlineStr">
        <is>
          <t>26º PAV.</t>
        </is>
      </c>
      <c r="F2146" s="118" t="n">
        <v>47064</v>
      </c>
      <c r="G2146" s="118" t="n">
        <v>47078</v>
      </c>
      <c r="H2146" s="118" t="n">
        <v>46289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IF(E2146="","",IF(LEFT(E2146,7)="SUBSOLO",-1,IF(LEFT(E2146,6)="TÉRREO",0,IFERROR(VALUE(LEFT(E2146,FIND("º",SUBSTITUTE(E2146,"°","º"))-1)),""))))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29980791</v>
      </c>
      <c r="C2147" s="4" t="inlineStr">
        <is>
          <t>LOUÇAS</t>
        </is>
      </c>
      <c r="D2147" s="4" t="inlineStr">
        <is>
          <t>-</t>
        </is>
      </c>
      <c r="E2147" s="4" t="inlineStr">
        <is>
          <t>27º PAV.</t>
        </is>
      </c>
      <c r="F2147" s="118" t="n">
        <v>47064</v>
      </c>
      <c r="G2147" s="118" t="n">
        <v>47078</v>
      </c>
      <c r="H2147" s="118" t="n">
        <v>46289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IF(E2147="","",IF(LEFT(E2147,7)="SUBSOLO",-1,IF(LEFT(E2147,6)="TÉRREO",0,IFERROR(VALUE(LEFT(E2147,FIND("º",SUBSTITUTE(E2147,"°","º"))-1)),""))))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29980796</v>
      </c>
      <c r="C2148" s="4" t="inlineStr">
        <is>
          <t>METAIS</t>
        </is>
      </c>
      <c r="D2148" s="4" t="inlineStr">
        <is>
          <t>-</t>
        </is>
      </c>
      <c r="E2148" s="4" t="inlineStr">
        <is>
          <t>27º PAV.</t>
        </is>
      </c>
      <c r="F2148" s="118" t="n">
        <v>47064</v>
      </c>
      <c r="G2148" s="118" t="n">
        <v>47078</v>
      </c>
      <c r="H2148" s="118" t="n">
        <v>46289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IF(E2148="","",IF(LEFT(E2148,7)="SUBSOLO",-1,IF(LEFT(E2148,6)="TÉRREO",0,IFERROR(VALUE(LEFT(E2148,FIND("º",SUBSTITUTE(E2148,"°","º"))-1)),""))))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29980795</v>
      </c>
      <c r="C2149" s="4" t="inlineStr">
        <is>
          <t>DISJUNTORES / MIOLOS</t>
        </is>
      </c>
      <c r="D2149" s="4" t="inlineStr">
        <is>
          <t>-</t>
        </is>
      </c>
      <c r="E2149" s="4" t="inlineStr">
        <is>
          <t>27º PAV.</t>
        </is>
      </c>
      <c r="F2149" s="118" t="n">
        <v>47064</v>
      </c>
      <c r="G2149" s="118" t="n">
        <v>47078</v>
      </c>
      <c r="H2149" s="118" t="n">
        <v>46289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IF(E2149="","",IF(LEFT(E2149,7)="SUBSOLO",-1,IF(LEFT(E2149,6)="TÉRREO",0,IFERROR(VALUE(LEFT(E2149,FIND("º",SUBSTITUTE(E2149,"°","º"))-1)),""))))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29980794</v>
      </c>
      <c r="C2150" s="4" t="inlineStr">
        <is>
          <t>COMUNICAÇÃO E ALARME</t>
        </is>
      </c>
      <c r="D2150" s="4" t="inlineStr">
        <is>
          <t>-</t>
        </is>
      </c>
      <c r="E2150" s="4" t="inlineStr">
        <is>
          <t>27º PAV.</t>
        </is>
      </c>
      <c r="F2150" s="118" t="n">
        <v>47064</v>
      </c>
      <c r="G2150" s="118" t="n">
        <v>47078</v>
      </c>
      <c r="H2150" s="118" t="n">
        <v>46289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IF(E2150="","",IF(LEFT(E2150,7)="SUBSOLO",-1,IF(LEFT(E2150,6)="TÉRREO",0,IFERROR(VALUE(LEFT(E2150,FIND("º",SUBSTITUTE(E2150,"°","º"))-1)),""))))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29980753</v>
      </c>
      <c r="C2151" s="4" t="inlineStr">
        <is>
          <t>RODAPÉ MADEIRA / PVC</t>
        </is>
      </c>
      <c r="D2151" s="4" t="inlineStr">
        <is>
          <t>-</t>
        </is>
      </c>
      <c r="E2151" s="4" t="inlineStr">
        <is>
          <t>28º PAV.</t>
        </is>
      </c>
      <c r="F2151" s="118" t="n">
        <v>47064</v>
      </c>
      <c r="G2151" s="118" t="n">
        <v>47078</v>
      </c>
      <c r="H2151" s="118" t="n">
        <v>46289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IF(E2151="","",IF(LEFT(E2151,7)="SUBSOLO",-1,IF(LEFT(E2151,6)="TÉRREO",0,IFERROR(VALUE(LEFT(E2151,FIND("º",SUBSTITUTE(E2151,"°","º"))-1)),""))))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29980715</v>
      </c>
      <c r="C2152" s="4" t="inlineStr">
        <is>
          <t>ESQUADRIA MADEIRA</t>
        </is>
      </c>
      <c r="D2152" s="4" t="inlineStr">
        <is>
          <t>-</t>
        </is>
      </c>
      <c r="E2152" s="4" t="inlineStr">
        <is>
          <t>29º PAV.</t>
        </is>
      </c>
      <c r="F2152" s="118" t="n">
        <v>47064</v>
      </c>
      <c r="G2152" s="118" t="n">
        <v>47078</v>
      </c>
      <c r="H2152" s="118" t="n">
        <v>46289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IF(E2152="","",IF(LEFT(E2152,7)="SUBSOLO",-1,IF(LEFT(E2152,6)="TÉRREO",0,IFERROR(VALUE(LEFT(E2152,FIND("º",SUBSTITUTE(E2152,"°","º"))-1)),""))))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29980677</v>
      </c>
      <c r="C2153" s="4" t="inlineStr">
        <is>
          <t>PISO VINÍLICO / LAMINADO</t>
        </is>
      </c>
      <c r="D2153" s="4" t="inlineStr">
        <is>
          <t>-</t>
        </is>
      </c>
      <c r="E2153" s="4" t="inlineStr">
        <is>
          <t>30º PAV.</t>
        </is>
      </c>
      <c r="F2153" s="118" t="n">
        <v>47064</v>
      </c>
      <c r="G2153" s="118" t="n">
        <v>47078</v>
      </c>
      <c r="H2153" s="118" t="n">
        <v>46289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IF(E2153="","",IF(LEFT(E2153,7)="SUBSOLO",-1,IF(LEFT(E2153,6)="TÉRREO",0,IFERROR(VALUE(LEFT(E2153,FIND("º",SUBSTITUTE(E2153,"°","º"))-1)),""))))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29980639</v>
      </c>
      <c r="C2154" s="4" t="inlineStr">
        <is>
          <t>PINTURA 1º DEMÃO</t>
        </is>
      </c>
      <c r="D2154" s="4" t="inlineStr">
        <is>
          <t>-</t>
        </is>
      </c>
      <c r="E2154" s="4" t="inlineStr">
        <is>
          <t>31º PAV. - COBERTURA LINEAR</t>
        </is>
      </c>
      <c r="F2154" s="118" t="n">
        <v>47064</v>
      </c>
      <c r="G2154" s="118" t="n">
        <v>47078</v>
      </c>
      <c r="H2154" s="118" t="n">
        <v>46289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IF(E2154="","",IF(LEFT(E2154,7)="SUBSOLO",-1,IF(LEFT(E2154,6)="TÉRREO",0,IFERROR(VALUE(LEFT(E2154,FIND("º",SUBSTITUTE(E2154,"°","º"))-1)),""))))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29980628</v>
      </c>
      <c r="C2155" s="4" t="inlineStr">
        <is>
          <t>MASSA CORRIDA</t>
        </is>
      </c>
      <c r="D2155" s="4" t="inlineStr">
        <is>
          <t>-</t>
        </is>
      </c>
      <c r="E2155" s="4" t="inlineStr">
        <is>
          <t>32º PAV - COBERTURA GERAL</t>
        </is>
      </c>
      <c r="F2155" s="118" t="n">
        <v>47064</v>
      </c>
      <c r="G2155" s="118" t="n">
        <v>47078</v>
      </c>
      <c r="H2155" s="118" t="n">
        <v>46289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IF(E2155="","",IF(LEFT(E2155,7)="SUBSOLO",-1,IF(LEFT(E2155,6)="TÉRREO",0,IFERROR(VALUE(LEFT(E2155,FIND("º",SUBSTITUTE(E2155,"°","º"))-1)),""))))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30171658</v>
      </c>
      <c r="C2156" s="4" t="inlineStr">
        <is>
          <t>PLACAS E IDEINTIFIC. VISUAIS</t>
        </is>
      </c>
      <c r="D2156" s="4" t="inlineStr">
        <is>
          <t>-</t>
        </is>
      </c>
      <c r="E2156" s="4" t="inlineStr">
        <is>
          <t>CX DE ESCADA DE INCÊND.</t>
        </is>
      </c>
      <c r="F2156" s="118" t="n">
        <v>47065</v>
      </c>
      <c r="G2156" s="118" t="n">
        <v>47094</v>
      </c>
      <c r="H2156" s="118" t="n">
        <v>46289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IF(E2156="","",IF(LEFT(E2156,7)="SUBSOLO",-1,IF(LEFT(E2156,6)="TÉRREO",0,IFERROR(VALUE(LEFT(E2156,FIND("º",SUBSTITUTE(E2156,"°","º"))-1)),""))))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30171655</v>
      </c>
      <c r="C2157" s="4" t="inlineStr">
        <is>
          <t>INSTALAÇÃO DE LUMINÁRIAS</t>
        </is>
      </c>
      <c r="D2157" s="4" t="inlineStr">
        <is>
          <t>-</t>
        </is>
      </c>
      <c r="E2157" s="4" t="inlineStr">
        <is>
          <t>CX DE ESCADA DE INCÊND.</t>
        </is>
      </c>
      <c r="F2157" s="118" t="n">
        <v>47065</v>
      </c>
      <c r="G2157" s="118" t="n">
        <v>47094</v>
      </c>
      <c r="H2157" s="118" t="n">
        <v>46289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IF(E2157="","",IF(LEFT(E2157,7)="SUBSOLO",-1,IF(LEFT(E2157,6)="TÉRREO",0,IFERROR(VALUE(LEFT(E2157,FIND("º",SUBSTITUTE(E2157,"°","º"))-1)),""))))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30205996</v>
      </c>
      <c r="C2158" s="4" t="inlineStr">
        <is>
          <t>LOUÇAS</t>
        </is>
      </c>
      <c r="D2158" s="4" t="inlineStr">
        <is>
          <t>-</t>
        </is>
      </c>
      <c r="E2158" s="4" t="inlineStr">
        <is>
          <t>6º PAV (PILOTIS) - COWORKING 1 E 2 + CIRC. 2 + HALL 2 + DML + VEST. MASC. + VEST. FEM</t>
        </is>
      </c>
      <c r="F2158" s="118" t="n">
        <v>47066</v>
      </c>
      <c r="G2158" s="118" t="n">
        <v>47073</v>
      </c>
      <c r="H2158" s="118" t="n">
        <v>46289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IF(E2158="","",IF(LEFT(E2158,7)="SUBSOLO",-1,IF(LEFT(E2158,6)="TÉRREO",0,IFERROR(VALUE(LEFT(E2158,FIND("º",SUBSTITUTE(E2158,"°","º"))-1)),""))))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30206001</v>
      </c>
      <c r="C2159" s="4" t="inlineStr">
        <is>
          <t>METAIS</t>
        </is>
      </c>
      <c r="D2159" s="4" t="inlineStr">
        <is>
          <t>-</t>
        </is>
      </c>
      <c r="E2159" s="4" t="inlineStr">
        <is>
          <t>6º PAV (PILOTIS) - COWORKING 1 E 2 + CIRC. 2 + HALL 2 + DML + VEST. MASC. + VEST. FEM</t>
        </is>
      </c>
      <c r="F2159" s="118" t="n">
        <v>47066</v>
      </c>
      <c r="G2159" s="118" t="n">
        <v>47073</v>
      </c>
      <c r="H2159" s="118" t="n">
        <v>46289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IF(E2159="","",IF(LEFT(E2159,7)="SUBSOLO",-1,IF(LEFT(E2159,6)="TÉRREO",0,IFERROR(VALUE(LEFT(E2159,FIND("º",SUBSTITUTE(E2159,"°","º"))-1)),""))))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30205957</v>
      </c>
      <c r="C2160" s="4" t="inlineStr">
        <is>
          <t>ESQUADRIA MADEIRA</t>
        </is>
      </c>
      <c r="D2160" s="4" t="inlineStr">
        <is>
          <t>-</t>
        </is>
      </c>
      <c r="E2160" s="4" t="inlineStr">
        <is>
          <t>6º PAV (PILOTIS) - LOUNGE + SALÃO + COZINHA + GOURMET + ESPAÇO KIDS</t>
        </is>
      </c>
      <c r="F2160" s="118" t="n">
        <v>47066</v>
      </c>
      <c r="G2160" s="118" t="n">
        <v>47073</v>
      </c>
      <c r="H2160" s="118" t="n">
        <v>46289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IF(E2160="","",IF(LEFT(E2160,7)="SUBSOLO",-1,IF(LEFT(E2160,6)="TÉRREO",0,IFERROR(VALUE(LEFT(E2160,FIND("º",SUBSTITUTE(E2160,"°","º"))-1)),""))))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30205963</v>
      </c>
      <c r="C2161" s="4" t="inlineStr">
        <is>
          <t>DISJUNTORES / MIOLOS</t>
        </is>
      </c>
      <c r="D2161" s="4" t="inlineStr">
        <is>
          <t>-</t>
        </is>
      </c>
      <c r="E2161" s="4" t="inlineStr">
        <is>
          <t>6º PAV (PILOTIS) - LOUNGE + SALÃO + COZINHA + GOURMET + ESPAÇO KIDS</t>
        </is>
      </c>
      <c r="F2161" s="118" t="n">
        <v>47066</v>
      </c>
      <c r="G2161" s="118" t="n">
        <v>47081</v>
      </c>
      <c r="H2161" s="118" t="n">
        <v>46289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IF(E2161="","",IF(LEFT(E2161,7)="SUBSOLO",-1,IF(LEFT(E2161,6)="TÉRREO",0,IFERROR(VALUE(LEFT(E2161,FIND("º",SUBSTITUTE(E2161,"°","º"))-1)),""))))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30205962</v>
      </c>
      <c r="C2162" s="4" t="inlineStr">
        <is>
          <t>COMUNICAÇÃO E ALARME</t>
        </is>
      </c>
      <c r="D2162" s="4" t="inlineStr">
        <is>
          <t>-</t>
        </is>
      </c>
      <c r="E2162" s="4" t="inlineStr">
        <is>
          <t>6º PAV (PILOTIS) - LOUNGE + SALÃO + COZINHA + GOURMET + ESPAÇO KIDS</t>
        </is>
      </c>
      <c r="F2162" s="118" t="n">
        <v>47066</v>
      </c>
      <c r="G2162" s="118" t="n">
        <v>47081</v>
      </c>
      <c r="H2162" s="118" t="n">
        <v>46289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IF(E2162="","",IF(LEFT(E2162,7)="SUBSOLO",-1,IF(LEFT(E2162,6)="TÉRREO",0,IFERROR(VALUE(LEFT(E2162,FIND("º",SUBSTITUTE(E2162,"°","º"))-1)),""))))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30171433</v>
      </c>
      <c r="C2163" s="4" t="inlineStr">
        <is>
          <t>PINTURA DE TUBULAÇÕES (PAREDE E TETO)</t>
        </is>
      </c>
      <c r="D2163" s="4" t="inlineStr">
        <is>
          <t>-</t>
        </is>
      </c>
      <c r="E2163" s="4" t="inlineStr">
        <is>
          <t>4º PAV - GARAGEM</t>
        </is>
      </c>
      <c r="F2163" s="118" t="n">
        <v>47070</v>
      </c>
      <c r="G2163" s="118" t="n">
        <v>47092</v>
      </c>
      <c r="H2163" s="118" t="n">
        <v>46289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IF(E2163="","",IF(LEFT(E2163,7)="SUBSOLO",-1,IF(LEFT(E2163,6)="TÉRREO",0,IFERROR(VALUE(LEFT(E2163,FIND("º",SUBSTITUTE(E2163,"°","º"))-1)),""))))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30171385</v>
      </c>
      <c r="C2164" s="4" t="inlineStr">
        <is>
          <t>POLIMENTO DE PISO</t>
        </is>
      </c>
      <c r="D2164" s="4" t="inlineStr">
        <is>
          <t>-</t>
        </is>
      </c>
      <c r="E2164" s="4" t="inlineStr">
        <is>
          <t>5º PAV - GARAGEM</t>
        </is>
      </c>
      <c r="F2164" s="118" t="n">
        <v>47070</v>
      </c>
      <c r="G2164" s="118" t="n">
        <v>47102</v>
      </c>
      <c r="H2164" s="118" t="n">
        <v>46289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IF(E2164="","",IF(LEFT(E2164,7)="SUBSOLO",-1,IF(LEFT(E2164,6)="TÉRREO",0,IFERROR(VALUE(LEFT(E2164,FIND("º",SUBSTITUTE(E2164,"°","º"))-1)),""))))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30171479</v>
      </c>
      <c r="C2165" s="4" t="inlineStr">
        <is>
          <t>TEXTURA - 2º E 3º DEMÃO</t>
        </is>
      </c>
      <c r="D2165" s="4" t="inlineStr">
        <is>
          <t>-</t>
        </is>
      </c>
      <c r="E2165" s="4" t="inlineStr">
        <is>
          <t>2º PAV - GARAGEM</t>
        </is>
      </c>
      <c r="F2165" s="118" t="n">
        <v>47071</v>
      </c>
      <c r="G2165" s="118" t="n">
        <v>47086</v>
      </c>
      <c r="H2165" s="118" t="n">
        <v>46289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IF(E2165="","",IF(LEFT(E2165,7)="SUBSOLO",-1,IF(LEFT(E2165,6)="TÉRREO",0,IFERROR(VALUE(LEFT(E2165,FIND("º",SUBSTITUTE(E2165,"°","º"))-1)),""))))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29980995</v>
      </c>
      <c r="C2166" s="4" t="inlineStr">
        <is>
          <t>LIMPEZA FINA</t>
        </is>
      </c>
      <c r="D2166" s="4" t="inlineStr">
        <is>
          <t>-</t>
        </is>
      </c>
      <c r="E2166" s="4" t="inlineStr">
        <is>
          <t>22º PAV.</t>
        </is>
      </c>
      <c r="F2166" s="118" t="n">
        <v>47071</v>
      </c>
      <c r="G2166" s="118" t="n">
        <v>47085</v>
      </c>
      <c r="H2166" s="118" t="n">
        <v>46289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IF(E2166="","",IF(LEFT(E2166,7)="SUBSOLO",-1,IF(LEFT(E2166,6)="TÉRREO",0,IFERROR(VALUE(LEFT(E2166,FIND("º",SUBSTITUTE(E2166,"°","º"))-1)),""))))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29980948</v>
      </c>
      <c r="C2167" s="4" t="inlineStr">
        <is>
          <t>PINTURA 3º DEMÃO</t>
        </is>
      </c>
      <c r="D2167" s="4" t="inlineStr">
        <is>
          <t>-</t>
        </is>
      </c>
      <c r="E2167" s="4" t="inlineStr">
        <is>
          <t>23º PAV.</t>
        </is>
      </c>
      <c r="F2167" s="118" t="n">
        <v>47071</v>
      </c>
      <c r="G2167" s="118" t="n">
        <v>47085</v>
      </c>
      <c r="H2167" s="118" t="n">
        <v>46289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IF(E2167="","",IF(LEFT(E2167,7)="SUBSOLO",-1,IF(LEFT(E2167,6)="TÉRREO",0,IFERROR(VALUE(LEFT(E2167,FIND("º",SUBSTITUTE(E2167,"°","º"))-1)),""))))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33807018</v>
      </c>
      <c r="C2168" s="4" t="inlineStr">
        <is>
          <t>ENXOVAL</t>
        </is>
      </c>
      <c r="D2168" s="4" t="inlineStr">
        <is>
          <t>-</t>
        </is>
      </c>
      <c r="E2168" s="4" t="inlineStr">
        <is>
          <t>TÉRREO - GERAL</t>
        </is>
      </c>
      <c r="F2168" s="118" t="n">
        <v>47074</v>
      </c>
      <c r="G2168" s="118" t="n">
        <v>47210</v>
      </c>
      <c r="H2168" s="118" t="n">
        <v>46289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IF(E2168="","",IF(LEFT(E2168,7)="SUBSOLO",-1,IF(LEFT(E2168,6)="TÉRREO",0,IFERROR(VALUE(LEFT(E2168,FIND("º",SUBSTITUTE(E2168,"°","º"))-1)),""))))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30171539</v>
      </c>
      <c r="C2169" s="4" t="inlineStr">
        <is>
          <t>PINTURA 2º DEMÃO</t>
        </is>
      </c>
      <c r="D2169" s="4" t="inlineStr">
        <is>
          <t>-</t>
        </is>
      </c>
      <c r="E2169" s="4" t="inlineStr">
        <is>
          <t>HALL - GARAGENS</t>
        </is>
      </c>
      <c r="F2169" s="118" t="n">
        <v>47074</v>
      </c>
      <c r="G2169" s="118" t="n">
        <v>47107</v>
      </c>
      <c r="H2169" s="118" t="n">
        <v>46289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IF(E2169="","",IF(LEFT(E2169,7)="SUBSOLO",-1,IF(LEFT(E2169,6)="TÉRREO",0,IFERROR(VALUE(LEFT(E2169,FIND("º",SUBSTITUTE(E2169,"°","º"))-1)),""))))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30206080</v>
      </c>
      <c r="C2170" s="4" t="inlineStr">
        <is>
          <t>ACABAMENTOS ELÉTRICOS</t>
        </is>
      </c>
      <c r="D2170" s="4" t="inlineStr">
        <is>
          <t>-</t>
        </is>
      </c>
      <c r="E2170" s="4" t="inlineStr">
        <is>
          <t>6º PAV (PILOTIS) - SAUNA + DUCHA</t>
        </is>
      </c>
      <c r="F2170" s="118" t="n">
        <v>47074</v>
      </c>
      <c r="G2170" s="118" t="n">
        <v>47080</v>
      </c>
      <c r="H2170" s="118" t="n">
        <v>46289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IF(E2170="","",IF(LEFT(E2170,7)="SUBSOLO",-1,IF(LEFT(E2170,6)="TÉRREO",0,IFERROR(VALUE(LEFT(E2170,FIND("º",SUBSTITUTE(E2170,"°","º"))-1)),""))))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30206040</v>
      </c>
      <c r="C2171" s="4" t="inlineStr">
        <is>
          <t>PINTURA 2º DEMÃO</t>
        </is>
      </c>
      <c r="D2171" s="4" t="inlineStr">
        <is>
          <t>-</t>
        </is>
      </c>
      <c r="E2171" s="4" t="inlineStr">
        <is>
          <t>6º PAV (PILOTIS) - CHURRASQUEIRA + IS MASC. PCD + IS FEM. PCD + CIRCULAÇÃO 1 + HALL 1</t>
        </is>
      </c>
      <c r="F2171" s="118" t="n">
        <v>47074</v>
      </c>
      <c r="G2171" s="118" t="n">
        <v>47088</v>
      </c>
      <c r="H2171" s="118" t="n">
        <v>46289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IF(E2171="","",IF(LEFT(E2171,7)="SUBSOLO",-1,IF(LEFT(E2171,6)="TÉRREO",0,IFERROR(VALUE(LEFT(E2171,FIND("º",SUBSTITUTE(E2171,"°","º"))-1)),""))))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30206002</v>
      </c>
      <c r="C2172" s="4" t="inlineStr">
        <is>
          <t>LIMPEZA GROSSA</t>
        </is>
      </c>
      <c r="D2172" s="4" t="inlineStr">
        <is>
          <t>-</t>
        </is>
      </c>
      <c r="E2172" s="4" t="inlineStr">
        <is>
          <t>6º PAV (PILOTIS) - COWORKING 1 E 2 + CIRC. 2 + HALL 2 + DML + VEST. MASC. + VEST. FEM</t>
        </is>
      </c>
      <c r="F2172" s="118" t="n">
        <v>47074</v>
      </c>
      <c r="G2172" s="118" t="n">
        <v>47088</v>
      </c>
      <c r="H2172" s="118" t="n">
        <v>46289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IF(E2172="","",IF(LEFT(E2172,7)="SUBSOLO",-1,IF(LEFT(E2172,6)="TÉRREO",0,IFERROR(VALUE(LEFT(E2172,FIND("º",SUBSTITUTE(E2172,"°","º"))-1)),""))))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30209042</v>
      </c>
      <c r="C2173" s="4" t="inlineStr">
        <is>
          <t>INSTALAÇÃO DE LUMINÁRIAS</t>
        </is>
      </c>
      <c r="D2173" s="4" t="inlineStr">
        <is>
          <t>-</t>
        </is>
      </c>
      <c r="E2173" s="4" t="inlineStr">
        <is>
          <t>6º PAV (PILOTIS) - LOUNGE + SALÃO + COZINHA + GOURMET + ESPAÇO KIDS</t>
        </is>
      </c>
      <c r="F2173" s="118" t="n">
        <v>47074</v>
      </c>
      <c r="G2173" s="118" t="n">
        <v>47081</v>
      </c>
      <c r="H2173" s="118" t="n">
        <v>46289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IF(E2173="","",IF(LEFT(E2173,7)="SUBSOLO",-1,IF(LEFT(E2173,6)="TÉRREO",0,IFERROR(VALUE(LEFT(E2173,FIND("º",SUBSTITUTE(E2173,"°","º"))-1)),""))))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29981109</v>
      </c>
      <c r="C2174" s="4" t="inlineStr">
        <is>
          <t>MASSA CORRIDA</t>
        </is>
      </c>
      <c r="D2174" s="4" t="inlineStr">
        <is>
          <t>-</t>
        </is>
      </c>
      <c r="E2174" s="4" t="inlineStr">
        <is>
          <t>19º PAV.</t>
        </is>
      </c>
      <c r="F2174" s="118" t="n">
        <v>47078</v>
      </c>
      <c r="G2174" s="118" t="n">
        <v>47088</v>
      </c>
      <c r="H2174" s="118" t="n">
        <v>46289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IF(E2174="","",IF(LEFT(E2174,7)="SUBSOLO",-1,IF(LEFT(E2174,6)="TÉRREO",0,IFERROR(VALUE(LEFT(E2174,FIND("º",SUBSTITUTE(E2174,"°","º"))-1)),""))))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29980910</v>
      </c>
      <c r="C2175" s="4" t="inlineStr">
        <is>
          <t>CHECKLIST</t>
        </is>
      </c>
      <c r="D2175" s="4" t="inlineStr">
        <is>
          <t>-</t>
        </is>
      </c>
      <c r="E2175" s="4" t="inlineStr">
        <is>
          <t>24º PAV.</t>
        </is>
      </c>
      <c r="F2175" s="118" t="n">
        <v>47079</v>
      </c>
      <c r="G2175" s="118" t="n">
        <v>47085</v>
      </c>
      <c r="H2175" s="118" t="n">
        <v>46289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IF(E2175="","",IF(LEFT(E2175,7)="SUBSOLO",-1,IF(LEFT(E2175,6)="TÉRREO",0,IFERROR(VALUE(LEFT(E2175,FIND("º",SUBSTITUTE(E2175,"°","º"))-1)),""))))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29980875</v>
      </c>
      <c r="C2176" s="4" t="inlineStr">
        <is>
          <t>ACABAMENTOS ELÉTRICOS</t>
        </is>
      </c>
      <c r="D2176" s="4" t="inlineStr">
        <is>
          <t>-</t>
        </is>
      </c>
      <c r="E2176" s="4" t="inlineStr">
        <is>
          <t>25º PAV.</t>
        </is>
      </c>
      <c r="F2176" s="118" t="n">
        <v>47079</v>
      </c>
      <c r="G2176" s="118" t="n">
        <v>47091</v>
      </c>
      <c r="H2176" s="118" t="n">
        <v>46289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IF(E2176="","",IF(LEFT(E2176,7)="SUBSOLO",-1,IF(LEFT(E2176,6)="TÉRREO",0,IFERROR(VALUE(LEFT(E2176,FIND("º",SUBSTITUTE(E2176,"°","º"))-1)),""))))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29980835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26º PAV.</t>
        </is>
      </c>
      <c r="F2177" s="118" t="n">
        <v>47079</v>
      </c>
      <c r="G2177" s="118" t="n">
        <v>47091</v>
      </c>
      <c r="H2177" s="118" t="n">
        <v>46289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IF(E2177="","",IF(LEFT(E2177,7)="SUBSOLO",-1,IF(LEFT(E2177,6)="TÉRREO",0,IFERROR(VALUE(LEFT(E2177,FIND("º",SUBSTITUTE(E2177,"°","º"))-1)),""))))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33919803</v>
      </c>
      <c r="C2178" s="4" t="inlineStr">
        <is>
          <t>TEXTURA - EXTERNA</t>
        </is>
      </c>
      <c r="D2178" s="4" t="inlineStr">
        <is>
          <t>-</t>
        </is>
      </c>
      <c r="E2178" s="4" t="inlineStr">
        <is>
          <t>26º PAV.</t>
        </is>
      </c>
      <c r="F2178" s="118" t="n">
        <v>47079</v>
      </c>
      <c r="G2178" s="118" t="n">
        <v>47091</v>
      </c>
      <c r="H2178" s="118" t="n">
        <v>46289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IF(E2178="","",IF(LEFT(E2178,7)="SUBSOLO",-1,IF(LEFT(E2178,6)="TÉRREO",0,IFERROR(VALUE(LEFT(E2178,FIND("º",SUBSTITUTE(E2178,"°","º"))-1)),""))))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29980797</v>
      </c>
      <c r="C2179" s="4" t="inlineStr">
        <is>
          <t>LIMPEZA GROSSA</t>
        </is>
      </c>
      <c r="D2179" s="4" t="inlineStr">
        <is>
          <t>-</t>
        </is>
      </c>
      <c r="E2179" s="4" t="inlineStr">
        <is>
          <t>27º PAV.</t>
        </is>
      </c>
      <c r="F2179" s="118" t="n">
        <v>47079</v>
      </c>
      <c r="G2179" s="118" t="n">
        <v>47091</v>
      </c>
      <c r="H2179" s="118" t="n">
        <v>46289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IF(E2179="","",IF(LEFT(E2179,7)="SUBSOLO",-1,IF(LEFT(E2179,6)="TÉRREO",0,IFERROR(VALUE(LEFT(E2179,FIND("º",SUBSTITUTE(E2179,"°","º"))-1)),""))))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29980754</v>
      </c>
      <c r="C2180" s="4" t="inlineStr">
        <is>
          <t>LOUÇAS</t>
        </is>
      </c>
      <c r="D2180" s="4" t="inlineStr">
        <is>
          <t>-</t>
        </is>
      </c>
      <c r="E2180" s="4" t="inlineStr">
        <is>
          <t>28º PAV.</t>
        </is>
      </c>
      <c r="F2180" s="118" t="n">
        <v>47079</v>
      </c>
      <c r="G2180" s="118" t="n">
        <v>47091</v>
      </c>
      <c r="H2180" s="118" t="n">
        <v>46289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IF(E2180="","",IF(LEFT(E2180,7)="SUBSOLO",-1,IF(LEFT(E2180,6)="TÉRREO",0,IFERROR(VALUE(LEFT(E2180,FIND("º",SUBSTITUTE(E2180,"°","º"))-1)),""))))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29980759</v>
      </c>
      <c r="C2181" s="4" t="inlineStr">
        <is>
          <t>METAIS</t>
        </is>
      </c>
      <c r="D2181" s="4" t="inlineStr">
        <is>
          <t>-</t>
        </is>
      </c>
      <c r="E2181" s="4" t="inlineStr">
        <is>
          <t>28º PAV.</t>
        </is>
      </c>
      <c r="F2181" s="118" t="n">
        <v>47079</v>
      </c>
      <c r="G2181" s="118" t="n">
        <v>47091</v>
      </c>
      <c r="H2181" s="118" t="n">
        <v>46289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IF(E2181="","",IF(LEFT(E2181,7)="SUBSOLO",-1,IF(LEFT(E2181,6)="TÉRREO",0,IFERROR(VALUE(LEFT(E2181,FIND("º",SUBSTITUTE(E2181,"°","º"))-1)),""))))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29980758</v>
      </c>
      <c r="C2182" s="4" t="inlineStr">
        <is>
          <t>DISJUNTORES / MIOLOS</t>
        </is>
      </c>
      <c r="D2182" s="4" t="inlineStr">
        <is>
          <t>-</t>
        </is>
      </c>
      <c r="E2182" s="4" t="inlineStr">
        <is>
          <t>28º PAV.</t>
        </is>
      </c>
      <c r="F2182" s="118" t="n">
        <v>47079</v>
      </c>
      <c r="G2182" s="118" t="n">
        <v>47091</v>
      </c>
      <c r="H2182" s="118" t="n">
        <v>46289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IF(E2182="","",IF(LEFT(E2182,7)="SUBSOLO",-1,IF(LEFT(E2182,6)="TÉRREO",0,IFERROR(VALUE(LEFT(E2182,FIND("º",SUBSTITUTE(E2182,"°","º"))-1)),""))))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29980757</v>
      </c>
      <c r="C2183" s="4" t="inlineStr">
        <is>
          <t>COMUNICAÇÃO E ALARME</t>
        </is>
      </c>
      <c r="D2183" s="4" t="inlineStr">
        <is>
          <t>-</t>
        </is>
      </c>
      <c r="E2183" s="4" t="inlineStr">
        <is>
          <t>28º PAV.</t>
        </is>
      </c>
      <c r="F2183" s="118" t="n">
        <v>47079</v>
      </c>
      <c r="G2183" s="118" t="n">
        <v>47091</v>
      </c>
      <c r="H2183" s="118" t="n">
        <v>46289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IF(E2183="","",IF(LEFT(E2183,7)="SUBSOLO",-1,IF(LEFT(E2183,6)="TÉRREO",0,IFERROR(VALUE(LEFT(E2183,FIND("º",SUBSTITUTE(E2183,"°","º"))-1)),""))))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29980716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29º PAV.</t>
        </is>
      </c>
      <c r="F2184" s="118" t="n">
        <v>47079</v>
      </c>
      <c r="G2184" s="118" t="n">
        <v>47091</v>
      </c>
      <c r="H2184" s="118" t="n">
        <v>46289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IF(E2184="","",IF(LEFT(E2184,7)="SUBSOLO",-1,IF(LEFT(E2184,6)="TÉRREO",0,IFERROR(VALUE(LEFT(E2184,FIND("º",SUBSTITUTE(E2184,"°","º"))-1)),""))))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29980678</v>
      </c>
      <c r="C2185" s="4" t="inlineStr">
        <is>
          <t>ESQUADRIA MADEIRA</t>
        </is>
      </c>
      <c r="D2185" s="4" t="inlineStr">
        <is>
          <t>-</t>
        </is>
      </c>
      <c r="E2185" s="4" t="inlineStr">
        <is>
          <t>30º PAV.</t>
        </is>
      </c>
      <c r="F2185" s="118" t="n">
        <v>47079</v>
      </c>
      <c r="G2185" s="118" t="n">
        <v>47091</v>
      </c>
      <c r="H2185" s="118" t="n">
        <v>46289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IF(E2185="","",IF(LEFT(E2185,7)="SUBSOLO",-1,IF(LEFT(E2185,6)="TÉRREO",0,IFERROR(VALUE(LEFT(E2185,FIND("º",SUBSTITUTE(E2185,"°","º"))-1)),""))))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29980640</v>
      </c>
      <c r="C2186" s="4" t="inlineStr">
        <is>
          <t>PISO VINÍLICO / LAMINADO</t>
        </is>
      </c>
      <c r="D2186" s="4" t="inlineStr">
        <is>
          <t>-</t>
        </is>
      </c>
      <c r="E2186" s="4" t="inlineStr">
        <is>
          <t>31º PAV. - COBERTURA LINEAR</t>
        </is>
      </c>
      <c r="F2186" s="118" t="n">
        <v>47079</v>
      </c>
      <c r="G2186" s="118" t="n">
        <v>47091</v>
      </c>
      <c r="H2186" s="118" t="n">
        <v>46289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IF(E2186="","",IF(LEFT(E2186,7)="SUBSOLO",-1,IF(LEFT(E2186,6)="TÉRREO",0,IFERROR(VALUE(LEFT(E2186,FIND("º",SUBSTITUTE(E2186,"°","º"))-1)),""))))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29980602</v>
      </c>
      <c r="C2187" s="4" t="inlineStr">
        <is>
          <t>PINTURA 1º DEMÃO</t>
        </is>
      </c>
      <c r="D2187" s="4" t="inlineStr">
        <is>
          <t>-</t>
        </is>
      </c>
      <c r="E2187" s="4" t="inlineStr">
        <is>
          <t>32º PAV - COBERTURA GERAL</t>
        </is>
      </c>
      <c r="F2187" s="118" t="n">
        <v>47079</v>
      </c>
      <c r="G2187" s="118" t="n">
        <v>47091</v>
      </c>
      <c r="H2187" s="118" t="n">
        <v>46289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IF(E2187="","",IF(LEFT(E2187,7)="SUBSOLO",-1,IF(LEFT(E2187,6)="TÉRREO",0,IFERROR(VALUE(LEFT(E2187,FIND("º",SUBSTITUTE(E2187,"°","º"))-1)),""))))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30171447</v>
      </c>
      <c r="C2188" s="4" t="inlineStr">
        <is>
          <t>ACABAMENTOS ELÉTRICOS</t>
        </is>
      </c>
      <c r="D2188" s="4" t="inlineStr">
        <is>
          <t>-</t>
        </is>
      </c>
      <c r="E2188" s="4" t="inlineStr">
        <is>
          <t>3º PAV - GARAGEM</t>
        </is>
      </c>
      <c r="F2188" s="118" t="n">
        <v>47080</v>
      </c>
      <c r="G2188" s="118" t="n">
        <v>47093</v>
      </c>
      <c r="H2188" s="118" t="n">
        <v>46289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IF(E2188="","",IF(LEFT(E2188,7)="SUBSOLO",-1,IF(LEFT(E2188,6)="TÉRREO",0,IFERROR(VALUE(LEFT(E2188,FIND("º",SUBSTITUTE(E2188,"°","º"))-1)),""))))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30171446</v>
      </c>
      <c r="C2189" s="4" t="inlineStr">
        <is>
          <t>DEMARCAÇÃO DE VAGAS</t>
        </is>
      </c>
      <c r="D2189" s="4" t="inlineStr">
        <is>
          <t>-</t>
        </is>
      </c>
      <c r="E2189" s="4" t="inlineStr">
        <is>
          <t>3º PAV - GARAGEM</t>
        </is>
      </c>
      <c r="F2189" s="118" t="n">
        <v>47080</v>
      </c>
      <c r="G2189" s="118" t="n">
        <v>47108</v>
      </c>
      <c r="H2189" s="118" t="n">
        <v>46289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IF(E2189="","",IF(LEFT(E2189,7)="SUBSOLO",-1,IF(LEFT(E2189,6)="TÉRREO",0,IFERROR(VALUE(LEFT(E2189,FIND("º",SUBSTITUTE(E2189,"°","º"))-1)),""))))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30171458</v>
      </c>
      <c r="C2190" s="4" t="inlineStr">
        <is>
          <t>INSTALAÇÃO DE METAIS</t>
        </is>
      </c>
      <c r="D2190" s="4" t="inlineStr">
        <is>
          <t>-</t>
        </is>
      </c>
      <c r="E2190" s="4" t="inlineStr">
        <is>
          <t>3º PAV - GARAGEM</t>
        </is>
      </c>
      <c r="F2190" s="118" t="n">
        <v>47080</v>
      </c>
      <c r="G2190" s="118" t="n">
        <v>47093</v>
      </c>
      <c r="H2190" s="118" t="n">
        <v>46289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IF(E2190="","",IF(LEFT(E2190,7)="SUBSOLO",-1,IF(LEFT(E2190,6)="TÉRREO",0,IFERROR(VALUE(LEFT(E2190,FIND("º",SUBSTITUTE(E2190,"°","º"))-1)),""))))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30171459</v>
      </c>
      <c r="C2191" s="4" t="inlineStr">
        <is>
          <t>INST. CARREGADOR DE VEÍCULOS</t>
        </is>
      </c>
      <c r="D2191" s="4" t="inlineStr">
        <is>
          <t>-</t>
        </is>
      </c>
      <c r="E2191" s="4" t="inlineStr">
        <is>
          <t>3º PAV - GARAGEM</t>
        </is>
      </c>
      <c r="F2191" s="118" t="n">
        <v>47080</v>
      </c>
      <c r="G2191" s="118" t="n">
        <v>47093</v>
      </c>
      <c r="H2191" s="118" t="n">
        <v>46289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IF(E2191="","",IF(LEFT(E2191,7)="SUBSOLO",-1,IF(LEFT(E2191,6)="TÉRREO",0,IFERROR(VALUE(LEFT(E2191,FIND("º",SUBSTITUTE(E2191,"°","º"))-1)),""))))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30171462</v>
      </c>
      <c r="C2192" s="4" t="inlineStr">
        <is>
          <t>PLACAS E IDEINTIFIC. VISUAIS</t>
        </is>
      </c>
      <c r="D2192" s="4" t="inlineStr">
        <is>
          <t>-</t>
        </is>
      </c>
      <c r="E2192" s="4" t="inlineStr">
        <is>
          <t>3º PAV - GARAGEM</t>
        </is>
      </c>
      <c r="F2192" s="118" t="n">
        <v>47080</v>
      </c>
      <c r="G2192" s="118" t="n">
        <v>47093</v>
      </c>
      <c r="H2192" s="118" t="n">
        <v>46289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IF(E2192="","",IF(LEFT(E2192,7)="SUBSOLO",-1,IF(LEFT(E2192,6)="TÉRREO",0,IFERROR(VALUE(LEFT(E2192,FIND("º",SUBSTITUTE(E2192,"°","º"))-1)),""))))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30171417</v>
      </c>
      <c r="C2193" s="4" t="inlineStr">
        <is>
          <t>TEXTURA - 1º DEMÃO</t>
        </is>
      </c>
      <c r="D2193" s="4" t="inlineStr">
        <is>
          <t>-</t>
        </is>
      </c>
      <c r="E2193" s="4" t="inlineStr">
        <is>
          <t>4º PAV - GARAGEM</t>
        </is>
      </c>
      <c r="F2193" s="118" t="n">
        <v>47080</v>
      </c>
      <c r="G2193" s="118" t="n">
        <v>47108</v>
      </c>
      <c r="H2193" s="118" t="n">
        <v>46289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IF(E2193="","",IF(LEFT(E2193,7)="SUBSOLO",-1,IF(LEFT(E2193,6)="TÉRREO",0,IFERROR(VALUE(LEFT(E2193,FIND("º",SUBSTITUTE(E2193,"°","º"))-1)),""))))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30206078</v>
      </c>
      <c r="C2194" s="4" t="inlineStr">
        <is>
          <t>CHECKLIST</t>
        </is>
      </c>
      <c r="D2194" s="4" t="inlineStr">
        <is>
          <t>-</t>
        </is>
      </c>
      <c r="E2194" s="4" t="inlineStr">
        <is>
          <t>6º PAV (PILOTIS) - SAUNA + DUCHA</t>
        </is>
      </c>
      <c r="F2194" s="118" t="n">
        <v>47081</v>
      </c>
      <c r="G2194" s="118" t="n">
        <v>47087</v>
      </c>
      <c r="H2194" s="118" t="n">
        <v>46289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IF(E2194="","",IF(LEFT(E2194,7)="SUBSOLO",-1,IF(LEFT(E2194,6)="TÉRREO",0,IFERROR(VALUE(LEFT(E2194,FIND("º",SUBSTITUTE(E2194,"°","º"))-1)),""))))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30205959</v>
      </c>
      <c r="C2195" s="4" t="inlineStr">
        <is>
          <t>LOUÇAS</t>
        </is>
      </c>
      <c r="D2195" s="4" t="inlineStr">
        <is>
          <t>-</t>
        </is>
      </c>
      <c r="E2195" s="4" t="inlineStr">
        <is>
          <t>6º PAV (PILOTIS) - LOUNGE + SALÃO + COZINHA + GOURMET + ESPAÇO KIDS</t>
        </is>
      </c>
      <c r="F2195" s="118" t="n">
        <v>47084</v>
      </c>
      <c r="G2195" s="118" t="n">
        <v>47088</v>
      </c>
      <c r="H2195" s="118" t="n">
        <v>46289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IF(E2195="","",IF(LEFT(E2195,7)="SUBSOLO",-1,IF(LEFT(E2195,6)="TÉRREO",0,IFERROR(VALUE(LEFT(E2195,FIND("º",SUBSTITUTE(E2195,"°","º"))-1)),""))))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30205964</v>
      </c>
      <c r="C2196" s="4" t="inlineStr">
        <is>
          <t>METAIS</t>
        </is>
      </c>
      <c r="D2196" s="4" t="inlineStr">
        <is>
          <t>-</t>
        </is>
      </c>
      <c r="E2196" s="4" t="inlineStr">
        <is>
          <t>6º PAV (PILOTIS) - LOUNGE + SALÃO + COZINHA + GOURMET + ESPAÇO KIDS</t>
        </is>
      </c>
      <c r="F2196" s="118" t="n">
        <v>47084</v>
      </c>
      <c r="G2196" s="118" t="n">
        <v>47088</v>
      </c>
      <c r="H2196" s="118" t="n">
        <v>46289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IF(E2196="","",IF(LEFT(E2196,7)="SUBSOLO",-1,IF(LEFT(E2196,6)="TÉRREO",0,IFERROR(VALUE(LEFT(E2196,FIND("º",SUBSTITUTE(E2196,"°","º"))-1)),""))))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29980958</v>
      </c>
      <c r="C2197" s="4" t="inlineStr">
        <is>
          <t>LIMPEZA FINA</t>
        </is>
      </c>
      <c r="D2197" s="4" t="inlineStr">
        <is>
          <t>-</t>
        </is>
      </c>
      <c r="E2197" s="4" t="inlineStr">
        <is>
          <t>23º PAV.</t>
        </is>
      </c>
      <c r="F2197" s="118" t="n">
        <v>47086</v>
      </c>
      <c r="G2197" s="118" t="n">
        <v>47099</v>
      </c>
      <c r="H2197" s="118" t="n">
        <v>46289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IF(E2197="","",IF(LEFT(E2197,7)="SUBSOLO",-1,IF(LEFT(E2197,6)="TÉRREO",0,IFERROR(VALUE(LEFT(E2197,FIND("º",SUBSTITUTE(E2197,"°","º"))-1)),""))))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29980911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24º PAV.</t>
        </is>
      </c>
      <c r="F2198" s="118" t="n">
        <v>47086</v>
      </c>
      <c r="G2198" s="118" t="n">
        <v>47099</v>
      </c>
      <c r="H2198" s="118" t="n">
        <v>46289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IF(E2198="","",IF(LEFT(E2198,7)="SUBSOLO",-1,IF(LEFT(E2198,6)="TÉRREO",0,IFERROR(VALUE(LEFT(E2198,FIND("º",SUBSTITUTE(E2198,"°","º"))-1)),""))))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30171480</v>
      </c>
      <c r="C2199" s="4" t="inlineStr">
        <is>
          <t>LIMPEZA</t>
        </is>
      </c>
      <c r="D2199" s="4" t="inlineStr">
        <is>
          <t>-</t>
        </is>
      </c>
      <c r="E2199" s="4" t="inlineStr">
        <is>
          <t>2º PAV - GARAGEM</t>
        </is>
      </c>
      <c r="F2199" s="118" t="n">
        <v>47087</v>
      </c>
      <c r="G2199" s="118" t="n">
        <v>47108</v>
      </c>
      <c r="H2199" s="118" t="n">
        <v>46289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IF(E2199="","",IF(LEFT(E2199,7)="SUBSOLO",-1,IF(LEFT(E2199,6)="TÉRREO",0,IFERROR(VALUE(LEFT(E2199,FIND("º",SUBSTITUTE(E2199,"°","º"))-1)),""))))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30206079</v>
      </c>
      <c r="C2200" s="4" t="inlineStr">
        <is>
          <t>PINTURA 3º DEMÃO</t>
        </is>
      </c>
      <c r="D2200" s="4" t="inlineStr">
        <is>
          <t>-</t>
        </is>
      </c>
      <c r="E2200" s="4" t="inlineStr">
        <is>
          <t>6º PAV (PILOTIS) - SAUNA + DUCHA</t>
        </is>
      </c>
      <c r="F2200" s="118" t="n">
        <v>47088</v>
      </c>
      <c r="G2200" s="118" t="n">
        <v>47102</v>
      </c>
      <c r="H2200" s="118" t="n">
        <v>46289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IF(E2200="","",IF(LEFT(E2200,7)="SUBSOLO",-1,IF(LEFT(E2200,6)="TÉRREO",0,IFERROR(VALUE(LEFT(E2200,FIND("º",SUBSTITUTE(E2200,"°","º"))-1)),""))))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30206043</v>
      </c>
      <c r="C2201" s="4" t="inlineStr">
        <is>
          <t>ACABAMENTOS ELÉTRICOS</t>
        </is>
      </c>
      <c r="D2201" s="4" t="inlineStr">
        <is>
          <t>-</t>
        </is>
      </c>
      <c r="E2201" s="4" t="inlineStr">
        <is>
          <t>6º PAV (PILOTIS) - CHURRASQUEIRA + IS MASC. PCD + IS FEM. PCD + CIRCULAÇÃO 1 + HALL 1</t>
        </is>
      </c>
      <c r="F2201" s="118" t="n">
        <v>47091</v>
      </c>
      <c r="G2201" s="118" t="n">
        <v>47094</v>
      </c>
      <c r="H2201" s="118" t="n">
        <v>46289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IF(E2201="","",IF(LEFT(E2201,7)="SUBSOLO",-1,IF(LEFT(E2201,6)="TÉRREO",0,IFERROR(VALUE(LEFT(E2201,FIND("º",SUBSTITUTE(E2201,"°","º"))-1)),""))))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30206003</v>
      </c>
      <c r="C2202" s="4" t="inlineStr">
        <is>
          <t>PINTURA 2º DEMÃO</t>
        </is>
      </c>
      <c r="D2202" s="4" t="inlineStr">
        <is>
          <t>-</t>
        </is>
      </c>
      <c r="E2202" s="4" t="inlineStr">
        <is>
          <t>6º PAV (PILOTIS) - COWORKING 1 E 2 + CIRC. 2 + HALL 2 + DML + VEST. MASC. + VEST. FEM</t>
        </is>
      </c>
      <c r="F2202" s="118" t="n">
        <v>47091</v>
      </c>
      <c r="G2202" s="118" t="n">
        <v>47105</v>
      </c>
      <c r="H2202" s="118" t="n">
        <v>46289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IF(E2202="","",IF(LEFT(E2202,7)="SUBSOLO",-1,IF(LEFT(E2202,6)="TÉRREO",0,IFERROR(VALUE(LEFT(E2202,FIND("º",SUBSTITUTE(E2202,"°","º"))-1)),""))))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30205965</v>
      </c>
      <c r="C2203" s="4" t="inlineStr">
        <is>
          <t>LIMPEZA GROSSA</t>
        </is>
      </c>
      <c r="D2203" s="4" t="inlineStr">
        <is>
          <t>-</t>
        </is>
      </c>
      <c r="E2203" s="4" t="inlineStr">
        <is>
          <t>6º PAV (PILOTIS) - LOUNGE + SALÃO + COZINHA + GOURMET + ESPAÇO KIDS</t>
        </is>
      </c>
      <c r="F2203" s="118" t="n">
        <v>47091</v>
      </c>
      <c r="G2203" s="118" t="n">
        <v>47105</v>
      </c>
      <c r="H2203" s="118" t="n">
        <v>46289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IF(E2203="","",IF(LEFT(E2203,7)="SUBSOLO",-1,IF(LEFT(E2203,6)="TÉRREO",0,IFERROR(VALUE(LEFT(E2203,FIND("º",SUBSTITUTE(E2203,"°","º"))-1)),""))))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29981083</v>
      </c>
      <c r="C2204" s="4" t="inlineStr">
        <is>
          <t>PINTURA 1º DEMÃO</t>
        </is>
      </c>
      <c r="D2204" s="4" t="inlineStr">
        <is>
          <t>-</t>
        </is>
      </c>
      <c r="E2204" s="4" t="inlineStr">
        <is>
          <t>19º PAV.</t>
        </is>
      </c>
      <c r="F2204" s="118" t="n">
        <v>47091</v>
      </c>
      <c r="G2204" s="118" t="n">
        <v>47102</v>
      </c>
      <c r="H2204" s="118" t="n">
        <v>46289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IF(E2204="","",IF(LEFT(E2204,7)="SUBSOLO",-1,IF(LEFT(E2204,6)="TÉRREO",0,IFERROR(VALUE(LEFT(E2204,FIND("º",SUBSTITUTE(E2204,"°","º"))-1)),""))))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29980873</v>
      </c>
      <c r="C2205" s="4" t="inlineStr">
        <is>
          <t>CHECKLIST</t>
        </is>
      </c>
      <c r="D2205" s="4" t="inlineStr">
        <is>
          <t>-</t>
        </is>
      </c>
      <c r="E2205" s="4" t="inlineStr">
        <is>
          <t>25º PAV.</t>
        </is>
      </c>
      <c r="F2205" s="118" t="n">
        <v>47092</v>
      </c>
      <c r="G2205" s="118" t="n">
        <v>47099</v>
      </c>
      <c r="H2205" s="118" t="n">
        <v>46289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IF(E2205="","",IF(LEFT(E2205,7)="SUBSOLO",-1,IF(LEFT(E2205,6)="TÉRREO",0,IFERROR(VALUE(LEFT(E2205,FIND("º",SUBSTITUTE(E2205,"°","º"))-1)),""))))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29980838</v>
      </c>
      <c r="C2206" s="4" t="inlineStr">
        <is>
          <t>ACABAMENTOS ELÉTRICOS</t>
        </is>
      </c>
      <c r="D2206" s="4" t="inlineStr">
        <is>
          <t>-</t>
        </is>
      </c>
      <c r="E2206" s="4" t="inlineStr">
        <is>
          <t>26º PAV.</t>
        </is>
      </c>
      <c r="F2206" s="118" t="n">
        <v>47092</v>
      </c>
      <c r="G2206" s="118" t="n">
        <v>47105</v>
      </c>
      <c r="H2206" s="118" t="n">
        <v>46289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IF(E2206="","",IF(LEFT(E2206,7)="SUBSOLO",-1,IF(LEFT(E2206,6)="TÉRREO",0,IFERROR(VALUE(LEFT(E2206,FIND("º",SUBSTITUTE(E2206,"°","º"))-1)),""))))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29980798</v>
      </c>
      <c r="C2207" s="4" t="inlineStr">
        <is>
          <t>PINTURA 2º DEMÃO</t>
        </is>
      </c>
      <c r="D2207" s="4" t="inlineStr">
        <is>
          <t>-</t>
        </is>
      </c>
      <c r="E2207" s="4" t="inlineStr">
        <is>
          <t>27º PAV.</t>
        </is>
      </c>
      <c r="F2207" s="118" t="n">
        <v>47092</v>
      </c>
      <c r="G2207" s="118" t="n">
        <v>47105</v>
      </c>
      <c r="H2207" s="118" t="n">
        <v>46289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IF(E2207="","",IF(LEFT(E2207,7)="SUBSOLO",-1,IF(LEFT(E2207,6)="TÉRREO",0,IFERROR(VALUE(LEFT(E2207,FIND("º",SUBSTITUTE(E2207,"°","º"))-1)),""))))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33919804</v>
      </c>
      <c r="C2208" s="4" t="inlineStr">
        <is>
          <t>TEXTURA - EXTERNA</t>
        </is>
      </c>
      <c r="D2208" s="4" t="inlineStr">
        <is>
          <t>-</t>
        </is>
      </c>
      <c r="E2208" s="4" t="inlineStr">
        <is>
          <t>27º PAV.</t>
        </is>
      </c>
      <c r="F2208" s="118" t="n">
        <v>47092</v>
      </c>
      <c r="G2208" s="118" t="n">
        <v>47105</v>
      </c>
      <c r="H2208" s="118" t="n">
        <v>46289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IF(E2208="","",IF(LEFT(E2208,7)="SUBSOLO",-1,IF(LEFT(E2208,6)="TÉRREO",0,IFERROR(VALUE(LEFT(E2208,FIND("º",SUBSTITUTE(E2208,"°","º"))-1)),""))))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29980760</v>
      </c>
      <c r="C2209" s="4" t="inlineStr">
        <is>
          <t>LIMPEZA GROSSA</t>
        </is>
      </c>
      <c r="D2209" s="4" t="inlineStr">
        <is>
          <t>-</t>
        </is>
      </c>
      <c r="E2209" s="4" t="inlineStr">
        <is>
          <t>28º PAV.</t>
        </is>
      </c>
      <c r="F2209" s="118" t="n">
        <v>47092</v>
      </c>
      <c r="G2209" s="118" t="n">
        <v>47105</v>
      </c>
      <c r="H2209" s="118" t="n">
        <v>46289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IF(E2209="","",IF(LEFT(E2209,7)="SUBSOLO",-1,IF(LEFT(E2209,6)="TÉRREO",0,IFERROR(VALUE(LEFT(E2209,FIND("º",SUBSTITUTE(E2209,"°","º"))-1)),""))))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29980717</v>
      </c>
      <c r="C2210" s="4" t="inlineStr">
        <is>
          <t>LOUÇAS</t>
        </is>
      </c>
      <c r="D2210" s="4" t="inlineStr">
        <is>
          <t>-</t>
        </is>
      </c>
      <c r="E2210" s="4" t="inlineStr">
        <is>
          <t>29º PAV.</t>
        </is>
      </c>
      <c r="F2210" s="118" t="n">
        <v>47092</v>
      </c>
      <c r="G2210" s="118" t="n">
        <v>47105</v>
      </c>
      <c r="H2210" s="118" t="n">
        <v>46289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IF(E2210="","",IF(LEFT(E2210,7)="SUBSOLO",-1,IF(LEFT(E2210,6)="TÉRREO",0,IFERROR(VALUE(LEFT(E2210,FIND("º",SUBSTITUTE(E2210,"°","º"))-1)),""))))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29980722</v>
      </c>
      <c r="C2211" s="4" t="inlineStr">
        <is>
          <t>METAIS</t>
        </is>
      </c>
      <c r="D2211" s="4" t="inlineStr">
        <is>
          <t>-</t>
        </is>
      </c>
      <c r="E2211" s="4" t="inlineStr">
        <is>
          <t>29º PAV.</t>
        </is>
      </c>
      <c r="F2211" s="118" t="n">
        <v>47092</v>
      </c>
      <c r="G2211" s="118" t="n">
        <v>47105</v>
      </c>
      <c r="H2211" s="118" t="n">
        <v>46289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IF(E2211="","",IF(LEFT(E2211,7)="SUBSOLO",-1,IF(LEFT(E2211,6)="TÉRREO",0,IFERROR(VALUE(LEFT(E2211,FIND("º",SUBSTITUTE(E2211,"°","º"))-1)),""))))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29980721</v>
      </c>
      <c r="C2212" s="4" t="inlineStr">
        <is>
          <t>DISJUNTORES / MIOLOS</t>
        </is>
      </c>
      <c r="D2212" s="4" t="inlineStr">
        <is>
          <t>-</t>
        </is>
      </c>
      <c r="E2212" s="4" t="inlineStr">
        <is>
          <t>29º PAV.</t>
        </is>
      </c>
      <c r="F2212" s="118" t="n">
        <v>47092</v>
      </c>
      <c r="G2212" s="118" t="n">
        <v>47105</v>
      </c>
      <c r="H2212" s="118" t="n">
        <v>46289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IF(E2212="","",IF(LEFT(E2212,7)="SUBSOLO",-1,IF(LEFT(E2212,6)="TÉRREO",0,IFERROR(VALUE(LEFT(E2212,FIND("º",SUBSTITUTE(E2212,"°","º"))-1)),""))))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29980720</v>
      </c>
      <c r="C2213" s="4" t="inlineStr">
        <is>
          <t>COMUNICAÇÃO E ALARME</t>
        </is>
      </c>
      <c r="D2213" s="4" t="inlineStr">
        <is>
          <t>-</t>
        </is>
      </c>
      <c r="E2213" s="4" t="inlineStr">
        <is>
          <t>29º PAV.</t>
        </is>
      </c>
      <c r="F2213" s="118" t="n">
        <v>47092</v>
      </c>
      <c r="G2213" s="118" t="n">
        <v>47105</v>
      </c>
      <c r="H2213" s="118" t="n">
        <v>46289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IF(E2213="","",IF(LEFT(E2213,7)="SUBSOLO",-1,IF(LEFT(E2213,6)="TÉRREO",0,IFERROR(VALUE(LEFT(E2213,FIND("º",SUBSTITUTE(E2213,"°","º"))-1)),""))))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29980679</v>
      </c>
      <c r="C2214" s="4" t="inlineStr">
        <is>
          <t>RODAPÉ MADEIRA / PVC</t>
        </is>
      </c>
      <c r="D2214" s="4" t="inlineStr">
        <is>
          <t>-</t>
        </is>
      </c>
      <c r="E2214" s="4" t="inlineStr">
        <is>
          <t>30º PAV.</t>
        </is>
      </c>
      <c r="F2214" s="118" t="n">
        <v>47092</v>
      </c>
      <c r="G2214" s="118" t="n">
        <v>47105</v>
      </c>
      <c r="H2214" s="118" t="n">
        <v>46289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IF(E2214="","",IF(LEFT(E2214,7)="SUBSOLO",-1,IF(LEFT(E2214,6)="TÉRREO",0,IFERROR(VALUE(LEFT(E2214,FIND("º",SUBSTITUTE(E2214,"°","º"))-1)),""))))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29980641</v>
      </c>
      <c r="C2215" s="4" t="inlineStr">
        <is>
          <t>ESQUADRIA MADEIRA</t>
        </is>
      </c>
      <c r="D2215" s="4" t="inlineStr">
        <is>
          <t>-</t>
        </is>
      </c>
      <c r="E2215" s="4" t="inlineStr">
        <is>
          <t>31º PAV. - COBERTURA LINEAR</t>
        </is>
      </c>
      <c r="F2215" s="118" t="n">
        <v>47092</v>
      </c>
      <c r="G2215" s="118" t="n">
        <v>47105</v>
      </c>
      <c r="H2215" s="118" t="n">
        <v>46289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IF(E2215="","",IF(LEFT(E2215,7)="SUBSOLO",-1,IF(LEFT(E2215,6)="TÉRREO",0,IFERROR(VALUE(LEFT(E2215,FIND("º",SUBSTITUTE(E2215,"°","º"))-1)),""))))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29980603</v>
      </c>
      <c r="C2216" s="4" t="inlineStr">
        <is>
          <t>PISO VINÍLICO / LAMINADO</t>
        </is>
      </c>
      <c r="D2216" s="4" t="inlineStr">
        <is>
          <t>-</t>
        </is>
      </c>
      <c r="E2216" s="4" t="inlineStr">
        <is>
          <t>32º PAV - COBERTURA GERAL</t>
        </is>
      </c>
      <c r="F2216" s="118" t="n">
        <v>47092</v>
      </c>
      <c r="G2216" s="118" t="n">
        <v>47105</v>
      </c>
      <c r="H2216" s="118" t="n">
        <v>46289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IF(E2216="","",IF(LEFT(E2216,7)="SUBSOLO",-1,IF(LEFT(E2216,6)="TÉRREO",0,IFERROR(VALUE(LEFT(E2216,FIND("º",SUBSTITUTE(E2216,"°","º"))-1)),""))))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30205765</v>
      </c>
      <c r="C2217" s="4" t="inlineStr">
        <is>
          <t>REVESTIMENTO ACABAMENTO</t>
        </is>
      </c>
      <c r="D2217" s="4" t="inlineStr">
        <is>
          <t>-</t>
        </is>
      </c>
      <c r="E2217" s="4" t="inlineStr">
        <is>
          <t>TÉRREO - ÁREA EXTERNA RESIDENCIAL</t>
        </is>
      </c>
      <c r="F2217" s="118" t="n">
        <v>47094</v>
      </c>
      <c r="G2217" s="118" t="n">
        <v>47164</v>
      </c>
      <c r="H2217" s="118" t="n">
        <v>46289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IF(E2217="","",IF(LEFT(E2217,7)="SUBSOLO",-1,IF(LEFT(E2217,6)="TÉRREO",0,IFERROR(VALUE(LEFT(E2217,FIND("º",SUBSTITUTE(E2217,"°","º"))-1)),""))))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30205764</v>
      </c>
      <c r="C2218" s="4" t="inlineStr">
        <is>
          <t>INSTALAÇÃO DE LUMINÁRIAS</t>
        </is>
      </c>
      <c r="D2218" s="4" t="inlineStr">
        <is>
          <t>-</t>
        </is>
      </c>
      <c r="E2218" s="4" t="inlineStr">
        <is>
          <t>TÉRREO - ÁREA EXTERNA RESIDENCIAL</t>
        </is>
      </c>
      <c r="F2218" s="118" t="n">
        <v>47094</v>
      </c>
      <c r="G2218" s="118" t="n">
        <v>47108</v>
      </c>
      <c r="H2218" s="118" t="n">
        <v>46289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IF(E2218="","",IF(LEFT(E2218,7)="SUBSOLO",-1,IF(LEFT(E2218,6)="TÉRREO",0,IFERROR(VALUE(LEFT(E2218,FIND("º",SUBSTITUTE(E2218,"°","º"))-1)),""))))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30206041</v>
      </c>
      <c r="C2219" s="4" t="inlineStr">
        <is>
          <t>CHECKLIST</t>
        </is>
      </c>
      <c r="D2219" s="4" t="inlineStr">
        <is>
          <t>-</t>
        </is>
      </c>
      <c r="E2219" s="4" t="inlineStr">
        <is>
          <t>6º PAV (PILOTIS) - CHURRASQUEIRA + IS MASC. PCD + IS FEM. PCD + CIRCULAÇÃO 1 + HALL 1</t>
        </is>
      </c>
      <c r="F2219" s="118" t="n">
        <v>47098</v>
      </c>
      <c r="G2219" s="118" t="n">
        <v>47102</v>
      </c>
      <c r="H2219" s="118" t="n">
        <v>46289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IF(E2219="","",IF(LEFT(E2219,7)="SUBSOLO",-1,IF(LEFT(E2219,6)="TÉRREO",0,IFERROR(VALUE(LEFT(E2219,FIND("º",SUBSTITUTE(E2219,"°","º"))-1)),""))))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30171659</v>
      </c>
      <c r="C2220" s="4" t="inlineStr">
        <is>
          <t>PINTURA 2º DEMÃO</t>
        </is>
      </c>
      <c r="D2220" s="4" t="inlineStr">
        <is>
          <t>-</t>
        </is>
      </c>
      <c r="E2220" s="4" t="inlineStr">
        <is>
          <t>CX DE ESCADA DE INCÊND.</t>
        </is>
      </c>
      <c r="F2220" s="118" t="n">
        <v>47098</v>
      </c>
      <c r="G2220" s="118" t="n">
        <v>47133</v>
      </c>
      <c r="H2220" s="118" t="n">
        <v>46289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IF(E2220="","",IF(LEFT(E2220,7)="SUBSOLO",-1,IF(LEFT(E2220,6)="TÉRREO",0,IFERROR(VALUE(LEFT(E2220,FIND("º",SUBSTITUTE(E2220,"°","º"))-1)),""))))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29980921</v>
      </c>
      <c r="C2221" s="4" t="inlineStr">
        <is>
          <t>LIMPEZA FINA</t>
        </is>
      </c>
      <c r="D2221" s="4" t="inlineStr">
        <is>
          <t>-</t>
        </is>
      </c>
      <c r="E2221" s="4" t="inlineStr">
        <is>
          <t>24º PAV.</t>
        </is>
      </c>
      <c r="F2221" s="118" t="n">
        <v>47100</v>
      </c>
      <c r="G2221" s="118" t="n">
        <v>47120</v>
      </c>
      <c r="H2221" s="118" t="n">
        <v>46289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IF(E2221="","",IF(LEFT(E2221,7)="SUBSOLO",-1,IF(LEFT(E2221,6)="TÉRREO",0,IFERROR(VALUE(LEFT(E2221,FIND("º",SUBSTITUTE(E2221,"°","º"))-1)),""))))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29980874</v>
      </c>
      <c r="C2222" s="4" t="inlineStr">
        <is>
          <t>PINTURA 3º DEMÃO</t>
        </is>
      </c>
      <c r="D2222" s="4" t="inlineStr">
        <is>
          <t>-</t>
        </is>
      </c>
      <c r="E2222" s="4" t="inlineStr">
        <is>
          <t>25º PAV.</t>
        </is>
      </c>
      <c r="F2222" s="118" t="n">
        <v>47100</v>
      </c>
      <c r="G2222" s="118" t="n">
        <v>47120</v>
      </c>
      <c r="H2222" s="118" t="n">
        <v>46289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IF(E2222="","",IF(LEFT(E2222,7)="SUBSOLO",-1,IF(LEFT(E2222,6)="TÉRREO",0,IFERROR(VALUE(LEFT(E2222,FIND("º",SUBSTITUTE(E2222,"°","º"))-1)),""))))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30171405</v>
      </c>
      <c r="C2223" s="4" t="inlineStr">
        <is>
          <t>PINTURA DE TUBULAÇÕES (PAREDE E TETO)</t>
        </is>
      </c>
      <c r="D2223" s="4" t="inlineStr">
        <is>
          <t>-</t>
        </is>
      </c>
      <c r="E2223" s="4" t="inlineStr">
        <is>
          <t>5º PAV - GARAGEM</t>
        </is>
      </c>
      <c r="F2223" s="118" t="n">
        <v>47105</v>
      </c>
      <c r="G2223" s="118" t="n">
        <v>47133</v>
      </c>
      <c r="H2223" s="118" t="n">
        <v>46289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IF(E2223="","",IF(LEFT(E2223,7)="SUBSOLO",-1,IF(LEFT(E2223,6)="TÉRREO",0,IFERROR(VALUE(LEFT(E2223,FIND("º",SUBSTITUTE(E2223,"°","º"))-1)),""))))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30206089</v>
      </c>
      <c r="C2224" s="4" t="inlineStr">
        <is>
          <t>LIMPEZA FINA</t>
        </is>
      </c>
      <c r="D2224" s="4" t="inlineStr">
        <is>
          <t>-</t>
        </is>
      </c>
      <c r="E2224" s="4" t="inlineStr">
        <is>
          <t>6º PAV (PILOTIS) - SAUNA + DUCHA</t>
        </is>
      </c>
      <c r="F2224" s="118" t="n">
        <v>47105</v>
      </c>
      <c r="G2224" s="118" t="n">
        <v>47126</v>
      </c>
      <c r="H2224" s="118" t="n">
        <v>46289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IF(E2224="","",IF(LEFT(E2224,7)="SUBSOLO",-1,IF(LEFT(E2224,6)="TÉRREO",0,IFERROR(VALUE(LEFT(E2224,FIND("º",SUBSTITUTE(E2224,"°","º"))-1)),""))))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30206042</v>
      </c>
      <c r="C2225" s="4" t="inlineStr">
        <is>
          <t>PINTURA 3º DEMÃO</t>
        </is>
      </c>
      <c r="D2225" s="4" t="inlineStr">
        <is>
          <t>-</t>
        </is>
      </c>
      <c r="E2225" s="4" t="inlineStr">
        <is>
          <t>6º PAV (PILOTIS) - CHURRASQUEIRA + IS MASC. PCD + IS FEM. PCD + CIRCULAÇÃO 1 + HALL 1</t>
        </is>
      </c>
      <c r="F2225" s="118" t="n">
        <v>47105</v>
      </c>
      <c r="G2225" s="118" t="n">
        <v>47126</v>
      </c>
      <c r="H2225" s="118" t="n">
        <v>46289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IF(E2225="","",IF(LEFT(E2225,7)="SUBSOLO",-1,IF(LEFT(E2225,6)="TÉRREO",0,IFERROR(VALUE(LEFT(E2225,FIND("º",SUBSTITUTE(E2225,"°","º"))-1)),""))))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29981559</v>
      </c>
      <c r="C2226" s="4" t="inlineStr">
        <is>
          <t>CHECKLIST FINAL</t>
        </is>
      </c>
      <c r="D2226" s="4" t="inlineStr">
        <is>
          <t>-</t>
        </is>
      </c>
      <c r="E2226" s="4" t="inlineStr">
        <is>
          <t>7º PAV.</t>
        </is>
      </c>
      <c r="F2226" s="118" t="n">
        <v>47105</v>
      </c>
      <c r="G2226" s="118" t="n">
        <v>47123</v>
      </c>
      <c r="H2226" s="118" t="n">
        <v>46289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IF(E2226="","",IF(LEFT(E2226,7)="SUBSOLO",-1,IF(LEFT(E2226,6)="TÉRREO",0,IFERROR(VALUE(LEFT(E2226,FIND("º",SUBSTITUTE(E2226,"°","º"))-1)),""))))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29981084</v>
      </c>
      <c r="C2227" s="4" t="inlineStr">
        <is>
          <t>PISO VINÍLICO / LAMINADO</t>
        </is>
      </c>
      <c r="D2227" s="4" t="inlineStr">
        <is>
          <t>-</t>
        </is>
      </c>
      <c r="E2227" s="4" t="inlineStr">
        <is>
          <t>19º PAV.</t>
        </is>
      </c>
      <c r="F2227" s="118" t="n">
        <v>47105</v>
      </c>
      <c r="G2227" s="118" t="n">
        <v>47121</v>
      </c>
      <c r="H2227" s="118" t="n">
        <v>46289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IF(E2227="","",IF(LEFT(E2227,7)="SUBSOLO",-1,IF(LEFT(E2227,6)="TÉRREO",0,IFERROR(VALUE(LEFT(E2227,FIND("º",SUBSTITUTE(E2227,"°","º"))-1)),""))))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30205897</v>
      </c>
      <c r="C2228" s="4" t="inlineStr">
        <is>
          <t>BRISE</t>
        </is>
      </c>
      <c r="D2228" s="4" t="inlineStr">
        <is>
          <t>-</t>
        </is>
      </c>
      <c r="E2228" s="4" t="inlineStr">
        <is>
          <t>6º PAV (PILOTIS) - PLAYGROUND + TERRAÇO DESCOBERTO + QUADRA DE RECREAÇÃO</t>
        </is>
      </c>
      <c r="F2228" s="118" t="n">
        <v>47106</v>
      </c>
      <c r="G2228" s="118" t="n">
        <v>47143</v>
      </c>
      <c r="H2228" s="118" t="n">
        <v>46289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IF(E2228="","",IF(LEFT(E2228,7)="SUBSOLO",-1,IF(LEFT(E2228,6)="TÉRREO",0,IFERROR(VALUE(LEFT(E2228,FIND("º",SUBSTITUTE(E2228,"°","º"))-1)),""))))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30208614</v>
      </c>
      <c r="C2229" s="4" t="inlineStr">
        <is>
          <t>INSTALAÇÃO DE LUMINÁRIAS</t>
        </is>
      </c>
      <c r="D2229" s="4" t="inlineStr">
        <is>
          <t>-</t>
        </is>
      </c>
      <c r="E2229" s="4" t="inlineStr">
        <is>
          <t>6º PAV (PILOTIS) - PLAYGROUND + TERRAÇO DESCOBERTO + QUADRA DE RECREAÇÃO</t>
        </is>
      </c>
      <c r="F2229" s="118" t="n">
        <v>47106</v>
      </c>
      <c r="G2229" s="118" t="n">
        <v>47120</v>
      </c>
      <c r="H2229" s="118" t="n">
        <v>46289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IF(E2229="","",IF(LEFT(E2229,7)="SUBSOLO",-1,IF(LEFT(E2229,6)="TÉRREO",0,IFERROR(VALUE(LEFT(E2229,FIND("º",SUBSTITUTE(E2229,"°","º"))-1)),""))))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30206006</v>
      </c>
      <c r="C2230" s="4" t="inlineStr">
        <is>
          <t>ACABAMENTOS ELÉTRICOS</t>
        </is>
      </c>
      <c r="D2230" s="4" t="inlineStr">
        <is>
          <t>-</t>
        </is>
      </c>
      <c r="E2230" s="4" t="inlineStr">
        <is>
          <t>6º PAV (PILOTIS) - COWORKING 1 E 2 + CIRC. 2 + HALL 2 + DML + VEST. MASC. + VEST. FEM</t>
        </is>
      </c>
      <c r="F2230" s="118" t="n">
        <v>47106</v>
      </c>
      <c r="G2230" s="118" t="n">
        <v>47109</v>
      </c>
      <c r="H2230" s="118" t="n">
        <v>46289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IF(E2230="","",IF(LEFT(E2230,7)="SUBSOLO",-1,IF(LEFT(E2230,6)="TÉRREO",0,IFERROR(VALUE(LEFT(E2230,FIND("º",SUBSTITUTE(E2230,"°","º"))-1)),""))))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30205966</v>
      </c>
      <c r="C2231" s="4" t="inlineStr">
        <is>
          <t>PINTURA 2º DEMÃO</t>
        </is>
      </c>
      <c r="D2231" s="4" t="inlineStr">
        <is>
          <t>-</t>
        </is>
      </c>
      <c r="E2231" s="4" t="inlineStr">
        <is>
          <t>6º PAV (PILOTIS) - LOUNGE + SALÃO + COZINHA + GOURMET + ESPAÇO KIDS</t>
        </is>
      </c>
      <c r="F2231" s="118" t="n">
        <v>47106</v>
      </c>
      <c r="G2231" s="118" t="n">
        <v>47127</v>
      </c>
      <c r="H2231" s="118" t="n">
        <v>46289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IF(E2231="","",IF(LEFT(E2231,7)="SUBSOLO",-1,IF(LEFT(E2231,6)="TÉRREO",0,IFERROR(VALUE(LEFT(E2231,FIND("º",SUBSTITUTE(E2231,"°","º"))-1)),""))))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29980836</v>
      </c>
      <c r="C2232" s="4" t="inlineStr">
        <is>
          <t>CHECKLIST</t>
        </is>
      </c>
      <c r="D2232" s="4" t="inlineStr">
        <is>
          <t>-</t>
        </is>
      </c>
      <c r="E2232" s="4" t="inlineStr">
        <is>
          <t>26º PAV.</t>
        </is>
      </c>
      <c r="F2232" s="118" t="n">
        <v>47106</v>
      </c>
      <c r="G2232" s="118" t="n">
        <v>47120</v>
      </c>
      <c r="H2232" s="118" t="n">
        <v>46289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IF(E2232="","",IF(LEFT(E2232,7)="SUBSOLO",-1,IF(LEFT(E2232,6)="TÉRREO",0,IFERROR(VALUE(LEFT(E2232,FIND("º",SUBSTITUTE(E2232,"°","º"))-1)),""))))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29980801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27º PAV.</t>
        </is>
      </c>
      <c r="F2233" s="118" t="n">
        <v>47106</v>
      </c>
      <c r="G2233" s="118" t="n">
        <v>47126</v>
      </c>
      <c r="H2233" s="118" t="n">
        <v>46289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IF(E2233="","",IF(LEFT(E2233,7)="SUBSOLO",-1,IF(LEFT(E2233,6)="TÉRREO",0,IFERROR(VALUE(LEFT(E2233,FIND("º",SUBSTITUTE(E2233,"°","º"))-1)),""))))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29980761</v>
      </c>
      <c r="C2234" s="4" t="inlineStr">
        <is>
          <t>PINTURA 2º DEMÃO</t>
        </is>
      </c>
      <c r="D2234" s="4" t="inlineStr">
        <is>
          <t>-</t>
        </is>
      </c>
      <c r="E2234" s="4" t="inlineStr">
        <is>
          <t>28º PAV.</t>
        </is>
      </c>
      <c r="F2234" s="118" t="n">
        <v>47106</v>
      </c>
      <c r="G2234" s="118" t="n">
        <v>47126</v>
      </c>
      <c r="H2234" s="118" t="n">
        <v>46289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IF(E2234="","",IF(LEFT(E2234,7)="SUBSOLO",-1,IF(LEFT(E2234,6)="TÉRREO",0,IFERROR(VALUE(LEFT(E2234,FIND("º",SUBSTITUTE(E2234,"°","º"))-1)),""))))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33919805</v>
      </c>
      <c r="C2235" s="4" t="inlineStr">
        <is>
          <t>TEXTURA - EXTERNA</t>
        </is>
      </c>
      <c r="D2235" s="4" t="inlineStr">
        <is>
          <t>-</t>
        </is>
      </c>
      <c r="E2235" s="4" t="inlineStr">
        <is>
          <t>28º PAV.</t>
        </is>
      </c>
      <c r="F2235" s="118" t="n">
        <v>47106</v>
      </c>
      <c r="G2235" s="118" t="n">
        <v>47126</v>
      </c>
      <c r="H2235" s="118" t="n">
        <v>46289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IF(E2235="","",IF(LEFT(E2235,7)="SUBSOLO",-1,IF(LEFT(E2235,6)="TÉRREO",0,IFERROR(VALUE(LEFT(E2235,FIND("º",SUBSTITUTE(E2235,"°","º"))-1)),""))))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29980723</v>
      </c>
      <c r="C2236" s="4" t="inlineStr">
        <is>
          <t>LIMPEZA GROSSA</t>
        </is>
      </c>
      <c r="D2236" s="4" t="inlineStr">
        <is>
          <t>-</t>
        </is>
      </c>
      <c r="E2236" s="4" t="inlineStr">
        <is>
          <t>29º PAV.</t>
        </is>
      </c>
      <c r="F2236" s="118" t="n">
        <v>47106</v>
      </c>
      <c r="G2236" s="118" t="n">
        <v>47126</v>
      </c>
      <c r="H2236" s="118" t="n">
        <v>46289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IF(E2236="","",IF(LEFT(E2236,7)="SUBSOLO",-1,IF(LEFT(E2236,6)="TÉRREO",0,IFERROR(VALUE(LEFT(E2236,FIND("º",SUBSTITUTE(E2236,"°","º"))-1)),""))))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29980680</v>
      </c>
      <c r="C2237" s="4" t="inlineStr">
        <is>
          <t>LOUÇAS</t>
        </is>
      </c>
      <c r="D2237" s="4" t="inlineStr">
        <is>
          <t>-</t>
        </is>
      </c>
      <c r="E2237" s="4" t="inlineStr">
        <is>
          <t>30º PAV.</t>
        </is>
      </c>
      <c r="F2237" s="118" t="n">
        <v>47106</v>
      </c>
      <c r="G2237" s="118" t="n">
        <v>47126</v>
      </c>
      <c r="H2237" s="118" t="n">
        <v>46289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IF(E2237="","",IF(LEFT(E2237,7)="SUBSOLO",-1,IF(LEFT(E2237,6)="TÉRREO",0,IFERROR(VALUE(LEFT(E2237,FIND("º",SUBSTITUTE(E2237,"°","º"))-1)),""))))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29980685</v>
      </c>
      <c r="C2238" s="4" t="inlineStr">
        <is>
          <t>METAIS</t>
        </is>
      </c>
      <c r="D2238" s="4" t="inlineStr">
        <is>
          <t>-</t>
        </is>
      </c>
      <c r="E2238" s="4" t="inlineStr">
        <is>
          <t>30º PAV.</t>
        </is>
      </c>
      <c r="F2238" s="118" t="n">
        <v>47106</v>
      </c>
      <c r="G2238" s="118" t="n">
        <v>47126</v>
      </c>
      <c r="H2238" s="118" t="n">
        <v>46289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IF(E2238="","",IF(LEFT(E2238,7)="SUBSOLO",-1,IF(LEFT(E2238,6)="TÉRREO",0,IFERROR(VALUE(LEFT(E2238,FIND("º",SUBSTITUTE(E2238,"°","º"))-1)),""))))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29980684</v>
      </c>
      <c r="C2239" s="4" t="inlineStr">
        <is>
          <t>DISJUNTORES / MIOLOS</t>
        </is>
      </c>
      <c r="D2239" s="4" t="inlineStr">
        <is>
          <t>-</t>
        </is>
      </c>
      <c r="E2239" s="4" t="inlineStr">
        <is>
          <t>30º PAV.</t>
        </is>
      </c>
      <c r="F2239" s="118" t="n">
        <v>47106</v>
      </c>
      <c r="G2239" s="118" t="n">
        <v>47126</v>
      </c>
      <c r="H2239" s="118" t="n">
        <v>46289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IF(E2239="","",IF(LEFT(E2239,7)="SUBSOLO",-1,IF(LEFT(E2239,6)="TÉRREO",0,IFERROR(VALUE(LEFT(E2239,FIND("º",SUBSTITUTE(E2239,"°","º"))-1)),""))))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29980683</v>
      </c>
      <c r="C2240" s="4" t="inlineStr">
        <is>
          <t>COMUNICAÇÃO E ALARME</t>
        </is>
      </c>
      <c r="D2240" s="4" t="inlineStr">
        <is>
          <t>-</t>
        </is>
      </c>
      <c r="E2240" s="4" t="inlineStr">
        <is>
          <t>30º PAV.</t>
        </is>
      </c>
      <c r="F2240" s="118" t="n">
        <v>47106</v>
      </c>
      <c r="G2240" s="118" t="n">
        <v>47126</v>
      </c>
      <c r="H2240" s="118" t="n">
        <v>46289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IF(E2240="","",IF(LEFT(E2240,7)="SUBSOLO",-1,IF(LEFT(E2240,6)="TÉRREO",0,IFERROR(VALUE(LEFT(E2240,FIND("º",SUBSTITUTE(E2240,"°","º"))-1)),""))))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29980642</v>
      </c>
      <c r="C2241" s="4" t="inlineStr">
        <is>
          <t>RODAPÉ MADEIRA / PVC</t>
        </is>
      </c>
      <c r="D2241" s="4" t="inlineStr">
        <is>
          <t>-</t>
        </is>
      </c>
      <c r="E2241" s="4" t="inlineStr">
        <is>
          <t>31º PAV. - COBERTURA LINEAR</t>
        </is>
      </c>
      <c r="F2241" s="118" t="n">
        <v>47106</v>
      </c>
      <c r="G2241" s="118" t="n">
        <v>47126</v>
      </c>
      <c r="H2241" s="118" t="n">
        <v>46289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IF(E2241="","",IF(LEFT(E2241,7)="SUBSOLO",-1,IF(LEFT(E2241,6)="TÉRREO",0,IFERROR(VALUE(LEFT(E2241,FIND("º",SUBSTITUTE(E2241,"°","º"))-1)),""))))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29980604</v>
      </c>
      <c r="C2242" s="4" t="inlineStr">
        <is>
          <t>ESQUADRIA MADEIRA</t>
        </is>
      </c>
      <c r="D2242" s="4" t="inlineStr">
        <is>
          <t>-</t>
        </is>
      </c>
      <c r="E2242" s="4" t="inlineStr">
        <is>
          <t>32º PAV - COBERTURA GERAL</t>
        </is>
      </c>
      <c r="F2242" s="118" t="n">
        <v>47106</v>
      </c>
      <c r="G2242" s="118" t="n">
        <v>47126</v>
      </c>
      <c r="H2242" s="118" t="n">
        <v>46289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IF(E2242="","",IF(LEFT(E2242,7)="SUBSOLO",-1,IF(LEFT(E2242,6)="TÉRREO",0,IFERROR(VALUE(LEFT(E2242,FIND("º",SUBSTITUTE(E2242,"°","º"))-1)),""))))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30171533</v>
      </c>
      <c r="C2243" s="4" t="inlineStr">
        <is>
          <t>ACABAMENTOS ELÉTRICOS</t>
        </is>
      </c>
      <c r="D2243" s="4" t="inlineStr">
        <is>
          <t>-</t>
        </is>
      </c>
      <c r="E2243" s="4" t="inlineStr">
        <is>
          <t>HALL - GARAGENS</t>
        </is>
      </c>
      <c r="F2243" s="118" t="n">
        <v>47108</v>
      </c>
      <c r="G2243" s="118" t="n">
        <v>47129</v>
      </c>
      <c r="H2243" s="118" t="n">
        <v>46289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IF(E2243="","",IF(LEFT(E2243,7)="SUBSOLO",-1,IF(LEFT(E2243,6)="TÉRREO",0,IFERROR(VALUE(LEFT(E2243,FIND("º",SUBSTITUTE(E2243,"°","º"))-1)),""))))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29981522</v>
      </c>
      <c r="C2244" s="4" t="inlineStr">
        <is>
          <t>CHECKLIST FINAL</t>
        </is>
      </c>
      <c r="D2244" s="4" t="inlineStr">
        <is>
          <t>-</t>
        </is>
      </c>
      <c r="E2244" s="4" t="inlineStr">
        <is>
          <t>8º PAV.</t>
        </is>
      </c>
      <c r="F2244" s="118" t="n">
        <v>47108</v>
      </c>
      <c r="G2244" s="118" t="n">
        <v>47128</v>
      </c>
      <c r="H2244" s="118" t="n">
        <v>46289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IF(E2244="","",IF(LEFT(E2244,7)="SUBSOLO",-1,IF(LEFT(E2244,6)="TÉRREO",0,IFERROR(VALUE(LEFT(E2244,FIND("º",SUBSTITUTE(E2244,"°","º"))-1)),""))))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30171451</v>
      </c>
      <c r="C2245" s="4" t="inlineStr">
        <is>
          <t>TEXTURA - 2º E 3º DEMÃO</t>
        </is>
      </c>
      <c r="D2245" s="4" t="inlineStr">
        <is>
          <t>-</t>
        </is>
      </c>
      <c r="E2245" s="4" t="inlineStr">
        <is>
          <t>3º PAV - GARAGEM</t>
        </is>
      </c>
      <c r="F2245" s="118" t="n">
        <v>47109</v>
      </c>
      <c r="G2245" s="118" t="n">
        <v>47130</v>
      </c>
      <c r="H2245" s="118" t="n">
        <v>46289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IF(E2245="","",IF(LEFT(E2245,7)="SUBSOLO",-1,IF(LEFT(E2245,6)="TÉRREO",0,IFERROR(VALUE(LEFT(E2245,FIND("º",SUBSTITUTE(E2245,"°","º"))-1)),""))))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30171419</v>
      </c>
      <c r="C2246" s="4" t="inlineStr">
        <is>
          <t>ACABAMENTOS ELÉTRICOS</t>
        </is>
      </c>
      <c r="D2246" s="4" t="inlineStr">
        <is>
          <t>-</t>
        </is>
      </c>
      <c r="E2246" s="4" t="inlineStr">
        <is>
          <t>4º PAV - GARAGEM</t>
        </is>
      </c>
      <c r="F2246" s="118" t="n">
        <v>47109</v>
      </c>
      <c r="G2246" s="118" t="n">
        <v>47130</v>
      </c>
      <c r="H2246" s="118" t="n">
        <v>46289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IF(E2246="","",IF(LEFT(E2246,7)="SUBSOLO",-1,IF(LEFT(E2246,6)="TÉRREO",0,IFERROR(VALUE(LEFT(E2246,FIND("º",SUBSTITUTE(E2246,"°","º"))-1)),""))))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30171418</v>
      </c>
      <c r="C2247" s="4" t="inlineStr">
        <is>
          <t>DEMARCAÇÃO DE VAGAS</t>
        </is>
      </c>
      <c r="D2247" s="4" t="inlineStr">
        <is>
          <t>-</t>
        </is>
      </c>
      <c r="E2247" s="4" t="inlineStr">
        <is>
          <t>4º PAV - GARAGEM</t>
        </is>
      </c>
      <c r="F2247" s="118" t="n">
        <v>47109</v>
      </c>
      <c r="G2247" s="118" t="n">
        <v>47144</v>
      </c>
      <c r="H2247" s="118" t="n">
        <v>46289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IF(E2247="","",IF(LEFT(E2247,7)="SUBSOLO",-1,IF(LEFT(E2247,6)="TÉRREO",0,IFERROR(VALUE(LEFT(E2247,FIND("º",SUBSTITUTE(E2247,"°","º"))-1)),""))))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30171430</v>
      </c>
      <c r="C2248" s="4" t="inlineStr">
        <is>
          <t>INSTALAÇÃO DE METAIS</t>
        </is>
      </c>
      <c r="D2248" s="4" t="inlineStr">
        <is>
          <t>-</t>
        </is>
      </c>
      <c r="E2248" s="4" t="inlineStr">
        <is>
          <t>4º PAV - GARAGEM</t>
        </is>
      </c>
      <c r="F2248" s="118" t="n">
        <v>47109</v>
      </c>
      <c r="G2248" s="118" t="n">
        <v>47130</v>
      </c>
      <c r="H2248" s="118" t="n">
        <v>46289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IF(E2248="","",IF(LEFT(E2248,7)="SUBSOLO",-1,IF(LEFT(E2248,6)="TÉRREO",0,IFERROR(VALUE(LEFT(E2248,FIND("º",SUBSTITUTE(E2248,"°","º"))-1)),""))))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30171431</v>
      </c>
      <c r="C2249" s="4" t="inlineStr">
        <is>
          <t>INST. CARREGADOR DE VEÍCULOS</t>
        </is>
      </c>
      <c r="D2249" s="4" t="inlineStr">
        <is>
          <t>-</t>
        </is>
      </c>
      <c r="E2249" s="4" t="inlineStr">
        <is>
          <t>4º PAV - GARAGEM</t>
        </is>
      </c>
      <c r="F2249" s="118" t="n">
        <v>47109</v>
      </c>
      <c r="G2249" s="118" t="n">
        <v>47130</v>
      </c>
      <c r="H2249" s="118" t="n">
        <v>46289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IF(E2249="","",IF(LEFT(E2249,7)="SUBSOLO",-1,IF(LEFT(E2249,6)="TÉRREO",0,IFERROR(VALUE(LEFT(E2249,FIND("º",SUBSTITUTE(E2249,"°","º"))-1)),""))))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30171434</v>
      </c>
      <c r="C2250" s="4" t="inlineStr">
        <is>
          <t>PLACAS E IDEINTIFIC. VISUAIS</t>
        </is>
      </c>
      <c r="D2250" s="4" t="inlineStr">
        <is>
          <t>-</t>
        </is>
      </c>
      <c r="E2250" s="4" t="inlineStr">
        <is>
          <t>4º PAV - GARAGEM</t>
        </is>
      </c>
      <c r="F2250" s="118" t="n">
        <v>47109</v>
      </c>
      <c r="G2250" s="118" t="n">
        <v>47130</v>
      </c>
      <c r="H2250" s="118" t="n">
        <v>46289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IF(E2250="","",IF(LEFT(E2250,7)="SUBSOLO",-1,IF(LEFT(E2250,6)="TÉRREO",0,IFERROR(VALUE(LEFT(E2250,FIND("º",SUBSTITUTE(E2250,"°","º"))-1)),""))))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30171389</v>
      </c>
      <c r="C2251" s="4" t="inlineStr">
        <is>
          <t>TEXTURA - 1º DEMÃO</t>
        </is>
      </c>
      <c r="D2251" s="4" t="inlineStr">
        <is>
          <t>-</t>
        </is>
      </c>
      <c r="E2251" s="4" t="inlineStr">
        <is>
          <t>5º PAV - GARAGEM</t>
        </is>
      </c>
      <c r="F2251" s="118" t="n">
        <v>47109</v>
      </c>
      <c r="G2251" s="118" t="n">
        <v>47144</v>
      </c>
      <c r="H2251" s="118" t="n">
        <v>46289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IF(E2251="","",IF(LEFT(E2251,7)="SUBSOLO",-1,IF(LEFT(E2251,6)="TÉRREO",0,IFERROR(VALUE(LEFT(E2251,FIND("º",SUBSTITUTE(E2251,"°","º"))-1)),""))))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30206004</v>
      </c>
      <c r="C2252" s="4" t="inlineStr">
        <is>
          <t>CHECKLIST</t>
        </is>
      </c>
      <c r="D2252" s="4" t="inlineStr">
        <is>
          <t>-</t>
        </is>
      </c>
      <c r="E2252" s="4" t="inlineStr">
        <is>
          <t>6º PAV (PILOTIS) - COWORKING 1 E 2 + CIRC. 2 + HALL 2 + DML + VEST. MASC. + VEST. FEM</t>
        </is>
      </c>
      <c r="F2252" s="118" t="n">
        <v>47120</v>
      </c>
      <c r="G2252" s="118" t="n">
        <v>47126</v>
      </c>
      <c r="H2252" s="118" t="n">
        <v>46289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IF(E2252="","",IF(LEFT(E2252,7)="SUBSOLO",-1,IF(LEFT(E2252,6)="TÉRREO",0,IFERROR(VALUE(LEFT(E2252,FIND("º",SUBSTITUTE(E2252,"°","º"))-1)),""))))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29981485</v>
      </c>
      <c r="C2253" s="4" t="inlineStr">
        <is>
          <t>CHECKLIST FINAL</t>
        </is>
      </c>
      <c r="D2253" s="4" t="inlineStr">
        <is>
          <t>-</t>
        </is>
      </c>
      <c r="E2253" s="4" t="inlineStr">
        <is>
          <t>9º PAV.</t>
        </is>
      </c>
      <c r="F2253" s="118" t="n">
        <v>47121</v>
      </c>
      <c r="G2253" s="118" t="n">
        <v>47133</v>
      </c>
      <c r="H2253" s="118" t="n">
        <v>46289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IF(E2253="","",IF(LEFT(E2253,7)="SUBSOLO",-1,IF(LEFT(E2253,6)="TÉRREO",0,IFERROR(VALUE(LEFT(E2253,FIND("º",SUBSTITUTE(E2253,"°","º"))-1)),""))))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29980884</v>
      </c>
      <c r="C2254" s="4" t="inlineStr">
        <is>
          <t>LIMPEZA FINA</t>
        </is>
      </c>
      <c r="D2254" s="4" t="inlineStr">
        <is>
          <t>-</t>
        </is>
      </c>
      <c r="E2254" s="4" t="inlineStr">
        <is>
          <t>25º PAV.</t>
        </is>
      </c>
      <c r="F2254" s="118" t="n">
        <v>47121</v>
      </c>
      <c r="G2254" s="118" t="n">
        <v>47133</v>
      </c>
      <c r="H2254" s="118" t="n">
        <v>46289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IF(E2254="","",IF(LEFT(E2254,7)="SUBSOLO",-1,IF(LEFT(E2254,6)="TÉRREO",0,IFERROR(VALUE(LEFT(E2254,FIND("º",SUBSTITUTE(E2254,"°","º"))-1)),""))))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29980837</v>
      </c>
      <c r="C2255" s="4" t="inlineStr">
        <is>
          <t>PINTURA 3º DEMÃO</t>
        </is>
      </c>
      <c r="D2255" s="4" t="inlineStr">
        <is>
          <t>-</t>
        </is>
      </c>
      <c r="E2255" s="4" t="inlineStr">
        <is>
          <t>26º PAV.</t>
        </is>
      </c>
      <c r="F2255" s="118" t="n">
        <v>47121</v>
      </c>
      <c r="G2255" s="118" t="n">
        <v>47133</v>
      </c>
      <c r="H2255" s="118" t="n">
        <v>46289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IF(E2255="","",IF(LEFT(E2255,7)="SUBSOLO",-1,IF(LEFT(E2255,6)="TÉRREO",0,IFERROR(VALUE(LEFT(E2255,FIND("º",SUBSTITUTE(E2255,"°","º"))-1)),""))))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29981085</v>
      </c>
      <c r="C2256" s="4" t="inlineStr">
        <is>
          <t>ESQUADRIA MADEIRA</t>
        </is>
      </c>
      <c r="D2256" s="4" t="inlineStr">
        <is>
          <t>-</t>
        </is>
      </c>
      <c r="E2256" s="4" t="inlineStr">
        <is>
          <t>19º PAV.</t>
        </is>
      </c>
      <c r="F2256" s="118" t="n">
        <v>47122</v>
      </c>
      <c r="G2256" s="118" t="n">
        <v>47130</v>
      </c>
      <c r="H2256" s="118" t="n">
        <v>46289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IF(E2256="","",IF(LEFT(E2256,7)="SUBSOLO",-1,IF(LEFT(E2256,6)="TÉRREO",0,IFERROR(VALUE(LEFT(E2256,FIND("º",SUBSTITUTE(E2256,"°","º"))-1)),""))))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33807238</v>
      </c>
      <c r="C2257" s="4" t="inlineStr">
        <is>
          <t>VISTORIA APTOS</t>
        </is>
      </c>
      <c r="D2257" s="4" t="inlineStr">
        <is>
          <t>-</t>
        </is>
      </c>
      <c r="E2257" s="4" t="inlineStr">
        <is>
          <t>7º PAV.</t>
        </is>
      </c>
      <c r="F2257" s="118" t="n">
        <v>47126</v>
      </c>
      <c r="G2257" s="118" t="n">
        <v>47128</v>
      </c>
      <c r="H2257" s="118" t="n">
        <v>46289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IF(E2257="","",IF(LEFT(E2257,7)="SUBSOLO",-1,IF(LEFT(E2257,6)="TÉRREO",0,IFERROR(VALUE(LEFT(E2257,FIND("º",SUBSTITUTE(E2257,"°","º"))-1)),""))))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B2258" s="4" t="n">
        <v>29981448</v>
      </c>
      <c r="C2258" s="4" t="inlineStr">
        <is>
          <t>CHECKLIST FINAL</t>
        </is>
      </c>
      <c r="D2258" s="4" t="inlineStr">
        <is>
          <t>-</t>
        </is>
      </c>
      <c r="E2258" s="4" t="inlineStr">
        <is>
          <t>10º PAV.</t>
        </is>
      </c>
      <c r="F2258" s="118" t="n">
        <v>47126</v>
      </c>
      <c r="G2258" s="118" t="n">
        <v>47136</v>
      </c>
      <c r="H2258" s="118" t="n">
        <v>46289</v>
      </c>
      <c r="I2258" s="4" t="n">
        <v>0</v>
      </c>
      <c r="J2258" s="4" t="n">
        <v>0</v>
      </c>
      <c r="K2258" s="4" t="n">
        <v>0</v>
      </c>
      <c r="M2258" s="2">
        <f>IF(C2258="","",IFERROR(INDEX($S$5:$S$304,MATCH(C2258,$R$5:$R$304,0))&amp;"","?"))</f>
        <v/>
      </c>
      <c r="N2258" s="2">
        <f>IF(E2258="","",IF(LEFT(E2258,7)="SUBSOLO",-1,IF(LEFT(E2258,6)="TÉRREO",0,IFERROR(VALUE(LEFT(E2258,FIND("º",SUBSTITUTE(E2258,"°","º"))-1)),""))))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B2259" s="4" t="n">
        <v>30206095</v>
      </c>
      <c r="C2259" s="4" t="inlineStr">
        <is>
          <t>CHECKLIST FINAL</t>
        </is>
      </c>
      <c r="D2259" s="4" t="inlineStr">
        <is>
          <t>-</t>
        </is>
      </c>
      <c r="E2259" s="4" t="inlineStr">
        <is>
          <t>6º PAV (PILOTIS) - SAUNA + DUCHA</t>
        </is>
      </c>
      <c r="F2259" s="118" t="n">
        <v>47127</v>
      </c>
      <c r="G2259" s="118" t="n">
        <v>47140</v>
      </c>
      <c r="H2259" s="118" t="n">
        <v>46289</v>
      </c>
      <c r="I2259" s="4" t="n">
        <v>0</v>
      </c>
      <c r="J2259" s="4" t="n">
        <v>0</v>
      </c>
      <c r="K2259" s="4" t="n">
        <v>0</v>
      </c>
      <c r="M2259" s="2">
        <f>IF(C2259="","",IFERROR(INDEX($S$5:$S$304,MATCH(C2259,$R$5:$R$304,0))&amp;"","?"))</f>
        <v/>
      </c>
      <c r="N2259" s="2">
        <f>IF(E2259="","",IF(LEFT(E2259,7)="SUBSOLO",-1,IF(LEFT(E2259,6)="TÉRREO",0,IFERROR(VALUE(LEFT(E2259,FIND("º",SUBSTITUTE(E2259,"°","º"))-1)),""))))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B2260" s="4" t="n">
        <v>30206052</v>
      </c>
      <c r="C2260" s="4" t="inlineStr">
        <is>
          <t>LIMPEZA FINA</t>
        </is>
      </c>
      <c r="D2260" s="4" t="inlineStr">
        <is>
          <t>-</t>
        </is>
      </c>
      <c r="E2260" s="4" t="inlineStr">
        <is>
          <t>6º PAV (PILOTIS) - CHURRASQUEIRA + IS MASC. PCD + IS FEM. PCD + CIRCULAÇÃO 1 + HALL 1</t>
        </is>
      </c>
      <c r="F2260" s="118" t="n">
        <v>47127</v>
      </c>
      <c r="G2260" s="118" t="n">
        <v>47140</v>
      </c>
      <c r="H2260" s="118" t="n">
        <v>46289</v>
      </c>
      <c r="I2260" s="4" t="n">
        <v>0</v>
      </c>
      <c r="J2260" s="4" t="n">
        <v>0</v>
      </c>
      <c r="K2260" s="4" t="n">
        <v>0</v>
      </c>
      <c r="M2260" s="2">
        <f>IF(C2260="","",IFERROR(INDEX($S$5:$S$304,MATCH(C2260,$R$5:$R$304,0))&amp;"","?"))</f>
        <v/>
      </c>
      <c r="N2260" s="2">
        <f>IF(E2260="","",IF(LEFT(E2260,7)="SUBSOLO",-1,IF(LEFT(E2260,6)="TÉRREO",0,IFERROR(VALUE(LEFT(E2260,FIND("º",SUBSTITUTE(E2260,"°","º"))-1)),""))))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B2261" s="4" t="n">
        <v>30206005</v>
      </c>
      <c r="C2261" s="4" t="inlineStr">
        <is>
          <t>PINTURA 3º DEMÃO</t>
        </is>
      </c>
      <c r="D2261" s="4" t="inlineStr">
        <is>
          <t>-</t>
        </is>
      </c>
      <c r="E2261" s="4" t="inlineStr">
        <is>
          <t>6º PAV (PILOTIS) - COWORKING 1 E 2 + CIRC. 2 + HALL 2 + DML + VEST. MASC. + VEST. FEM</t>
        </is>
      </c>
      <c r="F2261" s="118" t="n">
        <v>47127</v>
      </c>
      <c r="G2261" s="118" t="n">
        <v>47140</v>
      </c>
      <c r="H2261" s="118" t="n">
        <v>46289</v>
      </c>
      <c r="I2261" s="4" t="n">
        <v>0</v>
      </c>
      <c r="J2261" s="4" t="n">
        <v>0</v>
      </c>
      <c r="K2261" s="4" t="n">
        <v>0</v>
      </c>
      <c r="M2261" s="2">
        <f>IF(C2261="","",IFERROR(INDEX($S$5:$S$304,MATCH(C2261,$R$5:$R$304,0))&amp;"","?"))</f>
        <v/>
      </c>
      <c r="N2261" s="2">
        <f>IF(E2261="","",IF(LEFT(E2261,7)="SUBSOLO",-1,IF(LEFT(E2261,6)="TÉRREO",0,IFERROR(VALUE(LEFT(E2261,FIND("º",SUBSTITUTE(E2261,"°","º"))-1)),""))))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B2262" s="4" t="n">
        <v>29980799</v>
      </c>
      <c r="C2262" s="4" t="inlineStr">
        <is>
          <t>CHECKLIST</t>
        </is>
      </c>
      <c r="D2262" s="4" t="inlineStr">
        <is>
          <t>-</t>
        </is>
      </c>
      <c r="E2262" s="4" t="inlineStr">
        <is>
          <t>27º PAV.</t>
        </is>
      </c>
      <c r="F2262" s="118" t="n">
        <v>47127</v>
      </c>
      <c r="G2262" s="118" t="n">
        <v>47133</v>
      </c>
      <c r="H2262" s="118" t="n">
        <v>46289</v>
      </c>
      <c r="I2262" s="4" t="n">
        <v>0</v>
      </c>
      <c r="J2262" s="4" t="n">
        <v>0</v>
      </c>
      <c r="K2262" s="4" t="n">
        <v>0</v>
      </c>
      <c r="M2262" s="2">
        <f>IF(C2262="","",IFERROR(INDEX($S$5:$S$304,MATCH(C2262,$R$5:$R$304,0))&amp;"","?"))</f>
        <v/>
      </c>
      <c r="N2262" s="2">
        <f>IF(E2262="","",IF(LEFT(E2262,7)="SUBSOLO",-1,IF(LEFT(E2262,6)="TÉRREO",0,IFERROR(VALUE(LEFT(E2262,FIND("º",SUBSTITUTE(E2262,"°","º"))-1)),""))))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B2263" s="4" t="n">
        <v>29980764</v>
      </c>
      <c r="C2263" s="4" t="inlineStr">
        <is>
          <t>ACABAMENTOS ELÉTRICOS</t>
        </is>
      </c>
      <c r="D2263" s="4" t="inlineStr">
        <is>
          <t>-</t>
        </is>
      </c>
      <c r="E2263" s="4" t="inlineStr">
        <is>
          <t>28º PAV.</t>
        </is>
      </c>
      <c r="F2263" s="118" t="n">
        <v>47127</v>
      </c>
      <c r="G2263" s="118" t="n">
        <v>47137</v>
      </c>
      <c r="H2263" s="118" t="n">
        <v>46289</v>
      </c>
      <c r="I2263" s="4" t="n">
        <v>0</v>
      </c>
      <c r="J2263" s="4" t="n">
        <v>0</v>
      </c>
      <c r="K2263" s="4" t="n">
        <v>0</v>
      </c>
      <c r="M2263" s="2">
        <f>IF(C2263="","",IFERROR(INDEX($S$5:$S$304,MATCH(C2263,$R$5:$R$304,0))&amp;"","?"))</f>
        <v/>
      </c>
      <c r="N2263" s="2">
        <f>IF(E2263="","",IF(LEFT(E2263,7)="SUBSOLO",-1,IF(LEFT(E2263,6)="TÉRREO",0,IFERROR(VALUE(LEFT(E2263,FIND("º",SUBSTITUTE(E2263,"°","º"))-1)),""))))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B2264" s="4" t="n">
        <v>29980724</v>
      </c>
      <c r="C2264" s="4" t="inlineStr">
        <is>
          <t>PINTURA 2º DEMÃO</t>
        </is>
      </c>
      <c r="D2264" s="4" t="inlineStr">
        <is>
          <t>-</t>
        </is>
      </c>
      <c r="E2264" s="4" t="inlineStr">
        <is>
          <t>29º PAV.</t>
        </is>
      </c>
      <c r="F2264" s="118" t="n">
        <v>47127</v>
      </c>
      <c r="G2264" s="118" t="n">
        <v>47137</v>
      </c>
      <c r="H2264" s="118" t="n">
        <v>46289</v>
      </c>
      <c r="I2264" s="4" t="n">
        <v>0</v>
      </c>
      <c r="J2264" s="4" t="n">
        <v>0</v>
      </c>
      <c r="K2264" s="4" t="n">
        <v>0</v>
      </c>
      <c r="M2264" s="2">
        <f>IF(C2264="","",IFERROR(INDEX($S$5:$S$304,MATCH(C2264,$R$5:$R$304,0))&amp;"","?"))</f>
        <v/>
      </c>
      <c r="N2264" s="2">
        <f>IF(E2264="","",IF(LEFT(E2264,7)="SUBSOLO",-1,IF(LEFT(E2264,6)="TÉRREO",0,IFERROR(VALUE(LEFT(E2264,FIND("º",SUBSTITUTE(E2264,"°","º"))-1)),""))))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B2265" s="4" t="n">
        <v>33919806</v>
      </c>
      <c r="C2265" s="4" t="inlineStr">
        <is>
          <t>TEXTURA - EXTERNA</t>
        </is>
      </c>
      <c r="D2265" s="4" t="inlineStr">
        <is>
          <t>-</t>
        </is>
      </c>
      <c r="E2265" s="4" t="inlineStr">
        <is>
          <t>29º PAV.</t>
        </is>
      </c>
      <c r="F2265" s="118" t="n">
        <v>47127</v>
      </c>
      <c r="G2265" s="118" t="n">
        <v>47137</v>
      </c>
      <c r="H2265" s="118" t="n">
        <v>46289</v>
      </c>
      <c r="I2265" s="4" t="n">
        <v>0</v>
      </c>
      <c r="J2265" s="4" t="n">
        <v>0</v>
      </c>
      <c r="K2265" s="4" t="n">
        <v>0</v>
      </c>
      <c r="M2265" s="2">
        <f>IF(C2265="","",IFERROR(INDEX($S$5:$S$304,MATCH(C2265,$R$5:$R$304,0))&amp;"","?"))</f>
        <v/>
      </c>
      <c r="N2265" s="2">
        <f>IF(E2265="","",IF(LEFT(E2265,7)="SUBSOLO",-1,IF(LEFT(E2265,6)="TÉRREO",0,IFERROR(VALUE(LEFT(E2265,FIND("º",SUBSTITUTE(E2265,"°","º"))-1)),""))))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B2266" s="4" t="n">
        <v>29980686</v>
      </c>
      <c r="C2266" s="4" t="inlineStr">
        <is>
          <t>LIMPEZA GROSSA</t>
        </is>
      </c>
      <c r="D2266" s="4" t="inlineStr">
        <is>
          <t>-</t>
        </is>
      </c>
      <c r="E2266" s="4" t="inlineStr">
        <is>
          <t>30º PAV.</t>
        </is>
      </c>
      <c r="F2266" s="118" t="n">
        <v>47127</v>
      </c>
      <c r="G2266" s="118" t="n">
        <v>47137</v>
      </c>
      <c r="H2266" s="118" t="n">
        <v>46289</v>
      </c>
      <c r="I2266" s="4" t="n">
        <v>0</v>
      </c>
      <c r="J2266" s="4" t="n">
        <v>0</v>
      </c>
      <c r="K2266" s="4" t="n">
        <v>0</v>
      </c>
      <c r="M2266" s="2">
        <f>IF(C2266="","",IFERROR(INDEX($S$5:$S$304,MATCH(C2266,$R$5:$R$304,0))&amp;"","?"))</f>
        <v/>
      </c>
      <c r="N2266" s="2">
        <f>IF(E2266="","",IF(LEFT(E2266,7)="SUBSOLO",-1,IF(LEFT(E2266,6)="TÉRREO",0,IFERROR(VALUE(LEFT(E2266,FIND("º",SUBSTITUTE(E2266,"°","º"))-1)),""))))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B2267" s="4" t="n">
        <v>29980643</v>
      </c>
      <c r="C2267" s="4" t="inlineStr">
        <is>
          <t>LOUÇAS</t>
        </is>
      </c>
      <c r="D2267" s="4" t="inlineStr">
        <is>
          <t>-</t>
        </is>
      </c>
      <c r="E2267" s="4" t="inlineStr">
        <is>
          <t>31º PAV. - COBERTURA LINEAR</t>
        </is>
      </c>
      <c r="F2267" s="118" t="n">
        <v>47127</v>
      </c>
      <c r="G2267" s="118" t="n">
        <v>47137</v>
      </c>
      <c r="H2267" s="118" t="n">
        <v>46289</v>
      </c>
      <c r="I2267" s="4" t="n">
        <v>0</v>
      </c>
      <c r="J2267" s="4" t="n">
        <v>0</v>
      </c>
      <c r="K2267" s="4" t="n">
        <v>0</v>
      </c>
      <c r="M2267" s="2">
        <f>IF(C2267="","",IFERROR(INDEX($S$5:$S$304,MATCH(C2267,$R$5:$R$304,0))&amp;"","?"))</f>
        <v/>
      </c>
      <c r="N2267" s="2">
        <f>IF(E2267="","",IF(LEFT(E2267,7)="SUBSOLO",-1,IF(LEFT(E2267,6)="TÉRREO",0,IFERROR(VALUE(LEFT(E2267,FIND("º",SUBSTITUTE(E2267,"°","º"))-1)),""))))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B2268" s="4" t="n">
        <v>29980648</v>
      </c>
      <c r="C2268" s="4" t="inlineStr">
        <is>
          <t>METAIS</t>
        </is>
      </c>
      <c r="D2268" s="4" t="inlineStr">
        <is>
          <t>-</t>
        </is>
      </c>
      <c r="E2268" s="4" t="inlineStr">
        <is>
          <t>31º PAV. - COBERTURA LINEAR</t>
        </is>
      </c>
      <c r="F2268" s="118" t="n">
        <v>47127</v>
      </c>
      <c r="G2268" s="118" t="n">
        <v>47137</v>
      </c>
      <c r="H2268" s="118" t="n">
        <v>46289</v>
      </c>
      <c r="I2268" s="4" t="n">
        <v>0</v>
      </c>
      <c r="J2268" s="4" t="n">
        <v>0</v>
      </c>
      <c r="K2268" s="4" t="n">
        <v>0</v>
      </c>
      <c r="M2268" s="2">
        <f>IF(C2268="","",IFERROR(INDEX($S$5:$S$304,MATCH(C2268,$R$5:$R$304,0))&amp;"","?"))</f>
        <v/>
      </c>
      <c r="N2268" s="2">
        <f>IF(E2268="","",IF(LEFT(E2268,7)="SUBSOLO",-1,IF(LEFT(E2268,6)="TÉRREO",0,IFERROR(VALUE(LEFT(E2268,FIND("º",SUBSTITUTE(E2268,"°","º"))-1)),""))))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B2269" s="4" t="n">
        <v>29980647</v>
      </c>
      <c r="C2269" s="4" t="inlineStr">
        <is>
          <t>DISJUNTORES / MIOLOS</t>
        </is>
      </c>
      <c r="D2269" s="4" t="inlineStr">
        <is>
          <t>-</t>
        </is>
      </c>
      <c r="E2269" s="4" t="inlineStr">
        <is>
          <t>31º PAV. - COBERTURA LINEAR</t>
        </is>
      </c>
      <c r="F2269" s="118" t="n">
        <v>47127</v>
      </c>
      <c r="G2269" s="118" t="n">
        <v>47137</v>
      </c>
      <c r="H2269" s="118" t="n">
        <v>46289</v>
      </c>
      <c r="I2269" s="4" t="n">
        <v>0</v>
      </c>
      <c r="J2269" s="4" t="n">
        <v>0</v>
      </c>
      <c r="K2269" s="4" t="n">
        <v>0</v>
      </c>
      <c r="M2269" s="2">
        <f>IF(C2269="","",IFERROR(INDEX($S$5:$S$304,MATCH(C2269,$R$5:$R$304,0))&amp;"","?"))</f>
        <v/>
      </c>
      <c r="N2269" s="2">
        <f>IF(E2269="","",IF(LEFT(E2269,7)="SUBSOLO",-1,IF(LEFT(E2269,6)="TÉRREO",0,IFERROR(VALUE(LEFT(E2269,FIND("º",SUBSTITUTE(E2269,"°","º"))-1)),""))))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B2270" s="4" t="n">
        <v>29980646</v>
      </c>
      <c r="C2270" s="4" t="inlineStr">
        <is>
          <t>COMUNICAÇÃO E ALARME</t>
        </is>
      </c>
      <c r="D2270" s="4" t="inlineStr">
        <is>
          <t>-</t>
        </is>
      </c>
      <c r="E2270" s="4" t="inlineStr">
        <is>
          <t>31º PAV. - COBERTURA LINEAR</t>
        </is>
      </c>
      <c r="F2270" s="118" t="n">
        <v>47127</v>
      </c>
      <c r="G2270" s="118" t="n">
        <v>47137</v>
      </c>
      <c r="H2270" s="118" t="n">
        <v>46289</v>
      </c>
      <c r="I2270" s="4" t="n">
        <v>0</v>
      </c>
      <c r="J2270" s="4" t="n">
        <v>0</v>
      </c>
      <c r="K2270" s="4" t="n">
        <v>0</v>
      </c>
      <c r="M2270" s="2">
        <f>IF(C2270="","",IFERROR(INDEX($S$5:$S$304,MATCH(C2270,$R$5:$R$304,0))&amp;"","?"))</f>
        <v/>
      </c>
      <c r="N2270" s="2">
        <f>IF(E2270="","",IF(LEFT(E2270,7)="SUBSOLO",-1,IF(LEFT(E2270,6)="TÉRREO",0,IFERROR(VALUE(LEFT(E2270,FIND("º",SUBSTITUTE(E2270,"°","º"))-1)),""))))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B2271" s="4" t="n">
        <v>29980605</v>
      </c>
      <c r="C2271" s="4" t="inlineStr">
        <is>
          <t>RODAPÉ MADEIRA / PVC</t>
        </is>
      </c>
      <c r="D2271" s="4" t="inlineStr">
        <is>
          <t>-</t>
        </is>
      </c>
      <c r="E2271" s="4" t="inlineStr">
        <is>
          <t>32º PAV - COBERTURA GERAL</t>
        </is>
      </c>
      <c r="F2271" s="118" t="n">
        <v>47127</v>
      </c>
      <c r="G2271" s="118" t="n">
        <v>47137</v>
      </c>
      <c r="H2271" s="118" t="n">
        <v>46289</v>
      </c>
      <c r="I2271" s="4" t="n">
        <v>0</v>
      </c>
      <c r="J2271" s="4" t="n">
        <v>0</v>
      </c>
      <c r="K2271" s="4" t="n">
        <v>0</v>
      </c>
      <c r="M2271" s="2">
        <f>IF(C2271="","",IFERROR(INDEX($S$5:$S$304,MATCH(C2271,$R$5:$R$304,0))&amp;"","?"))</f>
        <v/>
      </c>
      <c r="N2271" s="2">
        <f>IF(E2271="","",IF(LEFT(E2271,7)="SUBSOLO",-1,IF(LEFT(E2271,6)="TÉRREO",0,IFERROR(VALUE(LEFT(E2271,FIND("º",SUBSTITUTE(E2271,"°","º"))-1)),""))))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B2272" s="4" t="n">
        <v>30205969</v>
      </c>
      <c r="C2272" s="4" t="inlineStr">
        <is>
          <t>ACABAMENTOS ELÉTRICOS</t>
        </is>
      </c>
      <c r="D2272" s="4" t="inlineStr">
        <is>
          <t>-</t>
        </is>
      </c>
      <c r="E2272" s="4" t="inlineStr">
        <is>
          <t>6º PAV (PILOTIS) - LOUNGE + SALÃO + COZINHA + GOURMET + ESPAÇO KIDS</t>
        </is>
      </c>
      <c r="F2272" s="118" t="n">
        <v>47128</v>
      </c>
      <c r="G2272" s="118" t="n">
        <v>47133</v>
      </c>
      <c r="H2272" s="118" t="n">
        <v>46289</v>
      </c>
      <c r="I2272" s="4" t="n">
        <v>0</v>
      </c>
      <c r="J2272" s="4" t="n">
        <v>0</v>
      </c>
      <c r="K2272" s="4" t="n">
        <v>0</v>
      </c>
      <c r="M2272" s="2">
        <f>IF(C2272="","",IFERROR(INDEX($S$5:$S$304,MATCH(C2272,$R$5:$R$304,0))&amp;"","?"))</f>
        <v/>
      </c>
      <c r="N2272" s="2">
        <f>IF(E2272="","",IF(LEFT(E2272,7)="SUBSOLO",-1,IF(LEFT(E2272,6)="TÉRREO",0,IFERROR(VALUE(LEFT(E2272,FIND("º",SUBSTITUTE(E2272,"°","º"))-1)),""))))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B2273" s="4" t="n">
        <v>33807239</v>
      </c>
      <c r="C2273" s="4" t="inlineStr">
        <is>
          <t>VISTORIA APTOS</t>
        </is>
      </c>
      <c r="D2273" s="4" t="inlineStr">
        <is>
          <t>-</t>
        </is>
      </c>
      <c r="E2273" s="4" t="inlineStr">
        <is>
          <t>8º PAV.</t>
        </is>
      </c>
      <c r="F2273" s="118" t="n">
        <v>47129</v>
      </c>
      <c r="G2273" s="118" t="n">
        <v>47133</v>
      </c>
      <c r="H2273" s="118" t="n">
        <v>46289</v>
      </c>
      <c r="I2273" s="4" t="n">
        <v>0</v>
      </c>
      <c r="J2273" s="4" t="n">
        <v>0</v>
      </c>
      <c r="K2273" s="4" t="n">
        <v>0</v>
      </c>
      <c r="M2273" s="2">
        <f>IF(C2273="","",IFERROR(INDEX($S$5:$S$304,MATCH(C2273,$R$5:$R$304,0))&amp;"","?"))</f>
        <v/>
      </c>
      <c r="N2273" s="2">
        <f>IF(E2273="","",IF(LEFT(E2273,7)="SUBSOLO",-1,IF(LEFT(E2273,6)="TÉRREO",0,IFERROR(VALUE(LEFT(E2273,FIND("º",SUBSTITUTE(E2273,"°","º"))-1)),""))))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B2274" s="4" t="n">
        <v>29981411</v>
      </c>
      <c r="C2274" s="4" t="inlineStr">
        <is>
          <t>CHECKLIST FINAL</t>
        </is>
      </c>
      <c r="D2274" s="4" t="inlineStr">
        <is>
          <t>-</t>
        </is>
      </c>
      <c r="E2274" s="4" t="inlineStr">
        <is>
          <t>11º PAV.</t>
        </is>
      </c>
      <c r="F2274" s="118" t="n">
        <v>47129</v>
      </c>
      <c r="G2274" s="118" t="n">
        <v>47141</v>
      </c>
      <c r="H2274" s="118" t="n">
        <v>46289</v>
      </c>
      <c r="I2274" s="4" t="n">
        <v>0</v>
      </c>
      <c r="J2274" s="4" t="n">
        <v>0</v>
      </c>
      <c r="K2274" s="4" t="n">
        <v>0</v>
      </c>
      <c r="M2274" s="2">
        <f>IF(C2274="","",IFERROR(INDEX($S$5:$S$304,MATCH(C2274,$R$5:$R$304,0))&amp;"","?"))</f>
        <v/>
      </c>
      <c r="N2274" s="2">
        <f>IF(E2274="","",IF(LEFT(E2274,7)="SUBSOLO",-1,IF(LEFT(E2274,6)="TÉRREO",0,IFERROR(VALUE(LEFT(E2274,FIND("º",SUBSTITUTE(E2274,"°","º"))-1)),""))))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B2275" s="4" t="n">
        <v>30171534</v>
      </c>
      <c r="C2275" s="4" t="inlineStr">
        <is>
          <t>PINTURA 3º DEMÃO</t>
        </is>
      </c>
      <c r="D2275" s="4" t="inlineStr">
        <is>
          <t>-</t>
        </is>
      </c>
      <c r="E2275" s="4" t="inlineStr">
        <is>
          <t>HALL - GARAGENS</t>
        </is>
      </c>
      <c r="F2275" s="118" t="n">
        <v>47130</v>
      </c>
      <c r="G2275" s="118" t="n">
        <v>47161</v>
      </c>
      <c r="H2275" s="118" t="n">
        <v>46289</v>
      </c>
      <c r="I2275" s="4" t="n">
        <v>0</v>
      </c>
      <c r="J2275" s="4" t="n">
        <v>0</v>
      </c>
      <c r="K2275" s="4" t="n">
        <v>0</v>
      </c>
      <c r="M2275" s="2">
        <f>IF(C2275="","",IFERROR(INDEX($S$5:$S$304,MATCH(C2275,$R$5:$R$304,0))&amp;"","?"))</f>
        <v/>
      </c>
      <c r="N2275" s="2">
        <f>IF(E2275="","",IF(LEFT(E2275,7)="SUBSOLO",-1,IF(LEFT(E2275,6)="TÉRREO",0,IFERROR(VALUE(LEFT(E2275,FIND("º",SUBSTITUTE(E2275,"°","º"))-1)),""))))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B2276" s="4" t="n">
        <v>30171452</v>
      </c>
      <c r="C2276" s="4" t="inlineStr">
        <is>
          <t>LIMPEZA</t>
        </is>
      </c>
      <c r="D2276" s="4" t="inlineStr">
        <is>
          <t>-</t>
        </is>
      </c>
      <c r="E2276" s="4" t="inlineStr">
        <is>
          <t>3º PAV - GARAGEM</t>
        </is>
      </c>
      <c r="F2276" s="118" t="n">
        <v>47133</v>
      </c>
      <c r="G2276" s="118" t="n">
        <v>47151</v>
      </c>
      <c r="H2276" s="118" t="n">
        <v>46289</v>
      </c>
      <c r="I2276" s="4" t="n">
        <v>0</v>
      </c>
      <c r="J2276" s="4" t="n">
        <v>0</v>
      </c>
      <c r="K2276" s="4" t="n">
        <v>0</v>
      </c>
      <c r="M2276" s="2">
        <f>IF(C2276="","",IFERROR(INDEX($S$5:$S$304,MATCH(C2276,$R$5:$R$304,0))&amp;"","?"))</f>
        <v/>
      </c>
      <c r="N2276" s="2">
        <f>IF(E2276="","",IF(LEFT(E2276,7)="SUBSOLO",-1,IF(LEFT(E2276,6)="TÉRREO",0,IFERROR(VALUE(LEFT(E2276,FIND("º",SUBSTITUTE(E2276,"°","º"))-1)),""))))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B2277" s="4" t="n">
        <v>29981086</v>
      </c>
      <c r="C2277" s="4" t="inlineStr">
        <is>
          <t>RODAPÉ MADEIRA / PVC</t>
        </is>
      </c>
      <c r="D2277" s="4" t="inlineStr">
        <is>
          <t>-</t>
        </is>
      </c>
      <c r="E2277" s="4" t="inlineStr">
        <is>
          <t>19º PAV.</t>
        </is>
      </c>
      <c r="F2277" s="118" t="n">
        <v>47133</v>
      </c>
      <c r="G2277" s="118" t="n">
        <v>47141</v>
      </c>
      <c r="H2277" s="118" t="n">
        <v>46289</v>
      </c>
      <c r="I2277" s="4" t="n">
        <v>0</v>
      </c>
      <c r="J2277" s="4" t="n">
        <v>0</v>
      </c>
      <c r="K2277" s="4" t="n">
        <v>0</v>
      </c>
      <c r="M2277" s="2">
        <f>IF(C2277="","",IFERROR(INDEX($S$5:$S$304,MATCH(C2277,$R$5:$R$304,0))&amp;"","?"))</f>
        <v/>
      </c>
      <c r="N2277" s="2">
        <f>IF(E2277="","",IF(LEFT(E2277,7)="SUBSOLO",-1,IF(LEFT(E2277,6)="TÉRREO",0,IFERROR(VALUE(LEFT(E2277,FIND("º",SUBSTITUTE(E2277,"°","º"))-1)),""))))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B2278" s="4" t="n">
        <v>30205967</v>
      </c>
      <c r="C2278" s="4" t="inlineStr">
        <is>
          <t>CHECKLIST</t>
        </is>
      </c>
      <c r="D2278" s="4" t="inlineStr">
        <is>
          <t>-</t>
        </is>
      </c>
      <c r="E2278" s="4" t="inlineStr">
        <is>
          <t>6º PAV (PILOTIS) - LOUNGE + SALÃO + COZINHA + GOURMET + ESPAÇO KIDS</t>
        </is>
      </c>
      <c r="F2278" s="118" t="n">
        <v>47134</v>
      </c>
      <c r="G2278" s="118" t="n">
        <v>47140</v>
      </c>
      <c r="H2278" s="118" t="n">
        <v>46289</v>
      </c>
      <c r="I2278" s="4" t="n">
        <v>0</v>
      </c>
      <c r="J2278" s="4" t="n">
        <v>0</v>
      </c>
      <c r="K2278" s="4" t="n">
        <v>0</v>
      </c>
      <c r="M2278" s="2">
        <f>IF(C2278="","",IFERROR(INDEX($S$5:$S$304,MATCH(C2278,$R$5:$R$304,0))&amp;"","?"))</f>
        <v/>
      </c>
      <c r="N2278" s="2">
        <f>IF(E2278="","",IF(LEFT(E2278,7)="SUBSOLO",-1,IF(LEFT(E2278,6)="TÉRREO",0,IFERROR(VALUE(LEFT(E2278,FIND("º",SUBSTITUTE(E2278,"°","º"))-1)),""))))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B2279" s="4" t="n">
        <v>30171656</v>
      </c>
      <c r="C2279" s="4" t="inlineStr">
        <is>
          <t>ACABAMENTOS ELÉTRICOS</t>
        </is>
      </c>
      <c r="D2279" s="4" t="inlineStr">
        <is>
          <t>-</t>
        </is>
      </c>
      <c r="E2279" s="4" t="inlineStr">
        <is>
          <t>CX DE ESCADA DE INCÊND.</t>
        </is>
      </c>
      <c r="F2279" s="118" t="n">
        <v>47134</v>
      </c>
      <c r="G2279" s="118" t="n">
        <v>47147</v>
      </c>
      <c r="H2279" s="118" t="n">
        <v>46289</v>
      </c>
      <c r="I2279" s="4" t="n">
        <v>0</v>
      </c>
      <c r="J2279" s="4" t="n">
        <v>0</v>
      </c>
      <c r="K2279" s="4" t="n">
        <v>0</v>
      </c>
      <c r="M2279" s="2">
        <f>IF(C2279="","",IFERROR(INDEX($S$5:$S$304,MATCH(C2279,$R$5:$R$304,0))&amp;"","?"))</f>
        <v/>
      </c>
      <c r="N2279" s="2">
        <f>IF(E2279="","",IF(LEFT(E2279,7)="SUBSOLO",-1,IF(LEFT(E2279,6)="TÉRREO",0,IFERROR(VALUE(LEFT(E2279,FIND("º",SUBSTITUTE(E2279,"°","º"))-1)),""))))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B2280" s="4" t="n">
        <v>33807240</v>
      </c>
      <c r="C2280" s="4" t="inlineStr">
        <is>
          <t>VISTORIA APTOS</t>
        </is>
      </c>
      <c r="D2280" s="4" t="inlineStr">
        <is>
          <t>-</t>
        </is>
      </c>
      <c r="E2280" s="4" t="inlineStr">
        <is>
          <t>9º PAV.</t>
        </is>
      </c>
      <c r="F2280" s="118" t="n">
        <v>47134</v>
      </c>
      <c r="G2280" s="118" t="n">
        <v>47136</v>
      </c>
      <c r="H2280" s="118" t="n">
        <v>46289</v>
      </c>
      <c r="I2280" s="4" t="n">
        <v>0</v>
      </c>
      <c r="J2280" s="4" t="n">
        <v>0</v>
      </c>
      <c r="K2280" s="4" t="n">
        <v>0</v>
      </c>
      <c r="M2280" s="2">
        <f>IF(C2280="","",IFERROR(INDEX($S$5:$S$304,MATCH(C2280,$R$5:$R$304,0))&amp;"","?"))</f>
        <v/>
      </c>
      <c r="N2280" s="2">
        <f>IF(E2280="","",IF(LEFT(E2280,7)="SUBSOLO",-1,IF(LEFT(E2280,6)="TÉRREO",0,IFERROR(VALUE(LEFT(E2280,FIND("º",SUBSTITUTE(E2280,"°","º"))-1)),""))))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B2281" s="4" t="n">
        <v>29981374</v>
      </c>
      <c r="C2281" s="4" t="inlineStr">
        <is>
          <t>CHECKLIST FINAL</t>
        </is>
      </c>
      <c r="D2281" s="4" t="inlineStr">
        <is>
          <t>-</t>
        </is>
      </c>
      <c r="E2281" s="4" t="inlineStr">
        <is>
          <t>12º PAV.</t>
        </is>
      </c>
      <c r="F2281" s="118" t="n">
        <v>47134</v>
      </c>
      <c r="G2281" s="118" t="n">
        <v>47144</v>
      </c>
      <c r="H2281" s="118" t="n">
        <v>46289</v>
      </c>
      <c r="I2281" s="4" t="n">
        <v>0</v>
      </c>
      <c r="J2281" s="4" t="n">
        <v>0</v>
      </c>
      <c r="K2281" s="4" t="n">
        <v>0</v>
      </c>
      <c r="M2281" s="2">
        <f>IF(C2281="","",IFERROR(INDEX($S$5:$S$304,MATCH(C2281,$R$5:$R$304,0))&amp;"","?"))</f>
        <v/>
      </c>
      <c r="N2281" s="2">
        <f>IF(E2281="","",IF(LEFT(E2281,7)="SUBSOLO",-1,IF(LEFT(E2281,6)="TÉRREO",0,IFERROR(VALUE(LEFT(E2281,FIND("º",SUBSTITUTE(E2281,"°","º"))-1)),""))))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B2282" s="4" t="n">
        <v>29980847</v>
      </c>
      <c r="C2282" s="4" t="inlineStr">
        <is>
          <t>LIMPEZA FINA</t>
        </is>
      </c>
      <c r="D2282" s="4" t="inlineStr">
        <is>
          <t>-</t>
        </is>
      </c>
      <c r="E2282" s="4" t="inlineStr">
        <is>
          <t>26º PAV.</t>
        </is>
      </c>
      <c r="F2282" s="118" t="n">
        <v>47134</v>
      </c>
      <c r="G2282" s="118" t="n">
        <v>47144</v>
      </c>
      <c r="H2282" s="118" t="n">
        <v>46289</v>
      </c>
      <c r="I2282" s="4" t="n">
        <v>0</v>
      </c>
      <c r="J2282" s="4" t="n">
        <v>0</v>
      </c>
      <c r="K2282" s="4" t="n">
        <v>0</v>
      </c>
      <c r="M2282" s="2">
        <f>IF(C2282="","",IFERROR(INDEX($S$5:$S$304,MATCH(C2282,$R$5:$R$304,0))&amp;"","?"))</f>
        <v/>
      </c>
      <c r="N2282" s="2">
        <f>IF(E2282="","",IF(LEFT(E2282,7)="SUBSOLO",-1,IF(LEFT(E2282,6)="TÉRREO",0,IFERROR(VALUE(LEFT(E2282,FIND("º",SUBSTITUTE(E2282,"°","º"))-1)),""))))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B2283" s="4" t="n">
        <v>29980800</v>
      </c>
      <c r="C2283" s="4" t="inlineStr">
        <is>
          <t>PINTURA 3º DEMÃO</t>
        </is>
      </c>
      <c r="D2283" s="4" t="inlineStr">
        <is>
          <t>-</t>
        </is>
      </c>
      <c r="E2283" s="4" t="inlineStr">
        <is>
          <t>27º PAV.</t>
        </is>
      </c>
      <c r="F2283" s="118" t="n">
        <v>47134</v>
      </c>
      <c r="G2283" s="118" t="n">
        <v>47144</v>
      </c>
      <c r="H2283" s="118" t="n">
        <v>46289</v>
      </c>
      <c r="I2283" s="4" t="n">
        <v>0</v>
      </c>
      <c r="J2283" s="4" t="n">
        <v>0</v>
      </c>
      <c r="K2283" s="4" t="n">
        <v>0</v>
      </c>
      <c r="M2283" s="2">
        <f>IF(C2283="","",IFERROR(INDEX($S$5:$S$304,MATCH(C2283,$R$5:$R$304,0))&amp;"","?"))</f>
        <v/>
      </c>
      <c r="N2283" s="2">
        <f>IF(E2283="","",IF(LEFT(E2283,7)="SUBSOLO",-1,IF(LEFT(E2283,6)="TÉRREO",0,IFERROR(VALUE(LEFT(E2283,FIND("º",SUBSTITUTE(E2283,"°","º"))-1)),""))))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B2284" s="4" t="n">
        <v>33807241</v>
      </c>
      <c r="C2284" s="4" t="inlineStr">
        <is>
          <t>VISTORIA APTOS</t>
        </is>
      </c>
      <c r="D2284" s="4" t="inlineStr">
        <is>
          <t>-</t>
        </is>
      </c>
      <c r="E2284" s="4" t="inlineStr">
        <is>
          <t>10º PAV.</t>
        </is>
      </c>
      <c r="F2284" s="118" t="n">
        <v>47137</v>
      </c>
      <c r="G2284" s="118" t="n">
        <v>47141</v>
      </c>
      <c r="H2284" s="118" t="n">
        <v>46289</v>
      </c>
      <c r="I2284" s="4" t="n">
        <v>0</v>
      </c>
      <c r="J2284" s="4" t="n">
        <v>0</v>
      </c>
      <c r="K2284" s="4" t="n">
        <v>0</v>
      </c>
      <c r="M2284" s="2">
        <f>IF(C2284="","",IFERROR(INDEX($S$5:$S$304,MATCH(C2284,$R$5:$R$304,0))&amp;"","?"))</f>
        <v/>
      </c>
      <c r="N2284" s="2">
        <f>IF(E2284="","",IF(LEFT(E2284,7)="SUBSOLO",-1,IF(LEFT(E2284,6)="TÉRREO",0,IFERROR(VALUE(LEFT(E2284,FIND("º",SUBSTITUTE(E2284,"°","º"))-1)),""))))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B2285" s="4" t="n">
        <v>29981337</v>
      </c>
      <c r="C2285" s="4" t="inlineStr">
        <is>
          <t>CHECKLIST FINAL</t>
        </is>
      </c>
      <c r="D2285" s="4" t="inlineStr">
        <is>
          <t>-</t>
        </is>
      </c>
      <c r="E2285" s="4" t="inlineStr">
        <is>
          <t>13º PAV.</t>
        </is>
      </c>
      <c r="F2285" s="118" t="n">
        <v>47137</v>
      </c>
      <c r="G2285" s="118" t="n">
        <v>47149</v>
      </c>
      <c r="H2285" s="118" t="n">
        <v>46289</v>
      </c>
      <c r="I2285" s="4" t="n">
        <v>0</v>
      </c>
      <c r="J2285" s="4" t="n">
        <v>0</v>
      </c>
      <c r="K2285" s="4" t="n">
        <v>0</v>
      </c>
      <c r="M2285" s="2">
        <f>IF(C2285="","",IFERROR(INDEX($S$5:$S$304,MATCH(C2285,$R$5:$R$304,0))&amp;"","?"))</f>
        <v/>
      </c>
      <c r="N2285" s="2">
        <f>IF(E2285="","",IF(LEFT(E2285,7)="SUBSOLO",-1,IF(LEFT(E2285,6)="TÉRREO",0,IFERROR(VALUE(LEFT(E2285,FIND("º",SUBSTITUTE(E2285,"°","º"))-1)),""))))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B2286" s="4" t="n">
        <v>29980762</v>
      </c>
      <c r="C2286" s="4" t="inlineStr">
        <is>
          <t>CHECKLIST</t>
        </is>
      </c>
      <c r="D2286" s="4" t="inlineStr">
        <is>
          <t>-</t>
        </is>
      </c>
      <c r="E2286" s="4" t="inlineStr">
        <is>
          <t>28º PAV.</t>
        </is>
      </c>
      <c r="F2286" s="118" t="n">
        <v>47140</v>
      </c>
      <c r="G2286" s="118" t="n">
        <v>47144</v>
      </c>
      <c r="H2286" s="118" t="n">
        <v>46289</v>
      </c>
      <c r="I2286" s="4" t="n">
        <v>0</v>
      </c>
      <c r="J2286" s="4" t="n">
        <v>0</v>
      </c>
      <c r="K2286" s="4" t="n">
        <v>0</v>
      </c>
      <c r="M2286" s="2">
        <f>IF(C2286="","",IFERROR(INDEX($S$5:$S$304,MATCH(C2286,$R$5:$R$304,0))&amp;"","?"))</f>
        <v/>
      </c>
      <c r="N2286" s="2">
        <f>IF(E2286="","",IF(LEFT(E2286,7)="SUBSOLO",-1,IF(LEFT(E2286,6)="TÉRREO",0,IFERROR(VALUE(LEFT(E2286,FIND("º",SUBSTITUTE(E2286,"°","º"))-1)),""))))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B2287" s="4" t="n">
        <v>29980727</v>
      </c>
      <c r="C2287" s="4" t="inlineStr">
        <is>
          <t>ACABAMENTOS ELÉTRICOS</t>
        </is>
      </c>
      <c r="D2287" s="4" t="inlineStr">
        <is>
          <t>-</t>
        </is>
      </c>
      <c r="E2287" s="4" t="inlineStr">
        <is>
          <t>29º PAV.</t>
        </is>
      </c>
      <c r="F2287" s="118" t="n">
        <v>47140</v>
      </c>
      <c r="G2287" s="118" t="n">
        <v>47150</v>
      </c>
      <c r="H2287" s="118" t="n">
        <v>46289</v>
      </c>
      <c r="I2287" s="4" t="n">
        <v>0</v>
      </c>
      <c r="J2287" s="4" t="n">
        <v>0</v>
      </c>
      <c r="K2287" s="4" t="n">
        <v>0</v>
      </c>
      <c r="M2287" s="2">
        <f>IF(C2287="","",IFERROR(INDEX($S$5:$S$304,MATCH(C2287,$R$5:$R$304,0))&amp;"","?"))</f>
        <v/>
      </c>
      <c r="N2287" s="2">
        <f>IF(E2287="","",IF(LEFT(E2287,7)="SUBSOLO",-1,IF(LEFT(E2287,6)="TÉRREO",0,IFERROR(VALUE(LEFT(E2287,FIND("º",SUBSTITUTE(E2287,"°","º"))-1)),""))))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B2288" s="4" t="n">
        <v>29980687</v>
      </c>
      <c r="C2288" s="4" t="inlineStr">
        <is>
          <t>PINTURA 2º DEMÃO</t>
        </is>
      </c>
      <c r="D2288" s="4" t="inlineStr">
        <is>
          <t>-</t>
        </is>
      </c>
      <c r="E2288" s="4" t="inlineStr">
        <is>
          <t>30º PAV.</t>
        </is>
      </c>
      <c r="F2288" s="118" t="n">
        <v>47140</v>
      </c>
      <c r="G2288" s="118" t="n">
        <v>47150</v>
      </c>
      <c r="H2288" s="118" t="n">
        <v>46289</v>
      </c>
      <c r="I2288" s="4" t="n">
        <v>0</v>
      </c>
      <c r="J2288" s="4" t="n">
        <v>0</v>
      </c>
      <c r="K2288" s="4" t="n">
        <v>0</v>
      </c>
      <c r="M2288" s="2">
        <f>IF(C2288="","",IFERROR(INDEX($S$5:$S$304,MATCH(C2288,$R$5:$R$304,0))&amp;"","?"))</f>
        <v/>
      </c>
      <c r="N2288" s="2">
        <f>IF(E2288="","",IF(LEFT(E2288,7)="SUBSOLO",-1,IF(LEFT(E2288,6)="TÉRREO",0,IFERROR(VALUE(LEFT(E2288,FIND("º",SUBSTITUTE(E2288,"°","º"))-1)),""))))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B2289" s="4" t="n">
        <v>33919807</v>
      </c>
      <c r="C2289" s="4" t="inlineStr">
        <is>
          <t>TEXTURA - EXTERNA</t>
        </is>
      </c>
      <c r="D2289" s="4" t="inlineStr">
        <is>
          <t>-</t>
        </is>
      </c>
      <c r="E2289" s="4" t="inlineStr">
        <is>
          <t>30º PAV.</t>
        </is>
      </c>
      <c r="F2289" s="118" t="n">
        <v>47140</v>
      </c>
      <c r="G2289" s="118" t="n">
        <v>47150</v>
      </c>
      <c r="H2289" s="118" t="n">
        <v>46289</v>
      </c>
      <c r="I2289" s="4" t="n">
        <v>0</v>
      </c>
      <c r="J2289" s="4" t="n">
        <v>0</v>
      </c>
      <c r="K2289" s="4" t="n">
        <v>0</v>
      </c>
      <c r="M2289" s="2">
        <f>IF(C2289="","",IFERROR(INDEX($S$5:$S$304,MATCH(C2289,$R$5:$R$304,0))&amp;"","?"))</f>
        <v/>
      </c>
      <c r="N2289" s="2">
        <f>IF(E2289="","",IF(LEFT(E2289,7)="SUBSOLO",-1,IF(LEFT(E2289,6)="TÉRREO",0,IFERROR(VALUE(LEFT(E2289,FIND("º",SUBSTITUTE(E2289,"°","º"))-1)),""))))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B2290" s="4" t="n">
        <v>29980649</v>
      </c>
      <c r="C2290" s="4" t="inlineStr">
        <is>
          <t>LIMPEZA GROSSA</t>
        </is>
      </c>
      <c r="D2290" s="4" t="inlineStr">
        <is>
          <t>-</t>
        </is>
      </c>
      <c r="E2290" s="4" t="inlineStr">
        <is>
          <t>31º PAV. - COBERTURA LINEAR</t>
        </is>
      </c>
      <c r="F2290" s="118" t="n">
        <v>47140</v>
      </c>
      <c r="G2290" s="118" t="n">
        <v>47150</v>
      </c>
      <c r="H2290" s="118" t="n">
        <v>46289</v>
      </c>
      <c r="I2290" s="4" t="n">
        <v>0</v>
      </c>
      <c r="J2290" s="4" t="n">
        <v>0</v>
      </c>
      <c r="K2290" s="4" t="n">
        <v>0</v>
      </c>
      <c r="M2290" s="2">
        <f>IF(C2290="","",IFERROR(INDEX($S$5:$S$304,MATCH(C2290,$R$5:$R$304,0))&amp;"","?"))</f>
        <v/>
      </c>
      <c r="N2290" s="2">
        <f>IF(E2290="","",IF(LEFT(E2290,7)="SUBSOLO",-1,IF(LEFT(E2290,6)="TÉRREO",0,IFERROR(VALUE(LEFT(E2290,FIND("º",SUBSTITUTE(E2290,"°","º"))-1)),""))))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B2291" s="4" t="n">
        <v>29980606</v>
      </c>
      <c r="C2291" s="4" t="inlineStr">
        <is>
          <t>LOUÇAS</t>
        </is>
      </c>
      <c r="D2291" s="4" t="inlineStr">
        <is>
          <t>-</t>
        </is>
      </c>
      <c r="E2291" s="4" t="inlineStr">
        <is>
          <t>32º PAV - COBERTURA GERAL</t>
        </is>
      </c>
      <c r="F2291" s="118" t="n">
        <v>47140</v>
      </c>
      <c r="G2291" s="118" t="n">
        <v>47150</v>
      </c>
      <c r="H2291" s="118" t="n">
        <v>46289</v>
      </c>
      <c r="I2291" s="4" t="n">
        <v>0</v>
      </c>
      <c r="J2291" s="4" t="n">
        <v>0</v>
      </c>
      <c r="K2291" s="4" t="n">
        <v>0</v>
      </c>
      <c r="M2291" s="2">
        <f>IF(C2291="","",IFERROR(INDEX($S$5:$S$304,MATCH(C2291,$R$5:$R$304,0))&amp;"","?"))</f>
        <v/>
      </c>
      <c r="N2291" s="2">
        <f>IF(E2291="","",IF(LEFT(E2291,7)="SUBSOLO",-1,IF(LEFT(E2291,6)="TÉRREO",0,IFERROR(VALUE(LEFT(E2291,FIND("º",SUBSTITUTE(E2291,"°","º"))-1)),""))))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B2292" s="4" t="n">
        <v>29980611</v>
      </c>
      <c r="C2292" s="4" t="inlineStr">
        <is>
          <t>METAIS</t>
        </is>
      </c>
      <c r="D2292" s="4" t="inlineStr">
        <is>
          <t>-</t>
        </is>
      </c>
      <c r="E2292" s="4" t="inlineStr">
        <is>
          <t>32º PAV - COBERTURA GERAL</t>
        </is>
      </c>
      <c r="F2292" s="118" t="n">
        <v>47140</v>
      </c>
      <c r="G2292" s="118" t="n">
        <v>47150</v>
      </c>
      <c r="H2292" s="118" t="n">
        <v>46289</v>
      </c>
      <c r="I2292" s="4" t="n">
        <v>0</v>
      </c>
      <c r="J2292" s="4" t="n">
        <v>0</v>
      </c>
      <c r="K2292" s="4" t="n">
        <v>0</v>
      </c>
      <c r="M2292" s="2">
        <f>IF(C2292="","",IFERROR(INDEX($S$5:$S$304,MATCH(C2292,$R$5:$R$304,0))&amp;"","?"))</f>
        <v/>
      </c>
      <c r="N2292" s="2">
        <f>IF(E2292="","",IF(LEFT(E2292,7)="SUBSOLO",-1,IF(LEFT(E2292,6)="TÉRREO",0,IFERROR(VALUE(LEFT(E2292,FIND("º",SUBSTITUTE(E2292,"°","º"))-1)),""))))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B2293" s="4" t="n">
        <v>29980610</v>
      </c>
      <c r="C2293" s="4" t="inlineStr">
        <is>
          <t>DISJUNTORES / MIOLOS</t>
        </is>
      </c>
      <c r="D2293" s="4" t="inlineStr">
        <is>
          <t>-</t>
        </is>
      </c>
      <c r="E2293" s="4" t="inlineStr">
        <is>
          <t>32º PAV - COBERTURA GERAL</t>
        </is>
      </c>
      <c r="F2293" s="118" t="n">
        <v>47140</v>
      </c>
      <c r="G2293" s="118" t="n">
        <v>47150</v>
      </c>
      <c r="H2293" s="118" t="n">
        <v>46289</v>
      </c>
      <c r="I2293" s="4" t="n">
        <v>0</v>
      </c>
      <c r="J2293" s="4" t="n">
        <v>0</v>
      </c>
      <c r="K2293" s="4" t="n">
        <v>0</v>
      </c>
      <c r="M2293" s="2">
        <f>IF(C2293="","",IFERROR(INDEX($S$5:$S$304,MATCH(C2293,$R$5:$R$304,0))&amp;"","?"))</f>
        <v/>
      </c>
      <c r="N2293" s="2">
        <f>IF(E2293="","",IF(LEFT(E2293,7)="SUBSOLO",-1,IF(LEFT(E2293,6)="TÉRREO",0,IFERROR(VALUE(LEFT(E2293,FIND("º",SUBSTITUTE(E2293,"°","º"))-1)),""))))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B2294" s="4" t="n">
        <v>29980609</v>
      </c>
      <c r="C2294" s="4" t="inlineStr">
        <is>
          <t>COMUNICAÇÃO E ALARME</t>
        </is>
      </c>
      <c r="D2294" s="4" t="inlineStr">
        <is>
          <t>-</t>
        </is>
      </c>
      <c r="E2294" s="4" t="inlineStr">
        <is>
          <t>32º PAV - COBERTURA GERAL</t>
        </is>
      </c>
      <c r="F2294" s="118" t="n">
        <v>47140</v>
      </c>
      <c r="G2294" s="118" t="n">
        <v>47150</v>
      </c>
      <c r="H2294" s="118" t="n">
        <v>46289</v>
      </c>
      <c r="I2294" s="4" t="n">
        <v>0</v>
      </c>
      <c r="J2294" s="4" t="n">
        <v>0</v>
      </c>
      <c r="K2294" s="4" t="n">
        <v>0</v>
      </c>
      <c r="M2294" s="2">
        <f>IF(C2294="","",IFERROR(INDEX($S$5:$S$304,MATCH(C2294,$R$5:$R$304,0))&amp;"","?"))</f>
        <v/>
      </c>
      <c r="N2294" s="2">
        <f>IF(E2294="","",IF(LEFT(E2294,7)="SUBSOLO",-1,IF(LEFT(E2294,6)="TÉRREO",0,IFERROR(VALUE(LEFT(E2294,FIND("º",SUBSTITUTE(E2294,"°","º"))-1)),""))))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B2295" s="4" t="n">
        <v>30206058</v>
      </c>
      <c r="C2295" s="4" t="inlineStr">
        <is>
          <t>CHECKLIST FINAL</t>
        </is>
      </c>
      <c r="D2295" s="4" t="inlineStr">
        <is>
          <t>-</t>
        </is>
      </c>
      <c r="E2295" s="4" t="inlineStr">
        <is>
          <t>6º PAV (PILOTIS) - CHURRASQUEIRA + IS MASC. PCD + IS FEM. PCD + CIRCULAÇÃO 1 + HALL 1</t>
        </is>
      </c>
      <c r="F2295" s="118" t="n">
        <v>47141</v>
      </c>
      <c r="G2295" s="118" t="n">
        <v>47154</v>
      </c>
      <c r="H2295" s="118" t="n">
        <v>46289</v>
      </c>
      <c r="I2295" s="4" t="n">
        <v>0</v>
      </c>
      <c r="J2295" s="4" t="n">
        <v>0</v>
      </c>
      <c r="K2295" s="4" t="n">
        <v>0</v>
      </c>
      <c r="M2295" s="2">
        <f>IF(C2295="","",IFERROR(INDEX($S$5:$S$304,MATCH(C2295,$R$5:$R$304,0))&amp;"","?"))</f>
        <v/>
      </c>
      <c r="N2295" s="2">
        <f>IF(E2295="","",IF(LEFT(E2295,7)="SUBSOLO",-1,IF(LEFT(E2295,6)="TÉRREO",0,IFERROR(VALUE(LEFT(E2295,FIND("º",SUBSTITUTE(E2295,"°","º"))-1)),""))))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B2296" s="4" t="n">
        <v>30206015</v>
      </c>
      <c r="C2296" s="4" t="inlineStr">
        <is>
          <t>LIMPEZA FINA</t>
        </is>
      </c>
      <c r="D2296" s="4" t="inlineStr">
        <is>
          <t>-</t>
        </is>
      </c>
      <c r="E2296" s="4" t="inlineStr">
        <is>
          <t>6º PAV (PILOTIS) - COWORKING 1 E 2 + CIRC. 2 + HALL 2 + DML + VEST. MASC. + VEST. FEM</t>
        </is>
      </c>
      <c r="F2296" s="118" t="n">
        <v>47141</v>
      </c>
      <c r="G2296" s="118" t="n">
        <v>47154</v>
      </c>
      <c r="H2296" s="118" t="n">
        <v>46289</v>
      </c>
      <c r="I2296" s="4" t="n">
        <v>0</v>
      </c>
      <c r="J2296" s="4" t="n">
        <v>0</v>
      </c>
      <c r="K2296" s="4" t="n">
        <v>0</v>
      </c>
      <c r="M2296" s="2">
        <f>IF(C2296="","",IFERROR(INDEX($S$5:$S$304,MATCH(C2296,$R$5:$R$304,0))&amp;"","?"))</f>
        <v/>
      </c>
      <c r="N2296" s="2">
        <f>IF(E2296="","",IF(LEFT(E2296,7)="SUBSOLO",-1,IF(LEFT(E2296,6)="TÉRREO",0,IFERROR(VALUE(LEFT(E2296,FIND("º",SUBSTITUTE(E2296,"°","º"))-1)),""))))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B2297" s="4" t="n">
        <v>30205968</v>
      </c>
      <c r="C2297" s="4" t="inlineStr">
        <is>
          <t>PINTURA 3º DEMÃO</t>
        </is>
      </c>
      <c r="D2297" s="4" t="inlineStr">
        <is>
          <t>-</t>
        </is>
      </c>
      <c r="E2297" s="4" t="inlineStr">
        <is>
          <t>6º PAV (PILOTIS) - LOUNGE + SALÃO + COZINHA + GOURMET + ESPAÇO KIDS</t>
        </is>
      </c>
      <c r="F2297" s="118" t="n">
        <v>47141</v>
      </c>
      <c r="G2297" s="118" t="n">
        <v>47154</v>
      </c>
      <c r="H2297" s="118" t="n">
        <v>46289</v>
      </c>
      <c r="I2297" s="4" t="n">
        <v>0</v>
      </c>
      <c r="J2297" s="4" t="n">
        <v>0</v>
      </c>
      <c r="K2297" s="4" t="n">
        <v>0</v>
      </c>
      <c r="M2297" s="2">
        <f>IF(C2297="","",IFERROR(INDEX($S$5:$S$304,MATCH(C2297,$R$5:$R$304,0))&amp;"","?"))</f>
        <v/>
      </c>
      <c r="N2297" s="2">
        <f>IF(E2297="","",IF(LEFT(E2297,7)="SUBSOLO",-1,IF(LEFT(E2297,6)="TÉRREO",0,IFERROR(VALUE(LEFT(E2297,FIND("º",SUBSTITUTE(E2297,"°","º"))-1)),""))))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B2298" s="4" t="n">
        <v>33807242</v>
      </c>
      <c r="C2298" s="4" t="inlineStr">
        <is>
          <t>VISTORIA APTOS</t>
        </is>
      </c>
      <c r="D2298" s="4" t="inlineStr">
        <is>
          <t>-</t>
        </is>
      </c>
      <c r="E2298" s="4" t="inlineStr">
        <is>
          <t>11º PAV.</t>
        </is>
      </c>
      <c r="F2298" s="118" t="n">
        <v>47142</v>
      </c>
      <c r="G2298" s="118" t="n">
        <v>47144</v>
      </c>
      <c r="H2298" s="118" t="n">
        <v>46289</v>
      </c>
      <c r="I2298" s="4" t="n">
        <v>0</v>
      </c>
      <c r="J2298" s="4" t="n">
        <v>0</v>
      </c>
      <c r="K2298" s="4" t="n">
        <v>0</v>
      </c>
      <c r="M2298" s="2">
        <f>IF(C2298="","",IFERROR(INDEX($S$5:$S$304,MATCH(C2298,$R$5:$R$304,0))&amp;"","?"))</f>
        <v/>
      </c>
      <c r="N2298" s="2">
        <f>IF(E2298="","",IF(LEFT(E2298,7)="SUBSOLO",-1,IF(LEFT(E2298,6)="TÉRREO",0,IFERROR(VALUE(LEFT(E2298,FIND("º",SUBSTITUTE(E2298,"°","º"))-1)),""))))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B2299" s="4" t="n">
        <v>29981300</v>
      </c>
      <c r="C2299" s="4" t="inlineStr">
        <is>
          <t>CHECKLIST FINAL</t>
        </is>
      </c>
      <c r="D2299" s="4" t="inlineStr">
        <is>
          <t>-</t>
        </is>
      </c>
      <c r="E2299" s="4" t="inlineStr">
        <is>
          <t>14º PAV.</t>
        </is>
      </c>
      <c r="F2299" s="118" t="n">
        <v>47142</v>
      </c>
      <c r="G2299" s="118" t="n">
        <v>47154</v>
      </c>
      <c r="H2299" s="118" t="n">
        <v>46289</v>
      </c>
      <c r="I2299" s="4" t="n">
        <v>0</v>
      </c>
      <c r="J2299" s="4" t="n">
        <v>0</v>
      </c>
      <c r="K2299" s="4" t="n">
        <v>0</v>
      </c>
      <c r="M2299" s="2">
        <f>IF(C2299="","",IFERROR(INDEX($S$5:$S$304,MATCH(C2299,$R$5:$R$304,0))&amp;"","?"))</f>
        <v/>
      </c>
      <c r="N2299" s="2">
        <f>IF(E2299="","",IF(LEFT(E2299,7)="SUBSOLO",-1,IF(LEFT(E2299,6)="TÉRREO",0,IFERROR(VALUE(LEFT(E2299,FIND("º",SUBSTITUTE(E2299,"°","º"))-1)),""))))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B2300" s="4" t="n">
        <v>29981087</v>
      </c>
      <c r="C2300" s="4" t="inlineStr">
        <is>
          <t>LOUÇAS</t>
        </is>
      </c>
      <c r="D2300" s="4" t="inlineStr">
        <is>
          <t>-</t>
        </is>
      </c>
      <c r="E2300" s="4" t="inlineStr">
        <is>
          <t>19º PAV.</t>
        </is>
      </c>
      <c r="F2300" s="118" t="n">
        <v>47142</v>
      </c>
      <c r="G2300" s="118" t="n">
        <v>47154</v>
      </c>
      <c r="H2300" s="118" t="n">
        <v>46289</v>
      </c>
      <c r="I2300" s="4" t="n">
        <v>0</v>
      </c>
      <c r="J2300" s="4" t="n">
        <v>0</v>
      </c>
      <c r="K2300" s="4" t="n">
        <v>0</v>
      </c>
      <c r="M2300" s="2">
        <f>IF(C2300="","",IFERROR(INDEX($S$5:$S$304,MATCH(C2300,$R$5:$R$304,0))&amp;"","?"))</f>
        <v/>
      </c>
      <c r="N2300" s="2">
        <f>IF(E2300="","",IF(LEFT(E2300,7)="SUBSOLO",-1,IF(LEFT(E2300,6)="TÉRREO",0,IFERROR(VALUE(LEFT(E2300,FIND("º",SUBSTITUTE(E2300,"°","º"))-1)),""))))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B2301" s="4" t="n">
        <v>29981092</v>
      </c>
      <c r="C2301" s="4" t="inlineStr">
        <is>
          <t>METAIS</t>
        </is>
      </c>
      <c r="D2301" s="4" t="inlineStr">
        <is>
          <t>-</t>
        </is>
      </c>
      <c r="E2301" s="4" t="inlineStr">
        <is>
          <t>19º PAV.</t>
        </is>
      </c>
      <c r="F2301" s="118" t="n">
        <v>47142</v>
      </c>
      <c r="G2301" s="118" t="n">
        <v>47154</v>
      </c>
      <c r="H2301" s="118" t="n">
        <v>46289</v>
      </c>
      <c r="I2301" s="4" t="n">
        <v>0</v>
      </c>
      <c r="J2301" s="4" t="n">
        <v>0</v>
      </c>
      <c r="K2301" s="4" t="n">
        <v>0</v>
      </c>
      <c r="M2301" s="2">
        <f>IF(C2301="","",IFERROR(INDEX($S$5:$S$304,MATCH(C2301,$R$5:$R$304,0))&amp;"","?"))</f>
        <v/>
      </c>
      <c r="N2301" s="2">
        <f>IF(E2301="","",IF(LEFT(E2301,7)="SUBSOLO",-1,IF(LEFT(E2301,6)="TÉRREO",0,IFERROR(VALUE(LEFT(E2301,FIND("º",SUBSTITUTE(E2301,"°","º"))-1)),""))))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B2302" s="4" t="n">
        <v>29981091</v>
      </c>
      <c r="C2302" s="4" t="inlineStr">
        <is>
          <t>DISJUNTORES / MIOLOS</t>
        </is>
      </c>
      <c r="D2302" s="4" t="inlineStr">
        <is>
          <t>-</t>
        </is>
      </c>
      <c r="E2302" s="4" t="inlineStr">
        <is>
          <t>19º PAV.</t>
        </is>
      </c>
      <c r="F2302" s="118" t="n">
        <v>47142</v>
      </c>
      <c r="G2302" s="118" t="n">
        <v>47154</v>
      </c>
      <c r="H2302" s="118" t="n">
        <v>46289</v>
      </c>
      <c r="I2302" s="4" t="n">
        <v>0</v>
      </c>
      <c r="J2302" s="4" t="n">
        <v>0</v>
      </c>
      <c r="K2302" s="4" t="n">
        <v>0</v>
      </c>
      <c r="M2302" s="2">
        <f>IF(C2302="","",IFERROR(INDEX($S$5:$S$304,MATCH(C2302,$R$5:$R$304,0))&amp;"","?"))</f>
        <v/>
      </c>
      <c r="N2302" s="2">
        <f>IF(E2302="","",IF(LEFT(E2302,7)="SUBSOLO",-1,IF(LEFT(E2302,6)="TÉRREO",0,IFERROR(VALUE(LEFT(E2302,FIND("º",SUBSTITUTE(E2302,"°","º"))-1)),""))))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B2303" s="4" t="n">
        <v>29981090</v>
      </c>
      <c r="C2303" s="4" t="inlineStr">
        <is>
          <t>COMUNICAÇÃO E ALARME</t>
        </is>
      </c>
      <c r="D2303" s="4" t="inlineStr">
        <is>
          <t>-</t>
        </is>
      </c>
      <c r="E2303" s="4" t="inlineStr">
        <is>
          <t>19º PAV.</t>
        </is>
      </c>
      <c r="F2303" s="118" t="n">
        <v>47142</v>
      </c>
      <c r="G2303" s="118" t="n">
        <v>47154</v>
      </c>
      <c r="H2303" s="118" t="n">
        <v>46289</v>
      </c>
      <c r="I2303" s="4" t="n">
        <v>0</v>
      </c>
      <c r="J2303" s="4" t="n">
        <v>0</v>
      </c>
      <c r="K2303" s="4" t="n">
        <v>0</v>
      </c>
      <c r="M2303" s="2">
        <f>IF(C2303="","",IFERROR(INDEX($S$5:$S$304,MATCH(C2303,$R$5:$R$304,0))&amp;"","?"))</f>
        <v/>
      </c>
      <c r="N2303" s="2">
        <f>IF(E2303="","",IF(LEFT(E2303,7)="SUBSOLO",-1,IF(LEFT(E2303,6)="TÉRREO",0,IFERROR(VALUE(LEFT(E2303,FIND("º",SUBSTITUTE(E2303,"°","º"))-1)),""))))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B2304" s="4" t="n">
        <v>30205927</v>
      </c>
      <c r="C2304" s="4" t="inlineStr">
        <is>
          <t>LIMPEZA</t>
        </is>
      </c>
      <c r="D2304" s="4" t="inlineStr">
        <is>
          <t>-</t>
        </is>
      </c>
      <c r="E2304" s="4" t="inlineStr">
        <is>
          <t>6º PAV (PILOTIS) - PLAYGROUND + TERRAÇO DESCOBERTO + QUADRA DE RECREAÇÃO</t>
        </is>
      </c>
      <c r="F2304" s="118" t="n">
        <v>47144</v>
      </c>
      <c r="G2304" s="118" t="n">
        <v>47164</v>
      </c>
      <c r="H2304" s="118" t="n">
        <v>46289</v>
      </c>
      <c r="I2304" s="4" t="n">
        <v>0</v>
      </c>
      <c r="J2304" s="4" t="n">
        <v>0</v>
      </c>
      <c r="K2304" s="4" t="n">
        <v>0</v>
      </c>
      <c r="M2304" s="2">
        <f>IF(C2304="","",IFERROR(INDEX($S$5:$S$304,MATCH(C2304,$R$5:$R$304,0))&amp;"","?"))</f>
        <v/>
      </c>
      <c r="N2304" s="2">
        <f>IF(E2304="","",IF(LEFT(E2304,7)="SUBSOLO",-1,IF(LEFT(E2304,6)="TÉRREO",0,IFERROR(VALUE(LEFT(E2304,FIND("º",SUBSTITUTE(E2304,"°","º"))-1)),""))))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B2305" s="4" t="n">
        <v>30171423</v>
      </c>
      <c r="C2305" s="4" t="inlineStr">
        <is>
          <t>TEXTURA - 2º E 3º DEMÃO</t>
        </is>
      </c>
      <c r="D2305" s="4" t="inlineStr">
        <is>
          <t>-</t>
        </is>
      </c>
      <c r="E2305" s="4" t="inlineStr">
        <is>
          <t>4º PAV - GARAGEM</t>
        </is>
      </c>
      <c r="F2305" s="118" t="n">
        <v>47147</v>
      </c>
      <c r="G2305" s="118" t="n">
        <v>47158</v>
      </c>
      <c r="H2305" s="118" t="n">
        <v>46289</v>
      </c>
      <c r="I2305" s="4" t="n">
        <v>0</v>
      </c>
      <c r="J2305" s="4" t="n">
        <v>0</v>
      </c>
      <c r="K2305" s="4" t="n">
        <v>0</v>
      </c>
      <c r="M2305" s="2">
        <f>IF(C2305="","",IFERROR(INDEX($S$5:$S$304,MATCH(C2305,$R$5:$R$304,0))&amp;"","?"))</f>
        <v/>
      </c>
      <c r="N2305" s="2">
        <f>IF(E2305="","",IF(LEFT(E2305,7)="SUBSOLO",-1,IF(LEFT(E2305,6)="TÉRREO",0,IFERROR(VALUE(LEFT(E2305,FIND("º",SUBSTITUTE(E2305,"°","º"))-1)),""))))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B2306" s="4" t="n">
        <v>30171391</v>
      </c>
      <c r="C2306" s="4" t="inlineStr">
        <is>
          <t>ACABAMENTOS ELÉTRICOS</t>
        </is>
      </c>
      <c r="D2306" s="4" t="inlineStr">
        <is>
          <t>-</t>
        </is>
      </c>
      <c r="E2306" s="4" t="inlineStr">
        <is>
          <t>5º PAV - GARAGEM</t>
        </is>
      </c>
      <c r="F2306" s="118" t="n">
        <v>47147</v>
      </c>
      <c r="G2306" s="118" t="n">
        <v>47158</v>
      </c>
      <c r="H2306" s="118" t="n">
        <v>46289</v>
      </c>
      <c r="I2306" s="4" t="n">
        <v>0</v>
      </c>
      <c r="J2306" s="4" t="n">
        <v>0</v>
      </c>
      <c r="K2306" s="4" t="n">
        <v>0</v>
      </c>
      <c r="M2306" s="2">
        <f>IF(C2306="","",IFERROR(INDEX($S$5:$S$304,MATCH(C2306,$R$5:$R$304,0))&amp;"","?"))</f>
        <v/>
      </c>
      <c r="N2306" s="2">
        <f>IF(E2306="","",IF(LEFT(E2306,7)="SUBSOLO",-1,IF(LEFT(E2306,6)="TÉRREO",0,IFERROR(VALUE(LEFT(E2306,FIND("º",SUBSTITUTE(E2306,"°","º"))-1)),""))))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B2307" s="4" t="n">
        <v>30171390</v>
      </c>
      <c r="C2307" s="4" t="inlineStr">
        <is>
          <t>DEMARCAÇÃO DE VAGAS</t>
        </is>
      </c>
      <c r="D2307" s="4" t="inlineStr">
        <is>
          <t>-</t>
        </is>
      </c>
      <c r="E2307" s="4" t="inlineStr">
        <is>
          <t>5º PAV - GARAGEM</t>
        </is>
      </c>
      <c r="F2307" s="118" t="n">
        <v>47147</v>
      </c>
      <c r="G2307" s="118" t="n">
        <v>47172</v>
      </c>
      <c r="H2307" s="118" t="n">
        <v>46289</v>
      </c>
      <c r="I2307" s="4" t="n">
        <v>0</v>
      </c>
      <c r="J2307" s="4" t="n">
        <v>0</v>
      </c>
      <c r="K2307" s="4" t="n">
        <v>0</v>
      </c>
      <c r="M2307" s="2">
        <f>IF(C2307="","",IFERROR(INDEX($S$5:$S$304,MATCH(C2307,$R$5:$R$304,0))&amp;"","?"))</f>
        <v/>
      </c>
      <c r="N2307" s="2">
        <f>IF(E2307="","",IF(LEFT(E2307,7)="SUBSOLO",-1,IF(LEFT(E2307,6)="TÉRREO",0,IFERROR(VALUE(LEFT(E2307,FIND("º",SUBSTITUTE(E2307,"°","º"))-1)),""))))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B2308" s="4" t="n">
        <v>30171402</v>
      </c>
      <c r="C2308" s="4" t="inlineStr">
        <is>
          <t>INSTALAÇÃO DE METAIS</t>
        </is>
      </c>
      <c r="D2308" s="4" t="inlineStr">
        <is>
          <t>-</t>
        </is>
      </c>
      <c r="E2308" s="4" t="inlineStr">
        <is>
          <t>5º PAV - GARAGEM</t>
        </is>
      </c>
      <c r="F2308" s="118" t="n">
        <v>47147</v>
      </c>
      <c r="G2308" s="118" t="n">
        <v>47158</v>
      </c>
      <c r="H2308" s="118" t="n">
        <v>46289</v>
      </c>
      <c r="I2308" s="4" t="n">
        <v>0</v>
      </c>
      <c r="J2308" s="4" t="n">
        <v>0</v>
      </c>
      <c r="K2308" s="4" t="n">
        <v>0</v>
      </c>
      <c r="M2308" s="2">
        <f>IF(C2308="","",IFERROR(INDEX($S$5:$S$304,MATCH(C2308,$R$5:$R$304,0))&amp;"","?"))</f>
        <v/>
      </c>
      <c r="N2308" s="2">
        <f>IF(E2308="","",IF(LEFT(E2308,7)="SUBSOLO",-1,IF(LEFT(E2308,6)="TÉRREO",0,IFERROR(VALUE(LEFT(E2308,FIND("º",SUBSTITUTE(E2308,"°","º"))-1)),""))))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B2309" s="4" t="n">
        <v>30171403</v>
      </c>
      <c r="C2309" s="4" t="inlineStr">
        <is>
          <t>INST. CARREGADOR DE VEÍCULOS</t>
        </is>
      </c>
      <c r="D2309" s="4" t="inlineStr">
        <is>
          <t>-</t>
        </is>
      </c>
      <c r="E2309" s="4" t="inlineStr">
        <is>
          <t>5º PAV - GARAGEM</t>
        </is>
      </c>
      <c r="F2309" s="118" t="n">
        <v>47147</v>
      </c>
      <c r="G2309" s="118" t="n">
        <v>47158</v>
      </c>
      <c r="H2309" s="118" t="n">
        <v>46289</v>
      </c>
      <c r="I2309" s="4" t="n">
        <v>0</v>
      </c>
      <c r="J2309" s="4" t="n">
        <v>0</v>
      </c>
      <c r="K2309" s="4" t="n">
        <v>0</v>
      </c>
      <c r="M2309" s="2">
        <f>IF(C2309="","",IFERROR(INDEX($S$5:$S$304,MATCH(C2309,$R$5:$R$304,0))&amp;"","?"))</f>
        <v/>
      </c>
      <c r="N2309" s="2">
        <f>IF(E2309="","",IF(LEFT(E2309,7)="SUBSOLO",-1,IF(LEFT(E2309,6)="TÉRREO",0,IFERROR(VALUE(LEFT(E2309,FIND("º",SUBSTITUTE(E2309,"°","º"))-1)),""))))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B2310" s="4" t="n">
        <v>30171406</v>
      </c>
      <c r="C2310" s="4" t="inlineStr">
        <is>
          <t>PLACAS E IDEINTIFIC. VISUAIS</t>
        </is>
      </c>
      <c r="D2310" s="4" t="inlineStr">
        <is>
          <t>-</t>
        </is>
      </c>
      <c r="E2310" s="4" t="inlineStr">
        <is>
          <t>5º PAV - GARAGEM</t>
        </is>
      </c>
      <c r="F2310" s="118" t="n">
        <v>47147</v>
      </c>
      <c r="G2310" s="118" t="n">
        <v>47158</v>
      </c>
      <c r="H2310" s="118" t="n">
        <v>46289</v>
      </c>
      <c r="I2310" s="4" t="n">
        <v>0</v>
      </c>
      <c r="J2310" s="4" t="n">
        <v>0</v>
      </c>
      <c r="K2310" s="4" t="n">
        <v>0</v>
      </c>
      <c r="M2310" s="2">
        <f>IF(C2310="","",IFERROR(INDEX($S$5:$S$304,MATCH(C2310,$R$5:$R$304,0))&amp;"","?"))</f>
        <v/>
      </c>
      <c r="N2310" s="2">
        <f>IF(E2310="","",IF(LEFT(E2310,7)="SUBSOLO",-1,IF(LEFT(E2310,6)="TÉRREO",0,IFERROR(VALUE(LEFT(E2310,FIND("º",SUBSTITUTE(E2310,"°","º"))-1)),""))))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B2311" s="4" t="n">
        <v>33807243</v>
      </c>
      <c r="C2311" s="4" t="inlineStr">
        <is>
          <t>VISTORIA APTOS</t>
        </is>
      </c>
      <c r="D2311" s="4" t="inlineStr">
        <is>
          <t>-</t>
        </is>
      </c>
      <c r="E2311" s="4" t="inlineStr">
        <is>
          <t>12º PAV.</t>
        </is>
      </c>
      <c r="F2311" s="118" t="n">
        <v>47147</v>
      </c>
      <c r="G2311" s="118" t="n">
        <v>47149</v>
      </c>
      <c r="H2311" s="118" t="n">
        <v>46289</v>
      </c>
      <c r="I2311" s="4" t="n">
        <v>0</v>
      </c>
      <c r="J2311" s="4" t="n">
        <v>0</v>
      </c>
      <c r="K2311" s="4" t="n">
        <v>0</v>
      </c>
      <c r="M2311" s="2">
        <f>IF(C2311="","",IFERROR(INDEX($S$5:$S$304,MATCH(C2311,$R$5:$R$304,0))&amp;"","?"))</f>
        <v/>
      </c>
      <c r="N2311" s="2">
        <f>IF(E2311="","",IF(LEFT(E2311,7)="SUBSOLO",-1,IF(LEFT(E2311,6)="TÉRREO",0,IFERROR(VALUE(LEFT(E2311,FIND("º",SUBSTITUTE(E2311,"°","º"))-1)),""))))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B2312" s="4" t="n">
        <v>29981263</v>
      </c>
      <c r="C2312" s="4" t="inlineStr">
        <is>
          <t>CHECKLIST FINAL</t>
        </is>
      </c>
      <c r="D2312" s="4" t="inlineStr">
        <is>
          <t>-</t>
        </is>
      </c>
      <c r="E2312" s="4" t="inlineStr">
        <is>
          <t>15º PAV.</t>
        </is>
      </c>
      <c r="F2312" s="118" t="n">
        <v>47147</v>
      </c>
      <c r="G2312" s="118" t="n">
        <v>47157</v>
      </c>
      <c r="H2312" s="118" t="n">
        <v>46289</v>
      </c>
      <c r="I2312" s="4" t="n">
        <v>0</v>
      </c>
      <c r="J2312" s="4" t="n">
        <v>0</v>
      </c>
      <c r="K2312" s="4" t="n">
        <v>0</v>
      </c>
      <c r="M2312" s="2">
        <f>IF(C2312="","",IFERROR(INDEX($S$5:$S$304,MATCH(C2312,$R$5:$R$304,0))&amp;"","?"))</f>
        <v/>
      </c>
      <c r="N2312" s="2">
        <f>IF(E2312="","",IF(LEFT(E2312,7)="SUBSOLO",-1,IF(LEFT(E2312,6)="TÉRREO",0,IFERROR(VALUE(LEFT(E2312,FIND("º",SUBSTITUTE(E2312,"°","º"))-1)),""))))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B2313" s="4" t="n">
        <v>29980810</v>
      </c>
      <c r="C2313" s="4" t="inlineStr">
        <is>
          <t>LIMPEZA FINA</t>
        </is>
      </c>
      <c r="D2313" s="4" t="inlineStr">
        <is>
          <t>-</t>
        </is>
      </c>
      <c r="E2313" s="4" t="inlineStr">
        <is>
          <t>27º PAV.</t>
        </is>
      </c>
      <c r="F2313" s="118" t="n">
        <v>47147</v>
      </c>
      <c r="G2313" s="118" t="n">
        <v>47157</v>
      </c>
      <c r="H2313" s="118" t="n">
        <v>46289</v>
      </c>
      <c r="I2313" s="4" t="n">
        <v>0</v>
      </c>
      <c r="J2313" s="4" t="n">
        <v>0</v>
      </c>
      <c r="K2313" s="4" t="n">
        <v>0</v>
      </c>
      <c r="M2313" s="2">
        <f>IF(C2313="","",IFERROR(INDEX($S$5:$S$304,MATCH(C2313,$R$5:$R$304,0))&amp;"","?"))</f>
        <v/>
      </c>
      <c r="N2313" s="2">
        <f>IF(E2313="","",IF(LEFT(E2313,7)="SUBSOLO",-1,IF(LEFT(E2313,6)="TÉRREO",0,IFERROR(VALUE(LEFT(E2313,FIND("º",SUBSTITUTE(E2313,"°","º"))-1)),""))))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B2314" s="4" t="n">
        <v>29980763</v>
      </c>
      <c r="C2314" s="4" t="inlineStr">
        <is>
          <t>PINTURA 3º DEMÃO</t>
        </is>
      </c>
      <c r="D2314" s="4" t="inlineStr">
        <is>
          <t>-</t>
        </is>
      </c>
      <c r="E2314" s="4" t="inlineStr">
        <is>
          <t>28º PAV.</t>
        </is>
      </c>
      <c r="F2314" s="118" t="n">
        <v>47147</v>
      </c>
      <c r="G2314" s="118" t="n">
        <v>47157</v>
      </c>
      <c r="H2314" s="118" t="n">
        <v>46289</v>
      </c>
      <c r="I2314" s="4" t="n">
        <v>0</v>
      </c>
      <c r="J2314" s="4" t="n">
        <v>0</v>
      </c>
      <c r="K2314" s="4" t="n">
        <v>0</v>
      </c>
      <c r="M2314" s="2">
        <f>IF(C2314="","",IFERROR(INDEX($S$5:$S$304,MATCH(C2314,$R$5:$R$304,0))&amp;"","?"))</f>
        <v/>
      </c>
      <c r="N2314" s="2">
        <f>IF(E2314="","",IF(LEFT(E2314,7)="SUBSOLO",-1,IF(LEFT(E2314,6)="TÉRREO",0,IFERROR(VALUE(LEFT(E2314,FIND("º",SUBSTITUTE(E2314,"°","º"))-1)),""))))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B2315" s="4" t="n">
        <v>30171657</v>
      </c>
      <c r="C2315" s="4" t="inlineStr">
        <is>
          <t>PINTURA 3º DEMÃO</t>
        </is>
      </c>
      <c r="D2315" s="4" t="inlineStr">
        <is>
          <t>-</t>
        </is>
      </c>
      <c r="E2315" s="4" t="inlineStr">
        <is>
          <t>CX DE ESCADA DE INCÊND.</t>
        </is>
      </c>
      <c r="F2315" s="118" t="n">
        <v>47148</v>
      </c>
      <c r="G2315" s="118" t="n">
        <v>47175</v>
      </c>
      <c r="H2315" s="118" t="n">
        <v>46289</v>
      </c>
      <c r="I2315" s="4" t="n">
        <v>0</v>
      </c>
      <c r="J2315" s="4" t="n">
        <v>0</v>
      </c>
      <c r="K2315" s="4" t="n">
        <v>0</v>
      </c>
      <c r="M2315" s="2">
        <f>IF(C2315="","",IFERROR(INDEX($S$5:$S$304,MATCH(C2315,$R$5:$R$304,0))&amp;"","?"))</f>
        <v/>
      </c>
      <c r="N2315" s="2">
        <f>IF(E2315="","",IF(LEFT(E2315,7)="SUBSOLO",-1,IF(LEFT(E2315,6)="TÉRREO",0,IFERROR(VALUE(LEFT(E2315,FIND("º",SUBSTITUTE(E2315,"°","º"))-1)),""))))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B2316" s="4" t="n">
        <v>33807244</v>
      </c>
      <c r="C2316" s="4" t="inlineStr">
        <is>
          <t>VISTORIA APTOS</t>
        </is>
      </c>
      <c r="D2316" s="4" t="inlineStr">
        <is>
          <t>-</t>
        </is>
      </c>
      <c r="E2316" s="4" t="inlineStr">
        <is>
          <t>13º PAV.</t>
        </is>
      </c>
      <c r="F2316" s="118" t="n">
        <v>47150</v>
      </c>
      <c r="G2316" s="118" t="n">
        <v>47154</v>
      </c>
      <c r="H2316" s="118" t="n">
        <v>46289</v>
      </c>
      <c r="I2316" s="4" t="n">
        <v>0</v>
      </c>
      <c r="J2316" s="4" t="n">
        <v>0</v>
      </c>
      <c r="K2316" s="4" t="n">
        <v>0</v>
      </c>
      <c r="M2316" s="2">
        <f>IF(C2316="","",IFERROR(INDEX($S$5:$S$304,MATCH(C2316,$R$5:$R$304,0))&amp;"","?"))</f>
        <v/>
      </c>
      <c r="N2316" s="2">
        <f>IF(E2316="","",IF(LEFT(E2316,7)="SUBSOLO",-1,IF(LEFT(E2316,6)="TÉRREO",0,IFERROR(VALUE(LEFT(E2316,FIND("º",SUBSTITUTE(E2316,"°","º"))-1)),""))))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B2317" s="4" t="n">
        <v>29981226</v>
      </c>
      <c r="C2317" s="4" t="inlineStr">
        <is>
          <t>CHECKLIST FINAL</t>
        </is>
      </c>
      <c r="D2317" s="4" t="inlineStr">
        <is>
          <t>-</t>
        </is>
      </c>
      <c r="E2317" s="4" t="inlineStr">
        <is>
          <t>16º PAV.</t>
        </is>
      </c>
      <c r="F2317" s="118" t="n">
        <v>47150</v>
      </c>
      <c r="G2317" s="118" t="n">
        <v>47162</v>
      </c>
      <c r="H2317" s="118" t="n">
        <v>46289</v>
      </c>
      <c r="I2317" s="4" t="n">
        <v>0</v>
      </c>
      <c r="J2317" s="4" t="n">
        <v>0</v>
      </c>
      <c r="K2317" s="4" t="n">
        <v>0</v>
      </c>
      <c r="M2317" s="2">
        <f>IF(C2317="","",IFERROR(INDEX($S$5:$S$304,MATCH(C2317,$R$5:$R$304,0))&amp;"","?"))</f>
        <v/>
      </c>
      <c r="N2317" s="2">
        <f>IF(E2317="","",IF(LEFT(E2317,7)="SUBSOLO",-1,IF(LEFT(E2317,6)="TÉRREO",0,IFERROR(VALUE(LEFT(E2317,FIND("º",SUBSTITUTE(E2317,"°","º"))-1)),""))))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B2318" s="4" t="n">
        <v>29980725</v>
      </c>
      <c r="C2318" s="4" t="inlineStr">
        <is>
          <t>CHECKLIST</t>
        </is>
      </c>
      <c r="D2318" s="4" t="inlineStr">
        <is>
          <t>-</t>
        </is>
      </c>
      <c r="E2318" s="4" t="inlineStr">
        <is>
          <t>29º PAV.</t>
        </is>
      </c>
      <c r="F2318" s="118" t="n">
        <v>47151</v>
      </c>
      <c r="G2318" s="118" t="n">
        <v>47157</v>
      </c>
      <c r="H2318" s="118" t="n">
        <v>46289</v>
      </c>
      <c r="I2318" s="4" t="n">
        <v>0</v>
      </c>
      <c r="J2318" s="4" t="n">
        <v>0</v>
      </c>
      <c r="K2318" s="4" t="n">
        <v>0</v>
      </c>
      <c r="M2318" s="2">
        <f>IF(C2318="","",IFERROR(INDEX($S$5:$S$304,MATCH(C2318,$R$5:$R$304,0))&amp;"","?"))</f>
        <v/>
      </c>
      <c r="N2318" s="2">
        <f>IF(E2318="","",IF(LEFT(E2318,7)="SUBSOLO",-1,IF(LEFT(E2318,6)="TÉRREO",0,IFERROR(VALUE(LEFT(E2318,FIND("º",SUBSTITUTE(E2318,"°","º"))-1)),""))))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B2319" s="4" t="n">
        <v>29980690</v>
      </c>
      <c r="C2319" s="4" t="inlineStr">
        <is>
          <t>ACABAMENTOS ELÉTRICOS</t>
        </is>
      </c>
      <c r="D2319" s="4" t="inlineStr">
        <is>
          <t>-</t>
        </is>
      </c>
      <c r="E2319" s="4" t="inlineStr">
        <is>
          <t>30º PAV.</t>
        </is>
      </c>
      <c r="F2319" s="118" t="n">
        <v>47151</v>
      </c>
      <c r="G2319" s="118" t="n">
        <v>47163</v>
      </c>
      <c r="H2319" s="118" t="n">
        <v>46289</v>
      </c>
      <c r="I2319" s="4" t="n">
        <v>0</v>
      </c>
      <c r="J2319" s="4" t="n">
        <v>0</v>
      </c>
      <c r="K2319" s="4" t="n">
        <v>0</v>
      </c>
      <c r="M2319" s="2">
        <f>IF(C2319="","",IFERROR(INDEX($S$5:$S$304,MATCH(C2319,$R$5:$R$304,0))&amp;"","?"))</f>
        <v/>
      </c>
      <c r="N2319" s="2">
        <f>IF(E2319="","",IF(LEFT(E2319,7)="SUBSOLO",-1,IF(LEFT(E2319,6)="TÉRREO",0,IFERROR(VALUE(LEFT(E2319,FIND("º",SUBSTITUTE(E2319,"°","º"))-1)),""))))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B2320" s="4" t="n">
        <v>29980650</v>
      </c>
      <c r="C2320" s="4" t="inlineStr">
        <is>
          <t>PINTURA 2º DEMÃO</t>
        </is>
      </c>
      <c r="D2320" s="4" t="inlineStr">
        <is>
          <t>-</t>
        </is>
      </c>
      <c r="E2320" s="4" t="inlineStr">
        <is>
          <t>31º PAV. - COBERTURA LINEAR</t>
        </is>
      </c>
      <c r="F2320" s="118" t="n">
        <v>47151</v>
      </c>
      <c r="G2320" s="118" t="n">
        <v>47163</v>
      </c>
      <c r="H2320" s="118" t="n">
        <v>46289</v>
      </c>
      <c r="I2320" s="4" t="n">
        <v>0</v>
      </c>
      <c r="J2320" s="4" t="n">
        <v>0</v>
      </c>
      <c r="K2320" s="4" t="n">
        <v>0</v>
      </c>
      <c r="M2320" s="2">
        <f>IF(C2320="","",IFERROR(INDEX($S$5:$S$304,MATCH(C2320,$R$5:$R$304,0))&amp;"","?"))</f>
        <v/>
      </c>
      <c r="N2320" s="2">
        <f>IF(E2320="","",IF(LEFT(E2320,7)="SUBSOLO",-1,IF(LEFT(E2320,6)="TÉRREO",0,IFERROR(VALUE(LEFT(E2320,FIND("º",SUBSTITUTE(E2320,"°","º"))-1)),""))))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B2321" s="4" t="n">
        <v>33919808</v>
      </c>
      <c r="C2321" s="4" t="inlineStr">
        <is>
          <t>TEXTURA - EXTERNA</t>
        </is>
      </c>
      <c r="D2321" s="4" t="inlineStr">
        <is>
          <t>-</t>
        </is>
      </c>
      <c r="E2321" s="4" t="inlineStr">
        <is>
          <t>31º PAV. - COBERTURA LINEAR</t>
        </is>
      </c>
      <c r="F2321" s="118" t="n">
        <v>47151</v>
      </c>
      <c r="G2321" s="118" t="n">
        <v>47163</v>
      </c>
      <c r="H2321" s="118" t="n">
        <v>46289</v>
      </c>
      <c r="I2321" s="4" t="n">
        <v>0</v>
      </c>
      <c r="J2321" s="4" t="n">
        <v>0</v>
      </c>
      <c r="K2321" s="4" t="n">
        <v>0</v>
      </c>
      <c r="M2321" s="2">
        <f>IF(C2321="","",IFERROR(INDEX($S$5:$S$304,MATCH(C2321,$R$5:$R$304,0))&amp;"","?"))</f>
        <v/>
      </c>
      <c r="N2321" s="2">
        <f>IF(E2321="","",IF(LEFT(E2321,7)="SUBSOLO",-1,IF(LEFT(E2321,6)="TÉRREO",0,IFERROR(VALUE(LEFT(E2321,FIND("º",SUBSTITUTE(E2321,"°","º"))-1)),""))))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B2322" s="4" t="n">
        <v>29980612</v>
      </c>
      <c r="C2322" s="4" t="inlineStr">
        <is>
          <t>LIMPEZA GROSSA</t>
        </is>
      </c>
      <c r="D2322" s="4" t="inlineStr">
        <is>
          <t>-</t>
        </is>
      </c>
      <c r="E2322" s="4" t="inlineStr">
        <is>
          <t>32º PAV - COBERTURA GERAL</t>
        </is>
      </c>
      <c r="F2322" s="118" t="n">
        <v>47151</v>
      </c>
      <c r="G2322" s="118" t="n">
        <v>47163</v>
      </c>
      <c r="H2322" s="118" t="n">
        <v>46289</v>
      </c>
      <c r="I2322" s="4" t="n">
        <v>0</v>
      </c>
      <c r="J2322" s="4" t="n">
        <v>0</v>
      </c>
      <c r="K2322" s="4" t="n">
        <v>0</v>
      </c>
      <c r="M2322" s="2">
        <f>IF(C2322="","",IFERROR(INDEX($S$5:$S$304,MATCH(C2322,$R$5:$R$304,0))&amp;"","?"))</f>
        <v/>
      </c>
      <c r="N2322" s="2">
        <f>IF(E2322="","",IF(LEFT(E2322,7)="SUBSOLO",-1,IF(LEFT(E2322,6)="TÉRREO",0,IFERROR(VALUE(LEFT(E2322,FIND("º",SUBSTITUTE(E2322,"°","º"))-1)),""))))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B2323" s="4" t="n">
        <v>30206021</v>
      </c>
      <c r="C2323" s="4" t="inlineStr">
        <is>
          <t>CHECKLIST FINAL</t>
        </is>
      </c>
      <c r="D2323" s="4" t="inlineStr">
        <is>
          <t>-</t>
        </is>
      </c>
      <c r="E2323" s="4" t="inlineStr">
        <is>
          <t>6º PAV (PILOTIS) - COWORKING 1 E 2 + CIRC. 2 + HALL 2 + DML + VEST. MASC. + VEST. FEM</t>
        </is>
      </c>
      <c r="F2323" s="118" t="n">
        <v>47155</v>
      </c>
      <c r="G2323" s="118" t="n">
        <v>47168</v>
      </c>
      <c r="H2323" s="118" t="n">
        <v>46289</v>
      </c>
      <c r="I2323" s="4" t="n">
        <v>0</v>
      </c>
      <c r="J2323" s="4" t="n">
        <v>0</v>
      </c>
      <c r="K2323" s="4" t="n">
        <v>0</v>
      </c>
      <c r="M2323" s="2">
        <f>IF(C2323="","",IFERROR(INDEX($S$5:$S$304,MATCH(C2323,$R$5:$R$304,0))&amp;"","?"))</f>
        <v/>
      </c>
      <c r="N2323" s="2">
        <f>IF(E2323="","",IF(LEFT(E2323,7)="SUBSOLO",-1,IF(LEFT(E2323,6)="TÉRREO",0,IFERROR(VALUE(LEFT(E2323,FIND("º",SUBSTITUTE(E2323,"°","º"))-1)),""))))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B2324" s="4" t="n">
        <v>30205978</v>
      </c>
      <c r="C2324" s="4" t="inlineStr">
        <is>
          <t>LIMPEZA FINA</t>
        </is>
      </c>
      <c r="D2324" s="4" t="inlineStr">
        <is>
          <t>-</t>
        </is>
      </c>
      <c r="E2324" s="4" t="inlineStr">
        <is>
          <t>6º PAV (PILOTIS) - LOUNGE + SALÃO + COZINHA + GOURMET + ESPAÇO KIDS</t>
        </is>
      </c>
      <c r="F2324" s="118" t="n">
        <v>47155</v>
      </c>
      <c r="G2324" s="118" t="n">
        <v>47168</v>
      </c>
      <c r="H2324" s="118" t="n">
        <v>46289</v>
      </c>
      <c r="I2324" s="4" t="n">
        <v>0</v>
      </c>
      <c r="J2324" s="4" t="n">
        <v>0</v>
      </c>
      <c r="K2324" s="4" t="n">
        <v>0</v>
      </c>
      <c r="M2324" s="2">
        <f>IF(C2324="","",IFERROR(INDEX($S$5:$S$304,MATCH(C2324,$R$5:$R$304,0))&amp;"","?"))</f>
        <v/>
      </c>
      <c r="N2324" s="2">
        <f>IF(E2324="","",IF(LEFT(E2324,7)="SUBSOLO",-1,IF(LEFT(E2324,6)="TÉRREO",0,IFERROR(VALUE(LEFT(E2324,FIND("º",SUBSTITUTE(E2324,"°","º"))-1)),""))))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B2325" s="4" t="n">
        <v>33807245</v>
      </c>
      <c r="C2325" s="4" t="inlineStr">
        <is>
          <t>VISTORIA APTOS</t>
        </is>
      </c>
      <c r="D2325" s="4" t="inlineStr">
        <is>
          <t>-</t>
        </is>
      </c>
      <c r="E2325" s="4" t="inlineStr">
        <is>
          <t>14º PAV.</t>
        </is>
      </c>
      <c r="F2325" s="118" t="n">
        <v>47155</v>
      </c>
      <c r="G2325" s="118" t="n">
        <v>47157</v>
      </c>
      <c r="H2325" s="118" t="n">
        <v>46289</v>
      </c>
      <c r="I2325" s="4" t="n">
        <v>0</v>
      </c>
      <c r="J2325" s="4" t="n">
        <v>0</v>
      </c>
      <c r="K2325" s="4" t="n">
        <v>0</v>
      </c>
      <c r="M2325" s="2">
        <f>IF(C2325="","",IFERROR(INDEX($S$5:$S$304,MATCH(C2325,$R$5:$R$304,0))&amp;"","?"))</f>
        <v/>
      </c>
      <c r="N2325" s="2">
        <f>IF(E2325="","",IF(LEFT(E2325,7)="SUBSOLO",-1,IF(LEFT(E2325,6)="TÉRREO",0,IFERROR(VALUE(LEFT(E2325,FIND("º",SUBSTITUTE(E2325,"°","º"))-1)),""))))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B2326" s="4" t="n">
        <v>29981189</v>
      </c>
      <c r="C2326" s="4" t="inlineStr">
        <is>
          <t>CHECKLIST FINAL</t>
        </is>
      </c>
      <c r="D2326" s="4" t="inlineStr">
        <is>
          <t>-</t>
        </is>
      </c>
      <c r="E2326" s="4" t="inlineStr">
        <is>
          <t>17º PAV.</t>
        </is>
      </c>
      <c r="F2326" s="118" t="n">
        <v>47155</v>
      </c>
      <c r="G2326" s="118" t="n">
        <v>47165</v>
      </c>
      <c r="H2326" s="118" t="n">
        <v>46289</v>
      </c>
      <c r="I2326" s="4" t="n">
        <v>0</v>
      </c>
      <c r="J2326" s="4" t="n">
        <v>0</v>
      </c>
      <c r="K2326" s="4" t="n">
        <v>0</v>
      </c>
      <c r="M2326" s="2">
        <f>IF(C2326="","",IFERROR(INDEX($S$5:$S$304,MATCH(C2326,$R$5:$R$304,0))&amp;"","?"))</f>
        <v/>
      </c>
      <c r="N2326" s="2">
        <f>IF(E2326="","",IF(LEFT(E2326,7)="SUBSOLO",-1,IF(LEFT(E2326,6)="TÉRREO",0,IFERROR(VALUE(LEFT(E2326,FIND("º",SUBSTITUTE(E2326,"°","º"))-1)),""))))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B2327" s="4" t="n">
        <v>29981093</v>
      </c>
      <c r="C2327" s="4" t="inlineStr">
        <is>
          <t>LIMPEZA GROSSA</t>
        </is>
      </c>
      <c r="D2327" s="4" t="inlineStr">
        <is>
          <t>-</t>
        </is>
      </c>
      <c r="E2327" s="4" t="inlineStr">
        <is>
          <t>19º PAV.</t>
        </is>
      </c>
      <c r="F2327" s="118" t="n">
        <v>47155</v>
      </c>
      <c r="G2327" s="118" t="n">
        <v>47161</v>
      </c>
      <c r="H2327" s="118" t="n">
        <v>46289</v>
      </c>
      <c r="I2327" s="4" t="n">
        <v>0</v>
      </c>
      <c r="J2327" s="4" t="n">
        <v>0</v>
      </c>
      <c r="K2327" s="4" t="n">
        <v>0</v>
      </c>
      <c r="M2327" s="2">
        <f>IF(C2327="","",IFERROR(INDEX($S$5:$S$304,MATCH(C2327,$R$5:$R$304,0))&amp;"","?"))</f>
        <v/>
      </c>
      <c r="N2327" s="2">
        <f>IF(E2327="","",IF(LEFT(E2327,7)="SUBSOLO",-1,IF(LEFT(E2327,6)="TÉRREO",0,IFERROR(VALUE(LEFT(E2327,FIND("º",SUBSTITUTE(E2327,"°","º"))-1)),""))))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B2328" s="4" t="n">
        <v>33807246</v>
      </c>
      <c r="C2328" s="4" t="inlineStr">
        <is>
          <t>VISTORIA APTOS</t>
        </is>
      </c>
      <c r="D2328" s="4" t="inlineStr">
        <is>
          <t>-</t>
        </is>
      </c>
      <c r="E2328" s="4" t="inlineStr">
        <is>
          <t>15º PAV.</t>
        </is>
      </c>
      <c r="F2328" s="118" t="n">
        <v>47158</v>
      </c>
      <c r="G2328" s="118" t="n">
        <v>47162</v>
      </c>
      <c r="H2328" s="118" t="n">
        <v>46289</v>
      </c>
      <c r="I2328" s="4" t="n">
        <v>0</v>
      </c>
      <c r="J2328" s="4" t="n">
        <v>0</v>
      </c>
      <c r="K2328" s="4" t="n">
        <v>0</v>
      </c>
      <c r="M2328" s="2">
        <f>IF(C2328="","",IFERROR(INDEX($S$5:$S$304,MATCH(C2328,$R$5:$R$304,0))&amp;"","?"))</f>
        <v/>
      </c>
      <c r="N2328" s="2">
        <f>IF(E2328="","",IF(LEFT(E2328,7)="SUBSOLO",-1,IF(LEFT(E2328,6)="TÉRREO",0,IFERROR(VALUE(LEFT(E2328,FIND("º",SUBSTITUTE(E2328,"°","º"))-1)),""))))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B2329" s="4" t="n">
        <v>29981152</v>
      </c>
      <c r="C2329" s="4" t="inlineStr">
        <is>
          <t>CHECKLIST FINAL</t>
        </is>
      </c>
      <c r="D2329" s="4" t="inlineStr">
        <is>
          <t>-</t>
        </is>
      </c>
      <c r="E2329" s="4" t="inlineStr">
        <is>
          <t>18º PAV.</t>
        </is>
      </c>
      <c r="F2329" s="118" t="n">
        <v>47158</v>
      </c>
      <c r="G2329" s="118" t="n">
        <v>47170</v>
      </c>
      <c r="H2329" s="118" t="n">
        <v>46289</v>
      </c>
      <c r="I2329" s="4" t="n">
        <v>0</v>
      </c>
      <c r="J2329" s="4" t="n">
        <v>0</v>
      </c>
      <c r="K2329" s="4" t="n">
        <v>0</v>
      </c>
      <c r="M2329" s="2">
        <f>IF(C2329="","",IFERROR(INDEX($S$5:$S$304,MATCH(C2329,$R$5:$R$304,0))&amp;"","?"))</f>
        <v/>
      </c>
      <c r="N2329" s="2">
        <f>IF(E2329="","",IF(LEFT(E2329,7)="SUBSOLO",-1,IF(LEFT(E2329,6)="TÉRREO",0,IFERROR(VALUE(LEFT(E2329,FIND("º",SUBSTITUTE(E2329,"°","º"))-1)),""))))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B2330" s="4" t="n">
        <v>29980773</v>
      </c>
      <c r="C2330" s="4" t="inlineStr">
        <is>
          <t>LIMPEZA FINA</t>
        </is>
      </c>
      <c r="D2330" s="4" t="inlineStr">
        <is>
          <t>-</t>
        </is>
      </c>
      <c r="E2330" s="4" t="inlineStr">
        <is>
          <t>28º PAV.</t>
        </is>
      </c>
      <c r="F2330" s="118" t="n">
        <v>47158</v>
      </c>
      <c r="G2330" s="118" t="n">
        <v>47170</v>
      </c>
      <c r="H2330" s="118" t="n">
        <v>46289</v>
      </c>
      <c r="I2330" s="4" t="n">
        <v>0</v>
      </c>
      <c r="J2330" s="4" t="n">
        <v>0</v>
      </c>
      <c r="K2330" s="4" t="n">
        <v>0</v>
      </c>
      <c r="M2330" s="2">
        <f>IF(C2330="","",IFERROR(INDEX($S$5:$S$304,MATCH(C2330,$R$5:$R$304,0))&amp;"","?"))</f>
        <v/>
      </c>
      <c r="N2330" s="2">
        <f>IF(E2330="","",IF(LEFT(E2330,7)="SUBSOLO",-1,IF(LEFT(E2330,6)="TÉRREO",0,IFERROR(VALUE(LEFT(E2330,FIND("º",SUBSTITUTE(E2330,"°","º"))-1)),""))))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B2331" s="4" t="n">
        <v>29980726</v>
      </c>
      <c r="C2331" s="4" t="inlineStr">
        <is>
          <t>PINTURA 3º DEMÃO</t>
        </is>
      </c>
      <c r="D2331" s="4" t="inlineStr">
        <is>
          <t>-</t>
        </is>
      </c>
      <c r="E2331" s="4" t="inlineStr">
        <is>
          <t>29º PAV.</t>
        </is>
      </c>
      <c r="F2331" s="118" t="n">
        <v>47158</v>
      </c>
      <c r="G2331" s="118" t="n">
        <v>47170</v>
      </c>
      <c r="H2331" s="118" t="n">
        <v>46289</v>
      </c>
      <c r="I2331" s="4" t="n">
        <v>0</v>
      </c>
      <c r="J2331" s="4" t="n">
        <v>0</v>
      </c>
      <c r="K2331" s="4" t="n">
        <v>0</v>
      </c>
      <c r="M2331" s="2">
        <f>IF(C2331="","",IFERROR(INDEX($S$5:$S$304,MATCH(C2331,$R$5:$R$304,0))&amp;"","?"))</f>
        <v/>
      </c>
      <c r="N2331" s="2">
        <f>IF(E2331="","",IF(LEFT(E2331,7)="SUBSOLO",-1,IF(LEFT(E2331,6)="TÉRREO",0,IFERROR(VALUE(LEFT(E2331,FIND("º",SUBSTITUTE(E2331,"°","º"))-1)),""))))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B2332" s="4" t="n">
        <v>30171424</v>
      </c>
      <c r="C2332" s="4" t="inlineStr">
        <is>
          <t>LIMPEZA</t>
        </is>
      </c>
      <c r="D2332" s="4" t="inlineStr">
        <is>
          <t>-</t>
        </is>
      </c>
      <c r="E2332" s="4" t="inlineStr">
        <is>
          <t>4º PAV - GARAGEM</t>
        </is>
      </c>
      <c r="F2332" s="118" t="n">
        <v>47161</v>
      </c>
      <c r="G2332" s="118" t="n">
        <v>47179</v>
      </c>
      <c r="H2332" s="118" t="n">
        <v>46289</v>
      </c>
      <c r="I2332" s="4" t="n">
        <v>0</v>
      </c>
      <c r="J2332" s="4" t="n">
        <v>0</v>
      </c>
      <c r="K2332" s="4" t="n">
        <v>0</v>
      </c>
      <c r="M2332" s="2">
        <f>IF(C2332="","",IFERROR(INDEX($S$5:$S$304,MATCH(C2332,$R$5:$R$304,0))&amp;"","?"))</f>
        <v/>
      </c>
      <c r="N2332" s="2">
        <f>IF(E2332="","",IF(LEFT(E2332,7)="SUBSOLO",-1,IF(LEFT(E2332,6)="TÉRREO",0,IFERROR(VALUE(LEFT(E2332,FIND("º",SUBSTITUTE(E2332,"°","º"))-1)),""))))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B2333" s="4" t="n">
        <v>30171540</v>
      </c>
      <c r="C2333" s="4" t="inlineStr">
        <is>
          <t>LIMPEZA</t>
        </is>
      </c>
      <c r="D2333" s="4" t="inlineStr">
        <is>
          <t>-</t>
        </is>
      </c>
      <c r="E2333" s="4" t="inlineStr">
        <is>
          <t>HALL - GARAGENS</t>
        </is>
      </c>
      <c r="F2333" s="118" t="n">
        <v>47162</v>
      </c>
      <c r="G2333" s="118" t="n">
        <v>47182</v>
      </c>
      <c r="H2333" s="118" t="n">
        <v>46289</v>
      </c>
      <c r="I2333" s="4" t="n">
        <v>0</v>
      </c>
      <c r="J2333" s="4" t="n">
        <v>0</v>
      </c>
      <c r="K2333" s="4" t="n">
        <v>0</v>
      </c>
      <c r="M2333" s="2">
        <f>IF(C2333="","",IFERROR(INDEX($S$5:$S$304,MATCH(C2333,$R$5:$R$304,0))&amp;"","?"))</f>
        <v/>
      </c>
      <c r="N2333" s="2">
        <f>IF(E2333="","",IF(LEFT(E2333,7)="SUBSOLO",-1,IF(LEFT(E2333,6)="TÉRREO",0,IFERROR(VALUE(LEFT(E2333,FIND("º",SUBSTITUTE(E2333,"°","º"))-1)),""))))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B2334" s="4" t="n">
        <v>29981094</v>
      </c>
      <c r="C2334" s="4" t="inlineStr">
        <is>
          <t>PINTURA 2º DEMÃO</t>
        </is>
      </c>
      <c r="D2334" s="4" t="inlineStr">
        <is>
          <t>-</t>
        </is>
      </c>
      <c r="E2334" s="4" t="inlineStr">
        <is>
          <t>19º PAV.</t>
        </is>
      </c>
      <c r="F2334" s="118" t="n">
        <v>47162</v>
      </c>
      <c r="G2334" s="118" t="n">
        <v>47172</v>
      </c>
      <c r="H2334" s="118" t="n">
        <v>46289</v>
      </c>
      <c r="I2334" s="4" t="n">
        <v>0</v>
      </c>
      <c r="J2334" s="4" t="n">
        <v>0</v>
      </c>
      <c r="K2334" s="4" t="n">
        <v>0</v>
      </c>
      <c r="M2334" s="2">
        <f>IF(C2334="","",IFERROR(INDEX($S$5:$S$304,MATCH(C2334,$R$5:$R$304,0))&amp;"","?"))</f>
        <v/>
      </c>
      <c r="N2334" s="2">
        <f>IF(E2334="","",IF(LEFT(E2334,7)="SUBSOLO",-1,IF(LEFT(E2334,6)="TÉRREO",0,IFERROR(VALUE(LEFT(E2334,FIND("º",SUBSTITUTE(E2334,"°","º"))-1)),""))))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B2335" s="4" t="n">
        <v>33919810</v>
      </c>
      <c r="C2335" s="4" t="inlineStr">
        <is>
          <t>TEXTURA - EXTERNA</t>
        </is>
      </c>
      <c r="D2335" s="4" t="inlineStr">
        <is>
          <t>-</t>
        </is>
      </c>
      <c r="E2335" s="4" t="inlineStr">
        <is>
          <t>19º PAV.</t>
        </is>
      </c>
      <c r="F2335" s="118" t="n">
        <v>47162</v>
      </c>
      <c r="G2335" s="118" t="n">
        <v>47172</v>
      </c>
      <c r="H2335" s="118" t="n">
        <v>46289</v>
      </c>
      <c r="I2335" s="4" t="n">
        <v>0</v>
      </c>
      <c r="J2335" s="4" t="n">
        <v>0</v>
      </c>
      <c r="K2335" s="4" t="n">
        <v>0</v>
      </c>
      <c r="M2335" s="2">
        <f>IF(C2335="","",IFERROR(INDEX($S$5:$S$304,MATCH(C2335,$R$5:$R$304,0))&amp;"","?"))</f>
        <v/>
      </c>
      <c r="N2335" s="2">
        <f>IF(E2335="","",IF(LEFT(E2335,7)="SUBSOLO",-1,IF(LEFT(E2335,6)="TÉRREO",0,IFERROR(VALUE(LEFT(E2335,FIND("º",SUBSTITUTE(E2335,"°","º"))-1)),""))))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B2336" s="4" t="n">
        <v>33807247</v>
      </c>
      <c r="C2336" s="4" t="inlineStr">
        <is>
          <t>VISTORIA APTOS</t>
        </is>
      </c>
      <c r="D2336" s="4" t="inlineStr">
        <is>
          <t>-</t>
        </is>
      </c>
      <c r="E2336" s="4" t="inlineStr">
        <is>
          <t>16º PAV.</t>
        </is>
      </c>
      <c r="F2336" s="118" t="n">
        <v>47163</v>
      </c>
      <c r="G2336" s="118" t="n">
        <v>47165</v>
      </c>
      <c r="H2336" s="118" t="n">
        <v>46289</v>
      </c>
      <c r="I2336" s="4" t="n">
        <v>0</v>
      </c>
      <c r="J2336" s="4" t="n">
        <v>0</v>
      </c>
      <c r="K2336" s="4" t="n">
        <v>0</v>
      </c>
      <c r="M2336" s="2">
        <f>IF(C2336="","",IFERROR(INDEX($S$5:$S$304,MATCH(C2336,$R$5:$R$304,0))&amp;"","?"))</f>
        <v/>
      </c>
      <c r="N2336" s="2">
        <f>IF(E2336="","",IF(LEFT(E2336,7)="SUBSOLO",-1,IF(LEFT(E2336,6)="TÉRREO",0,IFERROR(VALUE(LEFT(E2336,FIND("º",SUBSTITUTE(E2336,"°","º"))-1)),""))))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B2337" s="4" t="n">
        <v>29981078</v>
      </c>
      <c r="C2337" s="4" t="inlineStr">
        <is>
          <t>CHECKLIST FINAL</t>
        </is>
      </c>
      <c r="D2337" s="4" t="inlineStr">
        <is>
          <t>-</t>
        </is>
      </c>
      <c r="E2337" s="4" t="inlineStr">
        <is>
          <t>20º PAV.</t>
        </is>
      </c>
      <c r="F2337" s="118" t="n">
        <v>47163</v>
      </c>
      <c r="G2337" s="118" t="n">
        <v>47175</v>
      </c>
      <c r="H2337" s="118" t="n">
        <v>46289</v>
      </c>
      <c r="I2337" s="4" t="n">
        <v>0</v>
      </c>
      <c r="J2337" s="4" t="n">
        <v>0</v>
      </c>
      <c r="K2337" s="4" t="n">
        <v>0</v>
      </c>
      <c r="M2337" s="2">
        <f>IF(C2337="","",IFERROR(INDEX($S$5:$S$304,MATCH(C2337,$R$5:$R$304,0))&amp;"","?"))</f>
        <v/>
      </c>
      <c r="N2337" s="2">
        <f>IF(E2337="","",IF(LEFT(E2337,7)="SUBSOLO",-1,IF(LEFT(E2337,6)="TÉRREO",0,IFERROR(VALUE(LEFT(E2337,FIND("º",SUBSTITUTE(E2337,"°","º"))-1)),""))))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B2338" s="4" t="n">
        <v>29980688</v>
      </c>
      <c r="C2338" s="4" t="inlineStr">
        <is>
          <t>CHECKLIST</t>
        </is>
      </c>
      <c r="D2338" s="4" t="inlineStr">
        <is>
          <t>-</t>
        </is>
      </c>
      <c r="E2338" s="4" t="inlineStr">
        <is>
          <t>30º PAV.</t>
        </is>
      </c>
      <c r="F2338" s="118" t="n">
        <v>47164</v>
      </c>
      <c r="G2338" s="118" t="n">
        <v>47170</v>
      </c>
      <c r="H2338" s="118" t="n">
        <v>46289</v>
      </c>
      <c r="I2338" s="4" t="n">
        <v>0</v>
      </c>
      <c r="J2338" s="4" t="n">
        <v>0</v>
      </c>
      <c r="K2338" s="4" t="n">
        <v>0</v>
      </c>
      <c r="M2338" s="2">
        <f>IF(C2338="","",IFERROR(INDEX($S$5:$S$304,MATCH(C2338,$R$5:$R$304,0))&amp;"","?"))</f>
        <v/>
      </c>
      <c r="N2338" s="2">
        <f>IF(E2338="","",IF(LEFT(E2338,7)="SUBSOLO",-1,IF(LEFT(E2338,6)="TÉRREO",0,IFERROR(VALUE(LEFT(E2338,FIND("º",SUBSTITUTE(E2338,"°","º"))-1)),""))))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B2339" s="4" t="n">
        <v>29980653</v>
      </c>
      <c r="C2339" s="4" t="inlineStr">
        <is>
          <t>ACABAMENTOS ELÉTRICOS</t>
        </is>
      </c>
      <c r="D2339" s="4" t="inlineStr">
        <is>
          <t>-</t>
        </is>
      </c>
      <c r="E2339" s="4" t="inlineStr">
        <is>
          <t>31º PAV. - COBERTURA LINEAR</t>
        </is>
      </c>
      <c r="F2339" s="118" t="n">
        <v>47164</v>
      </c>
      <c r="G2339" s="118" t="n">
        <v>47176</v>
      </c>
      <c r="H2339" s="118" t="n">
        <v>46289</v>
      </c>
      <c r="I2339" s="4" t="n">
        <v>0</v>
      </c>
      <c r="J2339" s="4" t="n">
        <v>0</v>
      </c>
      <c r="K2339" s="4" t="n">
        <v>0</v>
      </c>
      <c r="M2339" s="2">
        <f>IF(C2339="","",IFERROR(INDEX($S$5:$S$304,MATCH(C2339,$R$5:$R$304,0))&amp;"","?"))</f>
        <v/>
      </c>
      <c r="N2339" s="2">
        <f>IF(E2339="","",IF(LEFT(E2339,7)="SUBSOLO",-1,IF(LEFT(E2339,6)="TÉRREO",0,IFERROR(VALUE(LEFT(E2339,FIND("º",SUBSTITUTE(E2339,"°","º"))-1)),""))))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B2340" s="4" t="n">
        <v>29980613</v>
      </c>
      <c r="C2340" s="4" t="inlineStr">
        <is>
          <t>PINTURA 2º DEMÃO</t>
        </is>
      </c>
      <c r="D2340" s="4" t="inlineStr">
        <is>
          <t>-</t>
        </is>
      </c>
      <c r="E2340" s="4" t="inlineStr">
        <is>
          <t>32º PAV - COBERTURA GERAL</t>
        </is>
      </c>
      <c r="F2340" s="118" t="n">
        <v>47164</v>
      </c>
      <c r="G2340" s="118" t="n">
        <v>47176</v>
      </c>
      <c r="H2340" s="118" t="n">
        <v>46289</v>
      </c>
      <c r="I2340" s="4" t="n">
        <v>0</v>
      </c>
      <c r="J2340" s="4" t="n">
        <v>0</v>
      </c>
      <c r="K2340" s="4" t="n">
        <v>0</v>
      </c>
      <c r="M2340" s="2">
        <f>IF(C2340="","",IFERROR(INDEX($S$5:$S$304,MATCH(C2340,$R$5:$R$304,0))&amp;"","?"))</f>
        <v/>
      </c>
      <c r="N2340" s="2">
        <f>IF(E2340="","",IF(LEFT(E2340,7)="SUBSOLO",-1,IF(LEFT(E2340,6)="TÉRREO",0,IFERROR(VALUE(LEFT(E2340,FIND("º",SUBSTITUTE(E2340,"°","º"))-1)),""))))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B2341" s="4" t="n">
        <v>33919809</v>
      </c>
      <c r="C2341" s="4" t="inlineStr">
        <is>
          <t>TEXTURA - EXTERNA</t>
        </is>
      </c>
      <c r="D2341" s="4" t="inlineStr">
        <is>
          <t>-</t>
        </is>
      </c>
      <c r="E2341" s="4" t="inlineStr">
        <is>
          <t>32º PAV - COBERTURA GERAL</t>
        </is>
      </c>
      <c r="F2341" s="118" t="n">
        <v>47164</v>
      </c>
      <c r="G2341" s="118" t="n">
        <v>47176</v>
      </c>
      <c r="H2341" s="118" t="n">
        <v>46289</v>
      </c>
      <c r="I2341" s="4" t="n">
        <v>0</v>
      </c>
      <c r="J2341" s="4" t="n">
        <v>0</v>
      </c>
      <c r="K2341" s="4" t="n">
        <v>0</v>
      </c>
      <c r="M2341" s="2">
        <f>IF(C2341="","",IFERROR(INDEX($S$5:$S$304,MATCH(C2341,$R$5:$R$304,0))&amp;"","?"))</f>
        <v/>
      </c>
      <c r="N2341" s="2">
        <f>IF(E2341="","",IF(LEFT(E2341,7)="SUBSOLO",-1,IF(LEFT(E2341,6)="TÉRREO",0,IFERROR(VALUE(LEFT(E2341,FIND("º",SUBSTITUTE(E2341,"°","º"))-1)),""))))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B2342" s="4" t="n">
        <v>30205831</v>
      </c>
      <c r="C2342" s="4" t="inlineStr">
        <is>
          <t>DEMARCAÇÃO DE VAGAS</t>
        </is>
      </c>
      <c r="D2342" s="4" t="inlineStr">
        <is>
          <t>-</t>
        </is>
      </c>
      <c r="E2342" s="4" t="inlineStr">
        <is>
          <t>TÉRREO - ÁREA EXTERNA RESIDENCIAL</t>
        </is>
      </c>
      <c r="F2342" s="118" t="n">
        <v>47165</v>
      </c>
      <c r="G2342" s="118" t="n">
        <v>47178</v>
      </c>
      <c r="H2342" s="118" t="n">
        <v>46289</v>
      </c>
      <c r="I2342" s="4" t="n">
        <v>0</v>
      </c>
      <c r="J2342" s="4" t="n">
        <v>0</v>
      </c>
      <c r="K2342" s="4" t="n">
        <v>0</v>
      </c>
      <c r="M2342" s="2">
        <f>IF(C2342="","",IFERROR(INDEX($S$5:$S$304,MATCH(C2342,$R$5:$R$304,0))&amp;"","?"))</f>
        <v/>
      </c>
      <c r="N2342" s="2">
        <f>IF(E2342="","",IF(LEFT(E2342,7)="SUBSOLO",-1,IF(LEFT(E2342,6)="TÉRREO",0,IFERROR(VALUE(LEFT(E2342,FIND("º",SUBSTITUTE(E2342,"°","º"))-1)),""))))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B2343" s="4" t="n">
        <v>29981041</v>
      </c>
      <c r="C2343" s="4" t="inlineStr">
        <is>
          <t>CHECKLIST FINAL</t>
        </is>
      </c>
      <c r="D2343" s="4" t="inlineStr">
        <is>
          <t>-</t>
        </is>
      </c>
      <c r="E2343" s="4" t="inlineStr">
        <is>
          <t>21º PAV.</t>
        </is>
      </c>
      <c r="F2343" s="118" t="n">
        <v>47165</v>
      </c>
      <c r="G2343" s="118" t="n">
        <v>47177</v>
      </c>
      <c r="H2343" s="118" t="n">
        <v>46289</v>
      </c>
      <c r="I2343" s="4" t="n">
        <v>0</v>
      </c>
      <c r="J2343" s="4" t="n">
        <v>0</v>
      </c>
      <c r="K2343" s="4" t="n">
        <v>0</v>
      </c>
      <c r="M2343" s="2">
        <f>IF(C2343="","",IFERROR(INDEX($S$5:$S$304,MATCH(C2343,$R$5:$R$304,0))&amp;"","?"))</f>
        <v/>
      </c>
      <c r="N2343" s="2">
        <f>IF(E2343="","",IF(LEFT(E2343,7)="SUBSOLO",-1,IF(LEFT(E2343,6)="TÉRREO",0,IFERROR(VALUE(LEFT(E2343,FIND("º",SUBSTITUTE(E2343,"°","º"))-1)),""))))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B2344" s="4" t="n">
        <v>33807248</v>
      </c>
      <c r="C2344" s="4" t="inlineStr">
        <is>
          <t>VISTORIA APTOS</t>
        </is>
      </c>
      <c r="D2344" s="4" t="inlineStr">
        <is>
          <t>-</t>
        </is>
      </c>
      <c r="E2344" s="4" t="inlineStr">
        <is>
          <t>17º PAV.</t>
        </is>
      </c>
      <c r="F2344" s="118" t="n">
        <v>47168</v>
      </c>
      <c r="G2344" s="118" t="n">
        <v>47170</v>
      </c>
      <c r="H2344" s="118" t="n">
        <v>46289</v>
      </c>
      <c r="I2344" s="4" t="n">
        <v>0</v>
      </c>
      <c r="J2344" s="4" t="n">
        <v>0</v>
      </c>
      <c r="K2344" s="4" t="n">
        <v>0</v>
      </c>
      <c r="M2344" s="2">
        <f>IF(C2344="","",IFERROR(INDEX($S$5:$S$304,MATCH(C2344,$R$5:$R$304,0))&amp;"","?"))</f>
        <v/>
      </c>
      <c r="N2344" s="2">
        <f>IF(E2344="","",IF(LEFT(E2344,7)="SUBSOLO",-1,IF(LEFT(E2344,6)="TÉRREO",0,IFERROR(VALUE(LEFT(E2344,FIND("º",SUBSTITUTE(E2344,"°","º"))-1)),""))))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B2345" s="4" t="n">
        <v>30205984</v>
      </c>
      <c r="C2345" s="4" t="inlineStr">
        <is>
          <t>CHECKLIST FINAL</t>
        </is>
      </c>
      <c r="D2345" s="4" t="inlineStr">
        <is>
          <t>-</t>
        </is>
      </c>
      <c r="E2345" s="4" t="inlineStr">
        <is>
          <t>6º PAV (PILOTIS) - LOUNGE + SALÃO + COZINHA + GOURMET + ESPAÇO KIDS</t>
        </is>
      </c>
      <c r="F2345" s="118" t="n">
        <v>47169</v>
      </c>
      <c r="G2345" s="118" t="n">
        <v>47182</v>
      </c>
      <c r="H2345" s="118" t="n">
        <v>46289</v>
      </c>
      <c r="I2345" s="4" t="n">
        <v>0</v>
      </c>
      <c r="J2345" s="4" t="n">
        <v>0</v>
      </c>
      <c r="K2345" s="4" t="n">
        <v>0</v>
      </c>
      <c r="M2345" s="2">
        <f>IF(C2345="","",IFERROR(INDEX($S$5:$S$304,MATCH(C2345,$R$5:$R$304,0))&amp;"","?"))</f>
        <v/>
      </c>
      <c r="N2345" s="2">
        <f>IF(E2345="","",IF(LEFT(E2345,7)="SUBSOLO",-1,IF(LEFT(E2345,6)="TÉRREO",0,IFERROR(VALUE(LEFT(E2345,FIND("º",SUBSTITUTE(E2345,"°","º"))-1)),""))))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B2346" s="4" t="n">
        <v>29981004</v>
      </c>
      <c r="C2346" s="4" t="inlineStr">
        <is>
          <t>CHECKLIST FINAL</t>
        </is>
      </c>
      <c r="D2346" s="4" t="inlineStr">
        <is>
          <t>-</t>
        </is>
      </c>
      <c r="E2346" s="4" t="inlineStr">
        <is>
          <t>22º PAV.</t>
        </is>
      </c>
      <c r="F2346" s="118" t="n">
        <v>47169</v>
      </c>
      <c r="G2346" s="118" t="n">
        <v>47179</v>
      </c>
      <c r="H2346" s="118" t="n">
        <v>46289</v>
      </c>
      <c r="I2346" s="4" t="n">
        <v>0</v>
      </c>
      <c r="J2346" s="4" t="n">
        <v>0</v>
      </c>
      <c r="K2346" s="4" t="n">
        <v>0</v>
      </c>
      <c r="M2346" s="2">
        <f>IF(C2346="","",IFERROR(INDEX($S$5:$S$304,MATCH(C2346,$R$5:$R$304,0))&amp;"","?"))</f>
        <v/>
      </c>
      <c r="N2346" s="2">
        <f>IF(E2346="","",IF(LEFT(E2346,7)="SUBSOLO",-1,IF(LEFT(E2346,6)="TÉRREO",0,IFERROR(VALUE(LEFT(E2346,FIND("º",SUBSTITUTE(E2346,"°","º"))-1)),""))))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B2347" s="4" t="n">
        <v>33807249</v>
      </c>
      <c r="C2347" s="4" t="inlineStr">
        <is>
          <t>VISTORIA APTOS</t>
        </is>
      </c>
      <c r="D2347" s="4" t="inlineStr">
        <is>
          <t>-</t>
        </is>
      </c>
      <c r="E2347" s="4" t="inlineStr">
        <is>
          <t>18º PAV.</t>
        </is>
      </c>
      <c r="F2347" s="118" t="n">
        <v>47171</v>
      </c>
      <c r="G2347" s="118" t="n">
        <v>47175</v>
      </c>
      <c r="H2347" s="118" t="n">
        <v>46289</v>
      </c>
      <c r="I2347" s="4" t="n">
        <v>0</v>
      </c>
      <c r="J2347" s="4" t="n">
        <v>0</v>
      </c>
      <c r="K2347" s="4" t="n">
        <v>0</v>
      </c>
      <c r="M2347" s="2">
        <f>IF(C2347="","",IFERROR(INDEX($S$5:$S$304,MATCH(C2347,$R$5:$R$304,0))&amp;"","?"))</f>
        <v/>
      </c>
      <c r="N2347" s="2">
        <f>IF(E2347="","",IF(LEFT(E2347,7)="SUBSOLO",-1,IF(LEFT(E2347,6)="TÉRREO",0,IFERROR(VALUE(LEFT(E2347,FIND("º",SUBSTITUTE(E2347,"°","º"))-1)),""))))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B2348" s="4" t="n">
        <v>29980967</v>
      </c>
      <c r="C2348" s="4" t="inlineStr">
        <is>
          <t>CHECKLIST FINAL</t>
        </is>
      </c>
      <c r="D2348" s="4" t="inlineStr">
        <is>
          <t>-</t>
        </is>
      </c>
      <c r="E2348" s="4" t="inlineStr">
        <is>
          <t>23º PAV.</t>
        </is>
      </c>
      <c r="F2348" s="118" t="n">
        <v>47171</v>
      </c>
      <c r="G2348" s="118" t="n">
        <v>47183</v>
      </c>
      <c r="H2348" s="118" t="n">
        <v>46289</v>
      </c>
      <c r="I2348" s="4" t="n">
        <v>0</v>
      </c>
      <c r="J2348" s="4" t="n">
        <v>0</v>
      </c>
      <c r="K2348" s="4" t="n">
        <v>0</v>
      </c>
      <c r="M2348" s="2">
        <f>IF(C2348="","",IFERROR(INDEX($S$5:$S$304,MATCH(C2348,$R$5:$R$304,0))&amp;"","?"))</f>
        <v/>
      </c>
      <c r="N2348" s="2">
        <f>IF(E2348="","",IF(LEFT(E2348,7)="SUBSOLO",-1,IF(LEFT(E2348,6)="TÉRREO",0,IFERROR(VALUE(LEFT(E2348,FIND("º",SUBSTITUTE(E2348,"°","º"))-1)),""))))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B2349" s="4" t="n">
        <v>29980736</v>
      </c>
      <c r="C2349" s="4" t="inlineStr">
        <is>
          <t>LIMPEZA FINA</t>
        </is>
      </c>
      <c r="D2349" s="4" t="inlineStr">
        <is>
          <t>-</t>
        </is>
      </c>
      <c r="E2349" s="4" t="inlineStr">
        <is>
          <t>29º PAV.</t>
        </is>
      </c>
      <c r="F2349" s="118" t="n">
        <v>47171</v>
      </c>
      <c r="G2349" s="118" t="n">
        <v>47183</v>
      </c>
      <c r="H2349" s="118" t="n">
        <v>46289</v>
      </c>
      <c r="I2349" s="4" t="n">
        <v>0</v>
      </c>
      <c r="J2349" s="4" t="n">
        <v>0</v>
      </c>
      <c r="K2349" s="4" t="n">
        <v>0</v>
      </c>
      <c r="M2349" s="2">
        <f>IF(C2349="","",IFERROR(INDEX($S$5:$S$304,MATCH(C2349,$R$5:$R$304,0))&amp;"","?"))</f>
        <v/>
      </c>
      <c r="N2349" s="2">
        <f>IF(E2349="","",IF(LEFT(E2349,7)="SUBSOLO",-1,IF(LEFT(E2349,6)="TÉRREO",0,IFERROR(VALUE(LEFT(E2349,FIND("º",SUBSTITUTE(E2349,"°","º"))-1)),""))))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B2350" s="4" t="n">
        <v>29980689</v>
      </c>
      <c r="C2350" s="4" t="inlineStr">
        <is>
          <t>PINTURA 3º DEMÃO</t>
        </is>
      </c>
      <c r="D2350" s="4" t="inlineStr">
        <is>
          <t>-</t>
        </is>
      </c>
      <c r="E2350" s="4" t="inlineStr">
        <is>
          <t>30º PAV.</t>
        </is>
      </c>
      <c r="F2350" s="118" t="n">
        <v>47171</v>
      </c>
      <c r="G2350" s="118" t="n">
        <v>47183</v>
      </c>
      <c r="H2350" s="118" t="n">
        <v>46289</v>
      </c>
      <c r="I2350" s="4" t="n">
        <v>0</v>
      </c>
      <c r="J2350" s="4" t="n">
        <v>0</v>
      </c>
      <c r="K2350" s="4" t="n">
        <v>0</v>
      </c>
      <c r="M2350" s="2">
        <f>IF(C2350="","",IFERROR(INDEX($S$5:$S$304,MATCH(C2350,$R$5:$R$304,0))&amp;"","?"))</f>
        <v/>
      </c>
      <c r="N2350" s="2">
        <f>IF(E2350="","",IF(LEFT(E2350,7)="SUBSOLO",-1,IF(LEFT(E2350,6)="TÉRREO",0,IFERROR(VALUE(LEFT(E2350,FIND("º",SUBSTITUTE(E2350,"°","º"))-1)),""))))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B2351" s="4" t="n">
        <v>30171395</v>
      </c>
      <c r="C2351" s="4" t="inlineStr">
        <is>
          <t>TEXTURA - 2º E 3º DEMÃO</t>
        </is>
      </c>
      <c r="D2351" s="4" t="inlineStr">
        <is>
          <t>-</t>
        </is>
      </c>
      <c r="E2351" s="4" t="inlineStr">
        <is>
          <t>5º PAV - GARAGEM</t>
        </is>
      </c>
      <c r="F2351" s="118" t="n">
        <v>47175</v>
      </c>
      <c r="G2351" s="118" t="n">
        <v>47186</v>
      </c>
      <c r="H2351" s="118" t="n">
        <v>46289</v>
      </c>
      <c r="I2351" s="4" t="n">
        <v>0</v>
      </c>
      <c r="J2351" s="4" t="n">
        <v>0</v>
      </c>
      <c r="K2351" s="4" t="n">
        <v>0</v>
      </c>
      <c r="M2351" s="2">
        <f>IF(C2351="","",IFERROR(INDEX($S$5:$S$304,MATCH(C2351,$R$5:$R$304,0))&amp;"","?"))</f>
        <v/>
      </c>
      <c r="N2351" s="2">
        <f>IF(E2351="","",IF(LEFT(E2351,7)="SUBSOLO",-1,IF(LEFT(E2351,6)="TÉRREO",0,IFERROR(VALUE(LEFT(E2351,FIND("º",SUBSTITUTE(E2351,"°","º"))-1)),""))))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B2352" s="4" t="n">
        <v>29981097</v>
      </c>
      <c r="C2352" s="4" t="inlineStr">
        <is>
          <t>ACABAMENTOS ELÉTRICOS</t>
        </is>
      </c>
      <c r="D2352" s="4" t="inlineStr">
        <is>
          <t>-</t>
        </is>
      </c>
      <c r="E2352" s="4" t="inlineStr">
        <is>
          <t>19º PAV.</t>
        </is>
      </c>
      <c r="F2352" s="118" t="n">
        <v>47175</v>
      </c>
      <c r="G2352" s="118" t="n">
        <v>47176</v>
      </c>
      <c r="H2352" s="118" t="n">
        <v>46289</v>
      </c>
      <c r="I2352" s="4" t="n">
        <v>0</v>
      </c>
      <c r="J2352" s="4" t="n">
        <v>0</v>
      </c>
      <c r="K2352" s="4" t="n">
        <v>0</v>
      </c>
      <c r="M2352" s="2">
        <f>IF(C2352="","",IFERROR(INDEX($S$5:$S$304,MATCH(C2352,$R$5:$R$304,0))&amp;"","?"))</f>
        <v/>
      </c>
      <c r="N2352" s="2">
        <f>IF(E2352="","",IF(LEFT(E2352,7)="SUBSOLO",-1,IF(LEFT(E2352,6)="TÉRREO",0,IFERROR(VALUE(LEFT(E2352,FIND("º",SUBSTITUTE(E2352,"°","º"))-1)),""))))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B2353" s="4" t="n">
        <v>29980930</v>
      </c>
      <c r="C2353" s="4" t="inlineStr">
        <is>
          <t>CHECKLIST FINAL</t>
        </is>
      </c>
      <c r="D2353" s="4" t="inlineStr">
        <is>
          <t>-</t>
        </is>
      </c>
      <c r="E2353" s="4" t="inlineStr">
        <is>
          <t>24º PAV.</t>
        </is>
      </c>
      <c r="F2353" s="118" t="n">
        <v>47175</v>
      </c>
      <c r="G2353" s="118" t="n">
        <v>47185</v>
      </c>
      <c r="H2353" s="118" t="n">
        <v>46289</v>
      </c>
      <c r="I2353" s="4" t="n">
        <v>0</v>
      </c>
      <c r="J2353" s="4" t="n">
        <v>0</v>
      </c>
      <c r="K2353" s="4" t="n">
        <v>0</v>
      </c>
      <c r="M2353" s="2">
        <f>IF(C2353="","",IFERROR(INDEX($S$5:$S$304,MATCH(C2353,$R$5:$R$304,0))&amp;"","?"))</f>
        <v/>
      </c>
      <c r="N2353" s="2">
        <f>IF(E2353="","",IF(LEFT(E2353,7)="SUBSOLO",-1,IF(LEFT(E2353,6)="TÉRREO",0,IFERROR(VALUE(LEFT(E2353,FIND("º",SUBSTITUTE(E2353,"°","º"))-1)),""))))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B2354" s="4" t="n">
        <v>30171660</v>
      </c>
      <c r="C2354" s="4" t="inlineStr">
        <is>
          <t>LIMPEZA</t>
        </is>
      </c>
      <c r="D2354" s="4" t="inlineStr">
        <is>
          <t>-</t>
        </is>
      </c>
      <c r="E2354" s="4" t="inlineStr">
        <is>
          <t>CX DE ESCADA DE INCÊND.</t>
        </is>
      </c>
      <c r="F2354" s="118" t="n">
        <v>47176</v>
      </c>
      <c r="G2354" s="118" t="n">
        <v>47196</v>
      </c>
      <c r="H2354" s="118" t="n">
        <v>46289</v>
      </c>
      <c r="I2354" s="4" t="n">
        <v>0</v>
      </c>
      <c r="J2354" s="4" t="n">
        <v>0</v>
      </c>
      <c r="K2354" s="4" t="n">
        <v>0</v>
      </c>
      <c r="M2354" s="2">
        <f>IF(C2354="","",IFERROR(INDEX($S$5:$S$304,MATCH(C2354,$R$5:$R$304,0))&amp;"","?"))</f>
        <v/>
      </c>
      <c r="N2354" s="2">
        <f>IF(E2354="","",IF(LEFT(E2354,7)="SUBSOLO",-1,IF(LEFT(E2354,6)="TÉRREO",0,IFERROR(VALUE(LEFT(E2354,FIND("º",SUBSTITUTE(E2354,"°","º"))-1)),""))))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B2355" s="4" t="n">
        <v>33807250</v>
      </c>
      <c r="C2355" s="4" t="inlineStr">
        <is>
          <t>VISTORIA APTOS</t>
        </is>
      </c>
      <c r="D2355" s="4" t="inlineStr">
        <is>
          <t>-</t>
        </is>
      </c>
      <c r="E2355" s="4" t="inlineStr">
        <is>
          <t>20º PAV.</t>
        </is>
      </c>
      <c r="F2355" s="118" t="n">
        <v>47176</v>
      </c>
      <c r="G2355" s="118" t="n">
        <v>47177</v>
      </c>
      <c r="H2355" s="118" t="n">
        <v>46289</v>
      </c>
      <c r="I2355" s="4" t="n">
        <v>0</v>
      </c>
      <c r="J2355" s="4" t="n">
        <v>0</v>
      </c>
      <c r="K2355" s="4" t="n">
        <v>0</v>
      </c>
      <c r="M2355" s="2">
        <f>IF(C2355="","",IFERROR(INDEX($S$5:$S$304,MATCH(C2355,$R$5:$R$304,0))&amp;"","?"))</f>
        <v/>
      </c>
      <c r="N2355" s="2">
        <f>IF(E2355="","",IF(LEFT(E2355,7)="SUBSOLO",-1,IF(LEFT(E2355,6)="TÉRREO",0,IFERROR(VALUE(LEFT(E2355,FIND("º",SUBSTITUTE(E2355,"°","º"))-1)),""))))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B2356" s="4" t="n">
        <v>29981095</v>
      </c>
      <c r="C2356" s="4" t="inlineStr">
        <is>
          <t>CHECKLIST</t>
        </is>
      </c>
      <c r="D2356" s="4" t="inlineStr">
        <is>
          <t>-</t>
        </is>
      </c>
      <c r="E2356" s="4" t="inlineStr">
        <is>
          <t>19º PAV.</t>
        </is>
      </c>
      <c r="F2356" s="118" t="n">
        <v>47177</v>
      </c>
      <c r="G2356" s="118" t="n">
        <v>47183</v>
      </c>
      <c r="H2356" s="118" t="n">
        <v>46289</v>
      </c>
      <c r="I2356" s="4" t="n">
        <v>0</v>
      </c>
      <c r="J2356" s="4" t="n">
        <v>0</v>
      </c>
      <c r="K2356" s="4" t="n">
        <v>0</v>
      </c>
      <c r="M2356" s="2">
        <f>IF(C2356="","",IFERROR(INDEX($S$5:$S$304,MATCH(C2356,$R$5:$R$304,0))&amp;"","?"))</f>
        <v/>
      </c>
      <c r="N2356" s="2">
        <f>IF(E2356="","",IF(LEFT(E2356,7)="SUBSOLO",-1,IF(LEFT(E2356,6)="TÉRREO",0,IFERROR(VALUE(LEFT(E2356,FIND("º",SUBSTITUTE(E2356,"°","º"))-1)),""))))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B2357" s="4" t="n">
        <v>29980893</v>
      </c>
      <c r="C2357" s="4" t="inlineStr">
        <is>
          <t>CHECKLIST FINAL</t>
        </is>
      </c>
      <c r="D2357" s="4" t="inlineStr">
        <is>
          <t>-</t>
        </is>
      </c>
      <c r="E2357" s="4" t="inlineStr">
        <is>
          <t>25º PAV.</t>
        </is>
      </c>
      <c r="F2357" s="118" t="n">
        <v>47177</v>
      </c>
      <c r="G2357" s="118" t="n">
        <v>47189</v>
      </c>
      <c r="H2357" s="118" t="n">
        <v>46289</v>
      </c>
      <c r="I2357" s="4" t="n">
        <v>0</v>
      </c>
      <c r="J2357" s="4" t="n">
        <v>0</v>
      </c>
      <c r="K2357" s="4" t="n">
        <v>0</v>
      </c>
      <c r="M2357" s="2">
        <f>IF(C2357="","",IFERROR(INDEX($S$5:$S$304,MATCH(C2357,$R$5:$R$304,0))&amp;"","?"))</f>
        <v/>
      </c>
      <c r="N2357" s="2">
        <f>IF(E2357="","",IF(LEFT(E2357,7)="SUBSOLO",-1,IF(LEFT(E2357,6)="TÉRREO",0,IFERROR(VALUE(LEFT(E2357,FIND("º",SUBSTITUTE(E2357,"°","º"))-1)),""))))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B2358" s="4" t="n">
        <v>29980651</v>
      </c>
      <c r="C2358" s="4" t="inlineStr">
        <is>
          <t>CHECKLIST</t>
        </is>
      </c>
      <c r="D2358" s="4" t="inlineStr">
        <is>
          <t>-</t>
        </is>
      </c>
      <c r="E2358" s="4" t="inlineStr">
        <is>
          <t>31º PAV. - COBERTURA LINEAR</t>
        </is>
      </c>
      <c r="F2358" s="118" t="n">
        <v>47177</v>
      </c>
      <c r="G2358" s="118" t="n">
        <v>47183</v>
      </c>
      <c r="H2358" s="118" t="n">
        <v>46289</v>
      </c>
      <c r="I2358" s="4" t="n">
        <v>0</v>
      </c>
      <c r="J2358" s="4" t="n">
        <v>0</v>
      </c>
      <c r="K2358" s="4" t="n">
        <v>0</v>
      </c>
      <c r="M2358" s="2">
        <f>IF(C2358="","",IFERROR(INDEX($S$5:$S$304,MATCH(C2358,$R$5:$R$304,0))&amp;"","?"))</f>
        <v/>
      </c>
      <c r="N2358" s="2">
        <f>IF(E2358="","",IF(LEFT(E2358,7)="SUBSOLO",-1,IF(LEFT(E2358,6)="TÉRREO",0,IFERROR(VALUE(LEFT(E2358,FIND("º",SUBSTITUTE(E2358,"°","º"))-1)),""))))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B2359" s="4" t="n">
        <v>29980616</v>
      </c>
      <c r="C2359" s="4" t="inlineStr">
        <is>
          <t>ACABAMENTOS ELÉTRICOS</t>
        </is>
      </c>
      <c r="D2359" s="4" t="inlineStr">
        <is>
          <t>-</t>
        </is>
      </c>
      <c r="E2359" s="4" t="inlineStr">
        <is>
          <t>32º PAV - COBERTURA GERAL</t>
        </is>
      </c>
      <c r="F2359" s="118" t="n">
        <v>47177</v>
      </c>
      <c r="G2359" s="118" t="n">
        <v>47189</v>
      </c>
      <c r="H2359" s="118" t="n">
        <v>46289</v>
      </c>
      <c r="I2359" s="4" t="n">
        <v>0</v>
      </c>
      <c r="J2359" s="4" t="n">
        <v>0</v>
      </c>
      <c r="K2359" s="4" t="n">
        <v>0</v>
      </c>
      <c r="M2359" s="2">
        <f>IF(C2359="","",IFERROR(INDEX($S$5:$S$304,MATCH(C2359,$R$5:$R$304,0))&amp;"","?"))</f>
        <v/>
      </c>
      <c r="N2359" s="2">
        <f>IF(E2359="","",IF(LEFT(E2359,7)="SUBSOLO",-1,IF(LEFT(E2359,6)="TÉRREO",0,IFERROR(VALUE(LEFT(E2359,FIND("º",SUBSTITUTE(E2359,"°","º"))-1)),""))))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B2360" s="4" t="n">
        <v>33807131</v>
      </c>
      <c r="C2360" s="4" t="inlineStr">
        <is>
          <t>HABITE-SE</t>
        </is>
      </c>
      <c r="D2360" s="4" t="inlineStr">
        <is>
          <t>-</t>
        </is>
      </c>
      <c r="E2360" s="4" t="inlineStr">
        <is>
          <t>TÉRREO - GERAL</t>
        </is>
      </c>
      <c r="F2360" s="118" t="n">
        <v>47178</v>
      </c>
      <c r="G2360" s="118" t="n">
        <v>47210</v>
      </c>
      <c r="H2360" s="118" t="n">
        <v>46289</v>
      </c>
      <c r="I2360" s="4" t="n">
        <v>0</v>
      </c>
      <c r="J2360" s="4" t="n">
        <v>0</v>
      </c>
      <c r="K2360" s="4" t="n">
        <v>0</v>
      </c>
      <c r="M2360" s="2">
        <f>IF(C2360="","",IFERROR(INDEX($S$5:$S$304,MATCH(C2360,$R$5:$R$304,0))&amp;"","?"))</f>
        <v/>
      </c>
      <c r="N2360" s="2">
        <f>IF(E2360="","",IF(LEFT(E2360,7)="SUBSOLO",-1,IF(LEFT(E2360,6)="TÉRREO",0,IFERROR(VALUE(LEFT(E2360,FIND("º",SUBSTITUTE(E2360,"°","º"))-1)),""))))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B2361" s="4" t="n">
        <v>30171517</v>
      </c>
      <c r="C2361" s="4" t="inlineStr">
        <is>
          <t>LIMPEZA</t>
        </is>
      </c>
      <c r="D2361" s="4" t="inlineStr">
        <is>
          <t>-</t>
        </is>
      </c>
      <c r="E2361" s="4" t="inlineStr">
        <is>
          <t>HALL - APTOS</t>
        </is>
      </c>
      <c r="F2361" s="118" t="n">
        <v>47178</v>
      </c>
      <c r="G2361" s="118" t="n">
        <v>47205</v>
      </c>
      <c r="H2361" s="118" t="n">
        <v>46289</v>
      </c>
      <c r="I2361" s="4" t="n">
        <v>0</v>
      </c>
      <c r="J2361" s="4" t="n">
        <v>0</v>
      </c>
      <c r="K2361" s="4" t="n">
        <v>0</v>
      </c>
      <c r="M2361" s="2">
        <f>IF(C2361="","",IFERROR(INDEX($S$5:$S$304,MATCH(C2361,$R$5:$R$304,0))&amp;"","?"))</f>
        <v/>
      </c>
      <c r="N2361" s="2">
        <f>IF(E2361="","",IF(LEFT(E2361,7)="SUBSOLO",-1,IF(LEFT(E2361,6)="TÉRREO",0,IFERROR(VALUE(LEFT(E2361,FIND("º",SUBSTITUTE(E2361,"°","º"))-1)),""))))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B2362" s="4" t="n">
        <v>33807251</v>
      </c>
      <c r="C2362" s="4" t="inlineStr">
        <is>
          <t>VISTORIA APTOS</t>
        </is>
      </c>
      <c r="D2362" s="4" t="inlineStr">
        <is>
          <t>-</t>
        </is>
      </c>
      <c r="E2362" s="4" t="inlineStr">
        <is>
          <t>21º PAV.</t>
        </is>
      </c>
      <c r="F2362" s="118" t="n">
        <v>47178</v>
      </c>
      <c r="G2362" s="118" t="n">
        <v>47179</v>
      </c>
      <c r="H2362" s="118" t="n">
        <v>46289</v>
      </c>
      <c r="I2362" s="4" t="n">
        <v>0</v>
      </c>
      <c r="J2362" s="4" t="n">
        <v>0</v>
      </c>
      <c r="K2362" s="4" t="n">
        <v>0</v>
      </c>
      <c r="M2362" s="2">
        <f>IF(C2362="","",IFERROR(INDEX($S$5:$S$304,MATCH(C2362,$R$5:$R$304,0))&amp;"","?"))</f>
        <v/>
      </c>
      <c r="N2362" s="2">
        <f>IF(E2362="","",IF(LEFT(E2362,7)="SUBSOLO",-1,IF(LEFT(E2362,6)="TÉRREO",0,IFERROR(VALUE(LEFT(E2362,FIND("º",SUBSTITUTE(E2362,"°","º"))-1)),""))))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B2363" s="4" t="n">
        <v>30205767</v>
      </c>
      <c r="C2363" s="4" t="inlineStr">
        <is>
          <t>LIMPEZA</t>
        </is>
      </c>
      <c r="D2363" s="4" t="inlineStr">
        <is>
          <t>-</t>
        </is>
      </c>
      <c r="E2363" s="4" t="inlineStr">
        <is>
          <t>TÉRREO - ÁREA EXTERNA RESIDENCIAL</t>
        </is>
      </c>
      <c r="F2363" s="118" t="n">
        <v>47179</v>
      </c>
      <c r="G2363" s="118" t="n">
        <v>47199</v>
      </c>
      <c r="H2363" s="118" t="n">
        <v>46289</v>
      </c>
      <c r="I2363" s="4" t="n">
        <v>0</v>
      </c>
      <c r="J2363" s="4" t="n">
        <v>0</v>
      </c>
      <c r="K2363" s="4" t="n">
        <v>0</v>
      </c>
      <c r="M2363" s="2">
        <f>IF(C2363="","",IFERROR(INDEX($S$5:$S$304,MATCH(C2363,$R$5:$R$304,0))&amp;"","?"))</f>
        <v/>
      </c>
      <c r="N2363" s="2">
        <f>IF(E2363="","",IF(LEFT(E2363,7)="SUBSOLO",-1,IF(LEFT(E2363,6)="TÉRREO",0,IFERROR(VALUE(LEFT(E2363,FIND("º",SUBSTITUTE(E2363,"°","º"))-1)),""))))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B2364" s="4" t="n">
        <v>29980856</v>
      </c>
      <c r="C2364" s="4" t="inlineStr">
        <is>
          <t>CHECKLIST FINAL</t>
        </is>
      </c>
      <c r="D2364" s="4" t="inlineStr">
        <is>
          <t>-</t>
        </is>
      </c>
      <c r="E2364" s="4" t="inlineStr">
        <is>
          <t>26º PAV.</t>
        </is>
      </c>
      <c r="F2364" s="118" t="n">
        <v>47179</v>
      </c>
      <c r="G2364" s="118" t="n">
        <v>47191</v>
      </c>
      <c r="H2364" s="118" t="n">
        <v>46289</v>
      </c>
      <c r="I2364" s="4" t="n">
        <v>0</v>
      </c>
      <c r="J2364" s="4" t="n">
        <v>0</v>
      </c>
      <c r="K2364" s="4" t="n">
        <v>0</v>
      </c>
      <c r="M2364" s="2">
        <f>IF(C2364="","",IFERROR(INDEX($S$5:$S$304,MATCH(C2364,$R$5:$R$304,0))&amp;"","?"))</f>
        <v/>
      </c>
      <c r="N2364" s="2">
        <f>IF(E2364="","",IF(LEFT(E2364,7)="SUBSOLO",-1,IF(LEFT(E2364,6)="TÉRREO",0,IFERROR(VALUE(LEFT(E2364,FIND("º",SUBSTITUTE(E2364,"°","º"))-1)),""))))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B2365" s="4" t="n">
        <v>33807252</v>
      </c>
      <c r="C2365" s="4" t="inlineStr">
        <is>
          <t>VISTORIA APTOS</t>
        </is>
      </c>
      <c r="D2365" s="4" t="inlineStr">
        <is>
          <t>-</t>
        </is>
      </c>
      <c r="E2365" s="4" t="inlineStr">
        <is>
          <t>22º PAV.</t>
        </is>
      </c>
      <c r="F2365" s="118" t="n">
        <v>47182</v>
      </c>
      <c r="G2365" s="118" t="n">
        <v>47183</v>
      </c>
      <c r="H2365" s="118" t="n">
        <v>46289</v>
      </c>
      <c r="I2365" s="4" t="n">
        <v>0</v>
      </c>
      <c r="J2365" s="4" t="n">
        <v>0</v>
      </c>
      <c r="K2365" s="4" t="n">
        <v>0</v>
      </c>
      <c r="M2365" s="2">
        <f>IF(C2365="","",IFERROR(INDEX($S$5:$S$304,MATCH(C2365,$R$5:$R$304,0))&amp;"","?"))</f>
        <v/>
      </c>
      <c r="N2365" s="2">
        <f>IF(E2365="","",IF(LEFT(E2365,7)="SUBSOLO",-1,IF(LEFT(E2365,6)="TÉRREO",0,IFERROR(VALUE(LEFT(E2365,FIND("º",SUBSTITUTE(E2365,"°","º"))-1)),""))))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B2366" s="4" t="n">
        <v>29980819</v>
      </c>
      <c r="C2366" s="4" t="inlineStr">
        <is>
          <t>CHECKLIST FINAL</t>
        </is>
      </c>
      <c r="D2366" s="4" t="inlineStr">
        <is>
          <t>-</t>
        </is>
      </c>
      <c r="E2366" s="4" t="inlineStr">
        <is>
          <t>27º PAV.</t>
        </is>
      </c>
      <c r="F2366" s="118" t="n">
        <v>47183</v>
      </c>
      <c r="G2366" s="118" t="n">
        <v>47193</v>
      </c>
      <c r="H2366" s="118" t="n">
        <v>46289</v>
      </c>
      <c r="I2366" s="4" t="n">
        <v>0</v>
      </c>
      <c r="J2366" s="4" t="n">
        <v>0</v>
      </c>
      <c r="K2366" s="4" t="n">
        <v>0</v>
      </c>
      <c r="M2366" s="2">
        <f>IF(C2366="","",IFERROR(INDEX($S$5:$S$304,MATCH(C2366,$R$5:$R$304,0))&amp;"","?"))</f>
        <v/>
      </c>
      <c r="N2366" s="2">
        <f>IF(E2366="","",IF(LEFT(E2366,7)="SUBSOLO",-1,IF(LEFT(E2366,6)="TÉRREO",0,IFERROR(VALUE(LEFT(E2366,FIND("º",SUBSTITUTE(E2366,"°","º"))-1)),""))))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B2367" s="4" t="n">
        <v>29981096</v>
      </c>
      <c r="C2367" s="4" t="inlineStr">
        <is>
          <t>PINTURA 3º DEMÃO</t>
        </is>
      </c>
      <c r="D2367" s="4" t="inlineStr">
        <is>
          <t>-</t>
        </is>
      </c>
      <c r="E2367" s="4" t="inlineStr">
        <is>
          <t>19º PAV.</t>
        </is>
      </c>
      <c r="F2367" s="118" t="n">
        <v>47184</v>
      </c>
      <c r="G2367" s="118" t="n">
        <v>47196</v>
      </c>
      <c r="H2367" s="118" t="n">
        <v>46289</v>
      </c>
      <c r="I2367" s="4" t="n">
        <v>0</v>
      </c>
      <c r="J2367" s="4" t="n">
        <v>0</v>
      </c>
      <c r="K2367" s="4" t="n">
        <v>0</v>
      </c>
      <c r="M2367" s="2">
        <f>IF(C2367="","",IFERROR(INDEX($S$5:$S$304,MATCH(C2367,$R$5:$R$304,0))&amp;"","?"))</f>
        <v/>
      </c>
      <c r="N2367" s="2">
        <f>IF(E2367="","",IF(LEFT(E2367,7)="SUBSOLO",-1,IF(LEFT(E2367,6)="TÉRREO",0,IFERROR(VALUE(LEFT(E2367,FIND("º",SUBSTITUTE(E2367,"°","º"))-1)),""))))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B2368" s="4" t="n">
        <v>33807253</v>
      </c>
      <c r="C2368" s="4" t="inlineStr">
        <is>
          <t>VISTORIA APTOS</t>
        </is>
      </c>
      <c r="D2368" s="4" t="inlineStr">
        <is>
          <t>-</t>
        </is>
      </c>
      <c r="E2368" s="4" t="inlineStr">
        <is>
          <t>23º PAV.</t>
        </is>
      </c>
      <c r="F2368" s="118" t="n">
        <v>47184</v>
      </c>
      <c r="G2368" s="118" t="n">
        <v>47185</v>
      </c>
      <c r="H2368" s="118" t="n">
        <v>46289</v>
      </c>
      <c r="I2368" s="4" t="n">
        <v>0</v>
      </c>
      <c r="J2368" s="4" t="n">
        <v>0</v>
      </c>
      <c r="K2368" s="4" t="n">
        <v>0</v>
      </c>
      <c r="M2368" s="2">
        <f>IF(C2368="","",IFERROR(INDEX($S$5:$S$304,MATCH(C2368,$R$5:$R$304,0))&amp;"","?"))</f>
        <v/>
      </c>
      <c r="N2368" s="2">
        <f>IF(E2368="","",IF(LEFT(E2368,7)="SUBSOLO",-1,IF(LEFT(E2368,6)="TÉRREO",0,IFERROR(VALUE(LEFT(E2368,FIND("º",SUBSTITUTE(E2368,"°","º"))-1)),""))))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B2369" s="4" t="n">
        <v>29980699</v>
      </c>
      <c r="C2369" s="4" t="inlineStr">
        <is>
          <t>LIMPEZA FINA</t>
        </is>
      </c>
      <c r="D2369" s="4" t="inlineStr">
        <is>
          <t>-</t>
        </is>
      </c>
      <c r="E2369" s="4" t="inlineStr">
        <is>
          <t>30º PAV.</t>
        </is>
      </c>
      <c r="F2369" s="118" t="n">
        <v>47184</v>
      </c>
      <c r="G2369" s="118" t="n">
        <v>47196</v>
      </c>
      <c r="H2369" s="118" t="n">
        <v>46289</v>
      </c>
      <c r="I2369" s="4" t="n">
        <v>0</v>
      </c>
      <c r="J2369" s="4" t="n">
        <v>0</v>
      </c>
      <c r="K2369" s="4" t="n">
        <v>0</v>
      </c>
      <c r="M2369" s="2">
        <f>IF(C2369="","",IFERROR(INDEX($S$5:$S$304,MATCH(C2369,$R$5:$R$304,0))&amp;"","?"))</f>
        <v/>
      </c>
      <c r="N2369" s="2">
        <f>IF(E2369="","",IF(LEFT(E2369,7)="SUBSOLO",-1,IF(LEFT(E2369,6)="TÉRREO",0,IFERROR(VALUE(LEFT(E2369,FIND("º",SUBSTITUTE(E2369,"°","º"))-1)),""))))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B2370" s="4" t="n">
        <v>29980652</v>
      </c>
      <c r="C2370" s="4" t="inlineStr">
        <is>
          <t>PINTURA 3º DEMÃO</t>
        </is>
      </c>
      <c r="D2370" s="4" t="inlineStr">
        <is>
          <t>-</t>
        </is>
      </c>
      <c r="E2370" s="4" t="inlineStr">
        <is>
          <t>31º PAV. - COBERTURA LINEAR</t>
        </is>
      </c>
      <c r="F2370" s="118" t="n">
        <v>47184</v>
      </c>
      <c r="G2370" s="118" t="n">
        <v>47196</v>
      </c>
      <c r="H2370" s="118" t="n">
        <v>46289</v>
      </c>
      <c r="I2370" s="4" t="n">
        <v>0</v>
      </c>
      <c r="J2370" s="4" t="n">
        <v>0</v>
      </c>
      <c r="K2370" s="4" t="n">
        <v>0</v>
      </c>
      <c r="M2370" s="2">
        <f>IF(C2370="","",IFERROR(INDEX($S$5:$S$304,MATCH(C2370,$R$5:$R$304,0))&amp;"","?"))</f>
        <v/>
      </c>
      <c r="N2370" s="2">
        <f>IF(E2370="","",IF(LEFT(E2370,7)="SUBSOLO",-1,IF(LEFT(E2370,6)="TÉRREO",0,IFERROR(VALUE(LEFT(E2370,FIND("º",SUBSTITUTE(E2370,"°","º"))-1)),""))))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B2371" s="4" t="n">
        <v>29980782</v>
      </c>
      <c r="C2371" s="4" t="inlineStr">
        <is>
          <t>CHECKLIST FINAL</t>
        </is>
      </c>
      <c r="D2371" s="4" t="inlineStr">
        <is>
          <t>-</t>
        </is>
      </c>
      <c r="E2371" s="4" t="inlineStr">
        <is>
          <t>28º PAV.</t>
        </is>
      </c>
      <c r="F2371" s="118" t="n">
        <v>47185</v>
      </c>
      <c r="G2371" s="118" t="n">
        <v>47197</v>
      </c>
      <c r="H2371" s="118" t="n">
        <v>46289</v>
      </c>
      <c r="I2371" s="4" t="n">
        <v>0</v>
      </c>
      <c r="J2371" s="4" t="n">
        <v>0</v>
      </c>
      <c r="K2371" s="4" t="n">
        <v>0</v>
      </c>
      <c r="M2371" s="2">
        <f>IF(C2371="","",IFERROR(INDEX($S$5:$S$304,MATCH(C2371,$R$5:$R$304,0))&amp;"","?"))</f>
        <v/>
      </c>
      <c r="N2371" s="2">
        <f>IF(E2371="","",IF(LEFT(E2371,7)="SUBSOLO",-1,IF(LEFT(E2371,6)="TÉRREO",0,IFERROR(VALUE(LEFT(E2371,FIND("º",SUBSTITUTE(E2371,"°","º"))-1)),""))))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B2372" s="4" t="n">
        <v>33807254</v>
      </c>
      <c r="C2372" s="4" t="inlineStr">
        <is>
          <t>VISTORIA APTOS</t>
        </is>
      </c>
      <c r="D2372" s="4" t="inlineStr">
        <is>
          <t>-</t>
        </is>
      </c>
      <c r="E2372" s="4" t="inlineStr">
        <is>
          <t>24º PAV.</t>
        </is>
      </c>
      <c r="F2372" s="118" t="n">
        <v>47186</v>
      </c>
      <c r="G2372" s="118" t="n">
        <v>47189</v>
      </c>
      <c r="H2372" s="118" t="n">
        <v>46289</v>
      </c>
      <c r="I2372" s="4" t="n">
        <v>0</v>
      </c>
      <c r="J2372" s="4" t="n">
        <v>0</v>
      </c>
      <c r="K2372" s="4" t="n">
        <v>0</v>
      </c>
      <c r="M2372" s="2">
        <f>IF(C2372="","",IFERROR(INDEX($S$5:$S$304,MATCH(C2372,$R$5:$R$304,0))&amp;"","?"))</f>
        <v/>
      </c>
      <c r="N2372" s="2">
        <f>IF(E2372="","",IF(LEFT(E2372,7)="SUBSOLO",-1,IF(LEFT(E2372,6)="TÉRREO",0,IFERROR(VALUE(LEFT(E2372,FIND("º",SUBSTITUTE(E2372,"°","º"))-1)),""))))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B2373" s="4" t="n">
        <v>30171396</v>
      </c>
      <c r="C2373" s="4" t="inlineStr">
        <is>
          <t>LIMPEZA</t>
        </is>
      </c>
      <c r="D2373" s="4" t="inlineStr">
        <is>
          <t>-</t>
        </is>
      </c>
      <c r="E2373" s="4" t="inlineStr">
        <is>
          <t>5º PAV - GARAGEM</t>
        </is>
      </c>
      <c r="F2373" s="118" t="n">
        <v>47189</v>
      </c>
      <c r="G2373" s="118" t="n">
        <v>47210</v>
      </c>
      <c r="H2373" s="118" t="n">
        <v>46289</v>
      </c>
      <c r="I2373" s="4" t="n">
        <v>0</v>
      </c>
      <c r="J2373" s="4" t="n">
        <v>0</v>
      </c>
      <c r="K2373" s="4" t="n">
        <v>0</v>
      </c>
      <c r="M2373" s="2">
        <f>IF(C2373="","",IFERROR(INDEX($S$5:$S$304,MATCH(C2373,$R$5:$R$304,0))&amp;"","?"))</f>
        <v/>
      </c>
      <c r="N2373" s="2">
        <f>IF(E2373="","",IF(LEFT(E2373,7)="SUBSOLO",-1,IF(LEFT(E2373,6)="TÉRREO",0,IFERROR(VALUE(LEFT(E2373,FIND("º",SUBSTITUTE(E2373,"°","º"))-1)),""))))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B2374" s="4" t="n">
        <v>29980745</v>
      </c>
      <c r="C2374" s="4" t="inlineStr">
        <is>
          <t>CHECKLIST FINAL</t>
        </is>
      </c>
      <c r="D2374" s="4" t="inlineStr">
        <is>
          <t>-</t>
        </is>
      </c>
      <c r="E2374" s="4" t="inlineStr">
        <is>
          <t>29º PAV.</t>
        </is>
      </c>
      <c r="F2374" s="118" t="n">
        <v>47189</v>
      </c>
      <c r="G2374" s="118" t="n">
        <v>47199</v>
      </c>
      <c r="H2374" s="118" t="n">
        <v>46289</v>
      </c>
      <c r="I2374" s="4" t="n">
        <v>0</v>
      </c>
      <c r="J2374" s="4" t="n">
        <v>0</v>
      </c>
      <c r="K2374" s="4" t="n">
        <v>0</v>
      </c>
      <c r="M2374" s="2">
        <f>IF(C2374="","",IFERROR(INDEX($S$5:$S$304,MATCH(C2374,$R$5:$R$304,0))&amp;"","?"))</f>
        <v/>
      </c>
      <c r="N2374" s="2">
        <f>IF(E2374="","",IF(LEFT(E2374,7)="SUBSOLO",-1,IF(LEFT(E2374,6)="TÉRREO",0,IFERROR(VALUE(LEFT(E2374,FIND("º",SUBSTITUTE(E2374,"°","º"))-1)),""))))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B2375" s="4" t="n">
        <v>33807255</v>
      </c>
      <c r="C2375" s="4" t="inlineStr">
        <is>
          <t>VISTORIA APTOS</t>
        </is>
      </c>
      <c r="D2375" s="4" t="inlineStr">
        <is>
          <t>-</t>
        </is>
      </c>
      <c r="E2375" s="4" t="inlineStr">
        <is>
          <t>25º PAV.</t>
        </is>
      </c>
      <c r="F2375" s="118" t="n">
        <v>47190</v>
      </c>
      <c r="G2375" s="118" t="n">
        <v>47191</v>
      </c>
      <c r="H2375" s="118" t="n">
        <v>46289</v>
      </c>
      <c r="I2375" s="4" t="n">
        <v>0</v>
      </c>
      <c r="J2375" s="4" t="n">
        <v>0</v>
      </c>
      <c r="K2375" s="4" t="n">
        <v>0</v>
      </c>
      <c r="M2375" s="2">
        <f>IF(C2375="","",IFERROR(INDEX($S$5:$S$304,MATCH(C2375,$R$5:$R$304,0))&amp;"","?"))</f>
        <v/>
      </c>
      <c r="N2375" s="2">
        <f>IF(E2375="","",IF(LEFT(E2375,7)="SUBSOLO",-1,IF(LEFT(E2375,6)="TÉRREO",0,IFERROR(VALUE(LEFT(E2375,FIND("º",SUBSTITUTE(E2375,"°","º"))-1)),""))))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B2376" s="4" t="n">
        <v>29980614</v>
      </c>
      <c r="C2376" s="4" t="inlineStr">
        <is>
          <t>CHECKLIST</t>
        </is>
      </c>
      <c r="D2376" s="4" t="inlineStr">
        <is>
          <t>-</t>
        </is>
      </c>
      <c r="E2376" s="4" t="inlineStr">
        <is>
          <t>32º PAV - COBERTURA GERAL</t>
        </is>
      </c>
      <c r="F2376" s="118" t="n">
        <v>47190</v>
      </c>
      <c r="G2376" s="118" t="n">
        <v>47196</v>
      </c>
      <c r="H2376" s="118" t="n">
        <v>46289</v>
      </c>
      <c r="I2376" s="4" t="n">
        <v>0</v>
      </c>
      <c r="J2376" s="4" t="n">
        <v>0</v>
      </c>
      <c r="K2376" s="4" t="n">
        <v>0</v>
      </c>
      <c r="M2376" s="2">
        <f>IF(C2376="","",IFERROR(INDEX($S$5:$S$304,MATCH(C2376,$R$5:$R$304,0))&amp;"","?"))</f>
        <v/>
      </c>
      <c r="N2376" s="2">
        <f>IF(E2376="","",IF(LEFT(E2376,7)="SUBSOLO",-1,IF(LEFT(E2376,6)="TÉRREO",0,IFERROR(VALUE(LEFT(E2376,FIND("º",SUBSTITUTE(E2376,"°","º"))-1)),""))))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B2377" s="4" t="n">
        <v>33807256</v>
      </c>
      <c r="C2377" s="4" t="inlineStr">
        <is>
          <t>VISTORIA APTOS</t>
        </is>
      </c>
      <c r="D2377" s="4" t="inlineStr">
        <is>
          <t>-</t>
        </is>
      </c>
      <c r="E2377" s="4" t="inlineStr">
        <is>
          <t>26º PAV.</t>
        </is>
      </c>
      <c r="F2377" s="118" t="n">
        <v>47192</v>
      </c>
      <c r="G2377" s="118" t="n">
        <v>47193</v>
      </c>
      <c r="H2377" s="118" t="n">
        <v>46289</v>
      </c>
      <c r="I2377" s="4" t="n">
        <v>0</v>
      </c>
      <c r="J2377" s="4" t="n">
        <v>0</v>
      </c>
      <c r="K2377" s="4" t="n">
        <v>0</v>
      </c>
      <c r="M2377" s="2">
        <f>IF(C2377="","",IFERROR(INDEX($S$5:$S$304,MATCH(C2377,$R$5:$R$304,0))&amp;"","?"))</f>
        <v/>
      </c>
      <c r="N2377" s="2">
        <f>IF(E2377="","",IF(LEFT(E2377,7)="SUBSOLO",-1,IF(LEFT(E2377,6)="TÉRREO",0,IFERROR(VALUE(LEFT(E2377,FIND("º",SUBSTITUTE(E2377,"°","º"))-1)),""))))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B2378" s="4" t="n">
        <v>33807257</v>
      </c>
      <c r="C2378" s="4" t="inlineStr">
        <is>
          <t>VISTORIA APTOS</t>
        </is>
      </c>
      <c r="D2378" s="4" t="inlineStr">
        <is>
          <t>-</t>
        </is>
      </c>
      <c r="E2378" s="4" t="inlineStr">
        <is>
          <t>27º PAV.</t>
        </is>
      </c>
      <c r="F2378" s="118" t="n">
        <v>47196</v>
      </c>
      <c r="G2378" s="118" t="n">
        <v>47197</v>
      </c>
      <c r="H2378" s="118" t="n">
        <v>46289</v>
      </c>
      <c r="I2378" s="4" t="n">
        <v>0</v>
      </c>
      <c r="J2378" s="4" t="n">
        <v>0</v>
      </c>
      <c r="K2378" s="4" t="n">
        <v>0</v>
      </c>
      <c r="M2378" s="2">
        <f>IF(C2378="","",IFERROR(INDEX($S$5:$S$304,MATCH(C2378,$R$5:$R$304,0))&amp;"","?"))</f>
        <v/>
      </c>
      <c r="N2378" s="2">
        <f>IF(E2378="","",IF(LEFT(E2378,7)="SUBSOLO",-1,IF(LEFT(E2378,6)="TÉRREO",0,IFERROR(VALUE(LEFT(E2378,FIND("º",SUBSTITUTE(E2378,"°","º"))-1)),""))))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B2379" s="4" t="n">
        <v>29981106</v>
      </c>
      <c r="C2379" s="4" t="inlineStr">
        <is>
          <t>LIMPEZA FINA</t>
        </is>
      </c>
      <c r="D2379" s="4" t="inlineStr">
        <is>
          <t>-</t>
        </is>
      </c>
      <c r="E2379" s="4" t="inlineStr">
        <is>
          <t>19º PAV.</t>
        </is>
      </c>
      <c r="F2379" s="118" t="n">
        <v>47197</v>
      </c>
      <c r="G2379" s="118" t="n">
        <v>47210</v>
      </c>
      <c r="H2379" s="118" t="n">
        <v>46289</v>
      </c>
      <c r="I2379" s="4" t="n">
        <v>0</v>
      </c>
      <c r="J2379" s="4" t="n">
        <v>0</v>
      </c>
      <c r="K2379" s="4" t="n">
        <v>0</v>
      </c>
      <c r="M2379" s="2">
        <f>IF(C2379="","",IFERROR(INDEX($S$5:$S$304,MATCH(C2379,$R$5:$R$304,0))&amp;"","?"))</f>
        <v/>
      </c>
      <c r="N2379" s="2">
        <f>IF(E2379="","",IF(LEFT(E2379,7)="SUBSOLO",-1,IF(LEFT(E2379,6)="TÉRREO",0,IFERROR(VALUE(LEFT(E2379,FIND("º",SUBSTITUTE(E2379,"°","º"))-1)),""))))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B2380" s="4" t="n">
        <v>29980708</v>
      </c>
      <c r="C2380" s="4" t="inlineStr">
        <is>
          <t>CHECKLIST FINAL</t>
        </is>
      </c>
      <c r="D2380" s="4" t="inlineStr">
        <is>
          <t>-</t>
        </is>
      </c>
      <c r="E2380" s="4" t="inlineStr">
        <is>
          <t>30º PAV.</t>
        </is>
      </c>
      <c r="F2380" s="118" t="n">
        <v>47197</v>
      </c>
      <c r="G2380" s="118" t="n">
        <v>47210</v>
      </c>
      <c r="H2380" s="118" t="n">
        <v>46289</v>
      </c>
      <c r="I2380" s="4" t="n">
        <v>0</v>
      </c>
      <c r="J2380" s="4" t="n">
        <v>0</v>
      </c>
      <c r="K2380" s="4" t="n">
        <v>0</v>
      </c>
      <c r="M2380" s="2">
        <f>IF(C2380="","",IFERROR(INDEX($S$5:$S$304,MATCH(C2380,$R$5:$R$304,0))&amp;"","?"))</f>
        <v/>
      </c>
      <c r="N2380" s="2">
        <f>IF(E2380="","",IF(LEFT(E2380,7)="SUBSOLO",-1,IF(LEFT(E2380,6)="TÉRREO",0,IFERROR(VALUE(LEFT(E2380,FIND("º",SUBSTITUTE(E2380,"°","º"))-1)),""))))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B2381" s="4" t="n">
        <v>29980662</v>
      </c>
      <c r="C2381" s="4" t="inlineStr">
        <is>
          <t>LIMPEZA FINA</t>
        </is>
      </c>
      <c r="D2381" s="4" t="inlineStr">
        <is>
          <t>-</t>
        </is>
      </c>
      <c r="E2381" s="4" t="inlineStr">
        <is>
          <t>31º PAV. - COBERTURA LINEAR</t>
        </is>
      </c>
      <c r="F2381" s="118" t="n">
        <v>47197</v>
      </c>
      <c r="G2381" s="118" t="n">
        <v>47210</v>
      </c>
      <c r="H2381" s="118" t="n">
        <v>46289</v>
      </c>
      <c r="I2381" s="4" t="n">
        <v>0</v>
      </c>
      <c r="J2381" s="4" t="n">
        <v>0</v>
      </c>
      <c r="K2381" s="4" t="n">
        <v>0</v>
      </c>
      <c r="M2381" s="2">
        <f>IF(C2381="","",IFERROR(INDEX($S$5:$S$304,MATCH(C2381,$R$5:$R$304,0))&amp;"","?"))</f>
        <v/>
      </c>
      <c r="N2381" s="2">
        <f>IF(E2381="","",IF(LEFT(E2381,7)="SUBSOLO",-1,IF(LEFT(E2381,6)="TÉRREO",0,IFERROR(VALUE(LEFT(E2381,FIND("º",SUBSTITUTE(E2381,"°","º"))-1)),""))))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B2382" s="4" t="n">
        <v>29980615</v>
      </c>
      <c r="C2382" s="4" t="inlineStr">
        <is>
          <t>PINTURA 3º DEMÃO</t>
        </is>
      </c>
      <c r="D2382" s="4" t="inlineStr">
        <is>
          <t>-</t>
        </is>
      </c>
      <c r="E2382" s="4" t="inlineStr">
        <is>
          <t>32º PAV - COBERTURA GERAL</t>
        </is>
      </c>
      <c r="F2382" s="118" t="n">
        <v>47197</v>
      </c>
      <c r="G2382" s="118" t="n">
        <v>47210</v>
      </c>
      <c r="H2382" s="118" t="n">
        <v>46289</v>
      </c>
      <c r="I2382" s="4" t="n">
        <v>0</v>
      </c>
      <c r="J2382" s="4" t="n">
        <v>0</v>
      </c>
      <c r="K2382" s="4" t="n">
        <v>0</v>
      </c>
      <c r="M2382" s="2">
        <f>IF(C2382="","",IFERROR(INDEX($S$5:$S$304,MATCH(C2382,$R$5:$R$304,0))&amp;"","?"))</f>
        <v/>
      </c>
      <c r="N2382" s="2">
        <f>IF(E2382="","",IF(LEFT(E2382,7)="SUBSOLO",-1,IF(LEFT(E2382,6)="TÉRREO",0,IFERROR(VALUE(LEFT(E2382,FIND("º",SUBSTITUTE(E2382,"°","º"))-1)),""))))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B2383" s="4" t="n">
        <v>33807258</v>
      </c>
      <c r="C2383" s="4" t="inlineStr">
        <is>
          <t>VISTORIA APTOS</t>
        </is>
      </c>
      <c r="D2383" s="4" t="inlineStr">
        <is>
          <t>-</t>
        </is>
      </c>
      <c r="E2383" s="4" t="inlineStr">
        <is>
          <t>28º PAV.</t>
        </is>
      </c>
      <c r="F2383" s="118" t="n">
        <v>47198</v>
      </c>
      <c r="G2383" s="118" t="n">
        <v>47199</v>
      </c>
      <c r="H2383" s="118" t="n">
        <v>46289</v>
      </c>
      <c r="I2383" s="4" t="n">
        <v>0</v>
      </c>
      <c r="J2383" s="4" t="n">
        <v>0</v>
      </c>
      <c r="K2383" s="4" t="n">
        <v>0</v>
      </c>
      <c r="M2383" s="2">
        <f>IF(C2383="","",IFERROR(INDEX($S$5:$S$304,MATCH(C2383,$R$5:$R$304,0))&amp;"","?"))</f>
        <v/>
      </c>
      <c r="N2383" s="2">
        <f>IF(E2383="","",IF(LEFT(E2383,7)="SUBSOLO",-1,IF(LEFT(E2383,6)="TÉRREO",0,IFERROR(VALUE(LEFT(E2383,FIND("º",SUBSTITUTE(E2383,"°","º"))-1)),""))))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B2384" s="4" t="n">
        <v>33807259</v>
      </c>
      <c r="C2384" s="4" t="inlineStr">
        <is>
          <t>VISTORIA APTOS</t>
        </is>
      </c>
      <c r="D2384" s="4" t="inlineStr">
        <is>
          <t>-</t>
        </is>
      </c>
      <c r="E2384" s="4" t="inlineStr">
        <is>
          <t>29º PAV.</t>
        </is>
      </c>
      <c r="F2384" s="118" t="n">
        <v>47200</v>
      </c>
      <c r="G2384" s="118" t="n">
        <v>47203</v>
      </c>
      <c r="H2384" s="118" t="n">
        <v>46289</v>
      </c>
      <c r="I2384" s="4" t="n">
        <v>0</v>
      </c>
      <c r="J2384" s="4" t="n">
        <v>0</v>
      </c>
      <c r="K2384" s="4" t="n">
        <v>0</v>
      </c>
      <c r="M2384" s="2">
        <f>IF(C2384="","",IFERROR(INDEX($S$5:$S$304,MATCH(C2384,$R$5:$R$304,0))&amp;"","?"))</f>
        <v/>
      </c>
      <c r="N2384" s="2">
        <f>IF(E2384="","",IF(LEFT(E2384,7)="SUBSOLO",-1,IF(LEFT(E2384,6)="TÉRREO",0,IFERROR(VALUE(LEFT(E2384,FIND("º",SUBSTITUTE(E2384,"°","º"))-1)),""))))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B2385" s="4" t="n">
        <v>33807260</v>
      </c>
      <c r="C2385" s="4" t="inlineStr">
        <is>
          <t>VISTORIA APTOS</t>
        </is>
      </c>
      <c r="D2385" s="4" t="inlineStr">
        <is>
          <t>-</t>
        </is>
      </c>
      <c r="E2385" s="4" t="inlineStr">
        <is>
          <t>30º PAV.</t>
        </is>
      </c>
      <c r="F2385" s="118" t="n">
        <v>47204</v>
      </c>
      <c r="G2385" s="118" t="n">
        <v>47205</v>
      </c>
      <c r="H2385" s="118" t="n">
        <v>46289</v>
      </c>
      <c r="I2385" s="4" t="n">
        <v>0</v>
      </c>
      <c r="J2385" s="4" t="n">
        <v>0</v>
      </c>
      <c r="K2385" s="4" t="n">
        <v>0</v>
      </c>
      <c r="M2385" s="2">
        <f>IF(C2385="","",IFERROR(INDEX($S$5:$S$304,MATCH(C2385,$R$5:$R$304,0))&amp;"","?"))</f>
        <v/>
      </c>
      <c r="N2385" s="2">
        <f>IF(E2385="","",IF(LEFT(E2385,7)="SUBSOLO",-1,IF(LEFT(E2385,6)="TÉRREO",0,IFERROR(VALUE(LEFT(E2385,FIND("º",SUBSTITUTE(E2385,"°","º"))-1)),""))))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B2386" s="4" t="n">
        <v>34173622</v>
      </c>
      <c r="C2386" s="4" t="inlineStr">
        <is>
          <t>VISTORIA APTOS</t>
        </is>
      </c>
      <c r="D2386" s="4" t="inlineStr">
        <is>
          <t>-</t>
        </is>
      </c>
      <c r="E2386" s="4" t="inlineStr">
        <is>
          <t>31º PAV. - COBERTURA LINEAR</t>
        </is>
      </c>
      <c r="F2386" s="118" t="n">
        <v>47206</v>
      </c>
      <c r="G2386" s="118" t="n">
        <v>47210</v>
      </c>
      <c r="H2386" s="118" t="n">
        <v>46289</v>
      </c>
      <c r="I2386" s="4" t="n">
        <v>0</v>
      </c>
      <c r="J2386" s="4" t="n">
        <v>0</v>
      </c>
      <c r="K2386" s="4" t="n">
        <v>0</v>
      </c>
      <c r="M2386" s="2">
        <f>IF(C2386="","",IFERROR(INDEX($S$5:$S$304,MATCH(C2386,$R$5:$R$304,0))&amp;"","?"))</f>
        <v/>
      </c>
      <c r="N2386" s="2">
        <f>IF(E2386="","",IF(LEFT(E2386,7)="SUBSOLO",-1,IF(LEFT(E2386,6)="TÉRREO",0,IFERROR(VALUE(LEFT(E2386,FIND("º",SUBSTITUTE(E2386,"°","º"))-1)),""))))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B2387" s="4" t="n">
        <v>33807017</v>
      </c>
      <c r="C2387" s="4" t="inlineStr">
        <is>
          <t>ENTREGA SÍNDICO</t>
        </is>
      </c>
      <c r="D2387" s="4" t="inlineStr">
        <is>
          <t>-</t>
        </is>
      </c>
      <c r="E2387" s="4" t="inlineStr">
        <is>
          <t>TÉRREO - GERAL</t>
        </is>
      </c>
      <c r="F2387" s="118" t="n">
        <v>47211</v>
      </c>
      <c r="G2387" s="118" t="n">
        <v>47238</v>
      </c>
      <c r="H2387" s="118" t="n">
        <v>46289</v>
      </c>
      <c r="I2387" s="4" t="n">
        <v>0</v>
      </c>
      <c r="J2387" s="4" t="n">
        <v>0</v>
      </c>
      <c r="K2387" s="4" t="n">
        <v>0</v>
      </c>
      <c r="M2387" s="2">
        <f>IF(C2387="","",IFERROR(INDEX($S$5:$S$304,MATCH(C2387,$R$5:$R$304,0))&amp;"","?"))</f>
        <v/>
      </c>
      <c r="N2387" s="2">
        <f>IF(E2387="","",IF(LEFT(E2387,7)="SUBSOLO",-1,IF(LEFT(E2387,6)="TÉRREO",0,IFERROR(VALUE(LEFT(E2387,FIND("º",SUBSTITUTE(E2387,"°","º"))-1)),""))))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B2388" s="4" t="n">
        <v>29981115</v>
      </c>
      <c r="C2388" s="4" t="inlineStr">
        <is>
          <t>CHECKLIST FINAL</t>
        </is>
      </c>
      <c r="D2388" s="4" t="inlineStr">
        <is>
          <t>-</t>
        </is>
      </c>
      <c r="E2388" s="4" t="inlineStr">
        <is>
          <t>19º PAV.</t>
        </is>
      </c>
      <c r="F2388" s="118" t="n">
        <v>47211</v>
      </c>
      <c r="G2388" s="118" t="n">
        <v>47221</v>
      </c>
      <c r="H2388" s="118" t="n">
        <v>46289</v>
      </c>
      <c r="I2388" s="4" t="n">
        <v>0</v>
      </c>
      <c r="J2388" s="4" t="n">
        <v>0</v>
      </c>
      <c r="K2388" s="4" t="n">
        <v>0</v>
      </c>
      <c r="M2388" s="2">
        <f>IF(C2388="","",IFERROR(INDEX($S$5:$S$304,MATCH(C2388,$R$5:$R$304,0))&amp;"","?"))</f>
        <v/>
      </c>
      <c r="N2388" s="2">
        <f>IF(E2388="","",IF(LEFT(E2388,7)="SUBSOLO",-1,IF(LEFT(E2388,6)="TÉRREO",0,IFERROR(VALUE(LEFT(E2388,FIND("º",SUBSTITUTE(E2388,"°","º"))-1)),""))))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B2389" s="4" t="n">
        <v>29980671</v>
      </c>
      <c r="C2389" s="4" t="inlineStr">
        <is>
          <t>CHECKLIST FINAL</t>
        </is>
      </c>
      <c r="D2389" s="4" t="inlineStr">
        <is>
          <t>-</t>
        </is>
      </c>
      <c r="E2389" s="4" t="inlineStr">
        <is>
          <t>31º PAV. - COBERTURA LINEAR</t>
        </is>
      </c>
      <c r="F2389" s="118" t="n">
        <v>47211</v>
      </c>
      <c r="G2389" s="118" t="n">
        <v>47217</v>
      </c>
      <c r="H2389" s="118" t="n">
        <v>46289</v>
      </c>
      <c r="I2389" s="4" t="n">
        <v>0</v>
      </c>
      <c r="J2389" s="4" t="n">
        <v>0</v>
      </c>
      <c r="K2389" s="4" t="n">
        <v>0</v>
      </c>
      <c r="M2389" s="2">
        <f>IF(C2389="","",IFERROR(INDEX($S$5:$S$304,MATCH(C2389,$R$5:$R$304,0))&amp;"","?"))</f>
        <v/>
      </c>
      <c r="N2389" s="2">
        <f>IF(E2389="","",IF(LEFT(E2389,7)="SUBSOLO",-1,IF(LEFT(E2389,6)="TÉRREO",0,IFERROR(VALUE(LEFT(E2389,FIND("º",SUBSTITUTE(E2389,"°","º"))-1)),""))))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B2390" s="4" t="n">
        <v>29980625</v>
      </c>
      <c r="C2390" s="4" t="inlineStr">
        <is>
          <t>LIMPEZA FINA</t>
        </is>
      </c>
      <c r="D2390" s="4" t="inlineStr">
        <is>
          <t>-</t>
        </is>
      </c>
      <c r="E2390" s="4" t="inlineStr">
        <is>
          <t>32º PAV - COBERTURA GERAL</t>
        </is>
      </c>
      <c r="F2390" s="118" t="n">
        <v>47211</v>
      </c>
      <c r="G2390" s="118" t="n">
        <v>47221</v>
      </c>
      <c r="H2390" s="118" t="n">
        <v>46289</v>
      </c>
      <c r="I2390" s="4" t="n">
        <v>0</v>
      </c>
      <c r="J2390" s="4" t="n">
        <v>0</v>
      </c>
      <c r="K2390" s="4" t="n">
        <v>0</v>
      </c>
      <c r="M2390" s="2">
        <f>IF(C2390="","",IFERROR(INDEX($S$5:$S$304,MATCH(C2390,$R$5:$R$304,0))&amp;"","?"))</f>
        <v/>
      </c>
      <c r="N2390" s="2">
        <f>IF(E2390="","",IF(LEFT(E2390,7)="SUBSOLO",-1,IF(LEFT(E2390,6)="TÉRREO",0,IFERROR(VALUE(LEFT(E2390,FIND("º",SUBSTITUTE(E2390,"°","º"))-1)),""))))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B2391" s="4" t="n">
        <v>33807273</v>
      </c>
      <c r="C2391" s="4" t="inlineStr">
        <is>
          <t>VISTORIA APTOS</t>
        </is>
      </c>
      <c r="D2391" s="4" t="inlineStr">
        <is>
          <t>-</t>
        </is>
      </c>
      <c r="E2391" s="4" t="inlineStr">
        <is>
          <t>19º PAV.</t>
        </is>
      </c>
      <c r="F2391" s="118" t="n">
        <v>47224</v>
      </c>
      <c r="G2391" s="118" t="n">
        <v>47226</v>
      </c>
      <c r="H2391" s="118" t="n">
        <v>46289</v>
      </c>
      <c r="I2391" s="4" t="n">
        <v>0</v>
      </c>
      <c r="J2391" s="4" t="n">
        <v>0</v>
      </c>
      <c r="K2391" s="4" t="n">
        <v>0</v>
      </c>
      <c r="M2391" s="2">
        <f>IF(C2391="","",IFERROR(INDEX($S$5:$S$304,MATCH(C2391,$R$5:$R$304,0))&amp;"","?"))</f>
        <v/>
      </c>
      <c r="N2391" s="2">
        <f>IF(E2391="","",IF(LEFT(E2391,7)="SUBSOLO",-1,IF(LEFT(E2391,6)="TÉRREO",0,IFERROR(VALUE(LEFT(E2391,FIND("º",SUBSTITUTE(E2391,"°","º"))-1)),""))))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IF(E2392="","",IF(LEFT(E2392,7)="SUBSOLO",-1,IF(LEFT(E2392,6)="TÉRREO",0,IFERROR(VALUE(LEFT(E2392,FIND("º",SUBSTITUTE(E2392,"°","º"))-1)),""))))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IF(E2393="","",IF(LEFT(E2393,7)="SUBSOLO",-1,IF(LEFT(E2393,6)="TÉRREO",0,IFERROR(VALUE(LEFT(E2393,FIND("º",SUBSTITUTE(E2393,"°","º"))-1)),""))))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IF(E2394="","",IF(LEFT(E2394,7)="SUBSOLO",-1,IF(LEFT(E2394,6)="TÉRREO",0,IFERROR(VALUE(LEFT(E2394,FIND("º",SUBSTITUTE(E2394,"°","º"))-1)),""))))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IF(E2395="","",IF(LEFT(E2395,7)="SUBSOLO",-1,IF(LEFT(E2395,6)="TÉRREO",0,IFERROR(VALUE(LEFT(E2395,FIND("º",SUBSTITUTE(E2395,"°","º"))-1)),""))))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IF(E2396="","",IF(LEFT(E2396,7)="SUBSOLO",-1,IF(LEFT(E2396,6)="TÉRREO",0,IFERROR(VALUE(LEFT(E2396,FIND("º",SUBSTITUTE(E2396,"°","º"))-1)),""))))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IF(E2397="","",IF(LEFT(E2397,7)="SUBSOLO",-1,IF(LEFT(E2397,6)="TÉRREO",0,IFERROR(VALUE(LEFT(E2397,FIND("º",SUBSTITUTE(E2397,"°","º"))-1)),""))))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IF(E2398="","",IF(LEFT(E2398,7)="SUBSOLO",-1,IF(LEFT(E2398,6)="TÉRREO",0,IFERROR(VALUE(LEFT(E2398,FIND("º",SUBSTITUTE(E2398,"°","º"))-1)),""))))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IF(E2399="","",IF(LEFT(E2399,7)="SUBSOLO",-1,IF(LEFT(E2399,6)="TÉRREO",0,IFERROR(VALUE(LEFT(E2399,FIND("º",SUBSTITUTE(E2399,"°","º"))-1)),""))))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IF(E2400="","",IF(LEFT(E2400,7)="SUBSOLO",-1,IF(LEFT(E2400,6)="TÉRREO",0,IFERROR(VALUE(LEFT(E2400,FIND("º",SUBSTITUTE(E2400,"°","º"))-1)),""))))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IF(E2401="","",IF(LEFT(E2401,7)="SUBSOLO",-1,IF(LEFT(E2401,6)="TÉRREO",0,IFERROR(VALUE(LEFT(E2401,FIND("º",SUBSTITUTE(E2401,"°","º"))-1)),""))))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IF(E2402="","",IF(LEFT(E2402,7)="SUBSOLO",-1,IF(LEFT(E2402,6)="TÉRREO",0,IFERROR(VALUE(LEFT(E2402,FIND("º",SUBSTITUTE(E2402,"°","º"))-1)),""))))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IF(E2403="","",IF(LEFT(E2403,7)="SUBSOLO",-1,IF(LEFT(E2403,6)="TÉRREO",0,IFERROR(VALUE(LEFT(E2403,FIND("º",SUBSTITUTE(E2403,"°","º"))-1)),""))))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IF(E2404="","",IF(LEFT(E2404,7)="SUBSOLO",-1,IF(LEFT(E2404,6)="TÉRREO",0,IFERROR(VALUE(LEFT(E2404,FIND("º",SUBSTITUTE(E2404,"°","º"))-1)),""))))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IF(E2405="","",IF(LEFT(E2405,7)="SUBSOLO",-1,IF(LEFT(E2405,6)="TÉRREO",0,IFERROR(VALUE(LEFT(E2405,FIND("º",SUBSTITUTE(E2405,"°","º"))-1)),""))))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IF(E2406="","",IF(LEFT(E2406,7)="SUBSOLO",-1,IF(LEFT(E2406,6)="TÉRREO",0,IFERROR(VALUE(LEFT(E2406,FIND("º",SUBSTITUTE(E2406,"°","º"))-1)),""))))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IF(E2407="","",IF(LEFT(E2407,7)="SUBSOLO",-1,IF(LEFT(E2407,6)="TÉRREO",0,IFERROR(VALUE(LEFT(E2407,FIND("º",SUBSTITUTE(E2407,"°","º"))-1)),""))))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IF(E2408="","",IF(LEFT(E2408,7)="SUBSOLO",-1,IF(LEFT(E2408,6)="TÉRREO",0,IFERROR(VALUE(LEFT(E2408,FIND("º",SUBSTITUTE(E2408,"°","º"))-1)),""))))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IF(E2409="","",IF(LEFT(E2409,7)="SUBSOLO",-1,IF(LEFT(E2409,6)="TÉRREO",0,IFERROR(VALUE(LEFT(E2409,FIND("º",SUBSTITUTE(E2409,"°","º"))-1)),""))))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IF(E2410="","",IF(LEFT(E2410,7)="SUBSOLO",-1,IF(LEFT(E2410,6)="TÉRREO",0,IFERROR(VALUE(LEFT(E2410,FIND("º",SUBSTITUTE(E2410,"°","º"))-1)),""))))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IF(E2411="","",IF(LEFT(E2411,7)="SUBSOLO",-1,IF(LEFT(E2411,6)="TÉRREO",0,IFERROR(VALUE(LEFT(E2411,FIND("º",SUBSTITUTE(E2411,"°","º"))-1)),""))))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IF(E2412="","",IF(LEFT(E2412,7)="SUBSOLO",-1,IF(LEFT(E2412,6)="TÉRREO",0,IFERROR(VALUE(LEFT(E2412,FIND("º",SUBSTITUTE(E2412,"°","º"))-1)),""))))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IF(E2413="","",IF(LEFT(E2413,7)="SUBSOLO",-1,IF(LEFT(E2413,6)="TÉRREO",0,IFERROR(VALUE(LEFT(E2413,FIND("º",SUBSTITUTE(E2413,"°","º"))-1)),""))))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IF(E2414="","",IF(LEFT(E2414,7)="SUBSOLO",-1,IF(LEFT(E2414,6)="TÉRREO",0,IFERROR(VALUE(LEFT(E2414,FIND("º",SUBSTITUTE(E2414,"°","º"))-1)),""))))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IF(E2415="","",IF(LEFT(E2415,7)="SUBSOLO",-1,IF(LEFT(E2415,6)="TÉRREO",0,IFERROR(VALUE(LEFT(E2415,FIND("º",SUBSTITUTE(E2415,"°","º"))-1)),""))))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IF(E2416="","",IF(LEFT(E2416,7)="SUBSOLO",-1,IF(LEFT(E2416,6)="TÉRREO",0,IFERROR(VALUE(LEFT(E2416,FIND("º",SUBSTITUTE(E2416,"°","º"))-1)),""))))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IF(E2417="","",IF(LEFT(E2417,7)="SUBSOLO",-1,IF(LEFT(E2417,6)="TÉRREO",0,IFERROR(VALUE(LEFT(E2417,FIND("º",SUBSTITUTE(E2417,"°","º"))-1)),""))))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IF(E2418="","",IF(LEFT(E2418,7)="SUBSOLO",-1,IF(LEFT(E2418,6)="TÉRREO",0,IFERROR(VALUE(LEFT(E2418,FIND("º",SUBSTITUTE(E2418,"°","º"))-1)),""))))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IF(E2419="","",IF(LEFT(E2419,7)="SUBSOLO",-1,IF(LEFT(E2419,6)="TÉRREO",0,IFERROR(VALUE(LEFT(E2419,FIND("º",SUBSTITUTE(E2419,"°","º"))-1)),""))))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IF(E2420="","",IF(LEFT(E2420,7)="SUBSOLO",-1,IF(LEFT(E2420,6)="TÉRREO",0,IFERROR(VALUE(LEFT(E2420,FIND("º",SUBSTITUTE(E2420,"°","º"))-1)),""))))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IF(E2421="","",IF(LEFT(E2421,7)="SUBSOLO",-1,IF(LEFT(E2421,6)="TÉRREO",0,IFERROR(VALUE(LEFT(E2421,FIND("º",SUBSTITUTE(E2421,"°","º"))-1)),""))))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IF(E2422="","",IF(LEFT(E2422,7)="SUBSOLO",-1,IF(LEFT(E2422,6)="TÉRREO",0,IFERROR(VALUE(LEFT(E2422,FIND("º",SUBSTITUTE(E2422,"°","º"))-1)),""))))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IF(E2423="","",IF(LEFT(E2423,7)="SUBSOLO",-1,IF(LEFT(E2423,6)="TÉRREO",0,IFERROR(VALUE(LEFT(E2423,FIND("º",SUBSTITUTE(E2423,"°","º"))-1)),""))))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IF(E2424="","",IF(LEFT(E2424,7)="SUBSOLO",-1,IF(LEFT(E2424,6)="TÉRREO",0,IFERROR(VALUE(LEFT(E2424,FIND("º",SUBSTITUTE(E2424,"°","º"))-1)),""))))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IF(E2425="","",IF(LEFT(E2425,7)="SUBSOLO",-1,IF(LEFT(E2425,6)="TÉRREO",0,IFERROR(VALUE(LEFT(E2425,FIND("º",SUBSTITUTE(E2425,"°","º"))-1)),""))))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IF(E2426="","",IF(LEFT(E2426,7)="SUBSOLO",-1,IF(LEFT(E2426,6)="TÉRREO",0,IFERROR(VALUE(LEFT(E2426,FIND("º",SUBSTITUTE(E2426,"°","º"))-1)),""))))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IF(E2427="","",IF(LEFT(E2427,7)="SUBSOLO",-1,IF(LEFT(E2427,6)="TÉRREO",0,IFERROR(VALUE(LEFT(E2427,FIND("º",SUBSTITUTE(E2427,"°","º"))-1)),""))))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IF(E2428="","",IF(LEFT(E2428,7)="SUBSOLO",-1,IF(LEFT(E2428,6)="TÉRREO",0,IFERROR(VALUE(LEFT(E2428,FIND("º",SUBSTITUTE(E2428,"°","º"))-1)),""))))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IF(E2429="","",IF(LEFT(E2429,7)="SUBSOLO",-1,IF(LEFT(E2429,6)="TÉRREO",0,IFERROR(VALUE(LEFT(E2429,FIND("º",SUBSTITUTE(E2429,"°","º"))-1)),""))))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IF(E2430="","",IF(LEFT(E2430,7)="SUBSOLO",-1,IF(LEFT(E2430,6)="TÉRREO",0,IFERROR(VALUE(LEFT(E2430,FIND("º",SUBSTITUTE(E2430,"°","º"))-1)),""))))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IF(E2431="","",IF(LEFT(E2431,7)="SUBSOLO",-1,IF(LEFT(E2431,6)="TÉRREO",0,IFERROR(VALUE(LEFT(E2431,FIND("º",SUBSTITUTE(E2431,"°","º"))-1)),""))))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IF(E2432="","",IF(LEFT(E2432,7)="SUBSOLO",-1,IF(LEFT(E2432,6)="TÉRREO",0,IFERROR(VALUE(LEFT(E2432,FIND("º",SUBSTITUTE(E2432,"°","º"))-1)),""))))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IF(E2433="","",IF(LEFT(E2433,7)="SUBSOLO",-1,IF(LEFT(E2433,6)="TÉRREO",0,IFERROR(VALUE(LEFT(E2433,FIND("º",SUBSTITUTE(E2433,"°","º"))-1)),""))))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IF(E2434="","",IF(LEFT(E2434,7)="SUBSOLO",-1,IF(LEFT(E2434,6)="TÉRREO",0,IFERROR(VALUE(LEFT(E2434,FIND("º",SUBSTITUTE(E2434,"°","º"))-1)),""))))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IF(E2435="","",IF(LEFT(E2435,7)="SUBSOLO",-1,IF(LEFT(E2435,6)="TÉRREO",0,IFERROR(VALUE(LEFT(E2435,FIND("º",SUBSTITUTE(E2435,"°","º"))-1)),""))))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IF(E2436="","",IF(LEFT(E2436,7)="SUBSOLO",-1,IF(LEFT(E2436,6)="TÉRREO",0,IFERROR(VALUE(LEFT(E2436,FIND("º",SUBSTITUTE(E2436,"°","º"))-1)),""))))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IF(E2437="","",IF(LEFT(E2437,7)="SUBSOLO",-1,IF(LEFT(E2437,6)="TÉRREO",0,IFERROR(VALUE(LEFT(E2437,FIND("º",SUBSTITUTE(E2437,"°","º"))-1)),""))))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IF(E2438="","",IF(LEFT(E2438,7)="SUBSOLO",-1,IF(LEFT(E2438,6)="TÉRREO",0,IFERROR(VALUE(LEFT(E2438,FIND("º",SUBSTITUTE(E2438,"°","º"))-1)),""))))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IF(E2439="","",IF(LEFT(E2439,7)="SUBSOLO",-1,IF(LEFT(E2439,6)="TÉRREO",0,IFERROR(VALUE(LEFT(E2439,FIND("º",SUBSTITUTE(E2439,"°","º"))-1)),""))))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IF(E2440="","",IF(LEFT(E2440,7)="SUBSOLO",-1,IF(LEFT(E2440,6)="TÉRREO",0,IFERROR(VALUE(LEFT(E2440,FIND("º",SUBSTITUTE(E2440,"°","º"))-1)),""))))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IF(E2441="","",IF(LEFT(E2441,7)="SUBSOLO",-1,IF(LEFT(E2441,6)="TÉRREO",0,IFERROR(VALUE(LEFT(E2441,FIND("º",SUBSTITUTE(E2441,"°","º"))-1)),""))))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IF(E2442="","",IF(LEFT(E2442,7)="SUBSOLO",-1,IF(LEFT(E2442,6)="TÉRREO",0,IFERROR(VALUE(LEFT(E2442,FIND("º",SUBSTITUTE(E2442,"°","º"))-1)),""))))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IF(E2443="","",IF(LEFT(E2443,7)="SUBSOLO",-1,IF(LEFT(E2443,6)="TÉRREO",0,IFERROR(VALUE(LEFT(E2443,FIND("º",SUBSTITUTE(E2443,"°","º"))-1)),""))))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IF(E2444="","",IF(LEFT(E2444,7)="SUBSOLO",-1,IF(LEFT(E2444,6)="TÉRREO",0,IFERROR(VALUE(LEFT(E2444,FIND("º",SUBSTITUTE(E2444,"°","º"))-1)),""))))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IF(E2445="","",IF(LEFT(E2445,7)="SUBSOLO",-1,IF(LEFT(E2445,6)="TÉRREO",0,IFERROR(VALUE(LEFT(E2445,FIND("º",SUBSTITUTE(E2445,"°","º"))-1)),""))))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IF(E2446="","",IF(LEFT(E2446,7)="SUBSOLO",-1,IF(LEFT(E2446,6)="TÉRREO",0,IFERROR(VALUE(LEFT(E2446,FIND("º",SUBSTITUTE(E2446,"°","º"))-1)),""))))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IF(E2447="","",IF(LEFT(E2447,7)="SUBSOLO",-1,IF(LEFT(E2447,6)="TÉRREO",0,IFERROR(VALUE(LEFT(E2447,FIND("º",SUBSTITUTE(E2447,"°","º"))-1)),""))))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IF(E2448="","",IF(LEFT(E2448,7)="SUBSOLO",-1,IF(LEFT(E2448,6)="TÉRREO",0,IFERROR(VALUE(LEFT(E2448,FIND("º",SUBSTITUTE(E2448,"°","º"))-1)),""))))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IF(E2449="","",IF(LEFT(E2449,7)="SUBSOLO",-1,IF(LEFT(E2449,6)="TÉRREO",0,IFERROR(VALUE(LEFT(E2449,FIND("º",SUBSTITUTE(E2449,"°","º"))-1)),""))))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IF(E2450="","",IF(LEFT(E2450,7)="SUBSOLO",-1,IF(LEFT(E2450,6)="TÉRREO",0,IFERROR(VALUE(LEFT(E2450,FIND("º",SUBSTITUTE(E2450,"°","º"))-1)),""))))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IF(E2451="","",IF(LEFT(E2451,7)="SUBSOLO",-1,IF(LEFT(E2451,6)="TÉRREO",0,IFERROR(VALUE(LEFT(E2451,FIND("º",SUBSTITUTE(E2451,"°","º"))-1)),""))))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IF(E2452="","",IF(LEFT(E2452,7)="SUBSOLO",-1,IF(LEFT(E2452,6)="TÉRREO",0,IFERROR(VALUE(LEFT(E2452,FIND("º",SUBSTITUTE(E2452,"°","º"))-1)),""))))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IF(E2453="","",IF(LEFT(E2453,7)="SUBSOLO",-1,IF(LEFT(E2453,6)="TÉRREO",0,IFERROR(VALUE(LEFT(E2453,FIND("º",SUBSTITUTE(E2453,"°","º"))-1)),""))))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IF(E2454="","",IF(LEFT(E2454,7)="SUBSOLO",-1,IF(LEFT(E2454,6)="TÉRREO",0,IFERROR(VALUE(LEFT(E2454,FIND("º",SUBSTITUTE(E2454,"°","º"))-1)),""))))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IF(E2455="","",IF(LEFT(E2455,7)="SUBSOLO",-1,IF(LEFT(E2455,6)="TÉRREO",0,IFERROR(VALUE(LEFT(E2455,FIND("º",SUBSTITUTE(E2455,"°","º"))-1)),""))))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IF(E2456="","",IF(LEFT(E2456,7)="SUBSOLO",-1,IF(LEFT(E2456,6)="TÉRREO",0,IFERROR(VALUE(LEFT(E2456,FIND("º",SUBSTITUTE(E2456,"°","º"))-1)),""))))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IF(E2457="","",IF(LEFT(E2457,7)="SUBSOLO",-1,IF(LEFT(E2457,6)="TÉRREO",0,IFERROR(VALUE(LEFT(E2457,FIND("º",SUBSTITUTE(E2457,"°","º"))-1)),""))))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IF(E2458="","",IF(LEFT(E2458,7)="SUBSOLO",-1,IF(LEFT(E2458,6)="TÉRREO",0,IFERROR(VALUE(LEFT(E2458,FIND("º",SUBSTITUTE(E2458,"°","º"))-1)),""))))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IF(E2459="","",IF(LEFT(E2459,7)="SUBSOLO",-1,IF(LEFT(E2459,6)="TÉRREO",0,IFERROR(VALUE(LEFT(E2459,FIND("º",SUBSTITUTE(E2459,"°","º"))-1)),""))))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IF(E2460="","",IF(LEFT(E2460,7)="SUBSOLO",-1,IF(LEFT(E2460,6)="TÉRREO",0,IFERROR(VALUE(LEFT(E2460,FIND("º",SUBSTITUTE(E2460,"°","º"))-1)),""))))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IF(E2461="","",IF(LEFT(E2461,7)="SUBSOLO",-1,IF(LEFT(E2461,6)="TÉRREO",0,IFERROR(VALUE(LEFT(E2461,FIND("º",SUBSTITUTE(E2461,"°","º"))-1)),""))))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IF(E2462="","",IF(LEFT(E2462,7)="SUBSOLO",-1,IF(LEFT(E2462,6)="TÉRREO",0,IFERROR(VALUE(LEFT(E2462,FIND("º",SUBSTITUTE(E2462,"°","º"))-1)),""))))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IF(E2463="","",IF(LEFT(E2463,7)="SUBSOLO",-1,IF(LEFT(E2463,6)="TÉRREO",0,IFERROR(VALUE(LEFT(E2463,FIND("º",SUBSTITUTE(E2463,"°","º"))-1)),""))))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IF(E2464="","",IF(LEFT(E2464,7)="SUBSOLO",-1,IF(LEFT(E2464,6)="TÉRREO",0,IFERROR(VALUE(LEFT(E2464,FIND("º",SUBSTITUTE(E2464,"°","º"))-1)),""))))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IF(E2465="","",IF(LEFT(E2465,7)="SUBSOLO",-1,IF(LEFT(E2465,6)="TÉRREO",0,IFERROR(VALUE(LEFT(E2465,FIND("º",SUBSTITUTE(E2465,"°","º"))-1)),""))))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IF(E2466="","",IF(LEFT(E2466,7)="SUBSOLO",-1,IF(LEFT(E2466,6)="TÉRREO",0,IFERROR(VALUE(LEFT(E2466,FIND("º",SUBSTITUTE(E2466,"°","º"))-1)),""))))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IF(E2467="","",IF(LEFT(E2467,7)="SUBSOLO",-1,IF(LEFT(E2467,6)="TÉRREO",0,IFERROR(VALUE(LEFT(E2467,FIND("º",SUBSTITUTE(E2467,"°","º"))-1)),""))))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IF(E2468="","",IF(LEFT(E2468,7)="SUBSOLO",-1,IF(LEFT(E2468,6)="TÉRREO",0,IFERROR(VALUE(LEFT(E2468,FIND("º",SUBSTITUTE(E2468,"°","º"))-1)),""))))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IF(E2469="","",IF(LEFT(E2469,7)="SUBSOLO",-1,IF(LEFT(E2469,6)="TÉRREO",0,IFERROR(VALUE(LEFT(E2469,FIND("º",SUBSTITUTE(E2469,"°","º"))-1)),""))))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IF(E2470="","",IF(LEFT(E2470,7)="SUBSOLO",-1,IF(LEFT(E2470,6)="TÉRREO",0,IFERROR(VALUE(LEFT(E2470,FIND("º",SUBSTITUTE(E2470,"°","º"))-1)),""))))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IF(E2471="","",IF(LEFT(E2471,7)="SUBSOLO",-1,IF(LEFT(E2471,6)="TÉRREO",0,IFERROR(VALUE(LEFT(E2471,FIND("º",SUBSTITUTE(E2471,"°","º"))-1)),""))))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IF(E2472="","",IF(LEFT(E2472,7)="SUBSOLO",-1,IF(LEFT(E2472,6)="TÉRREO",0,IFERROR(VALUE(LEFT(E2472,FIND("º",SUBSTITUTE(E2472,"°","º"))-1)),""))))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IF(E2473="","",IF(LEFT(E2473,7)="SUBSOLO",-1,IF(LEFT(E2473,6)="TÉRREO",0,IFERROR(VALUE(LEFT(E2473,FIND("º",SUBSTITUTE(E2473,"°","º"))-1)),""))))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IF(E2474="","",IF(LEFT(E2474,7)="SUBSOLO",-1,IF(LEFT(E2474,6)="TÉRREO",0,IFERROR(VALUE(LEFT(E2474,FIND("º",SUBSTITUTE(E2474,"°","º"))-1)),""))))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IF(E2475="","",IF(LEFT(E2475,7)="SUBSOLO",-1,IF(LEFT(E2475,6)="TÉRREO",0,IFERROR(VALUE(LEFT(E2475,FIND("º",SUBSTITUTE(E2475,"°","º"))-1)),""))))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IF(E2476="","",IF(LEFT(E2476,7)="SUBSOLO",-1,IF(LEFT(E2476,6)="TÉRREO",0,IFERROR(VALUE(LEFT(E2476,FIND("º",SUBSTITUTE(E2476,"°","º"))-1)),""))))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IF(E2477="","",IF(LEFT(E2477,7)="SUBSOLO",-1,IF(LEFT(E2477,6)="TÉRREO",0,IFERROR(VALUE(LEFT(E2477,FIND("º",SUBSTITUTE(E2477,"°","º"))-1)),""))))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IF(E2478="","",IF(LEFT(E2478,7)="SUBSOLO",-1,IF(LEFT(E2478,6)="TÉRREO",0,IFERROR(VALUE(LEFT(E2478,FIND("º",SUBSTITUTE(E2478,"°","º"))-1)),""))))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IF(E2479="","",IF(LEFT(E2479,7)="SUBSOLO",-1,IF(LEFT(E2479,6)="TÉRREO",0,IFERROR(VALUE(LEFT(E2479,FIND("º",SUBSTITUTE(E2479,"°","º"))-1)),""))))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IF(E2480="","",IF(LEFT(E2480,7)="SUBSOLO",-1,IF(LEFT(E2480,6)="TÉRREO",0,IFERROR(VALUE(LEFT(E2480,FIND("º",SUBSTITUTE(E2480,"°","º"))-1)),""))))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IF(E2481="","",IF(LEFT(E2481,7)="SUBSOLO",-1,IF(LEFT(E2481,6)="TÉRREO",0,IFERROR(VALUE(LEFT(E2481,FIND("º",SUBSTITUTE(E2481,"°","º"))-1)),""))))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IF(E2482="","",IF(LEFT(E2482,7)="SUBSOLO",-1,IF(LEFT(E2482,6)="TÉRREO",0,IFERROR(VALUE(LEFT(E2482,FIND("º",SUBSTITUTE(E2482,"°","º"))-1)),""))))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IF(E2483="","",IF(LEFT(E2483,7)="SUBSOLO",-1,IF(LEFT(E2483,6)="TÉRREO",0,IFERROR(VALUE(LEFT(E2483,FIND("º",SUBSTITUTE(E2483,"°","º"))-1)),""))))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IF(E2484="","",IF(LEFT(E2484,7)="SUBSOLO",-1,IF(LEFT(E2484,6)="TÉRREO",0,IFERROR(VALUE(LEFT(E2484,FIND("º",SUBSTITUTE(E2484,"°","º"))-1)),""))))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IF(E2485="","",IF(LEFT(E2485,7)="SUBSOLO",-1,IF(LEFT(E2485,6)="TÉRREO",0,IFERROR(VALUE(LEFT(E2485,FIND("º",SUBSTITUTE(E2485,"°","º"))-1)),""))))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IF(E2486="","",IF(LEFT(E2486,7)="SUBSOLO",-1,IF(LEFT(E2486,6)="TÉRREO",0,IFERROR(VALUE(LEFT(E2486,FIND("º",SUBSTITUTE(E2486,"°","º"))-1)),""))))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IF(E2487="","",IF(LEFT(E2487,7)="SUBSOLO",-1,IF(LEFT(E2487,6)="TÉRREO",0,IFERROR(VALUE(LEFT(E2487,FIND("º",SUBSTITUTE(E2487,"°","º"))-1)),""))))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IF(E2488="","",IF(LEFT(E2488,7)="SUBSOLO",-1,IF(LEFT(E2488,6)="TÉRREO",0,IFERROR(VALUE(LEFT(E2488,FIND("º",SUBSTITUTE(E2488,"°","º"))-1)),""))))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IF(E2489="","",IF(LEFT(E2489,7)="SUBSOLO",-1,IF(LEFT(E2489,6)="TÉRREO",0,IFERROR(VALUE(LEFT(E2489,FIND("º",SUBSTITUTE(E2489,"°","º"))-1)),""))))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IF(E2490="","",IF(LEFT(E2490,7)="SUBSOLO",-1,IF(LEFT(E2490,6)="TÉRREO",0,IFERROR(VALUE(LEFT(E2490,FIND("º",SUBSTITUTE(E2490,"°","º"))-1)),""))))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IF(E2491="","",IF(LEFT(E2491,7)="SUBSOLO",-1,IF(LEFT(E2491,6)="TÉRREO",0,IFERROR(VALUE(LEFT(E2491,FIND("º",SUBSTITUTE(E2491,"°","º"))-1)),""))))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IF(E2492="","",IF(LEFT(E2492,7)="SUBSOLO",-1,IF(LEFT(E2492,6)="TÉRREO",0,IFERROR(VALUE(LEFT(E2492,FIND("º",SUBSTITUTE(E2492,"°","º"))-1)),""))))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IF(E2493="","",IF(LEFT(E2493,7)="SUBSOLO",-1,IF(LEFT(E2493,6)="TÉRREO",0,IFERROR(VALUE(LEFT(E2493,FIND("º",SUBSTITUTE(E2493,"°","º"))-1)),""))))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IF(E2494="","",IF(LEFT(E2494,7)="SUBSOLO",-1,IF(LEFT(E2494,6)="TÉRREO",0,IFERROR(VALUE(LEFT(E2494,FIND("º",SUBSTITUTE(E2494,"°","º"))-1)),""))))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IF(E2495="","",IF(LEFT(E2495,7)="SUBSOLO",-1,IF(LEFT(E2495,6)="TÉRREO",0,IFERROR(VALUE(LEFT(E2495,FIND("º",SUBSTITUTE(E2495,"°","º"))-1)),""))))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IF(E2496="","",IF(LEFT(E2496,7)="SUBSOLO",-1,IF(LEFT(E2496,6)="TÉRREO",0,IFERROR(VALUE(LEFT(E2496,FIND("º",SUBSTITUTE(E2496,"°","º"))-1)),""))))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IF(E2497="","",IF(LEFT(E2497,7)="SUBSOLO",-1,IF(LEFT(E2497,6)="TÉRREO",0,IFERROR(VALUE(LEFT(E2497,FIND("º",SUBSTITUTE(E2497,"°","º"))-1)),""))))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IF(E2498="","",IF(LEFT(E2498,7)="SUBSOLO",-1,IF(LEFT(E2498,6)="TÉRREO",0,IFERROR(VALUE(LEFT(E2498,FIND("º",SUBSTITUTE(E2498,"°","º"))-1)),""))))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IF(E2499="","",IF(LEFT(E2499,7)="SUBSOLO",-1,IF(LEFT(E2499,6)="TÉRREO",0,IFERROR(VALUE(LEFT(E2499,FIND("º",SUBSTITUTE(E2499,"°","º"))-1)),""))))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IF(E2500="","",IF(LEFT(E2500,7)="SUBSOLO",-1,IF(LEFT(E2500,6)="TÉRREO",0,IFERROR(VALUE(LEFT(E2500,FIND("º",SUBSTITUTE(E2500,"°","º"))-1)),""))))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IF(E2501="","",IF(LEFT(E2501,7)="SUBSOLO",-1,IF(LEFT(E2501,6)="TÉRREO",0,IFERROR(VALUE(LEFT(E2501,FIND("º",SUBSTITUTE(E2501,"°","º"))-1)),""))))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IF(E2502="","",IF(LEFT(E2502,7)="SUBSOLO",-1,IF(LEFT(E2502,6)="TÉRREO",0,IFERROR(VALUE(LEFT(E2502,FIND("º",SUBSTITUTE(E2502,"°","º"))-1)),""))))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IF(E2503="","",IF(LEFT(E2503,7)="SUBSOLO",-1,IF(LEFT(E2503,6)="TÉRREO",0,IFERROR(VALUE(LEFT(E2503,FIND("º",SUBSTITUTE(E2503,"°","º"))-1)),""))))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IF(E2504="","",IF(LEFT(E2504,7)="SUBSOLO",-1,IF(LEFT(E2504,6)="TÉRREO",0,IFERROR(VALUE(LEFT(E2504,FIND("º",SUBSTITUTE(E2504,"°","º"))-1)),""))))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IF(E2505="","",IF(LEFT(E2505,7)="SUBSOLO",-1,IF(LEFT(E2505,6)="TÉRREO",0,IFERROR(VALUE(LEFT(E2505,FIND("º",SUBSTITUTE(E2505,"°","º"))-1)),""))))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IF(E2506="","",IF(LEFT(E2506,7)="SUBSOLO",-1,IF(LEFT(E2506,6)="TÉRREO",0,IFERROR(VALUE(LEFT(E2506,FIND("º",SUBSTITUTE(E2506,"°","º"))-1)),""))))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IF(E2507="","",IF(LEFT(E2507,7)="SUBSOLO",-1,IF(LEFT(E2507,6)="TÉRREO",0,IFERROR(VALUE(LEFT(E2507,FIND("º",SUBSTITUTE(E2507,"°","º"))-1)),""))))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IF(E2508="","",IF(LEFT(E2508,7)="SUBSOLO",-1,IF(LEFT(E2508,6)="TÉRREO",0,IFERROR(VALUE(LEFT(E2508,FIND("º",SUBSTITUTE(E2508,"°","º"))-1)),""))))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IF(E2509="","",IF(LEFT(E2509,7)="SUBSOLO",-1,IF(LEFT(E2509,6)="TÉRREO",0,IFERROR(VALUE(LEFT(E2509,FIND("º",SUBSTITUTE(E2509,"°","º"))-1)),""))))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IF(E2510="","",IF(LEFT(E2510,7)="SUBSOLO",-1,IF(LEFT(E2510,6)="TÉRREO",0,IFERROR(VALUE(LEFT(E2510,FIND("º",SUBSTITUTE(E2510,"°","º"))-1)),""))))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IF(E2511="","",IF(LEFT(E2511,7)="SUBSOLO",-1,IF(LEFT(E2511,6)="TÉRREO",0,IFERROR(VALUE(LEFT(E2511,FIND("º",SUBSTITUTE(E2511,"°","º"))-1)),""))))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IF(E2512="","",IF(LEFT(E2512,7)="SUBSOLO",-1,IF(LEFT(E2512,6)="TÉRREO",0,IFERROR(VALUE(LEFT(E2512,FIND("º",SUBSTITUTE(E2512,"°","º"))-1)),""))))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IF(E2513="","",IF(LEFT(E2513,7)="SUBSOLO",-1,IF(LEFT(E2513,6)="TÉRREO",0,IFERROR(VALUE(LEFT(E2513,FIND("º",SUBSTITUTE(E2513,"°","º"))-1)),""))))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IF(E2514="","",IF(LEFT(E2514,7)="SUBSOLO",-1,IF(LEFT(E2514,6)="TÉRREO",0,IFERROR(VALUE(LEFT(E2514,FIND("º",SUBSTITUTE(E2514,"°","º"))-1)),""))))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IF(E2515="","",IF(LEFT(E2515,7)="SUBSOLO",-1,IF(LEFT(E2515,6)="TÉRREO",0,IFERROR(VALUE(LEFT(E2515,FIND("º",SUBSTITUTE(E2515,"°","º"))-1)),""))))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IF(E2516="","",IF(LEFT(E2516,7)="SUBSOLO",-1,IF(LEFT(E2516,6)="TÉRREO",0,IFERROR(VALUE(LEFT(E2516,FIND("º",SUBSTITUTE(E2516,"°","º"))-1)),""))))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IF(E2517="","",IF(LEFT(E2517,7)="SUBSOLO",-1,IF(LEFT(E2517,6)="TÉRREO",0,IFERROR(VALUE(LEFT(E2517,FIND("º",SUBSTITUTE(E2517,"°","º"))-1)),""))))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IF(E2518="","",IF(LEFT(E2518,7)="SUBSOLO",-1,IF(LEFT(E2518,6)="TÉRREO",0,IFERROR(VALUE(LEFT(E2518,FIND("º",SUBSTITUTE(E2518,"°","º"))-1)),""))))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IF(E2519="","",IF(LEFT(E2519,7)="SUBSOLO",-1,IF(LEFT(E2519,6)="TÉRREO",0,IFERROR(VALUE(LEFT(E2519,FIND("º",SUBSTITUTE(E2519,"°","º"))-1)),""))))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IF(E2520="","",IF(LEFT(E2520,7)="SUBSOLO",-1,IF(LEFT(E2520,6)="TÉRREO",0,IFERROR(VALUE(LEFT(E2520,FIND("º",SUBSTITUTE(E2520,"°","º"))-1)),""))))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IF(E2521="","",IF(LEFT(E2521,7)="SUBSOLO",-1,IF(LEFT(E2521,6)="TÉRREO",0,IFERROR(VALUE(LEFT(E2521,FIND("º",SUBSTITUTE(E2521,"°","º"))-1)),""))))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IF(E2522="","",IF(LEFT(E2522,7)="SUBSOLO",-1,IF(LEFT(E2522,6)="TÉRREO",0,IFERROR(VALUE(LEFT(E2522,FIND("º",SUBSTITUTE(E2522,"°","º"))-1)),""))))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IF(E2523="","",IF(LEFT(E2523,7)="SUBSOLO",-1,IF(LEFT(E2523,6)="TÉRREO",0,IFERROR(VALUE(LEFT(E2523,FIND("º",SUBSTITUTE(E2523,"°","º"))-1)),""))))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IF(E2524="","",IF(LEFT(E2524,7)="SUBSOLO",-1,IF(LEFT(E2524,6)="TÉRREO",0,IFERROR(VALUE(LEFT(E2524,FIND("º",SUBSTITUTE(E2524,"°","º"))-1)),""))))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IF(E2525="","",IF(LEFT(E2525,7)="SUBSOLO",-1,IF(LEFT(E2525,6)="TÉRREO",0,IFERROR(VALUE(LEFT(E2525,FIND("º",SUBSTITUTE(E2525,"°","º"))-1)),""))))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IF(E2526="","",IF(LEFT(E2526,7)="SUBSOLO",-1,IF(LEFT(E2526,6)="TÉRREO",0,IFERROR(VALUE(LEFT(E2526,FIND("º",SUBSTITUTE(E2526,"°","º"))-1)),""))))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IF(E2527="","",IF(LEFT(E2527,7)="SUBSOLO",-1,IF(LEFT(E2527,6)="TÉRREO",0,IFERROR(VALUE(LEFT(E2527,FIND("º",SUBSTITUTE(E2527,"°","º"))-1)),""))))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IF(E2528="","",IF(LEFT(E2528,7)="SUBSOLO",-1,IF(LEFT(E2528,6)="TÉRREO",0,IFERROR(VALUE(LEFT(E2528,FIND("º",SUBSTITUTE(E2528,"°","º"))-1)),""))))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IF(E2529="","",IF(LEFT(E2529,7)="SUBSOLO",-1,IF(LEFT(E2529,6)="TÉRREO",0,IFERROR(VALUE(LEFT(E2529,FIND("º",SUBSTITUTE(E2529,"°","º"))-1)),""))))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IF(E2530="","",IF(LEFT(E2530,7)="SUBSOLO",-1,IF(LEFT(E2530,6)="TÉRREO",0,IFERROR(VALUE(LEFT(E2530,FIND("º",SUBSTITUTE(E2530,"°","º"))-1)),""))))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IF(E2531="","",IF(LEFT(E2531,7)="SUBSOLO",-1,IF(LEFT(E2531,6)="TÉRREO",0,IFERROR(VALUE(LEFT(E2531,FIND("º",SUBSTITUTE(E2531,"°","º"))-1)),""))))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IF(E2532="","",IF(LEFT(E2532,7)="SUBSOLO",-1,IF(LEFT(E2532,6)="TÉRREO",0,IFERROR(VALUE(LEFT(E2532,FIND("º",SUBSTITUTE(E2532,"°","º"))-1)),""))))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IF(E2533="","",IF(LEFT(E2533,7)="SUBSOLO",-1,IF(LEFT(E2533,6)="TÉRREO",0,IFERROR(VALUE(LEFT(E2533,FIND("º",SUBSTITUTE(E2533,"°","º"))-1)),""))))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IF(E2534="","",IF(LEFT(E2534,7)="SUBSOLO",-1,IF(LEFT(E2534,6)="TÉRREO",0,IFERROR(VALUE(LEFT(E2534,FIND("º",SUBSTITUTE(E2534,"°","º"))-1)),""))))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IF(E2535="","",IF(LEFT(E2535,7)="SUBSOLO",-1,IF(LEFT(E2535,6)="TÉRREO",0,IFERROR(VALUE(LEFT(E2535,FIND("º",SUBSTITUTE(E2535,"°","º"))-1)),""))))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IF(E2536="","",IF(LEFT(E2536,7)="SUBSOLO",-1,IF(LEFT(E2536,6)="TÉRREO",0,IFERROR(VALUE(LEFT(E2536,FIND("º",SUBSTITUTE(E2536,"°","º"))-1)),""))))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IF(E2537="","",IF(LEFT(E2537,7)="SUBSOLO",-1,IF(LEFT(E2537,6)="TÉRREO",0,IFERROR(VALUE(LEFT(E2537,FIND("º",SUBSTITUTE(E2537,"°","º"))-1)),""))))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IF(E2538="","",IF(LEFT(E2538,7)="SUBSOLO",-1,IF(LEFT(E2538,6)="TÉRREO",0,IFERROR(VALUE(LEFT(E2538,FIND("º",SUBSTITUTE(E2538,"°","º"))-1)),""))))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IF(E2539="","",IF(LEFT(E2539,7)="SUBSOLO",-1,IF(LEFT(E2539,6)="TÉRREO",0,IFERROR(VALUE(LEFT(E2539,FIND("º",SUBSTITUTE(E2539,"°","º"))-1)),""))))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IF(E2540="","",IF(LEFT(E2540,7)="SUBSOLO",-1,IF(LEFT(E2540,6)="TÉRREO",0,IFERROR(VALUE(LEFT(E2540,FIND("º",SUBSTITUTE(E2540,"°","º"))-1)),""))))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IF(E2541="","",IF(LEFT(E2541,7)="SUBSOLO",-1,IF(LEFT(E2541,6)="TÉRREO",0,IFERROR(VALUE(LEFT(E2541,FIND("º",SUBSTITUTE(E2541,"°","º"))-1)),""))))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IF(E2542="","",IF(LEFT(E2542,7)="SUBSOLO",-1,IF(LEFT(E2542,6)="TÉRREO",0,IFERROR(VALUE(LEFT(E2542,FIND("º",SUBSTITUTE(E2542,"°","º"))-1)),""))))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IF(E2543="","",IF(LEFT(E2543,7)="SUBSOLO",-1,IF(LEFT(E2543,6)="TÉRREO",0,IFERROR(VALUE(LEFT(E2543,FIND("º",SUBSTITUTE(E2543,"°","º"))-1)),""))))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IF(E2544="","",IF(LEFT(E2544,7)="SUBSOLO",-1,IF(LEFT(E2544,6)="TÉRREO",0,IFERROR(VALUE(LEFT(E2544,FIND("º",SUBSTITUTE(E2544,"°","º"))-1)),""))))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IF(E2545="","",IF(LEFT(E2545,7)="SUBSOLO",-1,IF(LEFT(E2545,6)="TÉRREO",0,IFERROR(VALUE(LEFT(E2545,FIND("º",SUBSTITUTE(E2545,"°","º"))-1)),""))))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IF(E2546="","",IF(LEFT(E2546,7)="SUBSOLO",-1,IF(LEFT(E2546,6)="TÉRREO",0,IFERROR(VALUE(LEFT(E2546,FIND("º",SUBSTITUTE(E2546,"°","º"))-1)),""))))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IF(E2547="","",IF(LEFT(E2547,7)="SUBSOLO",-1,IF(LEFT(E2547,6)="TÉRREO",0,IFERROR(VALUE(LEFT(E2547,FIND("º",SUBSTITUTE(E2547,"°","º"))-1)),""))))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IF(E2548="","",IF(LEFT(E2548,7)="SUBSOLO",-1,IF(LEFT(E2548,6)="TÉRREO",0,IFERROR(VALUE(LEFT(E2548,FIND("º",SUBSTITUTE(E2548,"°","º"))-1)),""))))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IF(E2549="","",IF(LEFT(E2549,7)="SUBSOLO",-1,IF(LEFT(E2549,6)="TÉRREO",0,IFERROR(VALUE(LEFT(E2549,FIND("º",SUBSTITUTE(E2549,"°","º"))-1)),""))))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IF(E2550="","",IF(LEFT(E2550,7)="SUBSOLO",-1,IF(LEFT(E2550,6)="TÉRREO",0,IFERROR(VALUE(LEFT(E2550,FIND("º",SUBSTITUTE(E2550,"°","º"))-1)),""))))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IF(E2551="","",IF(LEFT(E2551,7)="SUBSOLO",-1,IF(LEFT(E2551,6)="TÉRREO",0,IFERROR(VALUE(LEFT(E2551,FIND("º",SUBSTITUTE(E2551,"°","º"))-1)),""))))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IF(E2552="","",IF(LEFT(E2552,7)="SUBSOLO",-1,IF(LEFT(E2552,6)="TÉRREO",0,IFERROR(VALUE(LEFT(E2552,FIND("º",SUBSTITUTE(E2552,"°","º"))-1)),""))))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IF(E2553="","",IF(LEFT(E2553,7)="SUBSOLO",-1,IF(LEFT(E2553,6)="TÉRREO",0,IFERROR(VALUE(LEFT(E2553,FIND("º",SUBSTITUTE(E2553,"°","º"))-1)),""))))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IF(E2554="","",IF(LEFT(E2554,7)="SUBSOLO",-1,IF(LEFT(E2554,6)="TÉRREO",0,IFERROR(VALUE(LEFT(E2554,FIND("º",SUBSTITUTE(E2554,"°","º"))-1)),""))))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IF(E2555="","",IF(LEFT(E2555,7)="SUBSOLO",-1,IF(LEFT(E2555,6)="TÉRREO",0,IFERROR(VALUE(LEFT(E2555,FIND("º",SUBSTITUTE(E2555,"°","º"))-1)),""))))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IF(E2556="","",IF(LEFT(E2556,7)="SUBSOLO",-1,IF(LEFT(E2556,6)="TÉRREO",0,IFERROR(VALUE(LEFT(E2556,FIND("º",SUBSTITUTE(E2556,"°","º"))-1)),""))))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IF(E2557="","",IF(LEFT(E2557,7)="SUBSOLO",-1,IF(LEFT(E2557,6)="TÉRREO",0,IFERROR(VALUE(LEFT(E2557,FIND("º",SUBSTITUTE(E2557,"°","º"))-1)),""))))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IF(E2558="","",IF(LEFT(E2558,7)="SUBSOLO",-1,IF(LEFT(E2558,6)="TÉRREO",0,IFERROR(VALUE(LEFT(E2558,FIND("º",SUBSTITUTE(E2558,"°","º"))-1)),""))))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IF(E2559="","",IF(LEFT(E2559,7)="SUBSOLO",-1,IF(LEFT(E2559,6)="TÉRREO",0,IFERROR(VALUE(LEFT(E2559,FIND("º",SUBSTITUTE(E2559,"°","º"))-1)),""))))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IF(E2560="","",IF(LEFT(E2560,7)="SUBSOLO",-1,IF(LEFT(E2560,6)="TÉRREO",0,IFERROR(VALUE(LEFT(E2560,FIND("º",SUBSTITUTE(E2560,"°","º"))-1)),""))))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IF(E2561="","",IF(LEFT(E2561,7)="SUBSOLO",-1,IF(LEFT(E2561,6)="TÉRREO",0,IFERROR(VALUE(LEFT(E2561,FIND("º",SUBSTITUTE(E2561,"°","º"))-1)),""))))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IF(E2562="","",IF(LEFT(E2562,7)="SUBSOLO",-1,IF(LEFT(E2562,6)="TÉRREO",0,IFERROR(VALUE(LEFT(E2562,FIND("º",SUBSTITUTE(E2562,"°","º"))-1)),""))))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IF(E2563="","",IF(LEFT(E2563,7)="SUBSOLO",-1,IF(LEFT(E2563,6)="TÉRREO",0,IFERROR(VALUE(LEFT(E2563,FIND("º",SUBSTITUTE(E2563,"°","º"))-1)),""))))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IF(E2564="","",IF(LEFT(E2564,7)="SUBSOLO",-1,IF(LEFT(E2564,6)="TÉRREO",0,IFERROR(VALUE(LEFT(E2564,FIND("º",SUBSTITUTE(E2564,"°","º"))-1)),""))))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IF(E2565="","",IF(LEFT(E2565,7)="SUBSOLO",-1,IF(LEFT(E2565,6)="TÉRREO",0,IFERROR(VALUE(LEFT(E2565,FIND("º",SUBSTITUTE(E2565,"°","º"))-1)),""))))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IF(E2566="","",IF(LEFT(E2566,7)="SUBSOLO",-1,IF(LEFT(E2566,6)="TÉRREO",0,IFERROR(VALUE(LEFT(E2566,FIND("º",SUBSTITUTE(E2566,"°","º"))-1)),""))))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IF(E2567="","",IF(LEFT(E2567,7)="SUBSOLO",-1,IF(LEFT(E2567,6)="TÉRREO",0,IFERROR(VALUE(LEFT(E2567,FIND("º",SUBSTITUTE(E2567,"°","º"))-1)),""))))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IF(E2568="","",IF(LEFT(E2568,7)="SUBSOLO",-1,IF(LEFT(E2568,6)="TÉRREO",0,IFERROR(VALUE(LEFT(E2568,FIND("º",SUBSTITUTE(E2568,"°","º"))-1)),""))))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IF(E2569="","",IF(LEFT(E2569,7)="SUBSOLO",-1,IF(LEFT(E2569,6)="TÉRREO",0,IFERROR(VALUE(LEFT(E2569,FIND("º",SUBSTITUTE(E2569,"°","º"))-1)),""))))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IF(E2570="","",IF(LEFT(E2570,7)="SUBSOLO",-1,IF(LEFT(E2570,6)="TÉRREO",0,IFERROR(VALUE(LEFT(E2570,FIND("º",SUBSTITUTE(E2570,"°","º"))-1)),""))))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IF(E2571="","",IF(LEFT(E2571,7)="SUBSOLO",-1,IF(LEFT(E2571,6)="TÉRREO",0,IFERROR(VALUE(LEFT(E2571,FIND("º",SUBSTITUTE(E2571,"°","º"))-1)),""))))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IF(E2572="","",IF(LEFT(E2572,7)="SUBSOLO",-1,IF(LEFT(E2572,6)="TÉRREO",0,IFERROR(VALUE(LEFT(E2572,FIND("º",SUBSTITUTE(E2572,"°","º"))-1)),""))))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IF(E2573="","",IF(LEFT(E2573,7)="SUBSOLO",-1,IF(LEFT(E2573,6)="TÉRREO",0,IFERROR(VALUE(LEFT(E2573,FIND("º",SUBSTITUTE(E2573,"°","º"))-1)),""))))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IF(E2574="","",IF(LEFT(E2574,7)="SUBSOLO",-1,IF(LEFT(E2574,6)="TÉRREO",0,IFERROR(VALUE(LEFT(E2574,FIND("º",SUBSTITUTE(E2574,"°","º"))-1)),""))))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IF(E2575="","",IF(LEFT(E2575,7)="SUBSOLO",-1,IF(LEFT(E2575,6)="TÉRREO",0,IFERROR(VALUE(LEFT(E2575,FIND("º",SUBSTITUTE(E2575,"°","º"))-1)),""))))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IF(E2576="","",IF(LEFT(E2576,7)="SUBSOLO",-1,IF(LEFT(E2576,6)="TÉRREO",0,IFERROR(VALUE(LEFT(E2576,FIND("º",SUBSTITUTE(E2576,"°","º"))-1)),""))))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IF(E2577="","",IF(LEFT(E2577,7)="SUBSOLO",-1,IF(LEFT(E2577,6)="TÉRREO",0,IFERROR(VALUE(LEFT(E2577,FIND("º",SUBSTITUTE(E2577,"°","º"))-1)),""))))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IF(E2578="","",IF(LEFT(E2578,7)="SUBSOLO",-1,IF(LEFT(E2578,6)="TÉRREO",0,IFERROR(VALUE(LEFT(E2578,FIND("º",SUBSTITUTE(E2578,"°","º"))-1)),""))))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IF(E2579="","",IF(LEFT(E2579,7)="SUBSOLO",-1,IF(LEFT(E2579,6)="TÉRREO",0,IFERROR(VALUE(LEFT(E2579,FIND("º",SUBSTITUTE(E2579,"°","º"))-1)),""))))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IF(E2580="","",IF(LEFT(E2580,7)="SUBSOLO",-1,IF(LEFT(E2580,6)="TÉRREO",0,IFERROR(VALUE(LEFT(E2580,FIND("º",SUBSTITUTE(E2580,"°","º"))-1)),""))))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IF(E2581="","",IF(LEFT(E2581,7)="SUBSOLO",-1,IF(LEFT(E2581,6)="TÉRREO",0,IFERROR(VALUE(LEFT(E2581,FIND("º",SUBSTITUTE(E2581,"°","º"))-1)),""))))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IF(E2582="","",IF(LEFT(E2582,7)="SUBSOLO",-1,IF(LEFT(E2582,6)="TÉRREO",0,IFERROR(VALUE(LEFT(E2582,FIND("º",SUBSTITUTE(E2582,"°","º"))-1)),""))))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IF(E2583="","",IF(LEFT(E2583,7)="SUBSOLO",-1,IF(LEFT(E2583,6)="TÉRREO",0,IFERROR(VALUE(LEFT(E2583,FIND("º",SUBSTITUTE(E2583,"°","º"))-1)),""))))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IF(E2584="","",IF(LEFT(E2584,7)="SUBSOLO",-1,IF(LEFT(E2584,6)="TÉRREO",0,IFERROR(VALUE(LEFT(E2584,FIND("º",SUBSTITUTE(E2584,"°","º"))-1)),""))))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IF(E2585="","",IF(LEFT(E2585,7)="SUBSOLO",-1,IF(LEFT(E2585,6)="TÉRREO",0,IFERROR(VALUE(LEFT(E2585,FIND("º",SUBSTITUTE(E2585,"°","º"))-1)),""))))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IF(E2586="","",IF(LEFT(E2586,7)="SUBSOLO",-1,IF(LEFT(E2586,6)="TÉRREO",0,IFERROR(VALUE(LEFT(E2586,FIND("º",SUBSTITUTE(E2586,"°","º"))-1)),""))))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IF(E2587="","",IF(LEFT(E2587,7)="SUBSOLO",-1,IF(LEFT(E2587,6)="TÉRREO",0,IFERROR(VALUE(LEFT(E2587,FIND("º",SUBSTITUTE(E2587,"°","º"))-1)),""))))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IF(E2588="","",IF(LEFT(E2588,7)="SUBSOLO",-1,IF(LEFT(E2588,6)="TÉRREO",0,IFERROR(VALUE(LEFT(E2588,FIND("º",SUBSTITUTE(E2588,"°","º"))-1)),""))))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IF(E2589="","",IF(LEFT(E2589,7)="SUBSOLO",-1,IF(LEFT(E2589,6)="TÉRREO",0,IFERROR(VALUE(LEFT(E2589,FIND("º",SUBSTITUTE(E2589,"°","º"))-1)),""))))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IF(E2590="","",IF(LEFT(E2590,7)="SUBSOLO",-1,IF(LEFT(E2590,6)="TÉRREO",0,IFERROR(VALUE(LEFT(E2590,FIND("º",SUBSTITUTE(E2590,"°","º"))-1)),""))))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IF(E2591="","",IF(LEFT(E2591,7)="SUBSOLO",-1,IF(LEFT(E2591,6)="TÉRREO",0,IFERROR(VALUE(LEFT(E2591,FIND("º",SUBSTITUTE(E2591,"°","º"))-1)),""))))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IF(E2592="","",IF(LEFT(E2592,7)="SUBSOLO",-1,IF(LEFT(E2592,6)="TÉRREO",0,IFERROR(VALUE(LEFT(E2592,FIND("º",SUBSTITUTE(E2592,"°","º"))-1)),""))))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IF(E2593="","",IF(LEFT(E2593,7)="SUBSOLO",-1,IF(LEFT(E2593,6)="TÉRREO",0,IFERROR(VALUE(LEFT(E2593,FIND("º",SUBSTITUTE(E2593,"°","º"))-1)),""))))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IF(E2594="","",IF(LEFT(E2594,7)="SUBSOLO",-1,IF(LEFT(E2594,6)="TÉRREO",0,IFERROR(VALUE(LEFT(E2594,FIND("º",SUBSTITUTE(E2594,"°","º"))-1)),""))))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IF(E2595="","",IF(LEFT(E2595,7)="SUBSOLO",-1,IF(LEFT(E2595,6)="TÉRREO",0,IFERROR(VALUE(LEFT(E2595,FIND("º",SUBSTITUTE(E2595,"°","º"))-1)),""))))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IF(E2596="","",IF(LEFT(E2596,7)="SUBSOLO",-1,IF(LEFT(E2596,6)="TÉRREO",0,IFERROR(VALUE(LEFT(E2596,FIND("º",SUBSTITUTE(E2596,"°","º"))-1)),""))))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IF(E2597="","",IF(LEFT(E2597,7)="SUBSOLO",-1,IF(LEFT(E2597,6)="TÉRREO",0,IFERROR(VALUE(LEFT(E2597,FIND("º",SUBSTITUTE(E2597,"°","º"))-1)),""))))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IF(E2598="","",IF(LEFT(E2598,7)="SUBSOLO",-1,IF(LEFT(E2598,6)="TÉRREO",0,IFERROR(VALUE(LEFT(E2598,FIND("º",SUBSTITUTE(E2598,"°","º"))-1)),""))))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IF(E2599="","",IF(LEFT(E2599,7)="SUBSOLO",-1,IF(LEFT(E2599,6)="TÉRREO",0,IFERROR(VALUE(LEFT(E2599,FIND("º",SUBSTITUTE(E2599,"°","º"))-1)),""))))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IF(E2600="","",IF(LEFT(E2600,7)="SUBSOLO",-1,IF(LEFT(E2600,6)="TÉRREO",0,IFERROR(VALUE(LEFT(E2600,FIND("º",SUBSTITUTE(E2600,"°","º"))-1)),""))))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IF(E2601="","",IF(LEFT(E2601,7)="SUBSOLO",-1,IF(LEFT(E2601,6)="TÉRREO",0,IFERROR(VALUE(LEFT(E2601,FIND("º",SUBSTITUTE(E2601,"°","º"))-1)),""))))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IF(E2602="","",IF(LEFT(E2602,7)="SUBSOLO",-1,IF(LEFT(E2602,6)="TÉRREO",0,IFERROR(VALUE(LEFT(E2602,FIND("º",SUBSTITUTE(E2602,"°","º"))-1)),""))))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IF(E2603="","",IF(LEFT(E2603,7)="SUBSOLO",-1,IF(LEFT(E2603,6)="TÉRREO",0,IFERROR(VALUE(LEFT(E2603,FIND("º",SUBSTITUTE(E2603,"°","º"))-1)),""))))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IF(E2604="","",IF(LEFT(E2604,7)="SUBSOLO",-1,IF(LEFT(E2604,6)="TÉRREO",0,IFERROR(VALUE(LEFT(E2604,FIND("º",SUBSTITUTE(E2604,"°","º"))-1)),""))))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IF(E2605="","",IF(LEFT(E2605,7)="SUBSOLO",-1,IF(LEFT(E2605,6)="TÉRREO",0,IFERROR(VALUE(LEFT(E2605,FIND("º",SUBSTITUTE(E2605,"°","º"))-1)),""))))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IF(E2606="","",IF(LEFT(E2606,7)="SUBSOLO",-1,IF(LEFT(E2606,6)="TÉRREO",0,IFERROR(VALUE(LEFT(E2606,FIND("º",SUBSTITUTE(E2606,"°","º"))-1)),""))))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IF(E2607="","",IF(LEFT(E2607,7)="SUBSOLO",-1,IF(LEFT(E2607,6)="TÉRREO",0,IFERROR(VALUE(LEFT(E2607,FIND("º",SUBSTITUTE(E2607,"°","º"))-1)),""))))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IF(E2608="","",IF(LEFT(E2608,7)="SUBSOLO",-1,IF(LEFT(E2608,6)="TÉRREO",0,IFERROR(VALUE(LEFT(E2608,FIND("º",SUBSTITUTE(E2608,"°","º"))-1)),""))))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IF(E2609="","",IF(LEFT(E2609,7)="SUBSOLO",-1,IF(LEFT(E2609,6)="TÉRREO",0,IFERROR(VALUE(LEFT(E2609,FIND("º",SUBSTITUTE(E2609,"°","º"))-1)),""))))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IF(E2610="","",IF(LEFT(E2610,7)="SUBSOLO",-1,IF(LEFT(E2610,6)="TÉRREO",0,IFERROR(VALUE(LEFT(E2610,FIND("º",SUBSTITUTE(E2610,"°","º"))-1)),""))))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IF(E2611="","",IF(LEFT(E2611,7)="SUBSOLO",-1,IF(LEFT(E2611,6)="TÉRREO",0,IFERROR(VALUE(LEFT(E2611,FIND("º",SUBSTITUTE(E2611,"°","º"))-1)),""))))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IF(E2612="","",IF(LEFT(E2612,7)="SUBSOLO",-1,IF(LEFT(E2612,6)="TÉRREO",0,IFERROR(VALUE(LEFT(E2612,FIND("º",SUBSTITUTE(E2612,"°","º"))-1)),""))))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IF(E2613="","",IF(LEFT(E2613,7)="SUBSOLO",-1,IF(LEFT(E2613,6)="TÉRREO",0,IFERROR(VALUE(LEFT(E2613,FIND("º",SUBSTITUTE(E2613,"°","º"))-1)),""))))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IF(E2614="","",IF(LEFT(E2614,7)="SUBSOLO",-1,IF(LEFT(E2614,6)="TÉRREO",0,IFERROR(VALUE(LEFT(E2614,FIND("º",SUBSTITUTE(E2614,"°","º"))-1)),""))))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IF(E2615="","",IF(LEFT(E2615,7)="SUBSOLO",-1,IF(LEFT(E2615,6)="TÉRREO",0,IFERROR(VALUE(LEFT(E2615,FIND("º",SUBSTITUTE(E2615,"°","º"))-1)),""))))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IF(E2616="","",IF(LEFT(E2616,7)="SUBSOLO",-1,IF(LEFT(E2616,6)="TÉRREO",0,IFERROR(VALUE(LEFT(E2616,FIND("º",SUBSTITUTE(E2616,"°","º"))-1)),""))))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IF(E2617="","",IF(LEFT(E2617,7)="SUBSOLO",-1,IF(LEFT(E2617,6)="TÉRREO",0,IFERROR(VALUE(LEFT(E2617,FIND("º",SUBSTITUTE(E2617,"°","º"))-1)),""))))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IF(E2618="","",IF(LEFT(E2618,7)="SUBSOLO",-1,IF(LEFT(E2618,6)="TÉRREO",0,IFERROR(VALUE(LEFT(E2618,FIND("º",SUBSTITUTE(E2618,"°","º"))-1)),""))))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IF(E2619="","",IF(LEFT(E2619,7)="SUBSOLO",-1,IF(LEFT(E2619,6)="TÉRREO",0,IFERROR(VALUE(LEFT(E2619,FIND("º",SUBSTITUTE(E2619,"°","º"))-1)),""))))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IF(E2620="","",IF(LEFT(E2620,7)="SUBSOLO",-1,IF(LEFT(E2620,6)="TÉRREO",0,IFERROR(VALUE(LEFT(E2620,FIND("º",SUBSTITUTE(E2620,"°","º"))-1)),""))))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IF(E2621="","",IF(LEFT(E2621,7)="SUBSOLO",-1,IF(LEFT(E2621,6)="TÉRREO",0,IFERROR(VALUE(LEFT(E2621,FIND("º",SUBSTITUTE(E2621,"°","º"))-1)),""))))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IF(E2622="","",IF(LEFT(E2622,7)="SUBSOLO",-1,IF(LEFT(E2622,6)="TÉRREO",0,IFERROR(VALUE(LEFT(E2622,FIND("º",SUBSTITUTE(E2622,"°","º"))-1)),""))))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IF(E2623="","",IF(LEFT(E2623,7)="SUBSOLO",-1,IF(LEFT(E2623,6)="TÉRREO",0,IFERROR(VALUE(LEFT(E2623,FIND("º",SUBSTITUTE(E2623,"°","º"))-1)),""))))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IF(E2624="","",IF(LEFT(E2624,7)="SUBSOLO",-1,IF(LEFT(E2624,6)="TÉRREO",0,IFERROR(VALUE(LEFT(E2624,FIND("º",SUBSTITUTE(E2624,"°","º"))-1)),""))))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IF(E2625="","",IF(LEFT(E2625,7)="SUBSOLO",-1,IF(LEFT(E2625,6)="TÉRREO",0,IFERROR(VALUE(LEFT(E2625,FIND("º",SUBSTITUTE(E2625,"°","º"))-1)),""))))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IF(E2626="","",IF(LEFT(E2626,7)="SUBSOLO",-1,IF(LEFT(E2626,6)="TÉRREO",0,IFERROR(VALUE(LEFT(E2626,FIND("º",SUBSTITUTE(E2626,"°","º"))-1)),""))))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IF(E2627="","",IF(LEFT(E2627,7)="SUBSOLO",-1,IF(LEFT(E2627,6)="TÉRREO",0,IFERROR(VALUE(LEFT(E2627,FIND("º",SUBSTITUTE(E2627,"°","º"))-1)),""))))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IF(E2628="","",IF(LEFT(E2628,7)="SUBSOLO",-1,IF(LEFT(E2628,6)="TÉRREO",0,IFERROR(VALUE(LEFT(E2628,FIND("º",SUBSTITUTE(E2628,"°","º"))-1)),""))))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IF(E2629="","",IF(LEFT(E2629,7)="SUBSOLO",-1,IF(LEFT(E2629,6)="TÉRREO",0,IFERROR(VALUE(LEFT(E2629,FIND("º",SUBSTITUTE(E2629,"°","º"))-1)),""))))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IF(E2630="","",IF(LEFT(E2630,7)="SUBSOLO",-1,IF(LEFT(E2630,6)="TÉRREO",0,IFERROR(VALUE(LEFT(E2630,FIND("º",SUBSTITUTE(E2630,"°","º"))-1)),""))))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IF(E2631="","",IF(LEFT(E2631,7)="SUBSOLO",-1,IF(LEFT(E2631,6)="TÉRREO",0,IFERROR(VALUE(LEFT(E2631,FIND("º",SUBSTITUTE(E2631,"°","º"))-1)),""))))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IF(E2632="","",IF(LEFT(E2632,7)="SUBSOLO",-1,IF(LEFT(E2632,6)="TÉRREO",0,IFERROR(VALUE(LEFT(E2632,FIND("º",SUBSTITUTE(E2632,"°","º"))-1)),""))))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IF(E2633="","",IF(LEFT(E2633,7)="SUBSOLO",-1,IF(LEFT(E2633,6)="TÉRREO",0,IFERROR(VALUE(LEFT(E2633,FIND("º",SUBSTITUTE(E2633,"°","º"))-1)),""))))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IF(E2634="","",IF(LEFT(E2634,7)="SUBSOLO",-1,IF(LEFT(E2634,6)="TÉRREO",0,IFERROR(VALUE(LEFT(E2634,FIND("º",SUBSTITUTE(E2634,"°","º"))-1)),""))))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IF(E2635="","",IF(LEFT(E2635,7)="SUBSOLO",-1,IF(LEFT(E2635,6)="TÉRREO",0,IFERROR(VALUE(LEFT(E2635,FIND("º",SUBSTITUTE(E2635,"°","º"))-1)),""))))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IF(E2636="","",IF(LEFT(E2636,7)="SUBSOLO",-1,IF(LEFT(E2636,6)="TÉRREO",0,IFERROR(VALUE(LEFT(E2636,FIND("º",SUBSTITUTE(E2636,"°","º"))-1)),""))))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IF(E2637="","",IF(LEFT(E2637,7)="SUBSOLO",-1,IF(LEFT(E2637,6)="TÉRREO",0,IFERROR(VALUE(LEFT(E2637,FIND("º",SUBSTITUTE(E2637,"°","º"))-1)),""))))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IF(E2638="","",IF(LEFT(E2638,7)="SUBSOLO",-1,IF(LEFT(E2638,6)="TÉRREO",0,IFERROR(VALUE(LEFT(E2638,FIND("º",SUBSTITUTE(E2638,"°","º"))-1)),""))))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IF(E2639="","",IF(LEFT(E2639,7)="SUBSOLO",-1,IF(LEFT(E2639,6)="TÉRREO",0,IFERROR(VALUE(LEFT(E2639,FIND("º",SUBSTITUTE(E2639,"°","º"))-1)),""))))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IF(E2640="","",IF(LEFT(E2640,7)="SUBSOLO",-1,IF(LEFT(E2640,6)="TÉRREO",0,IFERROR(VALUE(LEFT(E2640,FIND("º",SUBSTITUTE(E2640,"°","º"))-1)),""))))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IF(E2641="","",IF(LEFT(E2641,7)="SUBSOLO",-1,IF(LEFT(E2641,6)="TÉRREO",0,IFERROR(VALUE(LEFT(E2641,FIND("º",SUBSTITUTE(E2641,"°","º"))-1)),""))))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IF(E2642="","",IF(LEFT(E2642,7)="SUBSOLO",-1,IF(LEFT(E2642,6)="TÉRREO",0,IFERROR(VALUE(LEFT(E2642,FIND("º",SUBSTITUTE(E2642,"°","º"))-1)),""))))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IF(E2643="","",IF(LEFT(E2643,7)="SUBSOLO",-1,IF(LEFT(E2643,6)="TÉRREO",0,IFERROR(VALUE(LEFT(E2643,FIND("º",SUBSTITUTE(E2643,"°","º"))-1)),""))))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IF(E2644="","",IF(LEFT(E2644,7)="SUBSOLO",-1,IF(LEFT(E2644,6)="TÉRREO",0,IFERROR(VALUE(LEFT(E2644,FIND("º",SUBSTITUTE(E2644,"°","º"))-1)),""))))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IF(E2645="","",IF(LEFT(E2645,7)="SUBSOLO",-1,IF(LEFT(E2645,6)="TÉRREO",0,IFERROR(VALUE(LEFT(E2645,FIND("º",SUBSTITUTE(E2645,"°","º"))-1)),""))))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IF(E2646="","",IF(LEFT(E2646,7)="SUBSOLO",-1,IF(LEFT(E2646,6)="TÉRREO",0,IFERROR(VALUE(LEFT(E2646,FIND("º",SUBSTITUTE(E2646,"°","º"))-1)),""))))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IF(E2647="","",IF(LEFT(E2647,7)="SUBSOLO",-1,IF(LEFT(E2647,6)="TÉRREO",0,IFERROR(VALUE(LEFT(E2647,FIND("º",SUBSTITUTE(E2647,"°","º"))-1)),""))))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IF(E2648="","",IF(LEFT(E2648,7)="SUBSOLO",-1,IF(LEFT(E2648,6)="TÉRREO",0,IFERROR(VALUE(LEFT(E2648,FIND("º",SUBSTITUTE(E2648,"°","º"))-1)),""))))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IF(E2649="","",IF(LEFT(E2649,7)="SUBSOLO",-1,IF(LEFT(E2649,6)="TÉRREO",0,IFERROR(VALUE(LEFT(E2649,FIND("º",SUBSTITUTE(E2649,"°","º"))-1)),""))))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IF(E2650="","",IF(LEFT(E2650,7)="SUBSOLO",-1,IF(LEFT(E2650,6)="TÉRREO",0,IFERROR(VALUE(LEFT(E2650,FIND("º",SUBSTITUTE(E2650,"°","º"))-1)),""))))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IF(E2651="","",IF(LEFT(E2651,7)="SUBSOLO",-1,IF(LEFT(E2651,6)="TÉRREO",0,IFERROR(VALUE(LEFT(E2651,FIND("º",SUBSTITUTE(E2651,"°","º"))-1)),""))))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IF(E2652="","",IF(LEFT(E2652,7)="SUBSOLO",-1,IF(LEFT(E2652,6)="TÉRREO",0,IFERROR(VALUE(LEFT(E2652,FIND("º",SUBSTITUTE(E2652,"°","º"))-1)),""))))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IF(E2653="","",IF(LEFT(E2653,7)="SUBSOLO",-1,IF(LEFT(E2653,6)="TÉRREO",0,IFERROR(VALUE(LEFT(E2653,FIND("º",SUBSTITUTE(E2653,"°","º"))-1)),""))))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IF(E2654="","",IF(LEFT(E2654,7)="SUBSOLO",-1,IF(LEFT(E2654,6)="TÉRREO",0,IFERROR(VALUE(LEFT(E2654,FIND("º",SUBSTITUTE(E2654,"°","º"))-1)),""))))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IF(E2655="","",IF(LEFT(E2655,7)="SUBSOLO",-1,IF(LEFT(E2655,6)="TÉRREO",0,IFERROR(VALUE(LEFT(E2655,FIND("º",SUBSTITUTE(E2655,"°","º"))-1)),""))))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IF(E2656="","",IF(LEFT(E2656,7)="SUBSOLO",-1,IF(LEFT(E2656,6)="TÉRREO",0,IFERROR(VALUE(LEFT(E2656,FIND("º",SUBSTITUTE(E2656,"°","º"))-1)),""))))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IF(E2657="","",IF(LEFT(E2657,7)="SUBSOLO",-1,IF(LEFT(E2657,6)="TÉRREO",0,IFERROR(VALUE(LEFT(E2657,FIND("º",SUBSTITUTE(E2657,"°","º"))-1)),""))))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IF(E2658="","",IF(LEFT(E2658,7)="SUBSOLO",-1,IF(LEFT(E2658,6)="TÉRREO",0,IFERROR(VALUE(LEFT(E2658,FIND("º",SUBSTITUTE(E2658,"°","º"))-1)),""))))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IF(E2659="","",IF(LEFT(E2659,7)="SUBSOLO",-1,IF(LEFT(E2659,6)="TÉRREO",0,IFERROR(VALUE(LEFT(E2659,FIND("º",SUBSTITUTE(E2659,"°","º"))-1)),""))))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IF(E2660="","",IF(LEFT(E2660,7)="SUBSOLO",-1,IF(LEFT(E2660,6)="TÉRREO",0,IFERROR(VALUE(LEFT(E2660,FIND("º",SUBSTITUTE(E2660,"°","º"))-1)),""))))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IF(E2661="","",IF(LEFT(E2661,7)="SUBSOLO",-1,IF(LEFT(E2661,6)="TÉRREO",0,IFERROR(VALUE(LEFT(E2661,FIND("º",SUBSTITUTE(E2661,"°","º"))-1)),""))))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IF(E2662="","",IF(LEFT(E2662,7)="SUBSOLO",-1,IF(LEFT(E2662,6)="TÉRREO",0,IFERROR(VALUE(LEFT(E2662,FIND("º",SUBSTITUTE(E2662,"°","º"))-1)),""))))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IF(E2663="","",IF(LEFT(E2663,7)="SUBSOLO",-1,IF(LEFT(E2663,6)="TÉRREO",0,IFERROR(VALUE(LEFT(E2663,FIND("º",SUBSTITUTE(E2663,"°","º"))-1)),""))))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IF(E2664="","",IF(LEFT(E2664,7)="SUBSOLO",-1,IF(LEFT(E2664,6)="TÉRREO",0,IFERROR(VALUE(LEFT(E2664,FIND("º",SUBSTITUTE(E2664,"°","º"))-1)),""))))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IF(E2665="","",IF(LEFT(E2665,7)="SUBSOLO",-1,IF(LEFT(E2665,6)="TÉRREO",0,IFERROR(VALUE(LEFT(E2665,FIND("º",SUBSTITUTE(E2665,"°","º"))-1)),""))))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IF(E2666="","",IF(LEFT(E2666,7)="SUBSOLO",-1,IF(LEFT(E2666,6)="TÉRREO",0,IFERROR(VALUE(LEFT(E2666,FIND("º",SUBSTITUTE(E2666,"°","º"))-1)),""))))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IF(E2667="","",IF(LEFT(E2667,7)="SUBSOLO",-1,IF(LEFT(E2667,6)="TÉRREO",0,IFERROR(VALUE(LEFT(E2667,FIND("º",SUBSTITUTE(E2667,"°","º"))-1)),""))))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IF(E2668="","",IF(LEFT(E2668,7)="SUBSOLO",-1,IF(LEFT(E2668,6)="TÉRREO",0,IFERROR(VALUE(LEFT(E2668,FIND("º",SUBSTITUTE(E2668,"°","º"))-1)),""))))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IF(E2669="","",IF(LEFT(E2669,7)="SUBSOLO",-1,IF(LEFT(E2669,6)="TÉRREO",0,IFERROR(VALUE(LEFT(E2669,FIND("º",SUBSTITUTE(E2669,"°","º"))-1)),""))))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IF(E2670="","",IF(LEFT(E2670,7)="SUBSOLO",-1,IF(LEFT(E2670,6)="TÉRREO",0,IFERROR(VALUE(LEFT(E2670,FIND("º",SUBSTITUTE(E2670,"°","º"))-1)),""))))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IF(E2671="","",IF(LEFT(E2671,7)="SUBSOLO",-1,IF(LEFT(E2671,6)="TÉRREO",0,IFERROR(VALUE(LEFT(E2671,FIND("º",SUBSTITUTE(E2671,"°","º"))-1)),""))))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IF(E2672="","",IF(LEFT(E2672,7)="SUBSOLO",-1,IF(LEFT(E2672,6)="TÉRREO",0,IFERROR(VALUE(LEFT(E2672,FIND("º",SUBSTITUTE(E2672,"°","º"))-1)),""))))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IF(E2673="","",IF(LEFT(E2673,7)="SUBSOLO",-1,IF(LEFT(E2673,6)="TÉRREO",0,IFERROR(VALUE(LEFT(E2673,FIND("º",SUBSTITUTE(E2673,"°","º"))-1)),""))))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IF(E2674="","",IF(LEFT(E2674,7)="SUBSOLO",-1,IF(LEFT(E2674,6)="TÉRREO",0,IFERROR(VALUE(LEFT(E2674,FIND("º",SUBSTITUTE(E2674,"°","º"))-1)),""))))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IF(E2675="","",IF(LEFT(E2675,7)="SUBSOLO",-1,IF(LEFT(E2675,6)="TÉRREO",0,IFERROR(VALUE(LEFT(E2675,FIND("º",SUBSTITUTE(E2675,"°","º"))-1)),""))))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IF(E2676="","",IF(LEFT(E2676,7)="SUBSOLO",-1,IF(LEFT(E2676,6)="TÉRREO",0,IFERROR(VALUE(LEFT(E2676,FIND("º",SUBSTITUTE(E2676,"°","º"))-1)),""))))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IF(E2677="","",IF(LEFT(E2677,7)="SUBSOLO",-1,IF(LEFT(E2677,6)="TÉRREO",0,IFERROR(VALUE(LEFT(E2677,FIND("º",SUBSTITUTE(E2677,"°","º"))-1)),""))))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IF(E2678="","",IF(LEFT(E2678,7)="SUBSOLO",-1,IF(LEFT(E2678,6)="TÉRREO",0,IFERROR(VALUE(LEFT(E2678,FIND("º",SUBSTITUTE(E2678,"°","º"))-1)),""))))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IF(E2679="","",IF(LEFT(E2679,7)="SUBSOLO",-1,IF(LEFT(E2679,6)="TÉRREO",0,IFERROR(VALUE(LEFT(E2679,FIND("º",SUBSTITUTE(E2679,"°","º"))-1)),""))))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IF(E2680="","",IF(LEFT(E2680,7)="SUBSOLO",-1,IF(LEFT(E2680,6)="TÉRREO",0,IFERROR(VALUE(LEFT(E2680,FIND("º",SUBSTITUTE(E2680,"°","º"))-1)),""))))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IF(E2681="","",IF(LEFT(E2681,7)="SUBSOLO",-1,IF(LEFT(E2681,6)="TÉRREO",0,IFERROR(VALUE(LEFT(E2681,FIND("º",SUBSTITUTE(E2681,"°","º"))-1)),""))))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IF(E2682="","",IF(LEFT(E2682,7)="SUBSOLO",-1,IF(LEFT(E2682,6)="TÉRREO",0,IFERROR(VALUE(LEFT(E2682,FIND("º",SUBSTITUTE(E2682,"°","º"))-1)),""))))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IF(E2683="","",IF(LEFT(E2683,7)="SUBSOLO",-1,IF(LEFT(E2683,6)="TÉRREO",0,IFERROR(VALUE(LEFT(E2683,FIND("º",SUBSTITUTE(E2683,"°","º"))-1)),""))))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IF(E2684="","",IF(LEFT(E2684,7)="SUBSOLO",-1,IF(LEFT(E2684,6)="TÉRREO",0,IFERROR(VALUE(LEFT(E2684,FIND("º",SUBSTITUTE(E2684,"°","º"))-1)),""))))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IF(E2685="","",IF(LEFT(E2685,7)="SUBSOLO",-1,IF(LEFT(E2685,6)="TÉRREO",0,IFERROR(VALUE(LEFT(E2685,FIND("º",SUBSTITUTE(E2685,"°","º"))-1)),""))))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IF(E2686="","",IF(LEFT(E2686,7)="SUBSOLO",-1,IF(LEFT(E2686,6)="TÉRREO",0,IFERROR(VALUE(LEFT(E2686,FIND("º",SUBSTITUTE(E2686,"°","º"))-1)),""))))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IF(E2687="","",IF(LEFT(E2687,7)="SUBSOLO",-1,IF(LEFT(E2687,6)="TÉRREO",0,IFERROR(VALUE(LEFT(E2687,FIND("º",SUBSTITUTE(E2687,"°","º"))-1)),""))))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IF(E2688="","",IF(LEFT(E2688,7)="SUBSOLO",-1,IF(LEFT(E2688,6)="TÉRREO",0,IFERROR(VALUE(LEFT(E2688,FIND("º",SUBSTITUTE(E2688,"°","º"))-1)),""))))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IF(E2689="","",IF(LEFT(E2689,7)="SUBSOLO",-1,IF(LEFT(E2689,6)="TÉRREO",0,IFERROR(VALUE(LEFT(E2689,FIND("º",SUBSTITUTE(E2689,"°","º"))-1)),""))))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IF(E2690="","",IF(LEFT(E2690,7)="SUBSOLO",-1,IF(LEFT(E2690,6)="TÉRREO",0,IFERROR(VALUE(LEFT(E2690,FIND("º",SUBSTITUTE(E2690,"°","º"))-1)),""))))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IF(E2691="","",IF(LEFT(E2691,7)="SUBSOLO",-1,IF(LEFT(E2691,6)="TÉRREO",0,IFERROR(VALUE(LEFT(E2691,FIND("º",SUBSTITUTE(E2691,"°","º"))-1)),""))))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IF(E2692="","",IF(LEFT(E2692,7)="SUBSOLO",-1,IF(LEFT(E2692,6)="TÉRREO",0,IFERROR(VALUE(LEFT(E2692,FIND("º",SUBSTITUTE(E2692,"°","º"))-1)),""))))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IF(E2693="","",IF(LEFT(E2693,7)="SUBSOLO",-1,IF(LEFT(E2693,6)="TÉRREO",0,IFERROR(VALUE(LEFT(E2693,FIND("º",SUBSTITUTE(E2693,"°","º"))-1)),""))))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IF(E2694="","",IF(LEFT(E2694,7)="SUBSOLO",-1,IF(LEFT(E2694,6)="TÉRREO",0,IFERROR(VALUE(LEFT(E2694,FIND("º",SUBSTITUTE(E2694,"°","º"))-1)),""))))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IF(E2695="","",IF(LEFT(E2695,7)="SUBSOLO",-1,IF(LEFT(E2695,6)="TÉRREO",0,IFERROR(VALUE(LEFT(E2695,FIND("º",SUBSTITUTE(E2695,"°","º"))-1)),""))))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IF(E2696="","",IF(LEFT(E2696,7)="SUBSOLO",-1,IF(LEFT(E2696,6)="TÉRREO",0,IFERROR(VALUE(LEFT(E2696,FIND("º",SUBSTITUTE(E2696,"°","º"))-1)),""))))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IF(E2697="","",IF(LEFT(E2697,7)="SUBSOLO",-1,IF(LEFT(E2697,6)="TÉRREO",0,IFERROR(VALUE(LEFT(E2697,FIND("º",SUBSTITUTE(E2697,"°","º"))-1)),""))))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IF(E2698="","",IF(LEFT(E2698,7)="SUBSOLO",-1,IF(LEFT(E2698,6)="TÉRREO",0,IFERROR(VALUE(LEFT(E2698,FIND("º",SUBSTITUTE(E2698,"°","º"))-1)),""))))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IF(E2699="","",IF(LEFT(E2699,7)="SUBSOLO",-1,IF(LEFT(E2699,6)="TÉRREO",0,IFERROR(VALUE(LEFT(E2699,FIND("º",SUBSTITUTE(E2699,"°","º"))-1)),""))))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IF(E2700="","",IF(LEFT(E2700,7)="SUBSOLO",-1,IF(LEFT(E2700,6)="TÉRREO",0,IFERROR(VALUE(LEFT(E2700,FIND("º",SUBSTITUTE(E2700,"°","º"))-1)),""))))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IF(E2701="","",IF(LEFT(E2701,7)="SUBSOLO",-1,IF(LEFT(E2701,6)="TÉRREO",0,IFERROR(VALUE(LEFT(E2701,FIND("º",SUBSTITUTE(E2701,"°","º"))-1)),""))))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IF(E2702="","",IF(LEFT(E2702,7)="SUBSOLO",-1,IF(LEFT(E2702,6)="TÉRREO",0,IFERROR(VALUE(LEFT(E2702,FIND("º",SUBSTITUTE(E2702,"°","º"))-1)),""))))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IF(E2703="","",IF(LEFT(E2703,7)="SUBSOLO",-1,IF(LEFT(E2703,6)="TÉRREO",0,IFERROR(VALUE(LEFT(E2703,FIND("º",SUBSTITUTE(E2703,"°","º"))-1)),""))))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IF(E2704="","",IF(LEFT(E2704,7)="SUBSOLO",-1,IF(LEFT(E2704,6)="TÉRREO",0,IFERROR(VALUE(LEFT(E2704,FIND("º",SUBSTITUTE(E2704,"°","º"))-1)),""))))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IF(E2705="","",IF(LEFT(E2705,7)="SUBSOLO",-1,IF(LEFT(E2705,6)="TÉRREO",0,IFERROR(VALUE(LEFT(E2705,FIND("º",SUBSTITUTE(E2705,"°","º"))-1)),""))))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IF(E2706="","",IF(LEFT(E2706,7)="SUBSOLO",-1,IF(LEFT(E2706,6)="TÉRREO",0,IFERROR(VALUE(LEFT(E2706,FIND("º",SUBSTITUTE(E2706,"°","º"))-1)),""))))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IF(E2707="","",IF(LEFT(E2707,7)="SUBSOLO",-1,IF(LEFT(E2707,6)="TÉRREO",0,IFERROR(VALUE(LEFT(E2707,FIND("º",SUBSTITUTE(E2707,"°","º"))-1)),""))))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IF(E2708="","",IF(LEFT(E2708,7)="SUBSOLO",-1,IF(LEFT(E2708,6)="TÉRREO",0,IFERROR(VALUE(LEFT(E2708,FIND("º",SUBSTITUTE(E2708,"°","º"))-1)),""))))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IF(E2709="","",IF(LEFT(E2709,7)="SUBSOLO",-1,IF(LEFT(E2709,6)="TÉRREO",0,IFERROR(VALUE(LEFT(E2709,FIND("º",SUBSTITUTE(E2709,"°","º"))-1)),""))))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IF(E2710="","",IF(LEFT(E2710,7)="SUBSOLO",-1,IF(LEFT(E2710,6)="TÉRREO",0,IFERROR(VALUE(LEFT(E2710,FIND("º",SUBSTITUTE(E2710,"°","º"))-1)),""))))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IF(E2711="","",IF(LEFT(E2711,7)="SUBSOLO",-1,IF(LEFT(E2711,6)="TÉRREO",0,IFERROR(VALUE(LEFT(E2711,FIND("º",SUBSTITUTE(E2711,"°","º"))-1)),""))))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IF(E2712="","",IF(LEFT(E2712,7)="SUBSOLO",-1,IF(LEFT(E2712,6)="TÉRREO",0,IFERROR(VALUE(LEFT(E2712,FIND("º",SUBSTITUTE(E2712,"°","º"))-1)),""))))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IF(E2713="","",IF(LEFT(E2713,7)="SUBSOLO",-1,IF(LEFT(E2713,6)="TÉRREO",0,IFERROR(VALUE(LEFT(E2713,FIND("º",SUBSTITUTE(E2713,"°","º"))-1)),""))))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IF(E2714="","",IF(LEFT(E2714,7)="SUBSOLO",-1,IF(LEFT(E2714,6)="TÉRREO",0,IFERROR(VALUE(LEFT(E2714,FIND("º",SUBSTITUTE(E2714,"°","º"))-1)),""))))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IF(E2715="","",IF(LEFT(E2715,7)="SUBSOLO",-1,IF(LEFT(E2715,6)="TÉRREO",0,IFERROR(VALUE(LEFT(E2715,FIND("º",SUBSTITUTE(E2715,"°","º"))-1)),""))))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IF(E2716="","",IF(LEFT(E2716,7)="SUBSOLO",-1,IF(LEFT(E2716,6)="TÉRREO",0,IFERROR(VALUE(LEFT(E2716,FIND("º",SUBSTITUTE(E2716,"°","º"))-1)),""))))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IF(E2717="","",IF(LEFT(E2717,7)="SUBSOLO",-1,IF(LEFT(E2717,6)="TÉRREO",0,IFERROR(VALUE(LEFT(E2717,FIND("º",SUBSTITUTE(E2717,"°","º"))-1)),""))))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IF(E2718="","",IF(LEFT(E2718,7)="SUBSOLO",-1,IF(LEFT(E2718,6)="TÉRREO",0,IFERROR(VALUE(LEFT(E2718,FIND("º",SUBSTITUTE(E2718,"°","º"))-1)),""))))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IF(E2719="","",IF(LEFT(E2719,7)="SUBSOLO",-1,IF(LEFT(E2719,6)="TÉRREO",0,IFERROR(VALUE(LEFT(E2719,FIND("º",SUBSTITUTE(E2719,"°","º"))-1)),""))))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IF(E2720="","",IF(LEFT(E2720,7)="SUBSOLO",-1,IF(LEFT(E2720,6)="TÉRREO",0,IFERROR(VALUE(LEFT(E2720,FIND("º",SUBSTITUTE(E2720,"°","º"))-1)),""))))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IF(E2721="","",IF(LEFT(E2721,7)="SUBSOLO",-1,IF(LEFT(E2721,6)="TÉRREO",0,IFERROR(VALUE(LEFT(E2721,FIND("º",SUBSTITUTE(E2721,"°","º"))-1)),""))))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IF(E2722="","",IF(LEFT(E2722,7)="SUBSOLO",-1,IF(LEFT(E2722,6)="TÉRREO",0,IFERROR(VALUE(LEFT(E2722,FIND("º",SUBSTITUTE(E2722,"°","º"))-1)),""))))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IF(E2723="","",IF(LEFT(E2723,7)="SUBSOLO",-1,IF(LEFT(E2723,6)="TÉRREO",0,IFERROR(VALUE(LEFT(E2723,FIND("º",SUBSTITUTE(E2723,"°","º"))-1)),""))))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IF(E2724="","",IF(LEFT(E2724,7)="SUBSOLO",-1,IF(LEFT(E2724,6)="TÉRREO",0,IFERROR(VALUE(LEFT(E2724,FIND("º",SUBSTITUTE(E2724,"°","º"))-1)),""))))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IF(E2725="","",IF(LEFT(E2725,7)="SUBSOLO",-1,IF(LEFT(E2725,6)="TÉRREO",0,IFERROR(VALUE(LEFT(E2725,FIND("º",SUBSTITUTE(E2725,"°","º"))-1)),""))))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IF(E2726="","",IF(LEFT(E2726,7)="SUBSOLO",-1,IF(LEFT(E2726,6)="TÉRREO",0,IFERROR(VALUE(LEFT(E2726,FIND("º",SUBSTITUTE(E2726,"°","º"))-1)),""))))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IF(E2727="","",IF(LEFT(E2727,7)="SUBSOLO",-1,IF(LEFT(E2727,6)="TÉRREO",0,IFERROR(VALUE(LEFT(E2727,FIND("º",SUBSTITUTE(E2727,"°","º"))-1)),""))))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IF(E2728="","",IF(LEFT(E2728,7)="SUBSOLO",-1,IF(LEFT(E2728,6)="TÉRREO",0,IFERROR(VALUE(LEFT(E2728,FIND("º",SUBSTITUTE(E2728,"°","º"))-1)),""))))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IF(E2729="","",IF(LEFT(E2729,7)="SUBSOLO",-1,IF(LEFT(E2729,6)="TÉRREO",0,IFERROR(VALUE(LEFT(E2729,FIND("º",SUBSTITUTE(E2729,"°","º"))-1)),""))))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IF(E2730="","",IF(LEFT(E2730,7)="SUBSOLO",-1,IF(LEFT(E2730,6)="TÉRREO",0,IFERROR(VALUE(LEFT(E2730,FIND("º",SUBSTITUTE(E2730,"°","º"))-1)),""))))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IF(E2731="","",IF(LEFT(E2731,7)="SUBSOLO",-1,IF(LEFT(E2731,6)="TÉRREO",0,IFERROR(VALUE(LEFT(E2731,FIND("º",SUBSTITUTE(E2731,"°","º"))-1)),""))))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IF(E2732="","",IF(LEFT(E2732,7)="SUBSOLO",-1,IF(LEFT(E2732,6)="TÉRREO",0,IFERROR(VALUE(LEFT(E2732,FIND("º",SUBSTITUTE(E2732,"°","º"))-1)),""))))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IF(E2733="","",IF(LEFT(E2733,7)="SUBSOLO",-1,IF(LEFT(E2733,6)="TÉRREO",0,IFERROR(VALUE(LEFT(E2733,FIND("º",SUBSTITUTE(E2733,"°","º"))-1)),""))))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IF(E2734="","",IF(LEFT(E2734,7)="SUBSOLO",-1,IF(LEFT(E2734,6)="TÉRREO",0,IFERROR(VALUE(LEFT(E2734,FIND("º",SUBSTITUTE(E2734,"°","º"))-1)),""))))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IF(E2735="","",IF(LEFT(E2735,7)="SUBSOLO",-1,IF(LEFT(E2735,6)="TÉRREO",0,IFERROR(VALUE(LEFT(E2735,FIND("º",SUBSTITUTE(E2735,"°","º"))-1)),""))))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IF(E2736="","",IF(LEFT(E2736,7)="SUBSOLO",-1,IF(LEFT(E2736,6)="TÉRREO",0,IFERROR(VALUE(LEFT(E2736,FIND("º",SUBSTITUTE(E2736,"°","º"))-1)),""))))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IF(E2737="","",IF(LEFT(E2737,7)="SUBSOLO",-1,IF(LEFT(E2737,6)="TÉRREO",0,IFERROR(VALUE(LEFT(E2737,FIND("º",SUBSTITUTE(E2737,"°","º"))-1)),""))))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IF(E2738="","",IF(LEFT(E2738,7)="SUBSOLO",-1,IF(LEFT(E2738,6)="TÉRREO",0,IFERROR(VALUE(LEFT(E2738,FIND("º",SUBSTITUTE(E2738,"°","º"))-1)),""))))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IF(E2739="","",IF(LEFT(E2739,7)="SUBSOLO",-1,IF(LEFT(E2739,6)="TÉRREO",0,IFERROR(VALUE(LEFT(E2739,FIND("º",SUBSTITUTE(E2739,"°","º"))-1)),""))))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IF(E2740="","",IF(LEFT(E2740,7)="SUBSOLO",-1,IF(LEFT(E2740,6)="TÉRREO",0,IFERROR(VALUE(LEFT(E2740,FIND("º",SUBSTITUTE(E2740,"°","º"))-1)),""))))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IF(E2741="","",IF(LEFT(E2741,7)="SUBSOLO",-1,IF(LEFT(E2741,6)="TÉRREO",0,IFERROR(VALUE(LEFT(E2741,FIND("º",SUBSTITUTE(E2741,"°","º"))-1)),""))))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IF(E2742="","",IF(LEFT(E2742,7)="SUBSOLO",-1,IF(LEFT(E2742,6)="TÉRREO",0,IFERROR(VALUE(LEFT(E2742,FIND("º",SUBSTITUTE(E2742,"°","º"))-1)),""))))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IF(E2743="","",IF(LEFT(E2743,7)="SUBSOLO",-1,IF(LEFT(E2743,6)="TÉRREO",0,IFERROR(VALUE(LEFT(E2743,FIND("º",SUBSTITUTE(E2743,"°","º"))-1)),""))))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IF(E2744="","",IF(LEFT(E2744,7)="SUBSOLO",-1,IF(LEFT(E2744,6)="TÉRREO",0,IFERROR(VALUE(LEFT(E2744,FIND("º",SUBSTITUTE(E2744,"°","º"))-1)),""))))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IF(E2745="","",IF(LEFT(E2745,7)="SUBSOLO",-1,IF(LEFT(E2745,6)="TÉRREO",0,IFERROR(VALUE(LEFT(E2745,FIND("º",SUBSTITUTE(E2745,"°","º"))-1)),""))))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IF(E2746="","",IF(LEFT(E2746,7)="SUBSOLO",-1,IF(LEFT(E2746,6)="TÉRREO",0,IFERROR(VALUE(LEFT(E2746,FIND("º",SUBSTITUTE(E2746,"°","º"))-1)),""))))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IF(E2747="","",IF(LEFT(E2747,7)="SUBSOLO",-1,IF(LEFT(E2747,6)="TÉRREO",0,IFERROR(VALUE(LEFT(E2747,FIND("º",SUBSTITUTE(E2747,"°","º"))-1)),""))))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IF(E2748="","",IF(LEFT(E2748,7)="SUBSOLO",-1,IF(LEFT(E2748,6)="TÉRREO",0,IFERROR(VALUE(LEFT(E2748,FIND("º",SUBSTITUTE(E2748,"°","º"))-1)),""))))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IF(E2749="","",IF(LEFT(E2749,7)="SUBSOLO",-1,IF(LEFT(E2749,6)="TÉRREO",0,IFERROR(VALUE(LEFT(E2749,FIND("º",SUBSTITUTE(E2749,"°","º"))-1)),""))))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IF(E2750="","",IF(LEFT(E2750,7)="SUBSOLO",-1,IF(LEFT(E2750,6)="TÉRREO",0,IFERROR(VALUE(LEFT(E2750,FIND("º",SUBSTITUTE(E2750,"°","º"))-1)),""))))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IF(E2751="","",IF(LEFT(E2751,7)="SUBSOLO",-1,IF(LEFT(E2751,6)="TÉRREO",0,IFERROR(VALUE(LEFT(E2751,FIND("º",SUBSTITUTE(E2751,"°","º"))-1)),""))))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IF(E2752="","",IF(LEFT(E2752,7)="SUBSOLO",-1,IF(LEFT(E2752,6)="TÉRREO",0,IFERROR(VALUE(LEFT(E2752,FIND("º",SUBSTITUTE(E2752,"°","º"))-1)),""))))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IF(E2753="","",IF(LEFT(E2753,7)="SUBSOLO",-1,IF(LEFT(E2753,6)="TÉRREO",0,IFERROR(VALUE(LEFT(E2753,FIND("º",SUBSTITUTE(E2753,"°","º"))-1)),""))))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IF(E2754="","",IF(LEFT(E2754,7)="SUBSOLO",-1,IF(LEFT(E2754,6)="TÉRREO",0,IFERROR(VALUE(LEFT(E2754,FIND("º",SUBSTITUTE(E2754,"°","º"))-1)),""))))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IF(E2755="","",IF(LEFT(E2755,7)="SUBSOLO",-1,IF(LEFT(E2755,6)="TÉRREO",0,IFERROR(VALUE(LEFT(E2755,FIND("º",SUBSTITUTE(E2755,"°","º"))-1)),""))))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IF(E2756="","",IF(LEFT(E2756,7)="SUBSOLO",-1,IF(LEFT(E2756,6)="TÉRREO",0,IFERROR(VALUE(LEFT(E2756,FIND("º",SUBSTITUTE(E2756,"°","º"))-1)),""))))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IF(E2757="","",IF(LEFT(E2757,7)="SUBSOLO",-1,IF(LEFT(E2757,6)="TÉRREO",0,IFERROR(VALUE(LEFT(E2757,FIND("º",SUBSTITUTE(E2757,"°","º"))-1)),""))))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IF(E2758="","",IF(LEFT(E2758,7)="SUBSOLO",-1,IF(LEFT(E2758,6)="TÉRREO",0,IFERROR(VALUE(LEFT(E2758,FIND("º",SUBSTITUTE(E2758,"°","º"))-1)),""))))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IF(E2759="","",IF(LEFT(E2759,7)="SUBSOLO",-1,IF(LEFT(E2759,6)="TÉRREO",0,IFERROR(VALUE(LEFT(E2759,FIND("º",SUBSTITUTE(E2759,"°","º"))-1)),""))))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IF(E2760="","",IF(LEFT(E2760,7)="SUBSOLO",-1,IF(LEFT(E2760,6)="TÉRREO",0,IFERROR(VALUE(LEFT(E2760,FIND("º",SUBSTITUTE(E2760,"°","º"))-1)),""))))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IF(E2761="","",IF(LEFT(E2761,7)="SUBSOLO",-1,IF(LEFT(E2761,6)="TÉRREO",0,IFERROR(VALUE(LEFT(E2761,FIND("º",SUBSTITUTE(E2761,"°","º"))-1)),""))))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IF(E2762="","",IF(LEFT(E2762,7)="SUBSOLO",-1,IF(LEFT(E2762,6)="TÉRREO",0,IFERROR(VALUE(LEFT(E2762,FIND("º",SUBSTITUTE(E2762,"°","º"))-1)),""))))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IF(E2763="","",IF(LEFT(E2763,7)="SUBSOLO",-1,IF(LEFT(E2763,6)="TÉRREO",0,IFERROR(VALUE(LEFT(E2763,FIND("º",SUBSTITUTE(E2763,"°","º"))-1)),""))))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IF(E2764="","",IF(LEFT(E2764,7)="SUBSOLO",-1,IF(LEFT(E2764,6)="TÉRREO",0,IFERROR(VALUE(LEFT(E2764,FIND("º",SUBSTITUTE(E2764,"°","º"))-1)),""))))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IF(E2765="","",IF(LEFT(E2765,7)="SUBSOLO",-1,IF(LEFT(E2765,6)="TÉRREO",0,IFERROR(VALUE(LEFT(E2765,FIND("º",SUBSTITUTE(E2765,"°","º"))-1)),""))))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IF(E2766="","",IF(LEFT(E2766,7)="SUBSOLO",-1,IF(LEFT(E2766,6)="TÉRREO",0,IFERROR(VALUE(LEFT(E2766,FIND("º",SUBSTITUTE(E2766,"°","º"))-1)),""))))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IF(E2767="","",IF(LEFT(E2767,7)="SUBSOLO",-1,IF(LEFT(E2767,6)="TÉRREO",0,IFERROR(VALUE(LEFT(E2767,FIND("º",SUBSTITUTE(E2767,"°","º"))-1)),""))))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IF(E2768="","",IF(LEFT(E2768,7)="SUBSOLO",-1,IF(LEFT(E2768,6)="TÉRREO",0,IFERROR(VALUE(LEFT(E2768,FIND("º",SUBSTITUTE(E2768,"°","º"))-1)),""))))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IF(E2769="","",IF(LEFT(E2769,7)="SUBSOLO",-1,IF(LEFT(E2769,6)="TÉRREO",0,IFERROR(VALUE(LEFT(E2769,FIND("º",SUBSTITUTE(E2769,"°","º"))-1)),""))))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IF(E2770="","",IF(LEFT(E2770,7)="SUBSOLO",-1,IF(LEFT(E2770,6)="TÉRREO",0,IFERROR(VALUE(LEFT(E2770,FIND("º",SUBSTITUTE(E2770,"°","º"))-1)),""))))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IF(E2771="","",IF(LEFT(E2771,7)="SUBSOLO",-1,IF(LEFT(E2771,6)="TÉRREO",0,IFERROR(VALUE(LEFT(E2771,FIND("º",SUBSTITUTE(E2771,"°","º"))-1)),""))))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IF(E2772="","",IF(LEFT(E2772,7)="SUBSOLO",-1,IF(LEFT(E2772,6)="TÉRREO",0,IFERROR(VALUE(LEFT(E2772,FIND("º",SUBSTITUTE(E2772,"°","º"))-1)),""))))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IF(E2773="","",IF(LEFT(E2773,7)="SUBSOLO",-1,IF(LEFT(E2773,6)="TÉRREO",0,IFERROR(VALUE(LEFT(E2773,FIND("º",SUBSTITUTE(E2773,"°","º"))-1)),""))))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IF(E2774="","",IF(LEFT(E2774,7)="SUBSOLO",-1,IF(LEFT(E2774,6)="TÉRREO",0,IFERROR(VALUE(LEFT(E2774,FIND("º",SUBSTITUTE(E2774,"°","º"))-1)),""))))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IF(E2775="","",IF(LEFT(E2775,7)="SUBSOLO",-1,IF(LEFT(E2775,6)="TÉRREO",0,IFERROR(VALUE(LEFT(E2775,FIND("º",SUBSTITUTE(E2775,"°","º"))-1)),""))))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IF(E2776="","",IF(LEFT(E2776,7)="SUBSOLO",-1,IF(LEFT(E2776,6)="TÉRREO",0,IFERROR(VALUE(LEFT(E2776,FIND("º",SUBSTITUTE(E2776,"°","º"))-1)),""))))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IF(E2777="","",IF(LEFT(E2777,7)="SUBSOLO",-1,IF(LEFT(E2777,6)="TÉRREO",0,IFERROR(VALUE(LEFT(E2777,FIND("º",SUBSTITUTE(E2777,"°","º"))-1)),""))))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IF(E2778="","",IF(LEFT(E2778,7)="SUBSOLO",-1,IF(LEFT(E2778,6)="TÉRREO",0,IFERROR(VALUE(LEFT(E2778,FIND("º",SUBSTITUTE(E2778,"°","º"))-1)),""))))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IF(E2779="","",IF(LEFT(E2779,7)="SUBSOLO",-1,IF(LEFT(E2779,6)="TÉRREO",0,IFERROR(VALUE(LEFT(E2779,FIND("º",SUBSTITUTE(E2779,"°","º"))-1)),""))))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IF(E2780="","",IF(LEFT(E2780,7)="SUBSOLO",-1,IF(LEFT(E2780,6)="TÉRREO",0,IFERROR(VALUE(LEFT(E2780,FIND("º",SUBSTITUTE(E2780,"°","º"))-1)),""))))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IF(E2781="","",IF(LEFT(E2781,7)="SUBSOLO",-1,IF(LEFT(E2781,6)="TÉRREO",0,IFERROR(VALUE(LEFT(E2781,FIND("º",SUBSTITUTE(E2781,"°","º"))-1)),""))))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IF(E2782="","",IF(LEFT(E2782,7)="SUBSOLO",-1,IF(LEFT(E2782,6)="TÉRREO",0,IFERROR(VALUE(LEFT(E2782,FIND("º",SUBSTITUTE(E2782,"°","º"))-1)),""))))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IF(E2783="","",IF(LEFT(E2783,7)="SUBSOLO",-1,IF(LEFT(E2783,6)="TÉRREO",0,IFERROR(VALUE(LEFT(E2783,FIND("º",SUBSTITUTE(E2783,"°","º"))-1)),""))))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IF(E2784="","",IF(LEFT(E2784,7)="SUBSOLO",-1,IF(LEFT(E2784,6)="TÉRREO",0,IFERROR(VALUE(LEFT(E2784,FIND("º",SUBSTITUTE(E2784,"°","º"))-1)),""))))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IF(E2785="","",IF(LEFT(E2785,7)="SUBSOLO",-1,IF(LEFT(E2785,6)="TÉRREO",0,IFERROR(VALUE(LEFT(E2785,FIND("º",SUBSTITUTE(E2785,"°","º"))-1)),""))))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IF(E2786="","",IF(LEFT(E2786,7)="SUBSOLO",-1,IF(LEFT(E2786,6)="TÉRREO",0,IFERROR(VALUE(LEFT(E2786,FIND("º",SUBSTITUTE(E2786,"°","º"))-1)),""))))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IF(E2787="","",IF(LEFT(E2787,7)="SUBSOLO",-1,IF(LEFT(E2787,6)="TÉRREO",0,IFERROR(VALUE(LEFT(E2787,FIND("º",SUBSTITUTE(E2787,"°","º"))-1)),""))))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IF(E2788="","",IF(LEFT(E2788,7)="SUBSOLO",-1,IF(LEFT(E2788,6)="TÉRREO",0,IFERROR(VALUE(LEFT(E2788,FIND("º",SUBSTITUTE(E2788,"°","º"))-1)),""))))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IF(E2789="","",IF(LEFT(E2789,7)="SUBSOLO",-1,IF(LEFT(E2789,6)="TÉRREO",0,IFERROR(VALUE(LEFT(E2789,FIND("º",SUBSTITUTE(E2789,"°","º"))-1)),""))))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IF(E2790="","",IF(LEFT(E2790,7)="SUBSOLO",-1,IF(LEFT(E2790,6)="TÉRREO",0,IFERROR(VALUE(LEFT(E2790,FIND("º",SUBSTITUTE(E2790,"°","º"))-1)),""))))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IF(E2791="","",IF(LEFT(E2791,7)="SUBSOLO",-1,IF(LEFT(E2791,6)="TÉRREO",0,IFERROR(VALUE(LEFT(E2791,FIND("º",SUBSTITUTE(E2791,"°","º"))-1)),""))))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IF(E2792="","",IF(LEFT(E2792,7)="SUBSOLO",-1,IF(LEFT(E2792,6)="TÉRREO",0,IFERROR(VALUE(LEFT(E2792,FIND("º",SUBSTITUTE(E2792,"°","º"))-1)),""))))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IF(E2793="","",IF(LEFT(E2793,7)="SUBSOLO",-1,IF(LEFT(E2793,6)="TÉRREO",0,IFERROR(VALUE(LEFT(E2793,FIND("º",SUBSTITUTE(E2793,"°","º"))-1)),""))))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IF(E2794="","",IF(LEFT(E2794,7)="SUBSOLO",-1,IF(LEFT(E2794,6)="TÉRREO",0,IFERROR(VALUE(LEFT(E2794,FIND("º",SUBSTITUTE(E2794,"°","º"))-1)),""))))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IF(E2795="","",IF(LEFT(E2795,7)="SUBSOLO",-1,IF(LEFT(E2795,6)="TÉRREO",0,IFERROR(VALUE(LEFT(E2795,FIND("º",SUBSTITUTE(E2795,"°","º"))-1)),""))))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IF(E2796="","",IF(LEFT(E2796,7)="SUBSOLO",-1,IF(LEFT(E2796,6)="TÉRREO",0,IFERROR(VALUE(LEFT(E2796,FIND("º",SUBSTITUTE(E2796,"°","º"))-1)),""))))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IF(E2797="","",IF(LEFT(E2797,7)="SUBSOLO",-1,IF(LEFT(E2797,6)="TÉRREO",0,IFERROR(VALUE(LEFT(E2797,FIND("º",SUBSTITUTE(E2797,"°","º"))-1)),""))))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IF(E2798="","",IF(LEFT(E2798,7)="SUBSOLO",-1,IF(LEFT(E2798,6)="TÉRREO",0,IFERROR(VALUE(LEFT(E2798,FIND("º",SUBSTITUTE(E2798,"°","º"))-1)),""))))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IF(E2799="","",IF(LEFT(E2799,7)="SUBSOLO",-1,IF(LEFT(E2799,6)="TÉRREO",0,IFERROR(VALUE(LEFT(E2799,FIND("º",SUBSTITUTE(E2799,"°","º"))-1)),""))))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IF(E2800="","",IF(LEFT(E2800,7)="SUBSOLO",-1,IF(LEFT(E2800,6)="TÉRREO",0,IFERROR(VALUE(LEFT(E2800,FIND("º",SUBSTITUTE(E2800,"°","º"))-1)),""))))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IF(E2801="","",IF(LEFT(E2801,7)="SUBSOLO",-1,IF(LEFT(E2801,6)="TÉRREO",0,IFERROR(VALUE(LEFT(E2801,FIND("º",SUBSTITUTE(E2801,"°","º"))-1)),""))))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IF(E2802="","",IF(LEFT(E2802,7)="SUBSOLO",-1,IF(LEFT(E2802,6)="TÉRREO",0,IFERROR(VALUE(LEFT(E2802,FIND("º",SUBSTITUTE(E2802,"°","º"))-1)),""))))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IF(E2803="","",IF(LEFT(E2803,7)="SUBSOLO",-1,IF(LEFT(E2803,6)="TÉRREO",0,IFERROR(VALUE(LEFT(E2803,FIND("º",SUBSTITUTE(E2803,"°","º"))-1)),""))))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IF(E2804="","",IF(LEFT(E2804,7)="SUBSOLO",-1,IF(LEFT(E2804,6)="TÉRREO",0,IFERROR(VALUE(LEFT(E2804,FIND("º",SUBSTITUTE(E2804,"°","º"))-1)),""))))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IF(E2805="","",IF(LEFT(E2805,7)="SUBSOLO",-1,IF(LEFT(E2805,6)="TÉRREO",0,IFERROR(VALUE(LEFT(E2805,FIND("º",SUBSTITUTE(E2805,"°","º"))-1)),""))))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IF(E2806="","",IF(LEFT(E2806,7)="SUBSOLO",-1,IF(LEFT(E2806,6)="TÉRREO",0,IFERROR(VALUE(LEFT(E2806,FIND("º",SUBSTITUTE(E2806,"°","º"))-1)),""))))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IF(E2807="","",IF(LEFT(E2807,7)="SUBSOLO",-1,IF(LEFT(E2807,6)="TÉRREO",0,IFERROR(VALUE(LEFT(E2807,FIND("º",SUBSTITUTE(E2807,"°","º"))-1)),""))))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IF(E2808="","",IF(LEFT(E2808,7)="SUBSOLO",-1,IF(LEFT(E2808,6)="TÉRREO",0,IFERROR(VALUE(LEFT(E2808,FIND("º",SUBSTITUTE(E2808,"°","º"))-1)),""))))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IF(E2809="","",IF(LEFT(E2809,7)="SUBSOLO",-1,IF(LEFT(E2809,6)="TÉRREO",0,IFERROR(VALUE(LEFT(E2809,FIND("º",SUBSTITUTE(E2809,"°","º"))-1)),""))))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IF(E2810="","",IF(LEFT(E2810,7)="SUBSOLO",-1,IF(LEFT(E2810,6)="TÉRREO",0,IFERROR(VALUE(LEFT(E2810,FIND("º",SUBSTITUTE(E2810,"°","º"))-1)),""))))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IF(E2811="","",IF(LEFT(E2811,7)="SUBSOLO",-1,IF(LEFT(E2811,6)="TÉRREO",0,IFERROR(VALUE(LEFT(E2811,FIND("º",SUBSTITUTE(E2811,"°","º"))-1)),""))))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IF(E2812="","",IF(LEFT(E2812,7)="SUBSOLO",-1,IF(LEFT(E2812,6)="TÉRREO",0,IFERROR(VALUE(LEFT(E2812,FIND("º",SUBSTITUTE(E2812,"°","º"))-1)),""))))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IF(E2813="","",IF(LEFT(E2813,7)="SUBSOLO",-1,IF(LEFT(E2813,6)="TÉRREO",0,IFERROR(VALUE(LEFT(E2813,FIND("º",SUBSTITUTE(E2813,"°","º"))-1)),""))))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IF(E2814="","",IF(LEFT(E2814,7)="SUBSOLO",-1,IF(LEFT(E2814,6)="TÉRREO",0,IFERROR(VALUE(LEFT(E2814,FIND("º",SUBSTITUTE(E2814,"°","º"))-1)),""))))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IF(E2815="","",IF(LEFT(E2815,7)="SUBSOLO",-1,IF(LEFT(E2815,6)="TÉRREO",0,IFERROR(VALUE(LEFT(E2815,FIND("º",SUBSTITUTE(E2815,"°","º"))-1)),""))))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IF(E2816="","",IF(LEFT(E2816,7)="SUBSOLO",-1,IF(LEFT(E2816,6)="TÉRREO",0,IFERROR(VALUE(LEFT(E2816,FIND("º",SUBSTITUTE(E2816,"°","º"))-1)),""))))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IF(E2817="","",IF(LEFT(E2817,7)="SUBSOLO",-1,IF(LEFT(E2817,6)="TÉRREO",0,IFERROR(VALUE(LEFT(E2817,FIND("º",SUBSTITUTE(E2817,"°","º"))-1)),""))))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IF(E2818="","",IF(LEFT(E2818,7)="SUBSOLO",-1,IF(LEFT(E2818,6)="TÉRREO",0,IFERROR(VALUE(LEFT(E2818,FIND("º",SUBSTITUTE(E2818,"°","º"))-1)),""))))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IF(E2819="","",IF(LEFT(E2819,7)="SUBSOLO",-1,IF(LEFT(E2819,6)="TÉRREO",0,IFERROR(VALUE(LEFT(E2819,FIND("º",SUBSTITUTE(E2819,"°","º"))-1)),""))))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IF(E2820="","",IF(LEFT(E2820,7)="SUBSOLO",-1,IF(LEFT(E2820,6)="TÉRREO",0,IFERROR(VALUE(LEFT(E2820,FIND("º",SUBSTITUTE(E2820,"°","º"))-1)),""))))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IF(E2821="","",IF(LEFT(E2821,7)="SUBSOLO",-1,IF(LEFT(E2821,6)="TÉRREO",0,IFERROR(VALUE(LEFT(E2821,FIND("º",SUBSTITUTE(E2821,"°","º"))-1)),""))))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IF(E2822="","",IF(LEFT(E2822,7)="SUBSOLO",-1,IF(LEFT(E2822,6)="TÉRREO",0,IFERROR(VALUE(LEFT(E2822,FIND("º",SUBSTITUTE(E2822,"°","º"))-1)),""))))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IF(E2823="","",IF(LEFT(E2823,7)="SUBSOLO",-1,IF(LEFT(E2823,6)="TÉRREO",0,IFERROR(VALUE(LEFT(E2823,FIND("º",SUBSTITUTE(E2823,"°","º"))-1)),""))))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IF(E2824="","",IF(LEFT(E2824,7)="SUBSOLO",-1,IF(LEFT(E2824,6)="TÉRREO",0,IFERROR(VALUE(LEFT(E2824,FIND("º",SUBSTITUTE(E2824,"°","º"))-1)),""))))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IF(E2825="","",IF(LEFT(E2825,7)="SUBSOLO",-1,IF(LEFT(E2825,6)="TÉRREO",0,IFERROR(VALUE(LEFT(E2825,FIND("º",SUBSTITUTE(E2825,"°","º"))-1)),""))))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IF(E2826="","",IF(LEFT(E2826,7)="SUBSOLO",-1,IF(LEFT(E2826,6)="TÉRREO",0,IFERROR(VALUE(LEFT(E2826,FIND("º",SUBSTITUTE(E2826,"°","º"))-1)),""))))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IF(E2827="","",IF(LEFT(E2827,7)="SUBSOLO",-1,IF(LEFT(E2827,6)="TÉRREO",0,IFERROR(VALUE(LEFT(E2827,FIND("º",SUBSTITUTE(E2827,"°","º"))-1)),""))))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IF(E2828="","",IF(LEFT(E2828,7)="SUBSOLO",-1,IF(LEFT(E2828,6)="TÉRREO",0,IFERROR(VALUE(LEFT(E2828,FIND("º",SUBSTITUTE(E2828,"°","º"))-1)),""))))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IF(E2829="","",IF(LEFT(E2829,7)="SUBSOLO",-1,IF(LEFT(E2829,6)="TÉRREO",0,IFERROR(VALUE(LEFT(E2829,FIND("º",SUBSTITUTE(E2829,"°","º"))-1)),""))))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IF(E2830="","",IF(LEFT(E2830,7)="SUBSOLO",-1,IF(LEFT(E2830,6)="TÉRREO",0,IFERROR(VALUE(LEFT(E2830,FIND("º",SUBSTITUTE(E2830,"°","º"))-1)),""))))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IF(E2831="","",IF(LEFT(E2831,7)="SUBSOLO",-1,IF(LEFT(E2831,6)="TÉRREO",0,IFERROR(VALUE(LEFT(E2831,FIND("º",SUBSTITUTE(E2831,"°","º"))-1)),""))))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IF(E2832="","",IF(LEFT(E2832,7)="SUBSOLO",-1,IF(LEFT(E2832,6)="TÉRREO",0,IFERROR(VALUE(LEFT(E2832,FIND("º",SUBSTITUTE(E2832,"°","º"))-1)),""))))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IF(E2833="","",IF(LEFT(E2833,7)="SUBSOLO",-1,IF(LEFT(E2833,6)="TÉRREO",0,IFERROR(VALUE(LEFT(E2833,FIND("º",SUBSTITUTE(E2833,"°","º"))-1)),""))))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IF(E2834="","",IF(LEFT(E2834,7)="SUBSOLO",-1,IF(LEFT(E2834,6)="TÉRREO",0,IFERROR(VALUE(LEFT(E2834,FIND("º",SUBSTITUTE(E2834,"°","º"))-1)),""))))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IF(E2835="","",IF(LEFT(E2835,7)="SUBSOLO",-1,IF(LEFT(E2835,6)="TÉRREO",0,IFERROR(VALUE(LEFT(E2835,FIND("º",SUBSTITUTE(E2835,"°","º"))-1)),""))))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IF(E2836="","",IF(LEFT(E2836,7)="SUBSOLO",-1,IF(LEFT(E2836,6)="TÉRREO",0,IFERROR(VALUE(LEFT(E2836,FIND("º",SUBSTITUTE(E2836,"°","º"))-1)),""))))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IF(E2837="","",IF(LEFT(E2837,7)="SUBSOLO",-1,IF(LEFT(E2837,6)="TÉRREO",0,IFERROR(VALUE(LEFT(E2837,FIND("º",SUBSTITUTE(E2837,"°","º"))-1)),""))))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IF(E2838="","",IF(LEFT(E2838,7)="SUBSOLO",-1,IF(LEFT(E2838,6)="TÉRREO",0,IFERROR(VALUE(LEFT(E2838,FIND("º",SUBSTITUTE(E2838,"°","º"))-1)),""))))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IF(E2839="","",IF(LEFT(E2839,7)="SUBSOLO",-1,IF(LEFT(E2839,6)="TÉRREO",0,IFERROR(VALUE(LEFT(E2839,FIND("º",SUBSTITUTE(E2839,"°","º"))-1)),""))))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IF(E2840="","",IF(LEFT(E2840,7)="SUBSOLO",-1,IF(LEFT(E2840,6)="TÉRREO",0,IFERROR(VALUE(LEFT(E2840,FIND("º",SUBSTITUTE(E2840,"°","º"))-1)),""))))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IF(E2841="","",IF(LEFT(E2841,7)="SUBSOLO",-1,IF(LEFT(E2841,6)="TÉRREO",0,IFERROR(VALUE(LEFT(E2841,FIND("º",SUBSTITUTE(E2841,"°","º"))-1)),""))))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IF(E2842="","",IF(LEFT(E2842,7)="SUBSOLO",-1,IF(LEFT(E2842,6)="TÉRREO",0,IFERROR(VALUE(LEFT(E2842,FIND("º",SUBSTITUTE(E2842,"°","º"))-1)),""))))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IF(E2843="","",IF(LEFT(E2843,7)="SUBSOLO",-1,IF(LEFT(E2843,6)="TÉRREO",0,IFERROR(VALUE(LEFT(E2843,FIND("º",SUBSTITUTE(E2843,"°","º"))-1)),""))))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IF(E2844="","",IF(LEFT(E2844,7)="SUBSOLO",-1,IF(LEFT(E2844,6)="TÉRREO",0,IFERROR(VALUE(LEFT(E2844,FIND("º",SUBSTITUTE(E2844,"°","º"))-1)),""))))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IF(E2845="","",IF(LEFT(E2845,7)="SUBSOLO",-1,IF(LEFT(E2845,6)="TÉRREO",0,IFERROR(VALUE(LEFT(E2845,FIND("º",SUBSTITUTE(E2845,"°","º"))-1)),""))))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IF(E2846="","",IF(LEFT(E2846,7)="SUBSOLO",-1,IF(LEFT(E2846,6)="TÉRREO",0,IFERROR(VALUE(LEFT(E2846,FIND("º",SUBSTITUTE(E2846,"°","º"))-1)),""))))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IF(E2847="","",IF(LEFT(E2847,7)="SUBSOLO",-1,IF(LEFT(E2847,6)="TÉRREO",0,IFERROR(VALUE(LEFT(E2847,FIND("º",SUBSTITUTE(E2847,"°","º"))-1)),""))))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IF(E2848="","",IF(LEFT(E2848,7)="SUBSOLO",-1,IF(LEFT(E2848,6)="TÉRREO",0,IFERROR(VALUE(LEFT(E2848,FIND("º",SUBSTITUTE(E2848,"°","º"))-1)),""))))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IF(E2849="","",IF(LEFT(E2849,7)="SUBSOLO",-1,IF(LEFT(E2849,6)="TÉRREO",0,IFERROR(VALUE(LEFT(E2849,FIND("º",SUBSTITUTE(E2849,"°","º"))-1)),""))))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IF(E2850="","",IF(LEFT(E2850,7)="SUBSOLO",-1,IF(LEFT(E2850,6)="TÉRREO",0,IFERROR(VALUE(LEFT(E2850,FIND("º",SUBSTITUTE(E2850,"°","º"))-1)),""))))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IF(E2851="","",IF(LEFT(E2851,7)="SUBSOLO",-1,IF(LEFT(E2851,6)="TÉRREO",0,IFERROR(VALUE(LEFT(E2851,FIND("º",SUBSTITUTE(E2851,"°","º"))-1)),""))))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IF(E2852="","",IF(LEFT(E2852,7)="SUBSOLO",-1,IF(LEFT(E2852,6)="TÉRREO",0,IFERROR(VALUE(LEFT(E2852,FIND("º",SUBSTITUTE(E2852,"°","º"))-1)),""))))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IF(E2853="","",IF(LEFT(E2853,7)="SUBSOLO",-1,IF(LEFT(E2853,6)="TÉRREO",0,IFERROR(VALUE(LEFT(E2853,FIND("º",SUBSTITUTE(E2853,"°","º"))-1)),""))))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IF(E2854="","",IF(LEFT(E2854,7)="SUBSOLO",-1,IF(LEFT(E2854,6)="TÉRREO",0,IFERROR(VALUE(LEFT(E2854,FIND("º",SUBSTITUTE(E2854,"°","º"))-1)),""))))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IF(E2855="","",IF(LEFT(E2855,7)="SUBSOLO",-1,IF(LEFT(E2855,6)="TÉRREO",0,IFERROR(VALUE(LEFT(E2855,FIND("º",SUBSTITUTE(E2855,"°","º"))-1)),""))))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IF(E2856="","",IF(LEFT(E2856,7)="SUBSOLO",-1,IF(LEFT(E2856,6)="TÉRREO",0,IFERROR(VALUE(LEFT(E2856,FIND("º",SUBSTITUTE(E2856,"°","º"))-1)),""))))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IF(E2857="","",IF(LEFT(E2857,7)="SUBSOLO",-1,IF(LEFT(E2857,6)="TÉRREO",0,IFERROR(VALUE(LEFT(E2857,FIND("º",SUBSTITUTE(E2857,"°","º"))-1)),""))))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IF(E2858="","",IF(LEFT(E2858,7)="SUBSOLO",-1,IF(LEFT(E2858,6)="TÉRREO",0,IFERROR(VALUE(LEFT(E2858,FIND("º",SUBSTITUTE(E2858,"°","º"))-1)),""))))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IF(E2859="","",IF(LEFT(E2859,7)="SUBSOLO",-1,IF(LEFT(E2859,6)="TÉRREO",0,IFERROR(VALUE(LEFT(E2859,FIND("º",SUBSTITUTE(E2859,"°","º"))-1)),""))))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IF(E2860="","",IF(LEFT(E2860,7)="SUBSOLO",-1,IF(LEFT(E2860,6)="TÉRREO",0,IFERROR(VALUE(LEFT(E2860,FIND("º",SUBSTITUTE(E2860,"°","º"))-1)),""))))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IF(E2861="","",IF(LEFT(E2861,7)="SUBSOLO",-1,IF(LEFT(E2861,6)="TÉRREO",0,IFERROR(VALUE(LEFT(E2861,FIND("º",SUBSTITUTE(E2861,"°","º"))-1)),""))))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IF(E2862="","",IF(LEFT(E2862,7)="SUBSOLO",-1,IF(LEFT(E2862,6)="TÉRREO",0,IFERROR(VALUE(LEFT(E2862,FIND("º",SUBSTITUTE(E2862,"°","º"))-1)),""))))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IF(E2863="","",IF(LEFT(E2863,7)="SUBSOLO",-1,IF(LEFT(E2863,6)="TÉRREO",0,IFERROR(VALUE(LEFT(E2863,FIND("º",SUBSTITUTE(E2863,"°","º"))-1)),""))))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IF(E2864="","",IF(LEFT(E2864,7)="SUBSOLO",-1,IF(LEFT(E2864,6)="TÉRREO",0,IFERROR(VALUE(LEFT(E2864,FIND("º",SUBSTITUTE(E2864,"°","º"))-1)),""))))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IF(E2865="","",IF(LEFT(E2865,7)="SUBSOLO",-1,IF(LEFT(E2865,6)="TÉRREO",0,IFERROR(VALUE(LEFT(E2865,FIND("º",SUBSTITUTE(E2865,"°","º"))-1)),""))))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IF(E2866="","",IF(LEFT(E2866,7)="SUBSOLO",-1,IF(LEFT(E2866,6)="TÉRREO",0,IFERROR(VALUE(LEFT(E2866,FIND("º",SUBSTITUTE(E2866,"°","º"))-1)),""))))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IF(E2867="","",IF(LEFT(E2867,7)="SUBSOLO",-1,IF(LEFT(E2867,6)="TÉRREO",0,IFERROR(VALUE(LEFT(E2867,FIND("º",SUBSTITUTE(E2867,"°","º"))-1)),""))))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IF(E2868="","",IF(LEFT(E2868,7)="SUBSOLO",-1,IF(LEFT(E2868,6)="TÉRREO",0,IFERROR(VALUE(LEFT(E2868,FIND("º",SUBSTITUTE(E2868,"°","º"))-1)),""))))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IF(E2869="","",IF(LEFT(E2869,7)="SUBSOLO",-1,IF(LEFT(E2869,6)="TÉRREO",0,IFERROR(VALUE(LEFT(E2869,FIND("º",SUBSTITUTE(E2869,"°","º"))-1)),""))))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IF(E2870="","",IF(LEFT(E2870,7)="SUBSOLO",-1,IF(LEFT(E2870,6)="TÉRREO",0,IFERROR(VALUE(LEFT(E2870,FIND("º",SUBSTITUTE(E2870,"°","º"))-1)),""))))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IF(E2871="","",IF(LEFT(E2871,7)="SUBSOLO",-1,IF(LEFT(E2871,6)="TÉRREO",0,IFERROR(VALUE(LEFT(E2871,FIND("º",SUBSTITUTE(E2871,"°","º"))-1)),""))))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IF(E2872="","",IF(LEFT(E2872,7)="SUBSOLO",-1,IF(LEFT(E2872,6)="TÉRREO",0,IFERROR(VALUE(LEFT(E2872,FIND("º",SUBSTITUTE(E2872,"°","º"))-1)),""))))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IF(E2873="","",IF(LEFT(E2873,7)="SUBSOLO",-1,IF(LEFT(E2873,6)="TÉRREO",0,IFERROR(VALUE(LEFT(E2873,FIND("º",SUBSTITUTE(E2873,"°","º"))-1)),""))))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IF(E2874="","",IF(LEFT(E2874,7)="SUBSOLO",-1,IF(LEFT(E2874,6)="TÉRREO",0,IFERROR(VALUE(LEFT(E2874,FIND("º",SUBSTITUTE(E2874,"°","º"))-1)),""))))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IF(E2875="","",IF(LEFT(E2875,7)="SUBSOLO",-1,IF(LEFT(E2875,6)="TÉRREO",0,IFERROR(VALUE(LEFT(E2875,FIND("º",SUBSTITUTE(E2875,"°","º"))-1)),""))))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IF(E2876="","",IF(LEFT(E2876,7)="SUBSOLO",-1,IF(LEFT(E2876,6)="TÉRREO",0,IFERROR(VALUE(LEFT(E2876,FIND("º",SUBSTITUTE(E2876,"°","º"))-1)),""))))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IF(E2877="","",IF(LEFT(E2877,7)="SUBSOLO",-1,IF(LEFT(E2877,6)="TÉRREO",0,IFERROR(VALUE(LEFT(E2877,FIND("º",SUBSTITUTE(E2877,"°","º"))-1)),""))))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IF(E2878="","",IF(LEFT(E2878,7)="SUBSOLO",-1,IF(LEFT(E2878,6)="TÉRREO",0,IFERROR(VALUE(LEFT(E2878,FIND("º",SUBSTITUTE(E2878,"°","º"))-1)),""))))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IF(E2879="","",IF(LEFT(E2879,7)="SUBSOLO",-1,IF(LEFT(E2879,6)="TÉRREO",0,IFERROR(VALUE(LEFT(E2879,FIND("º",SUBSTITUTE(E2879,"°","º"))-1)),""))))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IF(E2880="","",IF(LEFT(E2880,7)="SUBSOLO",-1,IF(LEFT(E2880,6)="TÉRREO",0,IFERROR(VALUE(LEFT(E2880,FIND("º",SUBSTITUTE(E2880,"°","º"))-1)),""))))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IF(E2881="","",IF(LEFT(E2881,7)="SUBSOLO",-1,IF(LEFT(E2881,6)="TÉRREO",0,IFERROR(VALUE(LEFT(E2881,FIND("º",SUBSTITUTE(E2881,"°","º"))-1)),""))))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IF(E2882="","",IF(LEFT(E2882,7)="SUBSOLO",-1,IF(LEFT(E2882,6)="TÉRREO",0,IFERROR(VALUE(LEFT(E2882,FIND("º",SUBSTITUTE(E2882,"°","º"))-1)),""))))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IF(E2883="","",IF(LEFT(E2883,7)="SUBSOLO",-1,IF(LEFT(E2883,6)="TÉRREO",0,IFERROR(VALUE(LEFT(E2883,FIND("º",SUBSTITUTE(E2883,"°","º"))-1)),""))))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IF(E2884="","",IF(LEFT(E2884,7)="SUBSOLO",-1,IF(LEFT(E2884,6)="TÉRREO",0,IFERROR(VALUE(LEFT(E2884,FIND("º",SUBSTITUTE(E2884,"°","º"))-1)),""))))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IF(E2885="","",IF(LEFT(E2885,7)="SUBSOLO",-1,IF(LEFT(E2885,6)="TÉRREO",0,IFERROR(VALUE(LEFT(E2885,FIND("º",SUBSTITUTE(E2885,"°","º"))-1)),""))))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IF(E2886="","",IF(LEFT(E2886,7)="SUBSOLO",-1,IF(LEFT(E2886,6)="TÉRREO",0,IFERROR(VALUE(LEFT(E2886,FIND("º",SUBSTITUTE(E2886,"°","º"))-1)),""))))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IF(E2887="","",IF(LEFT(E2887,7)="SUBSOLO",-1,IF(LEFT(E2887,6)="TÉRREO",0,IFERROR(VALUE(LEFT(E2887,FIND("º",SUBSTITUTE(E2887,"°","º"))-1)),""))))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IF(E2888="","",IF(LEFT(E2888,7)="SUBSOLO",-1,IF(LEFT(E2888,6)="TÉRREO",0,IFERROR(VALUE(LEFT(E2888,FIND("º",SUBSTITUTE(E2888,"°","º"))-1)),""))))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IF(E2889="","",IF(LEFT(E2889,7)="SUBSOLO",-1,IF(LEFT(E2889,6)="TÉRREO",0,IFERROR(VALUE(LEFT(E2889,FIND("º",SUBSTITUTE(E2889,"°","º"))-1)),""))))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IF(E2890="","",IF(LEFT(E2890,7)="SUBSOLO",-1,IF(LEFT(E2890,6)="TÉRREO",0,IFERROR(VALUE(LEFT(E2890,FIND("º",SUBSTITUTE(E2890,"°","º"))-1)),""))))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IF(E2891="","",IF(LEFT(E2891,7)="SUBSOLO",-1,IF(LEFT(E2891,6)="TÉRREO",0,IFERROR(VALUE(LEFT(E2891,FIND("º",SUBSTITUTE(E2891,"°","º"))-1)),""))))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IF(E2892="","",IF(LEFT(E2892,7)="SUBSOLO",-1,IF(LEFT(E2892,6)="TÉRREO",0,IFERROR(VALUE(LEFT(E2892,FIND("º",SUBSTITUTE(E2892,"°","º"))-1)),""))))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IF(E2893="","",IF(LEFT(E2893,7)="SUBSOLO",-1,IF(LEFT(E2893,6)="TÉRREO",0,IFERROR(VALUE(LEFT(E2893,FIND("º",SUBSTITUTE(E2893,"°","º"))-1)),""))))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IF(E2894="","",IF(LEFT(E2894,7)="SUBSOLO",-1,IF(LEFT(E2894,6)="TÉRREO",0,IFERROR(VALUE(LEFT(E2894,FIND("º",SUBSTITUTE(E2894,"°","º"))-1)),""))))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IF(E2895="","",IF(LEFT(E2895,7)="SUBSOLO",-1,IF(LEFT(E2895,6)="TÉRREO",0,IFERROR(VALUE(LEFT(E2895,FIND("º",SUBSTITUTE(E2895,"°","º"))-1)),""))))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IF(E2896="","",IF(LEFT(E2896,7)="SUBSOLO",-1,IF(LEFT(E2896,6)="TÉRREO",0,IFERROR(VALUE(LEFT(E2896,FIND("º",SUBSTITUTE(E2896,"°","º"))-1)),""))))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IF(E2897="","",IF(LEFT(E2897,7)="SUBSOLO",-1,IF(LEFT(E2897,6)="TÉRREO",0,IFERROR(VALUE(LEFT(E2897,FIND("º",SUBSTITUTE(E2897,"°","º"))-1)),""))))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IF(E2898="","",IF(LEFT(E2898,7)="SUBSOLO",-1,IF(LEFT(E2898,6)="TÉRREO",0,IFERROR(VALUE(LEFT(E2898,FIND("º",SUBSTITUTE(E2898,"°","º"))-1)),""))))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IF(E2899="","",IF(LEFT(E2899,7)="SUBSOLO",-1,IF(LEFT(E2899,6)="TÉRREO",0,IFERROR(VALUE(LEFT(E2899,FIND("º",SUBSTITUTE(E2899,"°","º"))-1)),""))))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IF(E2900="","",IF(LEFT(E2900,7)="SUBSOLO",-1,IF(LEFT(E2900,6)="TÉRREO",0,IFERROR(VALUE(LEFT(E2900,FIND("º",SUBSTITUTE(E2900,"°","º"))-1)),""))))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IF(E2901="","",IF(LEFT(E2901,7)="SUBSOLO",-1,IF(LEFT(E2901,6)="TÉRREO",0,IFERROR(VALUE(LEFT(E2901,FIND("º",SUBSTITUTE(E2901,"°","º"))-1)),""))))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IF(E2902="","",IF(LEFT(E2902,7)="SUBSOLO",-1,IF(LEFT(E2902,6)="TÉRREO",0,IFERROR(VALUE(LEFT(E2902,FIND("º",SUBSTITUTE(E2902,"°","º"))-1)),""))))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IF(E2903="","",IF(LEFT(E2903,7)="SUBSOLO",-1,IF(LEFT(E2903,6)="TÉRREO",0,IFERROR(VALUE(LEFT(E2903,FIND("º",SUBSTITUTE(E2903,"°","º"))-1)),""))))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IF(E2904="","",IF(LEFT(E2904,7)="SUBSOLO",-1,IF(LEFT(E2904,6)="TÉRREO",0,IFERROR(VALUE(LEFT(E2904,FIND("º",SUBSTITUTE(E2904,"°","º"))-1)),""))))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IF(E2905="","",IF(LEFT(E2905,7)="SUBSOLO",-1,IF(LEFT(E2905,6)="TÉRREO",0,IFERROR(VALUE(LEFT(E2905,FIND("º",SUBSTITUTE(E2905,"°","º"))-1)),""))))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IF(E2906="","",IF(LEFT(E2906,7)="SUBSOLO",-1,IF(LEFT(E2906,6)="TÉRREO",0,IFERROR(VALUE(LEFT(E2906,FIND("º",SUBSTITUTE(E2906,"°","º"))-1)),""))))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IF(E2907="","",IF(LEFT(E2907,7)="SUBSOLO",-1,IF(LEFT(E2907,6)="TÉRREO",0,IFERROR(VALUE(LEFT(E2907,FIND("º",SUBSTITUTE(E2907,"°","º"))-1)),""))))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IF(E2908="","",IF(LEFT(E2908,7)="SUBSOLO",-1,IF(LEFT(E2908,6)="TÉRREO",0,IFERROR(VALUE(LEFT(E2908,FIND("º",SUBSTITUTE(E2908,"°","º"))-1)),""))))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IF(E2909="","",IF(LEFT(E2909,7)="SUBSOLO",-1,IF(LEFT(E2909,6)="TÉRREO",0,IFERROR(VALUE(LEFT(E2909,FIND("º",SUBSTITUTE(E2909,"°","º"))-1)),""))))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IF(E2910="","",IF(LEFT(E2910,7)="SUBSOLO",-1,IF(LEFT(E2910,6)="TÉRREO",0,IFERROR(VALUE(LEFT(E2910,FIND("º",SUBSTITUTE(E2910,"°","º"))-1)),""))))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IF(E2911="","",IF(LEFT(E2911,7)="SUBSOLO",-1,IF(LEFT(E2911,6)="TÉRREO",0,IFERROR(VALUE(LEFT(E2911,FIND("º",SUBSTITUTE(E2911,"°","º"))-1)),""))))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IF(E2912="","",IF(LEFT(E2912,7)="SUBSOLO",-1,IF(LEFT(E2912,6)="TÉRREO",0,IFERROR(VALUE(LEFT(E2912,FIND("º",SUBSTITUTE(E2912,"°","º"))-1)),""))))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IF(E2913="","",IF(LEFT(E2913,7)="SUBSOLO",-1,IF(LEFT(E2913,6)="TÉRREO",0,IFERROR(VALUE(LEFT(E2913,FIND("º",SUBSTITUTE(E2913,"°","º"))-1)),""))))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IF(E2914="","",IF(LEFT(E2914,7)="SUBSOLO",-1,IF(LEFT(E2914,6)="TÉRREO",0,IFERROR(VALUE(LEFT(E2914,FIND("º",SUBSTITUTE(E2914,"°","º"))-1)),""))))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IF(E2915="","",IF(LEFT(E2915,7)="SUBSOLO",-1,IF(LEFT(E2915,6)="TÉRREO",0,IFERROR(VALUE(LEFT(E2915,FIND("º",SUBSTITUTE(E2915,"°","º"))-1)),""))))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IF(E2916="","",IF(LEFT(E2916,7)="SUBSOLO",-1,IF(LEFT(E2916,6)="TÉRREO",0,IFERROR(VALUE(LEFT(E2916,FIND("º",SUBSTITUTE(E2916,"°","º"))-1)),""))))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IF(E2917="","",IF(LEFT(E2917,7)="SUBSOLO",-1,IF(LEFT(E2917,6)="TÉRREO",0,IFERROR(VALUE(LEFT(E2917,FIND("º",SUBSTITUTE(E2917,"°","º"))-1)),""))))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IF(E2918="","",IF(LEFT(E2918,7)="SUBSOLO",-1,IF(LEFT(E2918,6)="TÉRREO",0,IFERROR(VALUE(LEFT(E2918,FIND("º",SUBSTITUTE(E2918,"°","º"))-1)),""))))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IF(E2919="","",IF(LEFT(E2919,7)="SUBSOLO",-1,IF(LEFT(E2919,6)="TÉRREO",0,IFERROR(VALUE(LEFT(E2919,FIND("º",SUBSTITUTE(E2919,"°","º"))-1)),""))))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IF(E2920="","",IF(LEFT(E2920,7)="SUBSOLO",-1,IF(LEFT(E2920,6)="TÉRREO",0,IFERROR(VALUE(LEFT(E2920,FIND("º",SUBSTITUTE(E2920,"°","º"))-1)),""))))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IF(E2921="","",IF(LEFT(E2921,7)="SUBSOLO",-1,IF(LEFT(E2921,6)="TÉRREO",0,IFERROR(VALUE(LEFT(E2921,FIND("º",SUBSTITUTE(E2921,"°","º"))-1)),""))))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IF(E2922="","",IF(LEFT(E2922,7)="SUBSOLO",-1,IF(LEFT(E2922,6)="TÉRREO",0,IFERROR(VALUE(LEFT(E2922,FIND("º",SUBSTITUTE(E2922,"°","º"))-1)),""))))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IF(E2923="","",IF(LEFT(E2923,7)="SUBSOLO",-1,IF(LEFT(E2923,6)="TÉRREO",0,IFERROR(VALUE(LEFT(E2923,FIND("º",SUBSTITUTE(E2923,"°","º"))-1)),""))))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IF(E2924="","",IF(LEFT(E2924,7)="SUBSOLO",-1,IF(LEFT(E2924,6)="TÉRREO",0,IFERROR(VALUE(LEFT(E2924,FIND("º",SUBSTITUTE(E2924,"°","º"))-1)),""))))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IF(E2925="","",IF(LEFT(E2925,7)="SUBSOLO",-1,IF(LEFT(E2925,6)="TÉRREO",0,IFERROR(VALUE(LEFT(E2925,FIND("º",SUBSTITUTE(E2925,"°","º"))-1)),""))))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IF(E2926="","",IF(LEFT(E2926,7)="SUBSOLO",-1,IF(LEFT(E2926,6)="TÉRREO",0,IFERROR(VALUE(LEFT(E2926,FIND("º",SUBSTITUTE(E2926,"°","º"))-1)),""))))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IF(E2927="","",IF(LEFT(E2927,7)="SUBSOLO",-1,IF(LEFT(E2927,6)="TÉRREO",0,IFERROR(VALUE(LEFT(E2927,FIND("º",SUBSTITUTE(E2927,"°","º"))-1)),""))))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IF(E2928="","",IF(LEFT(E2928,7)="SUBSOLO",-1,IF(LEFT(E2928,6)="TÉRREO",0,IFERROR(VALUE(LEFT(E2928,FIND("º",SUBSTITUTE(E2928,"°","º"))-1)),""))))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IF(E2929="","",IF(LEFT(E2929,7)="SUBSOLO",-1,IF(LEFT(E2929,6)="TÉRREO",0,IFERROR(VALUE(LEFT(E2929,FIND("º",SUBSTITUTE(E2929,"°","º"))-1)),""))))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IF(E2930="","",IF(LEFT(E2930,7)="SUBSOLO",-1,IF(LEFT(E2930,6)="TÉRREO",0,IFERROR(VALUE(LEFT(E2930,FIND("º",SUBSTITUTE(E2930,"°","º"))-1)),""))))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IF(E2931="","",IF(LEFT(E2931,7)="SUBSOLO",-1,IF(LEFT(E2931,6)="TÉRREO",0,IFERROR(VALUE(LEFT(E2931,FIND("º",SUBSTITUTE(E2931,"°","º"))-1)),""))))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IF(E2932="","",IF(LEFT(E2932,7)="SUBSOLO",-1,IF(LEFT(E2932,6)="TÉRREO",0,IFERROR(VALUE(LEFT(E2932,FIND("º",SUBSTITUTE(E2932,"°","º"))-1)),""))))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IF(E2933="","",IF(LEFT(E2933,7)="SUBSOLO",-1,IF(LEFT(E2933,6)="TÉRREO",0,IFERROR(VALUE(LEFT(E2933,FIND("º",SUBSTITUTE(E2933,"°","º"))-1)),""))))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IF(E2934="","",IF(LEFT(E2934,7)="SUBSOLO",-1,IF(LEFT(E2934,6)="TÉRREO",0,IFERROR(VALUE(LEFT(E2934,FIND("º",SUBSTITUTE(E2934,"°","º"))-1)),""))))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IF(E2935="","",IF(LEFT(E2935,7)="SUBSOLO",-1,IF(LEFT(E2935,6)="TÉRREO",0,IFERROR(VALUE(LEFT(E2935,FIND("º",SUBSTITUTE(E2935,"°","º"))-1)),""))))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IF(E2936="","",IF(LEFT(E2936,7)="SUBSOLO",-1,IF(LEFT(E2936,6)="TÉRREO",0,IFERROR(VALUE(LEFT(E2936,FIND("º",SUBSTITUTE(E2936,"°","º"))-1)),""))))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IF(E2937="","",IF(LEFT(E2937,7)="SUBSOLO",-1,IF(LEFT(E2937,6)="TÉRREO",0,IFERROR(VALUE(LEFT(E2937,FIND("º",SUBSTITUTE(E2937,"°","º"))-1)),""))))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IF(E2938="","",IF(LEFT(E2938,7)="SUBSOLO",-1,IF(LEFT(E2938,6)="TÉRREO",0,IFERROR(VALUE(LEFT(E2938,FIND("º",SUBSTITUTE(E2938,"°","º"))-1)),""))))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IF(E2939="","",IF(LEFT(E2939,7)="SUBSOLO",-1,IF(LEFT(E2939,6)="TÉRREO",0,IFERROR(VALUE(LEFT(E2939,FIND("º",SUBSTITUTE(E2939,"°","º"))-1)),""))))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IF(E2940="","",IF(LEFT(E2940,7)="SUBSOLO",-1,IF(LEFT(E2940,6)="TÉRREO",0,IFERROR(VALUE(LEFT(E2940,FIND("º",SUBSTITUTE(E2940,"°","º"))-1)),""))))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IF(E2941="","",IF(LEFT(E2941,7)="SUBSOLO",-1,IF(LEFT(E2941,6)="TÉRREO",0,IFERROR(VALUE(LEFT(E2941,FIND("º",SUBSTITUTE(E2941,"°","º"))-1)),""))))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IF(E2942="","",IF(LEFT(E2942,7)="SUBSOLO",-1,IF(LEFT(E2942,6)="TÉRREO",0,IFERROR(VALUE(LEFT(E2942,FIND("º",SUBSTITUTE(E2942,"°","º"))-1)),""))))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IF(E2943="","",IF(LEFT(E2943,7)="SUBSOLO",-1,IF(LEFT(E2943,6)="TÉRREO",0,IFERROR(VALUE(LEFT(E2943,FIND("º",SUBSTITUTE(E2943,"°","º"))-1)),""))))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IF(E2944="","",IF(LEFT(E2944,7)="SUBSOLO",-1,IF(LEFT(E2944,6)="TÉRREO",0,IFERROR(VALUE(LEFT(E2944,FIND("º",SUBSTITUTE(E2944,"°","º"))-1)),""))))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IF(E2945="","",IF(LEFT(E2945,7)="SUBSOLO",-1,IF(LEFT(E2945,6)="TÉRREO",0,IFERROR(VALUE(LEFT(E2945,FIND("º",SUBSTITUTE(E2945,"°","º"))-1)),""))))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IF(E2946="","",IF(LEFT(E2946,7)="SUBSOLO",-1,IF(LEFT(E2946,6)="TÉRREO",0,IFERROR(VALUE(LEFT(E2946,FIND("º",SUBSTITUTE(E2946,"°","º"))-1)),""))))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IF(E2947="","",IF(LEFT(E2947,7)="SUBSOLO",-1,IF(LEFT(E2947,6)="TÉRREO",0,IFERROR(VALUE(LEFT(E2947,FIND("º",SUBSTITUTE(E2947,"°","º"))-1)),""))))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IF(E2948="","",IF(LEFT(E2948,7)="SUBSOLO",-1,IF(LEFT(E2948,6)="TÉRREO",0,IFERROR(VALUE(LEFT(E2948,FIND("º",SUBSTITUTE(E2948,"°","º"))-1)),""))))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IF(E2949="","",IF(LEFT(E2949,7)="SUBSOLO",-1,IF(LEFT(E2949,6)="TÉRREO",0,IFERROR(VALUE(LEFT(E2949,FIND("º",SUBSTITUTE(E2949,"°","º"))-1)),""))))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IF(E2950="","",IF(LEFT(E2950,7)="SUBSOLO",-1,IF(LEFT(E2950,6)="TÉRREO",0,IFERROR(VALUE(LEFT(E2950,FIND("º",SUBSTITUTE(E2950,"°","º"))-1)),""))))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IF(E2951="","",IF(LEFT(E2951,7)="SUBSOLO",-1,IF(LEFT(E2951,6)="TÉRREO",0,IFERROR(VALUE(LEFT(E2951,FIND("º",SUBSTITUTE(E2951,"°","º"))-1)),""))))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IF(E2952="","",IF(LEFT(E2952,7)="SUBSOLO",-1,IF(LEFT(E2952,6)="TÉRREO",0,IFERROR(VALUE(LEFT(E2952,FIND("º",SUBSTITUTE(E2952,"°","º"))-1)),""))))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IF(E2953="","",IF(LEFT(E2953,7)="SUBSOLO",-1,IF(LEFT(E2953,6)="TÉRREO",0,IFERROR(VALUE(LEFT(E2953,FIND("º",SUBSTITUTE(E2953,"°","º"))-1)),""))))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IF(E2954="","",IF(LEFT(E2954,7)="SUBSOLO",-1,IF(LEFT(E2954,6)="TÉRREO",0,IFERROR(VALUE(LEFT(E2954,FIND("º",SUBSTITUTE(E2954,"°","º"))-1)),""))))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IF(E2955="","",IF(LEFT(E2955,7)="SUBSOLO",-1,IF(LEFT(E2955,6)="TÉRREO",0,IFERROR(VALUE(LEFT(E2955,FIND("º",SUBSTITUTE(E2955,"°","º"))-1)),""))))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IF(E2956="","",IF(LEFT(E2956,7)="SUBSOLO",-1,IF(LEFT(E2956,6)="TÉRREO",0,IFERROR(VALUE(LEFT(E2956,FIND("º",SUBSTITUTE(E2956,"°","º"))-1)),""))))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IF(E2957="","",IF(LEFT(E2957,7)="SUBSOLO",-1,IF(LEFT(E2957,6)="TÉRREO",0,IFERROR(VALUE(LEFT(E2957,FIND("º",SUBSTITUTE(E2957,"°","º"))-1)),""))))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IF(E2958="","",IF(LEFT(E2958,7)="SUBSOLO",-1,IF(LEFT(E2958,6)="TÉRREO",0,IFERROR(VALUE(LEFT(E2958,FIND("º",SUBSTITUTE(E2958,"°","º"))-1)),""))))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IF(E2959="","",IF(LEFT(E2959,7)="SUBSOLO",-1,IF(LEFT(E2959,6)="TÉRREO",0,IFERROR(VALUE(LEFT(E2959,FIND("º",SUBSTITUTE(E2959,"°","º"))-1)),""))))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IF(E2960="","",IF(LEFT(E2960,7)="SUBSOLO",-1,IF(LEFT(E2960,6)="TÉRREO",0,IFERROR(VALUE(LEFT(E2960,FIND("º",SUBSTITUTE(E2960,"°","º"))-1)),""))))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IF(E2961="","",IF(LEFT(E2961,7)="SUBSOLO",-1,IF(LEFT(E2961,6)="TÉRREO",0,IFERROR(VALUE(LEFT(E2961,FIND("º",SUBSTITUTE(E2961,"°","º"))-1)),""))))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IF(E2962="","",IF(LEFT(E2962,7)="SUBSOLO",-1,IF(LEFT(E2962,6)="TÉRREO",0,IFERROR(VALUE(LEFT(E2962,FIND("º",SUBSTITUTE(E2962,"°","º"))-1)),""))))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IF(E2963="","",IF(LEFT(E2963,7)="SUBSOLO",-1,IF(LEFT(E2963,6)="TÉRREO",0,IFERROR(VALUE(LEFT(E2963,FIND("º",SUBSTITUTE(E2963,"°","º"))-1)),""))))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IF(E2964="","",IF(LEFT(E2964,7)="SUBSOLO",-1,IF(LEFT(E2964,6)="TÉRREO",0,IFERROR(VALUE(LEFT(E2964,FIND("º",SUBSTITUTE(E2964,"°","º"))-1)),""))))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IF(E2965="","",IF(LEFT(E2965,7)="SUBSOLO",-1,IF(LEFT(E2965,6)="TÉRREO",0,IFERROR(VALUE(LEFT(E2965,FIND("º",SUBSTITUTE(E2965,"°","º"))-1)),""))))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IF(E2966="","",IF(LEFT(E2966,7)="SUBSOLO",-1,IF(LEFT(E2966,6)="TÉRREO",0,IFERROR(VALUE(LEFT(E2966,FIND("º",SUBSTITUTE(E2966,"°","º"))-1)),""))))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IF(E2967="","",IF(LEFT(E2967,7)="SUBSOLO",-1,IF(LEFT(E2967,6)="TÉRREO",0,IFERROR(VALUE(LEFT(E2967,FIND("º",SUBSTITUTE(E2967,"°","º"))-1)),""))))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IF(E2968="","",IF(LEFT(E2968,7)="SUBSOLO",-1,IF(LEFT(E2968,6)="TÉRREO",0,IFERROR(VALUE(LEFT(E2968,FIND("º",SUBSTITUTE(E2968,"°","º"))-1)),""))))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IF(E2969="","",IF(LEFT(E2969,7)="SUBSOLO",-1,IF(LEFT(E2969,6)="TÉRREO",0,IFERROR(VALUE(LEFT(E2969,FIND("º",SUBSTITUTE(E2969,"°","º"))-1)),""))))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IF(E2970="","",IF(LEFT(E2970,7)="SUBSOLO",-1,IF(LEFT(E2970,6)="TÉRREO",0,IFERROR(VALUE(LEFT(E2970,FIND("º",SUBSTITUTE(E2970,"°","º"))-1)),""))))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IF(E2971="","",IF(LEFT(E2971,7)="SUBSOLO",-1,IF(LEFT(E2971,6)="TÉRREO",0,IFERROR(VALUE(LEFT(E2971,FIND("º",SUBSTITUTE(E2971,"°","º"))-1)),""))))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IF(E2972="","",IF(LEFT(E2972,7)="SUBSOLO",-1,IF(LEFT(E2972,6)="TÉRREO",0,IFERROR(VALUE(LEFT(E2972,FIND("º",SUBSTITUTE(E2972,"°","º"))-1)),""))))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IF(E2973="","",IF(LEFT(E2973,7)="SUBSOLO",-1,IF(LEFT(E2973,6)="TÉRREO",0,IFERROR(VALUE(LEFT(E2973,FIND("º",SUBSTITUTE(E2973,"°","º"))-1)),""))))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IF(E2974="","",IF(LEFT(E2974,7)="SUBSOLO",-1,IF(LEFT(E2974,6)="TÉRREO",0,IFERROR(VALUE(LEFT(E2974,FIND("º",SUBSTITUTE(E2974,"°","º"))-1)),""))))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IF(E2975="","",IF(LEFT(E2975,7)="SUBSOLO",-1,IF(LEFT(E2975,6)="TÉRREO",0,IFERROR(VALUE(LEFT(E2975,FIND("º",SUBSTITUTE(E2975,"°","º"))-1)),""))))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IF(E2976="","",IF(LEFT(E2976,7)="SUBSOLO",-1,IF(LEFT(E2976,6)="TÉRREO",0,IFERROR(VALUE(LEFT(E2976,FIND("º",SUBSTITUTE(E2976,"°","º"))-1)),""))))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IF(E2977="","",IF(LEFT(E2977,7)="SUBSOLO",-1,IF(LEFT(E2977,6)="TÉRREO",0,IFERROR(VALUE(LEFT(E2977,FIND("º",SUBSTITUTE(E2977,"°","º"))-1)),""))))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IF(E2978="","",IF(LEFT(E2978,7)="SUBSOLO",-1,IF(LEFT(E2978,6)="TÉRREO",0,IFERROR(VALUE(LEFT(E2978,FIND("º",SUBSTITUTE(E2978,"°","º"))-1)),""))))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IF(E2979="","",IF(LEFT(E2979,7)="SUBSOLO",-1,IF(LEFT(E2979,6)="TÉRREO",0,IFERROR(VALUE(LEFT(E2979,FIND("º",SUBSTITUTE(E2979,"°","º"))-1)),""))))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IF(E2980="","",IF(LEFT(E2980,7)="SUBSOLO",-1,IF(LEFT(E2980,6)="TÉRREO",0,IFERROR(VALUE(LEFT(E2980,FIND("º",SUBSTITUTE(E2980,"°","º"))-1)),""))))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IF(E2981="","",IF(LEFT(E2981,7)="SUBSOLO",-1,IF(LEFT(E2981,6)="TÉRREO",0,IFERROR(VALUE(LEFT(E2981,FIND("º",SUBSTITUTE(E2981,"°","º"))-1)),""))))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IF(E2982="","",IF(LEFT(E2982,7)="SUBSOLO",-1,IF(LEFT(E2982,6)="TÉRREO",0,IFERROR(VALUE(LEFT(E2982,FIND("º",SUBSTITUTE(E2982,"°","º"))-1)),""))))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IF(E2983="","",IF(LEFT(E2983,7)="SUBSOLO",-1,IF(LEFT(E2983,6)="TÉRREO",0,IFERROR(VALUE(LEFT(E2983,FIND("º",SUBSTITUTE(E2983,"°","º"))-1)),""))))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IF(E2984="","",IF(LEFT(E2984,7)="SUBSOLO",-1,IF(LEFT(E2984,6)="TÉRREO",0,IFERROR(VALUE(LEFT(E2984,FIND("º",SUBSTITUTE(E2984,"°","º"))-1)),""))))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IF(E2985="","",IF(LEFT(E2985,7)="SUBSOLO",-1,IF(LEFT(E2985,6)="TÉRREO",0,IFERROR(VALUE(LEFT(E2985,FIND("º",SUBSTITUTE(E2985,"°","º"))-1)),""))))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IF(E2986="","",IF(LEFT(E2986,7)="SUBSOLO",-1,IF(LEFT(E2986,6)="TÉRREO",0,IFERROR(VALUE(LEFT(E2986,FIND("º",SUBSTITUTE(E2986,"°","º"))-1)),""))))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IF(E2987="","",IF(LEFT(E2987,7)="SUBSOLO",-1,IF(LEFT(E2987,6)="TÉRREO",0,IFERROR(VALUE(LEFT(E2987,FIND("º",SUBSTITUTE(E2987,"°","º"))-1)),""))))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IF(E2988="","",IF(LEFT(E2988,7)="SUBSOLO",-1,IF(LEFT(E2988,6)="TÉRREO",0,IFERROR(VALUE(LEFT(E2988,FIND("º",SUBSTITUTE(E2988,"°","º"))-1)),""))))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IF(E2989="","",IF(LEFT(E2989,7)="SUBSOLO",-1,IF(LEFT(E2989,6)="TÉRREO",0,IFERROR(VALUE(LEFT(E2989,FIND("º",SUBSTITUTE(E2989,"°","º"))-1)),""))))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IF(E2990="","",IF(LEFT(E2990,7)="SUBSOLO",-1,IF(LEFT(E2990,6)="TÉRREO",0,IFERROR(VALUE(LEFT(E2990,FIND("º",SUBSTITUTE(E2990,"°","º"))-1)),""))))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IF(E2991="","",IF(LEFT(E2991,7)="SUBSOLO",-1,IF(LEFT(E2991,6)="TÉRREO",0,IFERROR(VALUE(LEFT(E2991,FIND("º",SUBSTITUTE(E2991,"°","º"))-1)),""))))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IF(E2992="","",IF(LEFT(E2992,7)="SUBSOLO",-1,IF(LEFT(E2992,6)="TÉRREO",0,IFERROR(VALUE(LEFT(E2992,FIND("º",SUBSTITUTE(E2992,"°","º"))-1)),""))))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IF(E2993="","",IF(LEFT(E2993,7)="SUBSOLO",-1,IF(LEFT(E2993,6)="TÉRREO",0,IFERROR(VALUE(LEFT(E2993,FIND("º",SUBSTITUTE(E2993,"°","º"))-1)),""))))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IF(E2994="","",IF(LEFT(E2994,7)="SUBSOLO",-1,IF(LEFT(E2994,6)="TÉRREO",0,IFERROR(VALUE(LEFT(E2994,FIND("º",SUBSTITUTE(E2994,"°","º"))-1)),""))))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IF(E2995="","",IF(LEFT(E2995,7)="SUBSOLO",-1,IF(LEFT(E2995,6)="TÉRREO",0,IFERROR(VALUE(LEFT(E2995,FIND("º",SUBSTITUTE(E2995,"°","º"))-1)),""))))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IF(E2996="","",IF(LEFT(E2996,7)="SUBSOLO",-1,IF(LEFT(E2996,6)="TÉRREO",0,IFERROR(VALUE(LEFT(E2996,FIND("º",SUBSTITUTE(E2996,"°","º"))-1)),""))))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IF(E2997="","",IF(LEFT(E2997,7)="SUBSOLO",-1,IF(LEFT(E2997,6)="TÉRREO",0,IFERROR(VALUE(LEFT(E2997,FIND("º",SUBSTITUTE(E2997,"°","º"))-1)),""))))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IF(E2998="","",IF(LEFT(E2998,7)="SUBSOLO",-1,IF(LEFT(E2998,6)="TÉRREO",0,IFERROR(VALUE(LEFT(E2998,FIND("º",SUBSTITUTE(E2998,"°","º"))-1)),""))))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IF(E2999="","",IF(LEFT(E2999,7)="SUBSOLO",-1,IF(LEFT(E2999,6)="TÉRREO",0,IFERROR(VALUE(LEFT(E2999,FIND("º",SUBSTITUTE(E2999,"°","º"))-1)),""))))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IF(E3000="","",IF(LEFT(E3000,7)="SUBSOLO",-1,IF(LEFT(E3000,6)="TÉRREO",0,IFERROR(VALUE(LEFT(E3000,FIND("º",SUBSTITUTE(E3000,"°","º"))-1)),""))))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IF(E3001="","",IF(LEFT(E3001,7)="SUBSOLO",-1,IF(LEFT(E3001,6)="TÉRREO",0,IFERROR(VALUE(LEFT(E3001,FIND("º",SUBSTITUTE(E3001,"°","º"))-1)),""))))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IF(E3002="","",IF(LEFT(E3002,7)="SUBSOLO",-1,IF(LEFT(E3002,6)="TÉRREO",0,IFERROR(VALUE(LEFT(E3002,FIND("º",SUBSTITUTE(E3002,"°","º"))-1)),""))))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IF(E3003="","",IF(LEFT(E3003,7)="SUBSOLO",-1,IF(LEFT(E3003,6)="TÉRREO",0,IFERROR(VALUE(LEFT(E3003,FIND("º",SUBSTITUTE(E3003,"°","º"))-1)),""))))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IF(E3004="","",IF(LEFT(E3004,7)="SUBSOLO",-1,IF(LEFT(E3004,6)="TÉRREO",0,IFERROR(VALUE(LEFT(E3004,FIND("º",SUBSTITUTE(E3004,"°","º"))-1)),""))))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3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19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69">
        <f>COUNTIF('CURVA PREVISION'!$I$2:$KZ$2,"??/??/????")+COUNT('CURVA PREVISION'!$I$2:$KZ$2)</f>
        <v/>
      </c>
    </row>
    <row r="3">
      <c r="C3" s="115" t="inlineStr">
        <is>
          <t>índice do mês →</t>
        </is>
      </c>
      <c r="D3" s="120">
        <f>IF($B$2="","",(YEAR(D4)-YEAR($B$2))*12+MONTH(D4)-MONTH($B$2))</f>
        <v/>
      </c>
      <c r="E3" s="120">
        <f>IF($B$2="","",(YEAR(E4)-YEAR($B$2))*12+MONTH(E4)-MONTH($B$2))</f>
        <v/>
      </c>
      <c r="F3" s="120">
        <f>IF($B$2="","",(YEAR(F4)-YEAR($B$2))*12+MONTH(F4)-MONTH($B$2))</f>
        <v/>
      </c>
      <c r="G3" s="120">
        <f>IF($B$2="","",(YEAR(G4)-YEAR($B$2))*12+MONTH(G4)-MONTH($B$2))</f>
        <v/>
      </c>
      <c r="H3" s="120">
        <f>IF($B$2="","",(YEAR(H4)-YEAR($B$2))*12+MONTH(H4)-MONTH($B$2))</f>
        <v/>
      </c>
      <c r="I3" s="120">
        <f>IF($B$2="","",(YEAR(I4)-YEAR($B$2))*12+MONTH(I4)-MONTH($B$2))</f>
        <v/>
      </c>
      <c r="J3" s="120">
        <f>IF($B$2="","",(YEAR(J4)-YEAR($B$2))*12+MONTH(J4)-MONTH($B$2))</f>
        <v/>
      </c>
      <c r="K3" s="120">
        <f>IF($B$2="","",(YEAR(K4)-YEAR($B$2))*12+MONTH(K4)-MONTH($B$2))</f>
        <v/>
      </c>
      <c r="L3" s="120">
        <f>IF($B$2="","",(YEAR(L4)-YEAR($B$2))*12+MONTH(L4)-MONTH($B$2))</f>
        <v/>
      </c>
      <c r="M3" s="120">
        <f>IF($B$2="","",(YEAR(M4)-YEAR($B$2))*12+MONTH(M4)-MONTH($B$2))</f>
        <v/>
      </c>
      <c r="N3" s="120">
        <f>IF($B$2="","",(YEAR(N4)-YEAR($B$2))*12+MONTH(N4)-MONTH($B$2))</f>
        <v/>
      </c>
      <c r="O3" s="120">
        <f>IF($B$2="","",(YEAR(O4)-YEAR($B$2))*12+MONTH(O4)-MONTH($B$2))</f>
        <v/>
      </c>
      <c r="P3" s="120">
        <f>IF($B$2="","",(YEAR(P4)-YEAR($B$2))*12+MONTH(P4)-MONTH($B$2))</f>
        <v/>
      </c>
      <c r="Q3" s="120">
        <f>IF($B$2="","",(YEAR(Q4)-YEAR($B$2))*12+MONTH(Q4)-MONTH($B$2))</f>
        <v/>
      </c>
      <c r="R3" s="120">
        <f>IF($B$2="","",(YEAR(R4)-YEAR($B$2))*12+MONTH(R4)-MONTH($B$2))</f>
        <v/>
      </c>
      <c r="S3" s="120">
        <f>IF($B$2="","",(YEAR(S4)-YEAR($B$2))*12+MONTH(S4)-MONTH($B$2))</f>
        <v/>
      </c>
      <c r="T3" s="120">
        <f>IF($B$2="","",(YEAR(T4)-YEAR($B$2))*12+MONTH(T4)-MONTH($B$2))</f>
        <v/>
      </c>
      <c r="U3" s="120">
        <f>IF($B$2="","",(YEAR(U4)-YEAR($B$2))*12+MONTH(U4)-MONTH($B$2))</f>
        <v/>
      </c>
      <c r="V3" s="120">
        <f>IF($B$2="","",(YEAR(V4)-YEAR($B$2))*12+MONTH(V4)-MONTH($B$2))</f>
        <v/>
      </c>
      <c r="W3" s="120">
        <f>IF($B$2="","",(YEAR(W4)-YEAR($B$2))*12+MONTH(W4)-MONTH($B$2))</f>
        <v/>
      </c>
      <c r="X3" s="120">
        <f>IF($B$2="","",(YEAR(X4)-YEAR($B$2))*12+MONTH(X4)-MONTH($B$2))</f>
        <v/>
      </c>
      <c r="Y3" s="120">
        <f>IF($B$2="","",(YEAR(Y4)-YEAR($B$2))*12+MONTH(Y4)-MONTH($B$2))</f>
        <v/>
      </c>
      <c r="Z3" s="120">
        <f>IF($B$2="","",(YEAR(Z4)-YEAR($B$2))*12+MONTH(Z4)-MONTH($B$2))</f>
        <v/>
      </c>
      <c r="AA3" s="120">
        <f>IF($B$2="","",(YEAR(AA4)-YEAR($B$2))*12+MONTH(AA4)-MONTH($B$2))</f>
        <v/>
      </c>
      <c r="AB3" s="120">
        <f>IF($B$2="","",(YEAR(AB4)-YEAR($B$2))*12+MONTH(AB4)-MONTH($B$2))</f>
        <v/>
      </c>
      <c r="AC3" s="120">
        <f>IF($B$2="","",(YEAR(AC4)-YEAR($B$2))*12+MONTH(AC4)-MONTH($B$2))</f>
        <v/>
      </c>
      <c r="AD3" s="120">
        <f>IF($B$2="","",(YEAR(AD4)-YEAR($B$2))*12+MONTH(AD4)-MONTH($B$2))</f>
        <v/>
      </c>
      <c r="AE3" s="120">
        <f>IF($B$2="","",(YEAR(AE4)-YEAR($B$2))*12+MONTH(AE4)-MONTH($B$2))</f>
        <v/>
      </c>
      <c r="AF3" s="120">
        <f>IF($B$2="","",(YEAR(AF4)-YEAR($B$2))*12+MONTH(AF4)-MONTH($B$2))</f>
        <v/>
      </c>
      <c r="AG3" s="120">
        <f>IF($B$2="","",(YEAR(AG4)-YEAR($B$2))*12+MONTH(AG4)-MONTH($B$2))</f>
        <v/>
      </c>
      <c r="AH3" s="120">
        <f>IF($B$2="","",(YEAR(AH4)-YEAR($B$2))*12+MONTH(AH4)-MONTH($B$2))</f>
        <v/>
      </c>
      <c r="AI3" s="120">
        <f>IF($B$2="","",(YEAR(AI4)-YEAR($B$2))*12+MONTH(AI4)-MONTH($B$2))</f>
        <v/>
      </c>
      <c r="AJ3" s="120">
        <f>IF($B$2="","",(YEAR(AJ4)-YEAR($B$2))*12+MONTH(AJ4)-MONTH($B$2))</f>
        <v/>
      </c>
      <c r="AK3" s="120">
        <f>IF($B$2="","",(YEAR(AK4)-YEAR($B$2))*12+MONTH(AK4)-MONTH($B$2))</f>
        <v/>
      </c>
      <c r="AL3" s="120">
        <f>IF($B$2="","",(YEAR(AL4)-YEAR($B$2))*12+MONTH(AL4)-MONTH($B$2))</f>
        <v/>
      </c>
      <c r="AM3" s="120">
        <f>IF($B$2="","",(YEAR(AM4)-YEAR($B$2))*12+MONTH(AM4)-MONTH($B$2))</f>
        <v/>
      </c>
      <c r="AN3" s="120">
        <f>IF($B$2="","",(YEAR(AN4)-YEAR($B$2))*12+MONTH(AN4)-MONTH($B$2))</f>
        <v/>
      </c>
      <c r="AO3" s="120">
        <f>IF($B$2="","",(YEAR(AO4)-YEAR($B$2))*12+MONTH(AO4)-MONTH($B$2))</f>
        <v/>
      </c>
      <c r="AP3" s="120">
        <f>IF($B$2="","",(YEAR(AP4)-YEAR($B$2))*12+MONTH(AP4)-MONTH($B$2))</f>
        <v/>
      </c>
      <c r="AQ3" s="120">
        <f>IF($B$2="","",(YEAR(AQ4)-YEAR($B$2))*12+MONTH(AQ4)-MONTH($B$2))</f>
        <v/>
      </c>
      <c r="AR3" s="120">
        <f>IF($B$2="","",(YEAR(AR4)-YEAR($B$2))*12+MONTH(AR4)-MONTH($B$2))</f>
        <v/>
      </c>
      <c r="AS3" s="120">
        <f>IF($B$2="","",(YEAR(AS4)-YEAR($B$2))*12+MONTH(AS4)-MONTH($B$2))</f>
        <v/>
      </c>
      <c r="AT3" s="120">
        <f>IF($B$2="","",(YEAR(AT4)-YEAR($B$2))*12+MONTH(AT4)-MONTH($B$2))</f>
        <v/>
      </c>
      <c r="AU3" s="120">
        <f>IF($B$2="","",(YEAR(AU4)-YEAR($B$2))*12+MONTH(AU4)-MONTH($B$2))</f>
        <v/>
      </c>
      <c r="AV3" s="120">
        <f>IF($B$2="","",(YEAR(AV4)-YEAR($B$2))*12+MONTH(AV4)-MONTH($B$2))</f>
        <v/>
      </c>
      <c r="AW3" s="120">
        <f>IF($B$2="","",(YEAR(AW4)-YEAR($B$2))*12+MONTH(AW4)-MONTH($B$2))</f>
        <v/>
      </c>
      <c r="AX3" s="120">
        <f>IF($B$2="","",(YEAR(AX4)-YEAR($B$2))*12+MONTH(AX4)-MONTH($B$2))</f>
        <v/>
      </c>
      <c r="AY3" s="120">
        <f>IF($B$2="","",(YEAR(AY4)-YEAR($B$2))*12+MONTH(AY4)-MONTH($B$2))</f>
        <v/>
      </c>
      <c r="AZ3" s="120">
        <f>IF($B$2="","",(YEAR(AZ4)-YEAR($B$2))*12+MONTH(AZ4)-MONTH($B$2))</f>
        <v/>
      </c>
      <c r="BA3" s="120">
        <f>IF($B$2="","",(YEAR(BA4)-YEAR($B$2))*12+MONTH(BA4)-MONTH($B$2))</f>
        <v/>
      </c>
      <c r="BB3" s="120">
        <f>IF($B$2="","",(YEAR(BB4)-YEAR($B$2))*12+MONTH(BB4)-MONTH($B$2))</f>
        <v/>
      </c>
      <c r="BC3" s="120">
        <f>IF($B$2="","",(YEAR(BC4)-YEAR($B$2))*12+MONTH(BC4)-MONTH($B$2))</f>
        <v/>
      </c>
      <c r="BD3" s="120">
        <f>IF($B$2="","",(YEAR(BD4)-YEAR($B$2))*12+MONTH(BD4)-MONTH($B$2))</f>
        <v/>
      </c>
      <c r="BE3" s="120">
        <f>IF($B$2="","",(YEAR(BE4)-YEAR($B$2))*12+MONTH(BE4)-MONTH($B$2))</f>
        <v/>
      </c>
      <c r="BF3" s="120">
        <f>IF($B$2="","",(YEAR(BF4)-YEAR($B$2))*12+MONTH(BF4)-MONTH($B$2))</f>
        <v/>
      </c>
      <c r="BG3" s="120">
        <f>IF($B$2="","",(YEAR(BG4)-YEAR($B$2))*12+MONTH(BG4)-MONTH($B$2))</f>
        <v/>
      </c>
      <c r="BH3" s="120">
        <f>IF($B$2="","",(YEAR(BH4)-YEAR($B$2))*12+MONTH(BH4)-MONTH($B$2))</f>
        <v/>
      </c>
      <c r="BI3" s="120">
        <f>IF($B$2="","",(YEAR(BI4)-YEAR($B$2))*12+MONTH(BI4)-MONTH($B$2))</f>
        <v/>
      </c>
      <c r="BJ3" s="120">
        <f>IF($B$2="","",(YEAR(BJ4)-YEAR($B$2))*12+MONTH(BJ4)-MONTH($B$2))</f>
        <v/>
      </c>
      <c r="BK3" s="120">
        <f>IF($B$2="","",(YEAR(BK4)-YEAR($B$2))*12+MONTH(BK4)-MONTH($B$2))</f>
        <v/>
      </c>
      <c r="BL3" s="120">
        <f>IF($B$2="","",(YEAR(BL4)-YEAR($B$2))*12+MONTH(BL4)-MONTH($B$2))</f>
        <v/>
      </c>
      <c r="BM3" s="120">
        <f>IF($B$2="","",(YEAR(BM4)-YEAR($B$2))*12+MONTH(BM4)-MONTH($B$2))</f>
        <v/>
      </c>
      <c r="BN3" s="120">
        <f>IF($B$2="","",(YEAR(BN4)-YEAR($B$2))*12+MONTH(BN4)-MONTH($B$2))</f>
        <v/>
      </c>
      <c r="BO3" s="120">
        <f>IF($B$2="","",(YEAR(BO4)-YEAR($B$2))*12+MONTH(BO4)-MONTH($B$2))</f>
        <v/>
      </c>
      <c r="BP3" s="120">
        <f>IF($B$2="","",(YEAR(BP4)-YEAR($B$2))*12+MONTH(BP4)-MONTH($B$2))</f>
        <v/>
      </c>
      <c r="BQ3" s="120">
        <f>IF($B$2="","",(YEAR(BQ4)-YEAR($B$2))*12+MONTH(BQ4)-MONTH($B$2))</f>
        <v/>
      </c>
      <c r="BR3" s="120">
        <f>IF($B$2="","",(YEAR(BR4)-YEAR($B$2))*12+MONTH(BR4)-MONTH($B$2))</f>
        <v/>
      </c>
      <c r="BS3" s="120">
        <f>IF($B$2="","",(YEAR(BS4)-YEAR($B$2))*12+MONTH(BS4)-MONTH($B$2))</f>
        <v/>
      </c>
      <c r="BT3" s="120">
        <f>IF($B$2="","",(YEAR(BT4)-YEAR($B$2))*12+MONTH(BT4)-MONTH($B$2))</f>
        <v/>
      </c>
      <c r="BU3" s="120">
        <f>IF($B$2="","",(YEAR(BU4)-YEAR($B$2))*12+MONTH(BU4)-MONTH($B$2))</f>
        <v/>
      </c>
      <c r="BV3" s="120">
        <f>IF($B$2="","",(YEAR(BV4)-YEAR($B$2))*12+MONTH(BV4)-MONTH($B$2))</f>
        <v/>
      </c>
      <c r="BW3" s="120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</row>
    <row r="5">
      <c r="A5" s="60">
        <f>IF('VALOR POR PL'!Q11="",'VALOR POR PL'!C11,'VALOR POR PL'!Q11)</f>
        <v/>
      </c>
      <c r="B5" s="60">
        <f>'VALOR POR PL'!D11</f>
        <v/>
      </c>
      <c r="C5" s="69">
        <f>IFERROR(MATCH(A5,'CURVA PREVISION'!$B$1:$B$3000,0),"")</f>
        <v/>
      </c>
      <c r="D5" s="122">
        <f>IF(OR($C5="",$B$2="",$D$2=0),0,IF(D$3&lt;0,0,N(INDEX('CURVA PREVISION'!$A$1:$KZ$3000,$C5,10+3*MIN(D$3,$D$2-1)))))</f>
        <v/>
      </c>
      <c r="E5" s="122">
        <f>IF(OR($C5="",$B$2="",$D$2=0),0,IF(E$3&lt;0,0,N(INDEX('CURVA PREVISION'!$A$1:$KZ$3000,$C5,10+3*MIN(E$3,$D$2-1)))))</f>
        <v/>
      </c>
      <c r="F5" s="122">
        <f>IF(OR($C5="",$B$2="",$D$2=0),0,IF(F$3&lt;0,0,N(INDEX('CURVA PREVISION'!$A$1:$KZ$3000,$C5,10+3*MIN(F$3,$D$2-1)))))</f>
        <v/>
      </c>
      <c r="G5" s="122">
        <f>IF(OR($C5="",$B$2="",$D$2=0),0,IF(G$3&lt;0,0,N(INDEX('CURVA PREVISION'!$A$1:$KZ$3000,$C5,10+3*MIN(G$3,$D$2-1)))))</f>
        <v/>
      </c>
      <c r="H5" s="122">
        <f>IF(OR($C5="",$B$2="",$D$2=0),0,IF(H$3&lt;0,0,N(INDEX('CURVA PREVISION'!$A$1:$KZ$3000,$C5,10+3*MIN(H$3,$D$2-1)))))</f>
        <v/>
      </c>
      <c r="I5" s="122">
        <f>IF(OR($C5="",$B$2="",$D$2=0),0,IF(I$3&lt;0,0,N(INDEX('CURVA PREVISION'!$A$1:$KZ$3000,$C5,10+3*MIN(I$3,$D$2-1)))))</f>
        <v/>
      </c>
      <c r="J5" s="122">
        <f>IF(OR($C5="",$B$2="",$D$2=0),0,IF(J$3&lt;0,0,N(INDEX('CURVA PREVISION'!$A$1:$KZ$3000,$C5,10+3*MIN(J$3,$D$2-1)))))</f>
        <v/>
      </c>
      <c r="K5" s="122">
        <f>IF(OR($C5="",$B$2="",$D$2=0),0,IF(K$3&lt;0,0,N(INDEX('CURVA PREVISION'!$A$1:$KZ$3000,$C5,10+3*MIN(K$3,$D$2-1)))))</f>
        <v/>
      </c>
      <c r="L5" s="122">
        <f>IF(OR($C5="",$B$2="",$D$2=0),0,IF(L$3&lt;0,0,N(INDEX('CURVA PREVISION'!$A$1:$KZ$3000,$C5,10+3*MIN(L$3,$D$2-1)))))</f>
        <v/>
      </c>
      <c r="M5" s="122">
        <f>IF(OR($C5="",$B$2="",$D$2=0),0,IF(M$3&lt;0,0,N(INDEX('CURVA PREVISION'!$A$1:$KZ$3000,$C5,10+3*MIN(M$3,$D$2-1)))))</f>
        <v/>
      </c>
      <c r="N5" s="122">
        <f>IF(OR($C5="",$B$2="",$D$2=0),0,IF(N$3&lt;0,0,N(INDEX('CURVA PREVISION'!$A$1:$KZ$3000,$C5,10+3*MIN(N$3,$D$2-1)))))</f>
        <v/>
      </c>
      <c r="O5" s="122">
        <f>IF(OR($C5="",$B$2="",$D$2=0),0,IF(O$3&lt;0,0,N(INDEX('CURVA PREVISION'!$A$1:$KZ$3000,$C5,10+3*MIN(O$3,$D$2-1)))))</f>
        <v/>
      </c>
      <c r="P5" s="122">
        <f>IF(OR($C5="",$B$2="",$D$2=0),0,IF(P$3&lt;0,0,N(INDEX('CURVA PREVISION'!$A$1:$KZ$3000,$C5,10+3*MIN(P$3,$D$2-1)))))</f>
        <v/>
      </c>
      <c r="Q5" s="122">
        <f>IF(OR($C5="",$B$2="",$D$2=0),0,IF(Q$3&lt;0,0,N(INDEX('CURVA PREVISION'!$A$1:$KZ$3000,$C5,10+3*MIN(Q$3,$D$2-1)))))</f>
        <v/>
      </c>
      <c r="R5" s="122">
        <f>IF(OR($C5="",$B$2="",$D$2=0),0,IF(R$3&lt;0,0,N(INDEX('CURVA PREVISION'!$A$1:$KZ$3000,$C5,10+3*MIN(R$3,$D$2-1)))))</f>
        <v/>
      </c>
      <c r="S5" s="122">
        <f>IF(OR($C5="",$B$2="",$D$2=0),0,IF(S$3&lt;0,0,N(INDEX('CURVA PREVISION'!$A$1:$KZ$3000,$C5,10+3*MIN(S$3,$D$2-1)))))</f>
        <v/>
      </c>
      <c r="T5" s="122">
        <f>IF(OR($C5="",$B$2="",$D$2=0),0,IF(T$3&lt;0,0,N(INDEX('CURVA PREVISION'!$A$1:$KZ$3000,$C5,10+3*MIN(T$3,$D$2-1)))))</f>
        <v/>
      </c>
      <c r="U5" s="122">
        <f>IF(OR($C5="",$B$2="",$D$2=0),0,IF(U$3&lt;0,0,N(INDEX('CURVA PREVISION'!$A$1:$KZ$3000,$C5,10+3*MIN(U$3,$D$2-1)))))</f>
        <v/>
      </c>
      <c r="V5" s="122">
        <f>IF(OR($C5="",$B$2="",$D$2=0),0,IF(V$3&lt;0,0,N(INDEX('CURVA PREVISION'!$A$1:$KZ$3000,$C5,10+3*MIN(V$3,$D$2-1)))))</f>
        <v/>
      </c>
      <c r="W5" s="122">
        <f>IF(OR($C5="",$B$2="",$D$2=0),0,IF(W$3&lt;0,0,N(INDEX('CURVA PREVISION'!$A$1:$KZ$3000,$C5,10+3*MIN(W$3,$D$2-1)))))</f>
        <v/>
      </c>
      <c r="X5" s="122">
        <f>IF(OR($C5="",$B$2="",$D$2=0),0,IF(X$3&lt;0,0,N(INDEX('CURVA PREVISION'!$A$1:$KZ$3000,$C5,10+3*MIN(X$3,$D$2-1)))))</f>
        <v/>
      </c>
      <c r="Y5" s="122">
        <f>IF(OR($C5="",$B$2="",$D$2=0),0,IF(Y$3&lt;0,0,N(INDEX('CURVA PREVISION'!$A$1:$KZ$3000,$C5,10+3*MIN(Y$3,$D$2-1)))))</f>
        <v/>
      </c>
      <c r="Z5" s="122">
        <f>IF(OR($C5="",$B$2="",$D$2=0),0,IF(Z$3&lt;0,0,N(INDEX('CURVA PREVISION'!$A$1:$KZ$3000,$C5,10+3*MIN(Z$3,$D$2-1)))))</f>
        <v/>
      </c>
      <c r="AA5" s="122">
        <f>IF(OR($C5="",$B$2="",$D$2=0),0,IF(AA$3&lt;0,0,N(INDEX('CURVA PREVISION'!$A$1:$KZ$3000,$C5,10+3*MIN(AA$3,$D$2-1)))))</f>
        <v/>
      </c>
      <c r="AB5" s="122">
        <f>IF(OR($C5="",$B$2="",$D$2=0),0,IF(AB$3&lt;0,0,N(INDEX('CURVA PREVISION'!$A$1:$KZ$3000,$C5,10+3*MIN(AB$3,$D$2-1)))))</f>
        <v/>
      </c>
      <c r="AC5" s="122">
        <f>IF(OR($C5="",$B$2="",$D$2=0),0,IF(AC$3&lt;0,0,N(INDEX('CURVA PREVISION'!$A$1:$KZ$3000,$C5,10+3*MIN(AC$3,$D$2-1)))))</f>
        <v/>
      </c>
      <c r="AD5" s="122">
        <f>IF(OR($C5="",$B$2="",$D$2=0),0,IF(AD$3&lt;0,0,N(INDEX('CURVA PREVISION'!$A$1:$KZ$3000,$C5,10+3*MIN(AD$3,$D$2-1)))))</f>
        <v/>
      </c>
      <c r="AE5" s="122">
        <f>IF(OR($C5="",$B$2="",$D$2=0),0,IF(AE$3&lt;0,0,N(INDEX('CURVA PREVISION'!$A$1:$KZ$3000,$C5,10+3*MIN(AE$3,$D$2-1)))))</f>
        <v/>
      </c>
      <c r="AF5" s="122">
        <f>IF(OR($C5="",$B$2="",$D$2=0),0,IF(AF$3&lt;0,0,N(INDEX('CURVA PREVISION'!$A$1:$KZ$3000,$C5,10+3*MIN(AF$3,$D$2-1)))))</f>
        <v/>
      </c>
      <c r="AG5" s="122">
        <f>IF(OR($C5="",$B$2="",$D$2=0),0,IF(AG$3&lt;0,0,N(INDEX('CURVA PREVISION'!$A$1:$KZ$3000,$C5,10+3*MIN(AG$3,$D$2-1)))))</f>
        <v/>
      </c>
      <c r="AH5" s="122">
        <f>IF(OR($C5="",$B$2="",$D$2=0),0,IF(AH$3&lt;0,0,N(INDEX('CURVA PREVISION'!$A$1:$KZ$3000,$C5,10+3*MIN(AH$3,$D$2-1)))))</f>
        <v/>
      </c>
      <c r="AI5" s="122">
        <f>IF(OR($C5="",$B$2="",$D$2=0),0,IF(AI$3&lt;0,0,N(INDEX('CURVA PREVISION'!$A$1:$KZ$3000,$C5,10+3*MIN(AI$3,$D$2-1)))))</f>
        <v/>
      </c>
      <c r="AJ5" s="122">
        <f>IF(OR($C5="",$B$2="",$D$2=0),0,IF(AJ$3&lt;0,0,N(INDEX('CURVA PREVISION'!$A$1:$KZ$3000,$C5,10+3*MIN(AJ$3,$D$2-1)))))</f>
        <v/>
      </c>
      <c r="AK5" s="122">
        <f>IF(OR($C5="",$B$2="",$D$2=0),0,IF(AK$3&lt;0,0,N(INDEX('CURVA PREVISION'!$A$1:$KZ$3000,$C5,10+3*MIN(AK$3,$D$2-1)))))</f>
        <v/>
      </c>
      <c r="AL5" s="122">
        <f>IF(OR($C5="",$B$2="",$D$2=0),0,IF(AL$3&lt;0,0,N(INDEX('CURVA PREVISION'!$A$1:$KZ$3000,$C5,10+3*MIN(AL$3,$D$2-1)))))</f>
        <v/>
      </c>
      <c r="AM5" s="122">
        <f>IF(OR($C5="",$B$2="",$D$2=0),0,IF(AM$3&lt;0,0,N(INDEX('CURVA PREVISION'!$A$1:$KZ$3000,$C5,10+3*MIN(AM$3,$D$2-1)))))</f>
        <v/>
      </c>
      <c r="AN5" s="122">
        <f>IF(OR($C5="",$B$2="",$D$2=0),0,IF(AN$3&lt;0,0,N(INDEX('CURVA PREVISION'!$A$1:$KZ$3000,$C5,10+3*MIN(AN$3,$D$2-1)))))</f>
        <v/>
      </c>
      <c r="AO5" s="122">
        <f>IF(OR($C5="",$B$2="",$D$2=0),0,IF(AO$3&lt;0,0,N(INDEX('CURVA PREVISION'!$A$1:$KZ$3000,$C5,10+3*MIN(AO$3,$D$2-1)))))</f>
        <v/>
      </c>
      <c r="AP5" s="122">
        <f>IF(OR($C5="",$B$2="",$D$2=0),0,IF(AP$3&lt;0,0,N(INDEX('CURVA PREVISION'!$A$1:$KZ$3000,$C5,10+3*MIN(AP$3,$D$2-1)))))</f>
        <v/>
      </c>
      <c r="AQ5" s="122">
        <f>IF(OR($C5="",$B$2="",$D$2=0),0,IF(AQ$3&lt;0,0,N(INDEX('CURVA PREVISION'!$A$1:$KZ$3000,$C5,10+3*MIN(AQ$3,$D$2-1)))))</f>
        <v/>
      </c>
      <c r="AR5" s="122">
        <f>IF(OR($C5="",$B$2="",$D$2=0),0,IF(AR$3&lt;0,0,N(INDEX('CURVA PREVISION'!$A$1:$KZ$3000,$C5,10+3*MIN(AR$3,$D$2-1)))))</f>
        <v/>
      </c>
      <c r="AS5" s="122">
        <f>IF(OR($C5="",$B$2="",$D$2=0),0,IF(AS$3&lt;0,0,N(INDEX('CURVA PREVISION'!$A$1:$KZ$3000,$C5,10+3*MIN(AS$3,$D$2-1)))))</f>
        <v/>
      </c>
      <c r="AT5" s="122">
        <f>IF(OR($C5="",$B$2="",$D$2=0),0,IF(AT$3&lt;0,0,N(INDEX('CURVA PREVISION'!$A$1:$KZ$3000,$C5,10+3*MIN(AT$3,$D$2-1)))))</f>
        <v/>
      </c>
      <c r="AU5" s="122">
        <f>IF(OR($C5="",$B$2="",$D$2=0),0,IF(AU$3&lt;0,0,N(INDEX('CURVA PREVISION'!$A$1:$KZ$3000,$C5,10+3*MIN(AU$3,$D$2-1)))))</f>
        <v/>
      </c>
      <c r="AV5" s="122">
        <f>IF(OR($C5="",$B$2="",$D$2=0),0,IF(AV$3&lt;0,0,N(INDEX('CURVA PREVISION'!$A$1:$KZ$3000,$C5,10+3*MIN(AV$3,$D$2-1)))))</f>
        <v/>
      </c>
      <c r="AW5" s="122">
        <f>IF(OR($C5="",$B$2="",$D$2=0),0,IF(AW$3&lt;0,0,N(INDEX('CURVA PREVISION'!$A$1:$KZ$3000,$C5,10+3*MIN(AW$3,$D$2-1)))))</f>
        <v/>
      </c>
      <c r="AX5" s="122">
        <f>IF(OR($C5="",$B$2="",$D$2=0),0,IF(AX$3&lt;0,0,N(INDEX('CURVA PREVISION'!$A$1:$KZ$3000,$C5,10+3*MIN(AX$3,$D$2-1)))))</f>
        <v/>
      </c>
      <c r="AY5" s="122">
        <f>IF(OR($C5="",$B$2="",$D$2=0),0,IF(AY$3&lt;0,0,N(INDEX('CURVA PREVISION'!$A$1:$KZ$3000,$C5,10+3*MIN(AY$3,$D$2-1)))))</f>
        <v/>
      </c>
      <c r="AZ5" s="122">
        <f>IF(OR($C5="",$B$2="",$D$2=0),0,IF(AZ$3&lt;0,0,N(INDEX('CURVA PREVISION'!$A$1:$KZ$3000,$C5,10+3*MIN(AZ$3,$D$2-1)))))</f>
        <v/>
      </c>
      <c r="BA5" s="122">
        <f>IF(OR($C5="",$B$2="",$D$2=0),0,IF(BA$3&lt;0,0,N(INDEX('CURVA PREVISION'!$A$1:$KZ$3000,$C5,10+3*MIN(BA$3,$D$2-1)))))</f>
        <v/>
      </c>
      <c r="BB5" s="122">
        <f>IF(OR($C5="",$B$2="",$D$2=0),0,IF(BB$3&lt;0,0,N(INDEX('CURVA PREVISION'!$A$1:$KZ$3000,$C5,10+3*MIN(BB$3,$D$2-1)))))</f>
        <v/>
      </c>
      <c r="BC5" s="122">
        <f>IF(OR($C5="",$B$2="",$D$2=0),0,IF(BC$3&lt;0,0,N(INDEX('CURVA PREVISION'!$A$1:$KZ$3000,$C5,10+3*MIN(BC$3,$D$2-1)))))</f>
        <v/>
      </c>
      <c r="BD5" s="122">
        <f>IF(OR($C5="",$B$2="",$D$2=0),0,IF(BD$3&lt;0,0,N(INDEX('CURVA PREVISION'!$A$1:$KZ$3000,$C5,10+3*MIN(BD$3,$D$2-1)))))</f>
        <v/>
      </c>
      <c r="BE5" s="122">
        <f>IF(OR($C5="",$B$2="",$D$2=0),0,IF(BE$3&lt;0,0,N(INDEX('CURVA PREVISION'!$A$1:$KZ$3000,$C5,10+3*MIN(BE$3,$D$2-1)))))</f>
        <v/>
      </c>
      <c r="BF5" s="122">
        <f>IF(OR($C5="",$B$2="",$D$2=0),0,IF(BF$3&lt;0,0,N(INDEX('CURVA PREVISION'!$A$1:$KZ$3000,$C5,10+3*MIN(BF$3,$D$2-1)))))</f>
        <v/>
      </c>
      <c r="BG5" s="122">
        <f>IF(OR($C5="",$B$2="",$D$2=0),0,IF(BG$3&lt;0,0,N(INDEX('CURVA PREVISION'!$A$1:$KZ$3000,$C5,10+3*MIN(BG$3,$D$2-1)))))</f>
        <v/>
      </c>
      <c r="BH5" s="122">
        <f>IF(OR($C5="",$B$2="",$D$2=0),0,IF(BH$3&lt;0,0,N(INDEX('CURVA PREVISION'!$A$1:$KZ$3000,$C5,10+3*MIN(BH$3,$D$2-1)))))</f>
        <v/>
      </c>
      <c r="BI5" s="122">
        <f>IF(OR($C5="",$B$2="",$D$2=0),0,IF(BI$3&lt;0,0,N(INDEX('CURVA PREVISION'!$A$1:$KZ$3000,$C5,10+3*MIN(BI$3,$D$2-1)))))</f>
        <v/>
      </c>
      <c r="BJ5" s="122">
        <f>IF(OR($C5="",$B$2="",$D$2=0),0,IF(BJ$3&lt;0,0,N(INDEX('CURVA PREVISION'!$A$1:$KZ$3000,$C5,10+3*MIN(BJ$3,$D$2-1)))))</f>
        <v/>
      </c>
      <c r="BK5" s="122">
        <f>IF(OR($C5="",$B$2="",$D$2=0),0,IF(BK$3&lt;0,0,N(INDEX('CURVA PREVISION'!$A$1:$KZ$3000,$C5,10+3*MIN(BK$3,$D$2-1)))))</f>
        <v/>
      </c>
      <c r="BL5" s="122">
        <f>IF(OR($C5="",$B$2="",$D$2=0),0,IF(BL$3&lt;0,0,N(INDEX('CURVA PREVISION'!$A$1:$KZ$3000,$C5,10+3*MIN(BL$3,$D$2-1)))))</f>
        <v/>
      </c>
      <c r="BM5" s="122">
        <f>IF(OR($C5="",$B$2="",$D$2=0),0,IF(BM$3&lt;0,0,N(INDEX('CURVA PREVISION'!$A$1:$KZ$3000,$C5,10+3*MIN(BM$3,$D$2-1)))))</f>
        <v/>
      </c>
      <c r="BN5" s="122">
        <f>IF(OR($C5="",$B$2="",$D$2=0),0,IF(BN$3&lt;0,0,N(INDEX('CURVA PREVISION'!$A$1:$KZ$3000,$C5,10+3*MIN(BN$3,$D$2-1)))))</f>
        <v/>
      </c>
      <c r="BO5" s="122">
        <f>IF(OR($C5="",$B$2="",$D$2=0),0,IF(BO$3&lt;0,0,N(INDEX('CURVA PREVISION'!$A$1:$KZ$3000,$C5,10+3*MIN(BO$3,$D$2-1)))))</f>
        <v/>
      </c>
      <c r="BP5" s="122">
        <f>IF(OR($C5="",$B$2="",$D$2=0),0,IF(BP$3&lt;0,0,N(INDEX('CURVA PREVISION'!$A$1:$KZ$3000,$C5,10+3*MIN(BP$3,$D$2-1)))))</f>
        <v/>
      </c>
      <c r="BQ5" s="122">
        <f>IF(OR($C5="",$B$2="",$D$2=0),0,IF(BQ$3&lt;0,0,N(INDEX('CURVA PREVISION'!$A$1:$KZ$3000,$C5,10+3*MIN(BQ$3,$D$2-1)))))</f>
        <v/>
      </c>
      <c r="BR5" s="122">
        <f>IF(OR($C5="",$B$2="",$D$2=0),0,IF(BR$3&lt;0,0,N(INDEX('CURVA PREVISION'!$A$1:$KZ$3000,$C5,10+3*MIN(BR$3,$D$2-1)))))</f>
        <v/>
      </c>
      <c r="BS5" s="122">
        <f>IF(OR($C5="",$B$2="",$D$2=0),0,IF(BS$3&lt;0,0,N(INDEX('CURVA PREVISION'!$A$1:$KZ$3000,$C5,10+3*MIN(BS$3,$D$2-1)))))</f>
        <v/>
      </c>
      <c r="BT5" s="122">
        <f>IF(OR($C5="",$B$2="",$D$2=0),0,IF(BT$3&lt;0,0,N(INDEX('CURVA PREVISION'!$A$1:$KZ$3000,$C5,10+3*MIN(BT$3,$D$2-1)))))</f>
        <v/>
      </c>
      <c r="BU5" s="122">
        <f>IF(OR($C5="",$B$2="",$D$2=0),0,IF(BU$3&lt;0,0,N(INDEX('CURVA PREVISION'!$A$1:$KZ$3000,$C5,10+3*MIN(BU$3,$D$2-1)))))</f>
        <v/>
      </c>
      <c r="BV5" s="122">
        <f>IF(OR($C5="",$B$2="",$D$2=0),0,IF(BV$3&lt;0,0,N(INDEX('CURVA PREVISION'!$A$1:$KZ$3000,$C5,10+3*MIN(BV$3,$D$2-1)))))</f>
        <v/>
      </c>
      <c r="BW5" s="122">
        <f>IF(OR($C5="",$B$2="",$D$2=0),0,IF(BW$3&lt;0,0,N(INDEX('CURVA PREVISION'!$A$1:$KZ$3000,$C5,10+3*MIN(BW$3,$D$2-1)))))</f>
        <v/>
      </c>
    </row>
    <row r="6">
      <c r="A6" s="60">
        <f>IF('VALOR POR PL'!Q12="",'VALOR POR PL'!C12,'VALOR POR PL'!Q12)</f>
        <v/>
      </c>
      <c r="B6" s="60">
        <f>'VALOR POR PL'!D12</f>
        <v/>
      </c>
      <c r="C6" s="69">
        <f>IFERROR(MATCH(A6,'CURVA PREVISION'!$B$1:$B$3000,0),"")</f>
        <v/>
      </c>
      <c r="D6" s="122">
        <f>IF(OR($C6="",$B$2="",$D$2=0),0,IF(D$3&lt;0,0,N(INDEX('CURVA PREVISION'!$A$1:$KZ$3000,$C6,10+3*MIN(D$3,$D$2-1)))))</f>
        <v/>
      </c>
      <c r="E6" s="122">
        <f>IF(OR($C6="",$B$2="",$D$2=0),0,IF(E$3&lt;0,0,N(INDEX('CURVA PREVISION'!$A$1:$KZ$3000,$C6,10+3*MIN(E$3,$D$2-1)))))</f>
        <v/>
      </c>
      <c r="F6" s="122">
        <f>IF(OR($C6="",$B$2="",$D$2=0),0,IF(F$3&lt;0,0,N(INDEX('CURVA PREVISION'!$A$1:$KZ$3000,$C6,10+3*MIN(F$3,$D$2-1)))))</f>
        <v/>
      </c>
      <c r="G6" s="122">
        <f>IF(OR($C6="",$B$2="",$D$2=0),0,IF(G$3&lt;0,0,N(INDEX('CURVA PREVISION'!$A$1:$KZ$3000,$C6,10+3*MIN(G$3,$D$2-1)))))</f>
        <v/>
      </c>
      <c r="H6" s="122">
        <f>IF(OR($C6="",$B$2="",$D$2=0),0,IF(H$3&lt;0,0,N(INDEX('CURVA PREVISION'!$A$1:$KZ$3000,$C6,10+3*MIN(H$3,$D$2-1)))))</f>
        <v/>
      </c>
      <c r="I6" s="122">
        <f>IF(OR($C6="",$B$2="",$D$2=0),0,IF(I$3&lt;0,0,N(INDEX('CURVA PREVISION'!$A$1:$KZ$3000,$C6,10+3*MIN(I$3,$D$2-1)))))</f>
        <v/>
      </c>
      <c r="J6" s="122">
        <f>IF(OR($C6="",$B$2="",$D$2=0),0,IF(J$3&lt;0,0,N(INDEX('CURVA PREVISION'!$A$1:$KZ$3000,$C6,10+3*MIN(J$3,$D$2-1)))))</f>
        <v/>
      </c>
      <c r="K6" s="122">
        <f>IF(OR($C6="",$B$2="",$D$2=0),0,IF(K$3&lt;0,0,N(INDEX('CURVA PREVISION'!$A$1:$KZ$3000,$C6,10+3*MIN(K$3,$D$2-1)))))</f>
        <v/>
      </c>
      <c r="L6" s="122">
        <f>IF(OR($C6="",$B$2="",$D$2=0),0,IF(L$3&lt;0,0,N(INDEX('CURVA PREVISION'!$A$1:$KZ$3000,$C6,10+3*MIN(L$3,$D$2-1)))))</f>
        <v/>
      </c>
      <c r="M6" s="122">
        <f>IF(OR($C6="",$B$2="",$D$2=0),0,IF(M$3&lt;0,0,N(INDEX('CURVA PREVISION'!$A$1:$KZ$3000,$C6,10+3*MIN(M$3,$D$2-1)))))</f>
        <v/>
      </c>
      <c r="N6" s="122">
        <f>IF(OR($C6="",$B$2="",$D$2=0),0,IF(N$3&lt;0,0,N(INDEX('CURVA PREVISION'!$A$1:$KZ$3000,$C6,10+3*MIN(N$3,$D$2-1)))))</f>
        <v/>
      </c>
      <c r="O6" s="122">
        <f>IF(OR($C6="",$B$2="",$D$2=0),0,IF(O$3&lt;0,0,N(INDEX('CURVA PREVISION'!$A$1:$KZ$3000,$C6,10+3*MIN(O$3,$D$2-1)))))</f>
        <v/>
      </c>
      <c r="P6" s="122">
        <f>IF(OR($C6="",$B$2="",$D$2=0),0,IF(P$3&lt;0,0,N(INDEX('CURVA PREVISION'!$A$1:$KZ$3000,$C6,10+3*MIN(P$3,$D$2-1)))))</f>
        <v/>
      </c>
      <c r="Q6" s="122">
        <f>IF(OR($C6="",$B$2="",$D$2=0),0,IF(Q$3&lt;0,0,N(INDEX('CURVA PREVISION'!$A$1:$KZ$3000,$C6,10+3*MIN(Q$3,$D$2-1)))))</f>
        <v/>
      </c>
      <c r="R6" s="122">
        <f>IF(OR($C6="",$B$2="",$D$2=0),0,IF(R$3&lt;0,0,N(INDEX('CURVA PREVISION'!$A$1:$KZ$3000,$C6,10+3*MIN(R$3,$D$2-1)))))</f>
        <v/>
      </c>
      <c r="S6" s="122">
        <f>IF(OR($C6="",$B$2="",$D$2=0),0,IF(S$3&lt;0,0,N(INDEX('CURVA PREVISION'!$A$1:$KZ$3000,$C6,10+3*MIN(S$3,$D$2-1)))))</f>
        <v/>
      </c>
      <c r="T6" s="122">
        <f>IF(OR($C6="",$B$2="",$D$2=0),0,IF(T$3&lt;0,0,N(INDEX('CURVA PREVISION'!$A$1:$KZ$3000,$C6,10+3*MIN(T$3,$D$2-1)))))</f>
        <v/>
      </c>
      <c r="U6" s="122">
        <f>IF(OR($C6="",$B$2="",$D$2=0),0,IF(U$3&lt;0,0,N(INDEX('CURVA PREVISION'!$A$1:$KZ$3000,$C6,10+3*MIN(U$3,$D$2-1)))))</f>
        <v/>
      </c>
      <c r="V6" s="122">
        <f>IF(OR($C6="",$B$2="",$D$2=0),0,IF(V$3&lt;0,0,N(INDEX('CURVA PREVISION'!$A$1:$KZ$3000,$C6,10+3*MIN(V$3,$D$2-1)))))</f>
        <v/>
      </c>
      <c r="W6" s="122">
        <f>IF(OR($C6="",$B$2="",$D$2=0),0,IF(W$3&lt;0,0,N(INDEX('CURVA PREVISION'!$A$1:$KZ$3000,$C6,10+3*MIN(W$3,$D$2-1)))))</f>
        <v/>
      </c>
      <c r="X6" s="122">
        <f>IF(OR($C6="",$B$2="",$D$2=0),0,IF(X$3&lt;0,0,N(INDEX('CURVA PREVISION'!$A$1:$KZ$3000,$C6,10+3*MIN(X$3,$D$2-1)))))</f>
        <v/>
      </c>
      <c r="Y6" s="122">
        <f>IF(OR($C6="",$B$2="",$D$2=0),0,IF(Y$3&lt;0,0,N(INDEX('CURVA PREVISION'!$A$1:$KZ$3000,$C6,10+3*MIN(Y$3,$D$2-1)))))</f>
        <v/>
      </c>
      <c r="Z6" s="122">
        <f>IF(OR($C6="",$B$2="",$D$2=0),0,IF(Z$3&lt;0,0,N(INDEX('CURVA PREVISION'!$A$1:$KZ$3000,$C6,10+3*MIN(Z$3,$D$2-1)))))</f>
        <v/>
      </c>
      <c r="AA6" s="122">
        <f>IF(OR($C6="",$B$2="",$D$2=0),0,IF(AA$3&lt;0,0,N(INDEX('CURVA PREVISION'!$A$1:$KZ$3000,$C6,10+3*MIN(AA$3,$D$2-1)))))</f>
        <v/>
      </c>
      <c r="AB6" s="122">
        <f>IF(OR($C6="",$B$2="",$D$2=0),0,IF(AB$3&lt;0,0,N(INDEX('CURVA PREVISION'!$A$1:$KZ$3000,$C6,10+3*MIN(AB$3,$D$2-1)))))</f>
        <v/>
      </c>
      <c r="AC6" s="122">
        <f>IF(OR($C6="",$B$2="",$D$2=0),0,IF(AC$3&lt;0,0,N(INDEX('CURVA PREVISION'!$A$1:$KZ$3000,$C6,10+3*MIN(AC$3,$D$2-1)))))</f>
        <v/>
      </c>
      <c r="AD6" s="122">
        <f>IF(OR($C6="",$B$2="",$D$2=0),0,IF(AD$3&lt;0,0,N(INDEX('CURVA PREVISION'!$A$1:$KZ$3000,$C6,10+3*MIN(AD$3,$D$2-1)))))</f>
        <v/>
      </c>
      <c r="AE6" s="122">
        <f>IF(OR($C6="",$B$2="",$D$2=0),0,IF(AE$3&lt;0,0,N(INDEX('CURVA PREVISION'!$A$1:$KZ$3000,$C6,10+3*MIN(AE$3,$D$2-1)))))</f>
        <v/>
      </c>
      <c r="AF6" s="122">
        <f>IF(OR($C6="",$B$2="",$D$2=0),0,IF(AF$3&lt;0,0,N(INDEX('CURVA PREVISION'!$A$1:$KZ$3000,$C6,10+3*MIN(AF$3,$D$2-1)))))</f>
        <v/>
      </c>
      <c r="AG6" s="122">
        <f>IF(OR($C6="",$B$2="",$D$2=0),0,IF(AG$3&lt;0,0,N(INDEX('CURVA PREVISION'!$A$1:$KZ$3000,$C6,10+3*MIN(AG$3,$D$2-1)))))</f>
        <v/>
      </c>
      <c r="AH6" s="122">
        <f>IF(OR($C6="",$B$2="",$D$2=0),0,IF(AH$3&lt;0,0,N(INDEX('CURVA PREVISION'!$A$1:$KZ$3000,$C6,10+3*MIN(AH$3,$D$2-1)))))</f>
        <v/>
      </c>
      <c r="AI6" s="122">
        <f>IF(OR($C6="",$B$2="",$D$2=0),0,IF(AI$3&lt;0,0,N(INDEX('CURVA PREVISION'!$A$1:$KZ$3000,$C6,10+3*MIN(AI$3,$D$2-1)))))</f>
        <v/>
      </c>
      <c r="AJ6" s="122">
        <f>IF(OR($C6="",$B$2="",$D$2=0),0,IF(AJ$3&lt;0,0,N(INDEX('CURVA PREVISION'!$A$1:$KZ$3000,$C6,10+3*MIN(AJ$3,$D$2-1)))))</f>
        <v/>
      </c>
      <c r="AK6" s="122">
        <f>IF(OR($C6="",$B$2="",$D$2=0),0,IF(AK$3&lt;0,0,N(INDEX('CURVA PREVISION'!$A$1:$KZ$3000,$C6,10+3*MIN(AK$3,$D$2-1)))))</f>
        <v/>
      </c>
      <c r="AL6" s="122">
        <f>IF(OR($C6="",$B$2="",$D$2=0),0,IF(AL$3&lt;0,0,N(INDEX('CURVA PREVISION'!$A$1:$KZ$3000,$C6,10+3*MIN(AL$3,$D$2-1)))))</f>
        <v/>
      </c>
      <c r="AM6" s="122">
        <f>IF(OR($C6="",$B$2="",$D$2=0),0,IF(AM$3&lt;0,0,N(INDEX('CURVA PREVISION'!$A$1:$KZ$3000,$C6,10+3*MIN(AM$3,$D$2-1)))))</f>
        <v/>
      </c>
      <c r="AN6" s="122">
        <f>IF(OR($C6="",$B$2="",$D$2=0),0,IF(AN$3&lt;0,0,N(INDEX('CURVA PREVISION'!$A$1:$KZ$3000,$C6,10+3*MIN(AN$3,$D$2-1)))))</f>
        <v/>
      </c>
      <c r="AO6" s="122">
        <f>IF(OR($C6="",$B$2="",$D$2=0),0,IF(AO$3&lt;0,0,N(INDEX('CURVA PREVISION'!$A$1:$KZ$3000,$C6,10+3*MIN(AO$3,$D$2-1)))))</f>
        <v/>
      </c>
      <c r="AP6" s="122">
        <f>IF(OR($C6="",$B$2="",$D$2=0),0,IF(AP$3&lt;0,0,N(INDEX('CURVA PREVISION'!$A$1:$KZ$3000,$C6,10+3*MIN(AP$3,$D$2-1)))))</f>
        <v/>
      </c>
      <c r="AQ6" s="122">
        <f>IF(OR($C6="",$B$2="",$D$2=0),0,IF(AQ$3&lt;0,0,N(INDEX('CURVA PREVISION'!$A$1:$KZ$3000,$C6,10+3*MIN(AQ$3,$D$2-1)))))</f>
        <v/>
      </c>
      <c r="AR6" s="122">
        <f>IF(OR($C6="",$B$2="",$D$2=0),0,IF(AR$3&lt;0,0,N(INDEX('CURVA PREVISION'!$A$1:$KZ$3000,$C6,10+3*MIN(AR$3,$D$2-1)))))</f>
        <v/>
      </c>
      <c r="AS6" s="122">
        <f>IF(OR($C6="",$B$2="",$D$2=0),0,IF(AS$3&lt;0,0,N(INDEX('CURVA PREVISION'!$A$1:$KZ$3000,$C6,10+3*MIN(AS$3,$D$2-1)))))</f>
        <v/>
      </c>
      <c r="AT6" s="122">
        <f>IF(OR($C6="",$B$2="",$D$2=0),0,IF(AT$3&lt;0,0,N(INDEX('CURVA PREVISION'!$A$1:$KZ$3000,$C6,10+3*MIN(AT$3,$D$2-1)))))</f>
        <v/>
      </c>
      <c r="AU6" s="122">
        <f>IF(OR($C6="",$B$2="",$D$2=0),0,IF(AU$3&lt;0,0,N(INDEX('CURVA PREVISION'!$A$1:$KZ$3000,$C6,10+3*MIN(AU$3,$D$2-1)))))</f>
        <v/>
      </c>
      <c r="AV6" s="122">
        <f>IF(OR($C6="",$B$2="",$D$2=0),0,IF(AV$3&lt;0,0,N(INDEX('CURVA PREVISION'!$A$1:$KZ$3000,$C6,10+3*MIN(AV$3,$D$2-1)))))</f>
        <v/>
      </c>
      <c r="AW6" s="122">
        <f>IF(OR($C6="",$B$2="",$D$2=0),0,IF(AW$3&lt;0,0,N(INDEX('CURVA PREVISION'!$A$1:$KZ$3000,$C6,10+3*MIN(AW$3,$D$2-1)))))</f>
        <v/>
      </c>
      <c r="AX6" s="122">
        <f>IF(OR($C6="",$B$2="",$D$2=0),0,IF(AX$3&lt;0,0,N(INDEX('CURVA PREVISION'!$A$1:$KZ$3000,$C6,10+3*MIN(AX$3,$D$2-1)))))</f>
        <v/>
      </c>
      <c r="AY6" s="122">
        <f>IF(OR($C6="",$B$2="",$D$2=0),0,IF(AY$3&lt;0,0,N(INDEX('CURVA PREVISION'!$A$1:$KZ$3000,$C6,10+3*MIN(AY$3,$D$2-1)))))</f>
        <v/>
      </c>
      <c r="AZ6" s="122">
        <f>IF(OR($C6="",$B$2="",$D$2=0),0,IF(AZ$3&lt;0,0,N(INDEX('CURVA PREVISION'!$A$1:$KZ$3000,$C6,10+3*MIN(AZ$3,$D$2-1)))))</f>
        <v/>
      </c>
      <c r="BA6" s="122">
        <f>IF(OR($C6="",$B$2="",$D$2=0),0,IF(BA$3&lt;0,0,N(INDEX('CURVA PREVISION'!$A$1:$KZ$3000,$C6,10+3*MIN(BA$3,$D$2-1)))))</f>
        <v/>
      </c>
      <c r="BB6" s="122">
        <f>IF(OR($C6="",$B$2="",$D$2=0),0,IF(BB$3&lt;0,0,N(INDEX('CURVA PREVISION'!$A$1:$KZ$3000,$C6,10+3*MIN(BB$3,$D$2-1)))))</f>
        <v/>
      </c>
      <c r="BC6" s="122">
        <f>IF(OR($C6="",$B$2="",$D$2=0),0,IF(BC$3&lt;0,0,N(INDEX('CURVA PREVISION'!$A$1:$KZ$3000,$C6,10+3*MIN(BC$3,$D$2-1)))))</f>
        <v/>
      </c>
      <c r="BD6" s="122">
        <f>IF(OR($C6="",$B$2="",$D$2=0),0,IF(BD$3&lt;0,0,N(INDEX('CURVA PREVISION'!$A$1:$KZ$3000,$C6,10+3*MIN(BD$3,$D$2-1)))))</f>
        <v/>
      </c>
      <c r="BE6" s="122">
        <f>IF(OR($C6="",$B$2="",$D$2=0),0,IF(BE$3&lt;0,0,N(INDEX('CURVA PREVISION'!$A$1:$KZ$3000,$C6,10+3*MIN(BE$3,$D$2-1)))))</f>
        <v/>
      </c>
      <c r="BF6" s="122">
        <f>IF(OR($C6="",$B$2="",$D$2=0),0,IF(BF$3&lt;0,0,N(INDEX('CURVA PREVISION'!$A$1:$KZ$3000,$C6,10+3*MIN(BF$3,$D$2-1)))))</f>
        <v/>
      </c>
      <c r="BG6" s="122">
        <f>IF(OR($C6="",$B$2="",$D$2=0),0,IF(BG$3&lt;0,0,N(INDEX('CURVA PREVISION'!$A$1:$KZ$3000,$C6,10+3*MIN(BG$3,$D$2-1)))))</f>
        <v/>
      </c>
      <c r="BH6" s="122">
        <f>IF(OR($C6="",$B$2="",$D$2=0),0,IF(BH$3&lt;0,0,N(INDEX('CURVA PREVISION'!$A$1:$KZ$3000,$C6,10+3*MIN(BH$3,$D$2-1)))))</f>
        <v/>
      </c>
      <c r="BI6" s="122">
        <f>IF(OR($C6="",$B$2="",$D$2=0),0,IF(BI$3&lt;0,0,N(INDEX('CURVA PREVISION'!$A$1:$KZ$3000,$C6,10+3*MIN(BI$3,$D$2-1)))))</f>
        <v/>
      </c>
      <c r="BJ6" s="122">
        <f>IF(OR($C6="",$B$2="",$D$2=0),0,IF(BJ$3&lt;0,0,N(INDEX('CURVA PREVISION'!$A$1:$KZ$3000,$C6,10+3*MIN(BJ$3,$D$2-1)))))</f>
        <v/>
      </c>
      <c r="BK6" s="122">
        <f>IF(OR($C6="",$B$2="",$D$2=0),0,IF(BK$3&lt;0,0,N(INDEX('CURVA PREVISION'!$A$1:$KZ$3000,$C6,10+3*MIN(BK$3,$D$2-1)))))</f>
        <v/>
      </c>
      <c r="BL6" s="122">
        <f>IF(OR($C6="",$B$2="",$D$2=0),0,IF(BL$3&lt;0,0,N(INDEX('CURVA PREVISION'!$A$1:$KZ$3000,$C6,10+3*MIN(BL$3,$D$2-1)))))</f>
        <v/>
      </c>
      <c r="BM6" s="122">
        <f>IF(OR($C6="",$B$2="",$D$2=0),0,IF(BM$3&lt;0,0,N(INDEX('CURVA PREVISION'!$A$1:$KZ$3000,$C6,10+3*MIN(BM$3,$D$2-1)))))</f>
        <v/>
      </c>
      <c r="BN6" s="122">
        <f>IF(OR($C6="",$B$2="",$D$2=0),0,IF(BN$3&lt;0,0,N(INDEX('CURVA PREVISION'!$A$1:$KZ$3000,$C6,10+3*MIN(BN$3,$D$2-1)))))</f>
        <v/>
      </c>
      <c r="BO6" s="122">
        <f>IF(OR($C6="",$B$2="",$D$2=0),0,IF(BO$3&lt;0,0,N(INDEX('CURVA PREVISION'!$A$1:$KZ$3000,$C6,10+3*MIN(BO$3,$D$2-1)))))</f>
        <v/>
      </c>
      <c r="BP6" s="122">
        <f>IF(OR($C6="",$B$2="",$D$2=0),0,IF(BP$3&lt;0,0,N(INDEX('CURVA PREVISION'!$A$1:$KZ$3000,$C6,10+3*MIN(BP$3,$D$2-1)))))</f>
        <v/>
      </c>
      <c r="BQ6" s="122">
        <f>IF(OR($C6="",$B$2="",$D$2=0),0,IF(BQ$3&lt;0,0,N(INDEX('CURVA PREVISION'!$A$1:$KZ$3000,$C6,10+3*MIN(BQ$3,$D$2-1)))))</f>
        <v/>
      </c>
      <c r="BR6" s="122">
        <f>IF(OR($C6="",$B$2="",$D$2=0),0,IF(BR$3&lt;0,0,N(INDEX('CURVA PREVISION'!$A$1:$KZ$3000,$C6,10+3*MIN(BR$3,$D$2-1)))))</f>
        <v/>
      </c>
      <c r="BS6" s="122">
        <f>IF(OR($C6="",$B$2="",$D$2=0),0,IF(BS$3&lt;0,0,N(INDEX('CURVA PREVISION'!$A$1:$KZ$3000,$C6,10+3*MIN(BS$3,$D$2-1)))))</f>
        <v/>
      </c>
      <c r="BT6" s="122">
        <f>IF(OR($C6="",$B$2="",$D$2=0),0,IF(BT$3&lt;0,0,N(INDEX('CURVA PREVISION'!$A$1:$KZ$3000,$C6,10+3*MIN(BT$3,$D$2-1)))))</f>
        <v/>
      </c>
      <c r="BU6" s="122">
        <f>IF(OR($C6="",$B$2="",$D$2=0),0,IF(BU$3&lt;0,0,N(INDEX('CURVA PREVISION'!$A$1:$KZ$3000,$C6,10+3*MIN(BU$3,$D$2-1)))))</f>
        <v/>
      </c>
      <c r="BV6" s="122">
        <f>IF(OR($C6="",$B$2="",$D$2=0),0,IF(BV$3&lt;0,0,N(INDEX('CURVA PREVISION'!$A$1:$KZ$3000,$C6,10+3*MIN(BV$3,$D$2-1)))))</f>
        <v/>
      </c>
      <c r="BW6" s="122">
        <f>IF(OR($C6="",$B$2="",$D$2=0),0,IF(BW$3&lt;0,0,N(INDEX('CURVA PREVISION'!$A$1:$KZ$3000,$C6,10+3*MIN(BW$3,$D$2-1)))))</f>
        <v/>
      </c>
    </row>
    <row r="7">
      <c r="A7" s="60">
        <f>IF('VALOR POR PL'!Q13="",'VALOR POR PL'!C13,'VALOR POR PL'!Q13)</f>
        <v/>
      </c>
      <c r="B7" s="60">
        <f>'VALOR POR PL'!D13</f>
        <v/>
      </c>
      <c r="C7" s="69">
        <f>IFERROR(MATCH(A7,'CURVA PREVISION'!$B$1:$B$3000,0),"")</f>
        <v/>
      </c>
      <c r="D7" s="122">
        <f>IF(OR($C7="",$B$2="",$D$2=0),0,IF(D$3&lt;0,0,N(INDEX('CURVA PREVISION'!$A$1:$KZ$3000,$C7,10+3*MIN(D$3,$D$2-1)))))</f>
        <v/>
      </c>
      <c r="E7" s="122">
        <f>IF(OR($C7="",$B$2="",$D$2=0),0,IF(E$3&lt;0,0,N(INDEX('CURVA PREVISION'!$A$1:$KZ$3000,$C7,10+3*MIN(E$3,$D$2-1)))))</f>
        <v/>
      </c>
      <c r="F7" s="122">
        <f>IF(OR($C7="",$B$2="",$D$2=0),0,IF(F$3&lt;0,0,N(INDEX('CURVA PREVISION'!$A$1:$KZ$3000,$C7,10+3*MIN(F$3,$D$2-1)))))</f>
        <v/>
      </c>
      <c r="G7" s="122">
        <f>IF(OR($C7="",$B$2="",$D$2=0),0,IF(G$3&lt;0,0,N(INDEX('CURVA PREVISION'!$A$1:$KZ$3000,$C7,10+3*MIN(G$3,$D$2-1)))))</f>
        <v/>
      </c>
      <c r="H7" s="122">
        <f>IF(OR($C7="",$B$2="",$D$2=0),0,IF(H$3&lt;0,0,N(INDEX('CURVA PREVISION'!$A$1:$KZ$3000,$C7,10+3*MIN(H$3,$D$2-1)))))</f>
        <v/>
      </c>
      <c r="I7" s="122">
        <f>IF(OR($C7="",$B$2="",$D$2=0),0,IF(I$3&lt;0,0,N(INDEX('CURVA PREVISION'!$A$1:$KZ$3000,$C7,10+3*MIN(I$3,$D$2-1)))))</f>
        <v/>
      </c>
      <c r="J7" s="122">
        <f>IF(OR($C7="",$B$2="",$D$2=0),0,IF(J$3&lt;0,0,N(INDEX('CURVA PREVISION'!$A$1:$KZ$3000,$C7,10+3*MIN(J$3,$D$2-1)))))</f>
        <v/>
      </c>
      <c r="K7" s="122">
        <f>IF(OR($C7="",$B$2="",$D$2=0),0,IF(K$3&lt;0,0,N(INDEX('CURVA PREVISION'!$A$1:$KZ$3000,$C7,10+3*MIN(K$3,$D$2-1)))))</f>
        <v/>
      </c>
      <c r="L7" s="122">
        <f>IF(OR($C7="",$B$2="",$D$2=0),0,IF(L$3&lt;0,0,N(INDEX('CURVA PREVISION'!$A$1:$KZ$3000,$C7,10+3*MIN(L$3,$D$2-1)))))</f>
        <v/>
      </c>
      <c r="M7" s="122">
        <f>IF(OR($C7="",$B$2="",$D$2=0),0,IF(M$3&lt;0,0,N(INDEX('CURVA PREVISION'!$A$1:$KZ$3000,$C7,10+3*MIN(M$3,$D$2-1)))))</f>
        <v/>
      </c>
      <c r="N7" s="122">
        <f>IF(OR($C7="",$B$2="",$D$2=0),0,IF(N$3&lt;0,0,N(INDEX('CURVA PREVISION'!$A$1:$KZ$3000,$C7,10+3*MIN(N$3,$D$2-1)))))</f>
        <v/>
      </c>
      <c r="O7" s="122">
        <f>IF(OR($C7="",$B$2="",$D$2=0),0,IF(O$3&lt;0,0,N(INDEX('CURVA PREVISION'!$A$1:$KZ$3000,$C7,10+3*MIN(O$3,$D$2-1)))))</f>
        <v/>
      </c>
      <c r="P7" s="122">
        <f>IF(OR($C7="",$B$2="",$D$2=0),0,IF(P$3&lt;0,0,N(INDEX('CURVA PREVISION'!$A$1:$KZ$3000,$C7,10+3*MIN(P$3,$D$2-1)))))</f>
        <v/>
      </c>
      <c r="Q7" s="122">
        <f>IF(OR($C7="",$B$2="",$D$2=0),0,IF(Q$3&lt;0,0,N(INDEX('CURVA PREVISION'!$A$1:$KZ$3000,$C7,10+3*MIN(Q$3,$D$2-1)))))</f>
        <v/>
      </c>
      <c r="R7" s="122">
        <f>IF(OR($C7="",$B$2="",$D$2=0),0,IF(R$3&lt;0,0,N(INDEX('CURVA PREVISION'!$A$1:$KZ$3000,$C7,10+3*MIN(R$3,$D$2-1)))))</f>
        <v/>
      </c>
      <c r="S7" s="122">
        <f>IF(OR($C7="",$B$2="",$D$2=0),0,IF(S$3&lt;0,0,N(INDEX('CURVA PREVISION'!$A$1:$KZ$3000,$C7,10+3*MIN(S$3,$D$2-1)))))</f>
        <v/>
      </c>
      <c r="T7" s="122">
        <f>IF(OR($C7="",$B$2="",$D$2=0),0,IF(T$3&lt;0,0,N(INDEX('CURVA PREVISION'!$A$1:$KZ$3000,$C7,10+3*MIN(T$3,$D$2-1)))))</f>
        <v/>
      </c>
      <c r="U7" s="122">
        <f>IF(OR($C7="",$B$2="",$D$2=0),0,IF(U$3&lt;0,0,N(INDEX('CURVA PREVISION'!$A$1:$KZ$3000,$C7,10+3*MIN(U$3,$D$2-1)))))</f>
        <v/>
      </c>
      <c r="V7" s="122">
        <f>IF(OR($C7="",$B$2="",$D$2=0),0,IF(V$3&lt;0,0,N(INDEX('CURVA PREVISION'!$A$1:$KZ$3000,$C7,10+3*MIN(V$3,$D$2-1)))))</f>
        <v/>
      </c>
      <c r="W7" s="122">
        <f>IF(OR($C7="",$B$2="",$D$2=0),0,IF(W$3&lt;0,0,N(INDEX('CURVA PREVISION'!$A$1:$KZ$3000,$C7,10+3*MIN(W$3,$D$2-1)))))</f>
        <v/>
      </c>
      <c r="X7" s="122">
        <f>IF(OR($C7="",$B$2="",$D$2=0),0,IF(X$3&lt;0,0,N(INDEX('CURVA PREVISION'!$A$1:$KZ$3000,$C7,10+3*MIN(X$3,$D$2-1)))))</f>
        <v/>
      </c>
      <c r="Y7" s="122">
        <f>IF(OR($C7="",$B$2="",$D$2=0),0,IF(Y$3&lt;0,0,N(INDEX('CURVA PREVISION'!$A$1:$KZ$3000,$C7,10+3*MIN(Y$3,$D$2-1)))))</f>
        <v/>
      </c>
      <c r="Z7" s="122">
        <f>IF(OR($C7="",$B$2="",$D$2=0),0,IF(Z$3&lt;0,0,N(INDEX('CURVA PREVISION'!$A$1:$KZ$3000,$C7,10+3*MIN(Z$3,$D$2-1)))))</f>
        <v/>
      </c>
      <c r="AA7" s="122">
        <f>IF(OR($C7="",$B$2="",$D$2=0),0,IF(AA$3&lt;0,0,N(INDEX('CURVA PREVISION'!$A$1:$KZ$3000,$C7,10+3*MIN(AA$3,$D$2-1)))))</f>
        <v/>
      </c>
      <c r="AB7" s="122">
        <f>IF(OR($C7="",$B$2="",$D$2=0),0,IF(AB$3&lt;0,0,N(INDEX('CURVA PREVISION'!$A$1:$KZ$3000,$C7,10+3*MIN(AB$3,$D$2-1)))))</f>
        <v/>
      </c>
      <c r="AC7" s="122">
        <f>IF(OR($C7="",$B$2="",$D$2=0),0,IF(AC$3&lt;0,0,N(INDEX('CURVA PREVISION'!$A$1:$KZ$3000,$C7,10+3*MIN(AC$3,$D$2-1)))))</f>
        <v/>
      </c>
      <c r="AD7" s="122">
        <f>IF(OR($C7="",$B$2="",$D$2=0),0,IF(AD$3&lt;0,0,N(INDEX('CURVA PREVISION'!$A$1:$KZ$3000,$C7,10+3*MIN(AD$3,$D$2-1)))))</f>
        <v/>
      </c>
      <c r="AE7" s="122">
        <f>IF(OR($C7="",$B$2="",$D$2=0),0,IF(AE$3&lt;0,0,N(INDEX('CURVA PREVISION'!$A$1:$KZ$3000,$C7,10+3*MIN(AE$3,$D$2-1)))))</f>
        <v/>
      </c>
      <c r="AF7" s="122">
        <f>IF(OR($C7="",$B$2="",$D$2=0),0,IF(AF$3&lt;0,0,N(INDEX('CURVA PREVISION'!$A$1:$KZ$3000,$C7,10+3*MIN(AF$3,$D$2-1)))))</f>
        <v/>
      </c>
      <c r="AG7" s="122">
        <f>IF(OR($C7="",$B$2="",$D$2=0),0,IF(AG$3&lt;0,0,N(INDEX('CURVA PREVISION'!$A$1:$KZ$3000,$C7,10+3*MIN(AG$3,$D$2-1)))))</f>
        <v/>
      </c>
      <c r="AH7" s="122">
        <f>IF(OR($C7="",$B$2="",$D$2=0),0,IF(AH$3&lt;0,0,N(INDEX('CURVA PREVISION'!$A$1:$KZ$3000,$C7,10+3*MIN(AH$3,$D$2-1)))))</f>
        <v/>
      </c>
      <c r="AI7" s="122">
        <f>IF(OR($C7="",$B$2="",$D$2=0),0,IF(AI$3&lt;0,0,N(INDEX('CURVA PREVISION'!$A$1:$KZ$3000,$C7,10+3*MIN(AI$3,$D$2-1)))))</f>
        <v/>
      </c>
      <c r="AJ7" s="122">
        <f>IF(OR($C7="",$B$2="",$D$2=0),0,IF(AJ$3&lt;0,0,N(INDEX('CURVA PREVISION'!$A$1:$KZ$3000,$C7,10+3*MIN(AJ$3,$D$2-1)))))</f>
        <v/>
      </c>
      <c r="AK7" s="122">
        <f>IF(OR($C7="",$B$2="",$D$2=0),0,IF(AK$3&lt;0,0,N(INDEX('CURVA PREVISION'!$A$1:$KZ$3000,$C7,10+3*MIN(AK$3,$D$2-1)))))</f>
        <v/>
      </c>
      <c r="AL7" s="122">
        <f>IF(OR($C7="",$B$2="",$D$2=0),0,IF(AL$3&lt;0,0,N(INDEX('CURVA PREVISION'!$A$1:$KZ$3000,$C7,10+3*MIN(AL$3,$D$2-1)))))</f>
        <v/>
      </c>
      <c r="AM7" s="122">
        <f>IF(OR($C7="",$B$2="",$D$2=0),0,IF(AM$3&lt;0,0,N(INDEX('CURVA PREVISION'!$A$1:$KZ$3000,$C7,10+3*MIN(AM$3,$D$2-1)))))</f>
        <v/>
      </c>
      <c r="AN7" s="122">
        <f>IF(OR($C7="",$B$2="",$D$2=0),0,IF(AN$3&lt;0,0,N(INDEX('CURVA PREVISION'!$A$1:$KZ$3000,$C7,10+3*MIN(AN$3,$D$2-1)))))</f>
        <v/>
      </c>
      <c r="AO7" s="122">
        <f>IF(OR($C7="",$B$2="",$D$2=0),0,IF(AO$3&lt;0,0,N(INDEX('CURVA PREVISION'!$A$1:$KZ$3000,$C7,10+3*MIN(AO$3,$D$2-1)))))</f>
        <v/>
      </c>
      <c r="AP7" s="122">
        <f>IF(OR($C7="",$B$2="",$D$2=0),0,IF(AP$3&lt;0,0,N(INDEX('CURVA PREVISION'!$A$1:$KZ$3000,$C7,10+3*MIN(AP$3,$D$2-1)))))</f>
        <v/>
      </c>
      <c r="AQ7" s="122">
        <f>IF(OR($C7="",$B$2="",$D$2=0),0,IF(AQ$3&lt;0,0,N(INDEX('CURVA PREVISION'!$A$1:$KZ$3000,$C7,10+3*MIN(AQ$3,$D$2-1)))))</f>
        <v/>
      </c>
      <c r="AR7" s="122">
        <f>IF(OR($C7="",$B$2="",$D$2=0),0,IF(AR$3&lt;0,0,N(INDEX('CURVA PREVISION'!$A$1:$KZ$3000,$C7,10+3*MIN(AR$3,$D$2-1)))))</f>
        <v/>
      </c>
      <c r="AS7" s="122">
        <f>IF(OR($C7="",$B$2="",$D$2=0),0,IF(AS$3&lt;0,0,N(INDEX('CURVA PREVISION'!$A$1:$KZ$3000,$C7,10+3*MIN(AS$3,$D$2-1)))))</f>
        <v/>
      </c>
      <c r="AT7" s="122">
        <f>IF(OR($C7="",$B$2="",$D$2=0),0,IF(AT$3&lt;0,0,N(INDEX('CURVA PREVISION'!$A$1:$KZ$3000,$C7,10+3*MIN(AT$3,$D$2-1)))))</f>
        <v/>
      </c>
      <c r="AU7" s="122">
        <f>IF(OR($C7="",$B$2="",$D$2=0),0,IF(AU$3&lt;0,0,N(INDEX('CURVA PREVISION'!$A$1:$KZ$3000,$C7,10+3*MIN(AU$3,$D$2-1)))))</f>
        <v/>
      </c>
      <c r="AV7" s="122">
        <f>IF(OR($C7="",$B$2="",$D$2=0),0,IF(AV$3&lt;0,0,N(INDEX('CURVA PREVISION'!$A$1:$KZ$3000,$C7,10+3*MIN(AV$3,$D$2-1)))))</f>
        <v/>
      </c>
      <c r="AW7" s="122">
        <f>IF(OR($C7="",$B$2="",$D$2=0),0,IF(AW$3&lt;0,0,N(INDEX('CURVA PREVISION'!$A$1:$KZ$3000,$C7,10+3*MIN(AW$3,$D$2-1)))))</f>
        <v/>
      </c>
      <c r="AX7" s="122">
        <f>IF(OR($C7="",$B$2="",$D$2=0),0,IF(AX$3&lt;0,0,N(INDEX('CURVA PREVISION'!$A$1:$KZ$3000,$C7,10+3*MIN(AX$3,$D$2-1)))))</f>
        <v/>
      </c>
      <c r="AY7" s="122">
        <f>IF(OR($C7="",$B$2="",$D$2=0),0,IF(AY$3&lt;0,0,N(INDEX('CURVA PREVISION'!$A$1:$KZ$3000,$C7,10+3*MIN(AY$3,$D$2-1)))))</f>
        <v/>
      </c>
      <c r="AZ7" s="122">
        <f>IF(OR($C7="",$B$2="",$D$2=0),0,IF(AZ$3&lt;0,0,N(INDEX('CURVA PREVISION'!$A$1:$KZ$3000,$C7,10+3*MIN(AZ$3,$D$2-1)))))</f>
        <v/>
      </c>
      <c r="BA7" s="122">
        <f>IF(OR($C7="",$B$2="",$D$2=0),0,IF(BA$3&lt;0,0,N(INDEX('CURVA PREVISION'!$A$1:$KZ$3000,$C7,10+3*MIN(BA$3,$D$2-1)))))</f>
        <v/>
      </c>
      <c r="BB7" s="122">
        <f>IF(OR($C7="",$B$2="",$D$2=0),0,IF(BB$3&lt;0,0,N(INDEX('CURVA PREVISION'!$A$1:$KZ$3000,$C7,10+3*MIN(BB$3,$D$2-1)))))</f>
        <v/>
      </c>
      <c r="BC7" s="122">
        <f>IF(OR($C7="",$B$2="",$D$2=0),0,IF(BC$3&lt;0,0,N(INDEX('CURVA PREVISION'!$A$1:$KZ$3000,$C7,10+3*MIN(BC$3,$D$2-1)))))</f>
        <v/>
      </c>
      <c r="BD7" s="122">
        <f>IF(OR($C7="",$B$2="",$D$2=0),0,IF(BD$3&lt;0,0,N(INDEX('CURVA PREVISION'!$A$1:$KZ$3000,$C7,10+3*MIN(BD$3,$D$2-1)))))</f>
        <v/>
      </c>
      <c r="BE7" s="122">
        <f>IF(OR($C7="",$B$2="",$D$2=0),0,IF(BE$3&lt;0,0,N(INDEX('CURVA PREVISION'!$A$1:$KZ$3000,$C7,10+3*MIN(BE$3,$D$2-1)))))</f>
        <v/>
      </c>
      <c r="BF7" s="122">
        <f>IF(OR($C7="",$B$2="",$D$2=0),0,IF(BF$3&lt;0,0,N(INDEX('CURVA PREVISION'!$A$1:$KZ$3000,$C7,10+3*MIN(BF$3,$D$2-1)))))</f>
        <v/>
      </c>
      <c r="BG7" s="122">
        <f>IF(OR($C7="",$B$2="",$D$2=0),0,IF(BG$3&lt;0,0,N(INDEX('CURVA PREVISION'!$A$1:$KZ$3000,$C7,10+3*MIN(BG$3,$D$2-1)))))</f>
        <v/>
      </c>
      <c r="BH7" s="122">
        <f>IF(OR($C7="",$B$2="",$D$2=0),0,IF(BH$3&lt;0,0,N(INDEX('CURVA PREVISION'!$A$1:$KZ$3000,$C7,10+3*MIN(BH$3,$D$2-1)))))</f>
        <v/>
      </c>
      <c r="BI7" s="122">
        <f>IF(OR($C7="",$B$2="",$D$2=0),0,IF(BI$3&lt;0,0,N(INDEX('CURVA PREVISION'!$A$1:$KZ$3000,$C7,10+3*MIN(BI$3,$D$2-1)))))</f>
        <v/>
      </c>
      <c r="BJ7" s="122">
        <f>IF(OR($C7="",$B$2="",$D$2=0),0,IF(BJ$3&lt;0,0,N(INDEX('CURVA PREVISION'!$A$1:$KZ$3000,$C7,10+3*MIN(BJ$3,$D$2-1)))))</f>
        <v/>
      </c>
      <c r="BK7" s="122">
        <f>IF(OR($C7="",$B$2="",$D$2=0),0,IF(BK$3&lt;0,0,N(INDEX('CURVA PREVISION'!$A$1:$KZ$3000,$C7,10+3*MIN(BK$3,$D$2-1)))))</f>
        <v/>
      </c>
      <c r="BL7" s="122">
        <f>IF(OR($C7="",$B$2="",$D$2=0),0,IF(BL$3&lt;0,0,N(INDEX('CURVA PREVISION'!$A$1:$KZ$3000,$C7,10+3*MIN(BL$3,$D$2-1)))))</f>
        <v/>
      </c>
      <c r="BM7" s="122">
        <f>IF(OR($C7="",$B$2="",$D$2=0),0,IF(BM$3&lt;0,0,N(INDEX('CURVA PREVISION'!$A$1:$KZ$3000,$C7,10+3*MIN(BM$3,$D$2-1)))))</f>
        <v/>
      </c>
      <c r="BN7" s="122">
        <f>IF(OR($C7="",$B$2="",$D$2=0),0,IF(BN$3&lt;0,0,N(INDEX('CURVA PREVISION'!$A$1:$KZ$3000,$C7,10+3*MIN(BN$3,$D$2-1)))))</f>
        <v/>
      </c>
      <c r="BO7" s="122">
        <f>IF(OR($C7="",$B$2="",$D$2=0),0,IF(BO$3&lt;0,0,N(INDEX('CURVA PREVISION'!$A$1:$KZ$3000,$C7,10+3*MIN(BO$3,$D$2-1)))))</f>
        <v/>
      </c>
      <c r="BP7" s="122">
        <f>IF(OR($C7="",$B$2="",$D$2=0),0,IF(BP$3&lt;0,0,N(INDEX('CURVA PREVISION'!$A$1:$KZ$3000,$C7,10+3*MIN(BP$3,$D$2-1)))))</f>
        <v/>
      </c>
      <c r="BQ7" s="122">
        <f>IF(OR($C7="",$B$2="",$D$2=0),0,IF(BQ$3&lt;0,0,N(INDEX('CURVA PREVISION'!$A$1:$KZ$3000,$C7,10+3*MIN(BQ$3,$D$2-1)))))</f>
        <v/>
      </c>
      <c r="BR7" s="122">
        <f>IF(OR($C7="",$B$2="",$D$2=0),0,IF(BR$3&lt;0,0,N(INDEX('CURVA PREVISION'!$A$1:$KZ$3000,$C7,10+3*MIN(BR$3,$D$2-1)))))</f>
        <v/>
      </c>
      <c r="BS7" s="122">
        <f>IF(OR($C7="",$B$2="",$D$2=0),0,IF(BS$3&lt;0,0,N(INDEX('CURVA PREVISION'!$A$1:$KZ$3000,$C7,10+3*MIN(BS$3,$D$2-1)))))</f>
        <v/>
      </c>
      <c r="BT7" s="122">
        <f>IF(OR($C7="",$B$2="",$D$2=0),0,IF(BT$3&lt;0,0,N(INDEX('CURVA PREVISION'!$A$1:$KZ$3000,$C7,10+3*MIN(BT$3,$D$2-1)))))</f>
        <v/>
      </c>
      <c r="BU7" s="122">
        <f>IF(OR($C7="",$B$2="",$D$2=0),0,IF(BU$3&lt;0,0,N(INDEX('CURVA PREVISION'!$A$1:$KZ$3000,$C7,10+3*MIN(BU$3,$D$2-1)))))</f>
        <v/>
      </c>
      <c r="BV7" s="122">
        <f>IF(OR($C7="",$B$2="",$D$2=0),0,IF(BV$3&lt;0,0,N(INDEX('CURVA PREVISION'!$A$1:$KZ$3000,$C7,10+3*MIN(BV$3,$D$2-1)))))</f>
        <v/>
      </c>
      <c r="BW7" s="122">
        <f>IF(OR($C7="",$B$2="",$D$2=0),0,IF(BW$3&lt;0,0,N(INDEX('CURVA PREVISION'!$A$1:$KZ$3000,$C7,10+3*MIN(BW$3,$D$2-1)))))</f>
        <v/>
      </c>
    </row>
    <row r="8">
      <c r="A8" s="60">
        <f>IF('VALOR POR PL'!Q14="",'VALOR POR PL'!C14,'VALOR POR PL'!Q14)</f>
        <v/>
      </c>
      <c r="B8" s="60">
        <f>'VALOR POR PL'!D14</f>
        <v/>
      </c>
      <c r="C8" s="69">
        <f>IFERROR(MATCH(A8,'CURVA PREVISION'!$B$1:$B$3000,0),"")</f>
        <v/>
      </c>
      <c r="D8" s="122">
        <f>IF(OR($C8="",$B$2="",$D$2=0),0,IF(D$3&lt;0,0,N(INDEX('CURVA PREVISION'!$A$1:$KZ$3000,$C8,10+3*MIN(D$3,$D$2-1)))))</f>
        <v/>
      </c>
      <c r="E8" s="122">
        <f>IF(OR($C8="",$B$2="",$D$2=0),0,IF(E$3&lt;0,0,N(INDEX('CURVA PREVISION'!$A$1:$KZ$3000,$C8,10+3*MIN(E$3,$D$2-1)))))</f>
        <v/>
      </c>
      <c r="F8" s="122">
        <f>IF(OR($C8="",$B$2="",$D$2=0),0,IF(F$3&lt;0,0,N(INDEX('CURVA PREVISION'!$A$1:$KZ$3000,$C8,10+3*MIN(F$3,$D$2-1)))))</f>
        <v/>
      </c>
      <c r="G8" s="122">
        <f>IF(OR($C8="",$B$2="",$D$2=0),0,IF(G$3&lt;0,0,N(INDEX('CURVA PREVISION'!$A$1:$KZ$3000,$C8,10+3*MIN(G$3,$D$2-1)))))</f>
        <v/>
      </c>
      <c r="H8" s="122">
        <f>IF(OR($C8="",$B$2="",$D$2=0),0,IF(H$3&lt;0,0,N(INDEX('CURVA PREVISION'!$A$1:$KZ$3000,$C8,10+3*MIN(H$3,$D$2-1)))))</f>
        <v/>
      </c>
      <c r="I8" s="122">
        <f>IF(OR($C8="",$B$2="",$D$2=0),0,IF(I$3&lt;0,0,N(INDEX('CURVA PREVISION'!$A$1:$KZ$3000,$C8,10+3*MIN(I$3,$D$2-1)))))</f>
        <v/>
      </c>
      <c r="J8" s="122">
        <f>IF(OR($C8="",$B$2="",$D$2=0),0,IF(J$3&lt;0,0,N(INDEX('CURVA PREVISION'!$A$1:$KZ$3000,$C8,10+3*MIN(J$3,$D$2-1)))))</f>
        <v/>
      </c>
      <c r="K8" s="122">
        <f>IF(OR($C8="",$B$2="",$D$2=0),0,IF(K$3&lt;0,0,N(INDEX('CURVA PREVISION'!$A$1:$KZ$3000,$C8,10+3*MIN(K$3,$D$2-1)))))</f>
        <v/>
      </c>
      <c r="L8" s="122">
        <f>IF(OR($C8="",$B$2="",$D$2=0),0,IF(L$3&lt;0,0,N(INDEX('CURVA PREVISION'!$A$1:$KZ$3000,$C8,10+3*MIN(L$3,$D$2-1)))))</f>
        <v/>
      </c>
      <c r="M8" s="122">
        <f>IF(OR($C8="",$B$2="",$D$2=0),0,IF(M$3&lt;0,0,N(INDEX('CURVA PREVISION'!$A$1:$KZ$3000,$C8,10+3*MIN(M$3,$D$2-1)))))</f>
        <v/>
      </c>
      <c r="N8" s="122">
        <f>IF(OR($C8="",$B$2="",$D$2=0),0,IF(N$3&lt;0,0,N(INDEX('CURVA PREVISION'!$A$1:$KZ$3000,$C8,10+3*MIN(N$3,$D$2-1)))))</f>
        <v/>
      </c>
      <c r="O8" s="122">
        <f>IF(OR($C8="",$B$2="",$D$2=0),0,IF(O$3&lt;0,0,N(INDEX('CURVA PREVISION'!$A$1:$KZ$3000,$C8,10+3*MIN(O$3,$D$2-1)))))</f>
        <v/>
      </c>
      <c r="P8" s="122">
        <f>IF(OR($C8="",$B$2="",$D$2=0),0,IF(P$3&lt;0,0,N(INDEX('CURVA PREVISION'!$A$1:$KZ$3000,$C8,10+3*MIN(P$3,$D$2-1)))))</f>
        <v/>
      </c>
      <c r="Q8" s="122">
        <f>IF(OR($C8="",$B$2="",$D$2=0),0,IF(Q$3&lt;0,0,N(INDEX('CURVA PREVISION'!$A$1:$KZ$3000,$C8,10+3*MIN(Q$3,$D$2-1)))))</f>
        <v/>
      </c>
      <c r="R8" s="122">
        <f>IF(OR($C8="",$B$2="",$D$2=0),0,IF(R$3&lt;0,0,N(INDEX('CURVA PREVISION'!$A$1:$KZ$3000,$C8,10+3*MIN(R$3,$D$2-1)))))</f>
        <v/>
      </c>
      <c r="S8" s="122">
        <f>IF(OR($C8="",$B$2="",$D$2=0),0,IF(S$3&lt;0,0,N(INDEX('CURVA PREVISION'!$A$1:$KZ$3000,$C8,10+3*MIN(S$3,$D$2-1)))))</f>
        <v/>
      </c>
      <c r="T8" s="122">
        <f>IF(OR($C8="",$B$2="",$D$2=0),0,IF(T$3&lt;0,0,N(INDEX('CURVA PREVISION'!$A$1:$KZ$3000,$C8,10+3*MIN(T$3,$D$2-1)))))</f>
        <v/>
      </c>
      <c r="U8" s="122">
        <f>IF(OR($C8="",$B$2="",$D$2=0),0,IF(U$3&lt;0,0,N(INDEX('CURVA PREVISION'!$A$1:$KZ$3000,$C8,10+3*MIN(U$3,$D$2-1)))))</f>
        <v/>
      </c>
      <c r="V8" s="122">
        <f>IF(OR($C8="",$B$2="",$D$2=0),0,IF(V$3&lt;0,0,N(INDEX('CURVA PREVISION'!$A$1:$KZ$3000,$C8,10+3*MIN(V$3,$D$2-1)))))</f>
        <v/>
      </c>
      <c r="W8" s="122">
        <f>IF(OR($C8="",$B$2="",$D$2=0),0,IF(W$3&lt;0,0,N(INDEX('CURVA PREVISION'!$A$1:$KZ$3000,$C8,10+3*MIN(W$3,$D$2-1)))))</f>
        <v/>
      </c>
      <c r="X8" s="122">
        <f>IF(OR($C8="",$B$2="",$D$2=0),0,IF(X$3&lt;0,0,N(INDEX('CURVA PREVISION'!$A$1:$KZ$3000,$C8,10+3*MIN(X$3,$D$2-1)))))</f>
        <v/>
      </c>
      <c r="Y8" s="122">
        <f>IF(OR($C8="",$B$2="",$D$2=0),0,IF(Y$3&lt;0,0,N(INDEX('CURVA PREVISION'!$A$1:$KZ$3000,$C8,10+3*MIN(Y$3,$D$2-1)))))</f>
        <v/>
      </c>
      <c r="Z8" s="122">
        <f>IF(OR($C8="",$B$2="",$D$2=0),0,IF(Z$3&lt;0,0,N(INDEX('CURVA PREVISION'!$A$1:$KZ$3000,$C8,10+3*MIN(Z$3,$D$2-1)))))</f>
        <v/>
      </c>
      <c r="AA8" s="122">
        <f>IF(OR($C8="",$B$2="",$D$2=0),0,IF(AA$3&lt;0,0,N(INDEX('CURVA PREVISION'!$A$1:$KZ$3000,$C8,10+3*MIN(AA$3,$D$2-1)))))</f>
        <v/>
      </c>
      <c r="AB8" s="122">
        <f>IF(OR($C8="",$B$2="",$D$2=0),0,IF(AB$3&lt;0,0,N(INDEX('CURVA PREVISION'!$A$1:$KZ$3000,$C8,10+3*MIN(AB$3,$D$2-1)))))</f>
        <v/>
      </c>
      <c r="AC8" s="122">
        <f>IF(OR($C8="",$B$2="",$D$2=0),0,IF(AC$3&lt;0,0,N(INDEX('CURVA PREVISION'!$A$1:$KZ$3000,$C8,10+3*MIN(AC$3,$D$2-1)))))</f>
        <v/>
      </c>
      <c r="AD8" s="122">
        <f>IF(OR($C8="",$B$2="",$D$2=0),0,IF(AD$3&lt;0,0,N(INDEX('CURVA PREVISION'!$A$1:$KZ$3000,$C8,10+3*MIN(AD$3,$D$2-1)))))</f>
        <v/>
      </c>
      <c r="AE8" s="122">
        <f>IF(OR($C8="",$B$2="",$D$2=0),0,IF(AE$3&lt;0,0,N(INDEX('CURVA PREVISION'!$A$1:$KZ$3000,$C8,10+3*MIN(AE$3,$D$2-1)))))</f>
        <v/>
      </c>
      <c r="AF8" s="122">
        <f>IF(OR($C8="",$B$2="",$D$2=0),0,IF(AF$3&lt;0,0,N(INDEX('CURVA PREVISION'!$A$1:$KZ$3000,$C8,10+3*MIN(AF$3,$D$2-1)))))</f>
        <v/>
      </c>
      <c r="AG8" s="122">
        <f>IF(OR($C8="",$B$2="",$D$2=0),0,IF(AG$3&lt;0,0,N(INDEX('CURVA PREVISION'!$A$1:$KZ$3000,$C8,10+3*MIN(AG$3,$D$2-1)))))</f>
        <v/>
      </c>
      <c r="AH8" s="122">
        <f>IF(OR($C8="",$B$2="",$D$2=0),0,IF(AH$3&lt;0,0,N(INDEX('CURVA PREVISION'!$A$1:$KZ$3000,$C8,10+3*MIN(AH$3,$D$2-1)))))</f>
        <v/>
      </c>
      <c r="AI8" s="122">
        <f>IF(OR($C8="",$B$2="",$D$2=0),0,IF(AI$3&lt;0,0,N(INDEX('CURVA PREVISION'!$A$1:$KZ$3000,$C8,10+3*MIN(AI$3,$D$2-1)))))</f>
        <v/>
      </c>
      <c r="AJ8" s="122">
        <f>IF(OR($C8="",$B$2="",$D$2=0),0,IF(AJ$3&lt;0,0,N(INDEX('CURVA PREVISION'!$A$1:$KZ$3000,$C8,10+3*MIN(AJ$3,$D$2-1)))))</f>
        <v/>
      </c>
      <c r="AK8" s="122">
        <f>IF(OR($C8="",$B$2="",$D$2=0),0,IF(AK$3&lt;0,0,N(INDEX('CURVA PREVISION'!$A$1:$KZ$3000,$C8,10+3*MIN(AK$3,$D$2-1)))))</f>
        <v/>
      </c>
      <c r="AL8" s="122">
        <f>IF(OR($C8="",$B$2="",$D$2=0),0,IF(AL$3&lt;0,0,N(INDEX('CURVA PREVISION'!$A$1:$KZ$3000,$C8,10+3*MIN(AL$3,$D$2-1)))))</f>
        <v/>
      </c>
      <c r="AM8" s="122">
        <f>IF(OR($C8="",$B$2="",$D$2=0),0,IF(AM$3&lt;0,0,N(INDEX('CURVA PREVISION'!$A$1:$KZ$3000,$C8,10+3*MIN(AM$3,$D$2-1)))))</f>
        <v/>
      </c>
      <c r="AN8" s="122">
        <f>IF(OR($C8="",$B$2="",$D$2=0),0,IF(AN$3&lt;0,0,N(INDEX('CURVA PREVISION'!$A$1:$KZ$3000,$C8,10+3*MIN(AN$3,$D$2-1)))))</f>
        <v/>
      </c>
      <c r="AO8" s="122">
        <f>IF(OR($C8="",$B$2="",$D$2=0),0,IF(AO$3&lt;0,0,N(INDEX('CURVA PREVISION'!$A$1:$KZ$3000,$C8,10+3*MIN(AO$3,$D$2-1)))))</f>
        <v/>
      </c>
      <c r="AP8" s="122">
        <f>IF(OR($C8="",$B$2="",$D$2=0),0,IF(AP$3&lt;0,0,N(INDEX('CURVA PREVISION'!$A$1:$KZ$3000,$C8,10+3*MIN(AP$3,$D$2-1)))))</f>
        <v/>
      </c>
      <c r="AQ8" s="122">
        <f>IF(OR($C8="",$B$2="",$D$2=0),0,IF(AQ$3&lt;0,0,N(INDEX('CURVA PREVISION'!$A$1:$KZ$3000,$C8,10+3*MIN(AQ$3,$D$2-1)))))</f>
        <v/>
      </c>
      <c r="AR8" s="122">
        <f>IF(OR($C8="",$B$2="",$D$2=0),0,IF(AR$3&lt;0,0,N(INDEX('CURVA PREVISION'!$A$1:$KZ$3000,$C8,10+3*MIN(AR$3,$D$2-1)))))</f>
        <v/>
      </c>
      <c r="AS8" s="122">
        <f>IF(OR($C8="",$B$2="",$D$2=0),0,IF(AS$3&lt;0,0,N(INDEX('CURVA PREVISION'!$A$1:$KZ$3000,$C8,10+3*MIN(AS$3,$D$2-1)))))</f>
        <v/>
      </c>
      <c r="AT8" s="122">
        <f>IF(OR($C8="",$B$2="",$D$2=0),0,IF(AT$3&lt;0,0,N(INDEX('CURVA PREVISION'!$A$1:$KZ$3000,$C8,10+3*MIN(AT$3,$D$2-1)))))</f>
        <v/>
      </c>
      <c r="AU8" s="122">
        <f>IF(OR($C8="",$B$2="",$D$2=0),0,IF(AU$3&lt;0,0,N(INDEX('CURVA PREVISION'!$A$1:$KZ$3000,$C8,10+3*MIN(AU$3,$D$2-1)))))</f>
        <v/>
      </c>
      <c r="AV8" s="122">
        <f>IF(OR($C8="",$B$2="",$D$2=0),0,IF(AV$3&lt;0,0,N(INDEX('CURVA PREVISION'!$A$1:$KZ$3000,$C8,10+3*MIN(AV$3,$D$2-1)))))</f>
        <v/>
      </c>
      <c r="AW8" s="122">
        <f>IF(OR($C8="",$B$2="",$D$2=0),0,IF(AW$3&lt;0,0,N(INDEX('CURVA PREVISION'!$A$1:$KZ$3000,$C8,10+3*MIN(AW$3,$D$2-1)))))</f>
        <v/>
      </c>
      <c r="AX8" s="122">
        <f>IF(OR($C8="",$B$2="",$D$2=0),0,IF(AX$3&lt;0,0,N(INDEX('CURVA PREVISION'!$A$1:$KZ$3000,$C8,10+3*MIN(AX$3,$D$2-1)))))</f>
        <v/>
      </c>
      <c r="AY8" s="122">
        <f>IF(OR($C8="",$B$2="",$D$2=0),0,IF(AY$3&lt;0,0,N(INDEX('CURVA PREVISION'!$A$1:$KZ$3000,$C8,10+3*MIN(AY$3,$D$2-1)))))</f>
        <v/>
      </c>
      <c r="AZ8" s="122">
        <f>IF(OR($C8="",$B$2="",$D$2=0),0,IF(AZ$3&lt;0,0,N(INDEX('CURVA PREVISION'!$A$1:$KZ$3000,$C8,10+3*MIN(AZ$3,$D$2-1)))))</f>
        <v/>
      </c>
      <c r="BA8" s="122">
        <f>IF(OR($C8="",$B$2="",$D$2=0),0,IF(BA$3&lt;0,0,N(INDEX('CURVA PREVISION'!$A$1:$KZ$3000,$C8,10+3*MIN(BA$3,$D$2-1)))))</f>
        <v/>
      </c>
      <c r="BB8" s="122">
        <f>IF(OR($C8="",$B$2="",$D$2=0),0,IF(BB$3&lt;0,0,N(INDEX('CURVA PREVISION'!$A$1:$KZ$3000,$C8,10+3*MIN(BB$3,$D$2-1)))))</f>
        <v/>
      </c>
      <c r="BC8" s="122">
        <f>IF(OR($C8="",$B$2="",$D$2=0),0,IF(BC$3&lt;0,0,N(INDEX('CURVA PREVISION'!$A$1:$KZ$3000,$C8,10+3*MIN(BC$3,$D$2-1)))))</f>
        <v/>
      </c>
      <c r="BD8" s="122">
        <f>IF(OR($C8="",$B$2="",$D$2=0),0,IF(BD$3&lt;0,0,N(INDEX('CURVA PREVISION'!$A$1:$KZ$3000,$C8,10+3*MIN(BD$3,$D$2-1)))))</f>
        <v/>
      </c>
      <c r="BE8" s="122">
        <f>IF(OR($C8="",$B$2="",$D$2=0),0,IF(BE$3&lt;0,0,N(INDEX('CURVA PREVISION'!$A$1:$KZ$3000,$C8,10+3*MIN(BE$3,$D$2-1)))))</f>
        <v/>
      </c>
      <c r="BF8" s="122">
        <f>IF(OR($C8="",$B$2="",$D$2=0),0,IF(BF$3&lt;0,0,N(INDEX('CURVA PREVISION'!$A$1:$KZ$3000,$C8,10+3*MIN(BF$3,$D$2-1)))))</f>
        <v/>
      </c>
      <c r="BG8" s="122">
        <f>IF(OR($C8="",$B$2="",$D$2=0),0,IF(BG$3&lt;0,0,N(INDEX('CURVA PREVISION'!$A$1:$KZ$3000,$C8,10+3*MIN(BG$3,$D$2-1)))))</f>
        <v/>
      </c>
      <c r="BH8" s="122">
        <f>IF(OR($C8="",$B$2="",$D$2=0),0,IF(BH$3&lt;0,0,N(INDEX('CURVA PREVISION'!$A$1:$KZ$3000,$C8,10+3*MIN(BH$3,$D$2-1)))))</f>
        <v/>
      </c>
      <c r="BI8" s="122">
        <f>IF(OR($C8="",$B$2="",$D$2=0),0,IF(BI$3&lt;0,0,N(INDEX('CURVA PREVISION'!$A$1:$KZ$3000,$C8,10+3*MIN(BI$3,$D$2-1)))))</f>
        <v/>
      </c>
      <c r="BJ8" s="122">
        <f>IF(OR($C8="",$B$2="",$D$2=0),0,IF(BJ$3&lt;0,0,N(INDEX('CURVA PREVISION'!$A$1:$KZ$3000,$C8,10+3*MIN(BJ$3,$D$2-1)))))</f>
        <v/>
      </c>
      <c r="BK8" s="122">
        <f>IF(OR($C8="",$B$2="",$D$2=0),0,IF(BK$3&lt;0,0,N(INDEX('CURVA PREVISION'!$A$1:$KZ$3000,$C8,10+3*MIN(BK$3,$D$2-1)))))</f>
        <v/>
      </c>
      <c r="BL8" s="122">
        <f>IF(OR($C8="",$B$2="",$D$2=0),0,IF(BL$3&lt;0,0,N(INDEX('CURVA PREVISION'!$A$1:$KZ$3000,$C8,10+3*MIN(BL$3,$D$2-1)))))</f>
        <v/>
      </c>
      <c r="BM8" s="122">
        <f>IF(OR($C8="",$B$2="",$D$2=0),0,IF(BM$3&lt;0,0,N(INDEX('CURVA PREVISION'!$A$1:$KZ$3000,$C8,10+3*MIN(BM$3,$D$2-1)))))</f>
        <v/>
      </c>
      <c r="BN8" s="122">
        <f>IF(OR($C8="",$B$2="",$D$2=0),0,IF(BN$3&lt;0,0,N(INDEX('CURVA PREVISION'!$A$1:$KZ$3000,$C8,10+3*MIN(BN$3,$D$2-1)))))</f>
        <v/>
      </c>
      <c r="BO8" s="122">
        <f>IF(OR($C8="",$B$2="",$D$2=0),0,IF(BO$3&lt;0,0,N(INDEX('CURVA PREVISION'!$A$1:$KZ$3000,$C8,10+3*MIN(BO$3,$D$2-1)))))</f>
        <v/>
      </c>
      <c r="BP8" s="122">
        <f>IF(OR($C8="",$B$2="",$D$2=0),0,IF(BP$3&lt;0,0,N(INDEX('CURVA PREVISION'!$A$1:$KZ$3000,$C8,10+3*MIN(BP$3,$D$2-1)))))</f>
        <v/>
      </c>
      <c r="BQ8" s="122">
        <f>IF(OR($C8="",$B$2="",$D$2=0),0,IF(BQ$3&lt;0,0,N(INDEX('CURVA PREVISION'!$A$1:$KZ$3000,$C8,10+3*MIN(BQ$3,$D$2-1)))))</f>
        <v/>
      </c>
      <c r="BR8" s="122">
        <f>IF(OR($C8="",$B$2="",$D$2=0),0,IF(BR$3&lt;0,0,N(INDEX('CURVA PREVISION'!$A$1:$KZ$3000,$C8,10+3*MIN(BR$3,$D$2-1)))))</f>
        <v/>
      </c>
      <c r="BS8" s="122">
        <f>IF(OR($C8="",$B$2="",$D$2=0),0,IF(BS$3&lt;0,0,N(INDEX('CURVA PREVISION'!$A$1:$KZ$3000,$C8,10+3*MIN(BS$3,$D$2-1)))))</f>
        <v/>
      </c>
      <c r="BT8" s="122">
        <f>IF(OR($C8="",$B$2="",$D$2=0),0,IF(BT$3&lt;0,0,N(INDEX('CURVA PREVISION'!$A$1:$KZ$3000,$C8,10+3*MIN(BT$3,$D$2-1)))))</f>
        <v/>
      </c>
      <c r="BU8" s="122">
        <f>IF(OR($C8="",$B$2="",$D$2=0),0,IF(BU$3&lt;0,0,N(INDEX('CURVA PREVISION'!$A$1:$KZ$3000,$C8,10+3*MIN(BU$3,$D$2-1)))))</f>
        <v/>
      </c>
      <c r="BV8" s="122">
        <f>IF(OR($C8="",$B$2="",$D$2=0),0,IF(BV$3&lt;0,0,N(INDEX('CURVA PREVISION'!$A$1:$KZ$3000,$C8,10+3*MIN(BV$3,$D$2-1)))))</f>
        <v/>
      </c>
      <c r="BW8" s="122">
        <f>IF(OR($C8="",$B$2="",$D$2=0),0,IF(BW$3&lt;0,0,N(INDEX('CURVA PREVISION'!$A$1:$KZ$3000,$C8,10+3*MIN(BW$3,$D$2-1)))))</f>
        <v/>
      </c>
    </row>
    <row r="9">
      <c r="A9" s="60">
        <f>IF('VALOR POR PL'!Q15="",'VALOR POR PL'!C15,'VALOR POR PL'!Q15)</f>
        <v/>
      </c>
      <c r="B9" s="60">
        <f>'VALOR POR PL'!D15</f>
        <v/>
      </c>
      <c r="C9" s="69">
        <f>IFERROR(MATCH(A9,'CURVA PREVISION'!$B$1:$B$3000,0),"")</f>
        <v/>
      </c>
      <c r="D9" s="122">
        <f>IF(OR($C9="",$B$2="",$D$2=0),0,IF(D$3&lt;0,0,N(INDEX('CURVA PREVISION'!$A$1:$KZ$3000,$C9,10+3*MIN(D$3,$D$2-1)))))</f>
        <v/>
      </c>
      <c r="E9" s="122">
        <f>IF(OR($C9="",$B$2="",$D$2=0),0,IF(E$3&lt;0,0,N(INDEX('CURVA PREVISION'!$A$1:$KZ$3000,$C9,10+3*MIN(E$3,$D$2-1)))))</f>
        <v/>
      </c>
      <c r="F9" s="122">
        <f>IF(OR($C9="",$B$2="",$D$2=0),0,IF(F$3&lt;0,0,N(INDEX('CURVA PREVISION'!$A$1:$KZ$3000,$C9,10+3*MIN(F$3,$D$2-1)))))</f>
        <v/>
      </c>
      <c r="G9" s="122">
        <f>IF(OR($C9="",$B$2="",$D$2=0),0,IF(G$3&lt;0,0,N(INDEX('CURVA PREVISION'!$A$1:$KZ$3000,$C9,10+3*MIN(G$3,$D$2-1)))))</f>
        <v/>
      </c>
      <c r="H9" s="122">
        <f>IF(OR($C9="",$B$2="",$D$2=0),0,IF(H$3&lt;0,0,N(INDEX('CURVA PREVISION'!$A$1:$KZ$3000,$C9,10+3*MIN(H$3,$D$2-1)))))</f>
        <v/>
      </c>
      <c r="I9" s="122">
        <f>IF(OR($C9="",$B$2="",$D$2=0),0,IF(I$3&lt;0,0,N(INDEX('CURVA PREVISION'!$A$1:$KZ$3000,$C9,10+3*MIN(I$3,$D$2-1)))))</f>
        <v/>
      </c>
      <c r="J9" s="122">
        <f>IF(OR($C9="",$B$2="",$D$2=0),0,IF(J$3&lt;0,0,N(INDEX('CURVA PREVISION'!$A$1:$KZ$3000,$C9,10+3*MIN(J$3,$D$2-1)))))</f>
        <v/>
      </c>
      <c r="K9" s="122">
        <f>IF(OR($C9="",$B$2="",$D$2=0),0,IF(K$3&lt;0,0,N(INDEX('CURVA PREVISION'!$A$1:$KZ$3000,$C9,10+3*MIN(K$3,$D$2-1)))))</f>
        <v/>
      </c>
      <c r="L9" s="122">
        <f>IF(OR($C9="",$B$2="",$D$2=0),0,IF(L$3&lt;0,0,N(INDEX('CURVA PREVISION'!$A$1:$KZ$3000,$C9,10+3*MIN(L$3,$D$2-1)))))</f>
        <v/>
      </c>
      <c r="M9" s="122">
        <f>IF(OR($C9="",$B$2="",$D$2=0),0,IF(M$3&lt;0,0,N(INDEX('CURVA PREVISION'!$A$1:$KZ$3000,$C9,10+3*MIN(M$3,$D$2-1)))))</f>
        <v/>
      </c>
      <c r="N9" s="122">
        <f>IF(OR($C9="",$B$2="",$D$2=0),0,IF(N$3&lt;0,0,N(INDEX('CURVA PREVISION'!$A$1:$KZ$3000,$C9,10+3*MIN(N$3,$D$2-1)))))</f>
        <v/>
      </c>
      <c r="O9" s="122">
        <f>IF(OR($C9="",$B$2="",$D$2=0),0,IF(O$3&lt;0,0,N(INDEX('CURVA PREVISION'!$A$1:$KZ$3000,$C9,10+3*MIN(O$3,$D$2-1)))))</f>
        <v/>
      </c>
      <c r="P9" s="122">
        <f>IF(OR($C9="",$B$2="",$D$2=0),0,IF(P$3&lt;0,0,N(INDEX('CURVA PREVISION'!$A$1:$KZ$3000,$C9,10+3*MIN(P$3,$D$2-1)))))</f>
        <v/>
      </c>
      <c r="Q9" s="122">
        <f>IF(OR($C9="",$B$2="",$D$2=0),0,IF(Q$3&lt;0,0,N(INDEX('CURVA PREVISION'!$A$1:$KZ$3000,$C9,10+3*MIN(Q$3,$D$2-1)))))</f>
        <v/>
      </c>
      <c r="R9" s="122">
        <f>IF(OR($C9="",$B$2="",$D$2=0),0,IF(R$3&lt;0,0,N(INDEX('CURVA PREVISION'!$A$1:$KZ$3000,$C9,10+3*MIN(R$3,$D$2-1)))))</f>
        <v/>
      </c>
      <c r="S9" s="122">
        <f>IF(OR($C9="",$B$2="",$D$2=0),0,IF(S$3&lt;0,0,N(INDEX('CURVA PREVISION'!$A$1:$KZ$3000,$C9,10+3*MIN(S$3,$D$2-1)))))</f>
        <v/>
      </c>
      <c r="T9" s="122">
        <f>IF(OR($C9="",$B$2="",$D$2=0),0,IF(T$3&lt;0,0,N(INDEX('CURVA PREVISION'!$A$1:$KZ$3000,$C9,10+3*MIN(T$3,$D$2-1)))))</f>
        <v/>
      </c>
      <c r="U9" s="122">
        <f>IF(OR($C9="",$B$2="",$D$2=0),0,IF(U$3&lt;0,0,N(INDEX('CURVA PREVISION'!$A$1:$KZ$3000,$C9,10+3*MIN(U$3,$D$2-1)))))</f>
        <v/>
      </c>
      <c r="V9" s="122">
        <f>IF(OR($C9="",$B$2="",$D$2=0),0,IF(V$3&lt;0,0,N(INDEX('CURVA PREVISION'!$A$1:$KZ$3000,$C9,10+3*MIN(V$3,$D$2-1)))))</f>
        <v/>
      </c>
      <c r="W9" s="122">
        <f>IF(OR($C9="",$B$2="",$D$2=0),0,IF(W$3&lt;0,0,N(INDEX('CURVA PREVISION'!$A$1:$KZ$3000,$C9,10+3*MIN(W$3,$D$2-1)))))</f>
        <v/>
      </c>
      <c r="X9" s="122">
        <f>IF(OR($C9="",$B$2="",$D$2=0),0,IF(X$3&lt;0,0,N(INDEX('CURVA PREVISION'!$A$1:$KZ$3000,$C9,10+3*MIN(X$3,$D$2-1)))))</f>
        <v/>
      </c>
      <c r="Y9" s="122">
        <f>IF(OR($C9="",$B$2="",$D$2=0),0,IF(Y$3&lt;0,0,N(INDEX('CURVA PREVISION'!$A$1:$KZ$3000,$C9,10+3*MIN(Y$3,$D$2-1)))))</f>
        <v/>
      </c>
      <c r="Z9" s="122">
        <f>IF(OR($C9="",$B$2="",$D$2=0),0,IF(Z$3&lt;0,0,N(INDEX('CURVA PREVISION'!$A$1:$KZ$3000,$C9,10+3*MIN(Z$3,$D$2-1)))))</f>
        <v/>
      </c>
      <c r="AA9" s="122">
        <f>IF(OR($C9="",$B$2="",$D$2=0),0,IF(AA$3&lt;0,0,N(INDEX('CURVA PREVISION'!$A$1:$KZ$3000,$C9,10+3*MIN(AA$3,$D$2-1)))))</f>
        <v/>
      </c>
      <c r="AB9" s="122">
        <f>IF(OR($C9="",$B$2="",$D$2=0),0,IF(AB$3&lt;0,0,N(INDEX('CURVA PREVISION'!$A$1:$KZ$3000,$C9,10+3*MIN(AB$3,$D$2-1)))))</f>
        <v/>
      </c>
      <c r="AC9" s="122">
        <f>IF(OR($C9="",$B$2="",$D$2=0),0,IF(AC$3&lt;0,0,N(INDEX('CURVA PREVISION'!$A$1:$KZ$3000,$C9,10+3*MIN(AC$3,$D$2-1)))))</f>
        <v/>
      </c>
      <c r="AD9" s="122">
        <f>IF(OR($C9="",$B$2="",$D$2=0),0,IF(AD$3&lt;0,0,N(INDEX('CURVA PREVISION'!$A$1:$KZ$3000,$C9,10+3*MIN(AD$3,$D$2-1)))))</f>
        <v/>
      </c>
      <c r="AE9" s="122">
        <f>IF(OR($C9="",$B$2="",$D$2=0),0,IF(AE$3&lt;0,0,N(INDEX('CURVA PREVISION'!$A$1:$KZ$3000,$C9,10+3*MIN(AE$3,$D$2-1)))))</f>
        <v/>
      </c>
      <c r="AF9" s="122">
        <f>IF(OR($C9="",$B$2="",$D$2=0),0,IF(AF$3&lt;0,0,N(INDEX('CURVA PREVISION'!$A$1:$KZ$3000,$C9,10+3*MIN(AF$3,$D$2-1)))))</f>
        <v/>
      </c>
      <c r="AG9" s="122">
        <f>IF(OR($C9="",$B$2="",$D$2=0),0,IF(AG$3&lt;0,0,N(INDEX('CURVA PREVISION'!$A$1:$KZ$3000,$C9,10+3*MIN(AG$3,$D$2-1)))))</f>
        <v/>
      </c>
      <c r="AH9" s="122">
        <f>IF(OR($C9="",$B$2="",$D$2=0),0,IF(AH$3&lt;0,0,N(INDEX('CURVA PREVISION'!$A$1:$KZ$3000,$C9,10+3*MIN(AH$3,$D$2-1)))))</f>
        <v/>
      </c>
      <c r="AI9" s="122">
        <f>IF(OR($C9="",$B$2="",$D$2=0),0,IF(AI$3&lt;0,0,N(INDEX('CURVA PREVISION'!$A$1:$KZ$3000,$C9,10+3*MIN(AI$3,$D$2-1)))))</f>
        <v/>
      </c>
      <c r="AJ9" s="122">
        <f>IF(OR($C9="",$B$2="",$D$2=0),0,IF(AJ$3&lt;0,0,N(INDEX('CURVA PREVISION'!$A$1:$KZ$3000,$C9,10+3*MIN(AJ$3,$D$2-1)))))</f>
        <v/>
      </c>
      <c r="AK9" s="122">
        <f>IF(OR($C9="",$B$2="",$D$2=0),0,IF(AK$3&lt;0,0,N(INDEX('CURVA PREVISION'!$A$1:$KZ$3000,$C9,10+3*MIN(AK$3,$D$2-1)))))</f>
        <v/>
      </c>
      <c r="AL9" s="122">
        <f>IF(OR($C9="",$B$2="",$D$2=0),0,IF(AL$3&lt;0,0,N(INDEX('CURVA PREVISION'!$A$1:$KZ$3000,$C9,10+3*MIN(AL$3,$D$2-1)))))</f>
        <v/>
      </c>
      <c r="AM9" s="122">
        <f>IF(OR($C9="",$B$2="",$D$2=0),0,IF(AM$3&lt;0,0,N(INDEX('CURVA PREVISION'!$A$1:$KZ$3000,$C9,10+3*MIN(AM$3,$D$2-1)))))</f>
        <v/>
      </c>
      <c r="AN9" s="122">
        <f>IF(OR($C9="",$B$2="",$D$2=0),0,IF(AN$3&lt;0,0,N(INDEX('CURVA PREVISION'!$A$1:$KZ$3000,$C9,10+3*MIN(AN$3,$D$2-1)))))</f>
        <v/>
      </c>
      <c r="AO9" s="122">
        <f>IF(OR($C9="",$B$2="",$D$2=0),0,IF(AO$3&lt;0,0,N(INDEX('CURVA PREVISION'!$A$1:$KZ$3000,$C9,10+3*MIN(AO$3,$D$2-1)))))</f>
        <v/>
      </c>
      <c r="AP9" s="122">
        <f>IF(OR($C9="",$B$2="",$D$2=0),0,IF(AP$3&lt;0,0,N(INDEX('CURVA PREVISION'!$A$1:$KZ$3000,$C9,10+3*MIN(AP$3,$D$2-1)))))</f>
        <v/>
      </c>
      <c r="AQ9" s="122">
        <f>IF(OR($C9="",$B$2="",$D$2=0),0,IF(AQ$3&lt;0,0,N(INDEX('CURVA PREVISION'!$A$1:$KZ$3000,$C9,10+3*MIN(AQ$3,$D$2-1)))))</f>
        <v/>
      </c>
      <c r="AR9" s="122">
        <f>IF(OR($C9="",$B$2="",$D$2=0),0,IF(AR$3&lt;0,0,N(INDEX('CURVA PREVISION'!$A$1:$KZ$3000,$C9,10+3*MIN(AR$3,$D$2-1)))))</f>
        <v/>
      </c>
      <c r="AS9" s="122">
        <f>IF(OR($C9="",$B$2="",$D$2=0),0,IF(AS$3&lt;0,0,N(INDEX('CURVA PREVISION'!$A$1:$KZ$3000,$C9,10+3*MIN(AS$3,$D$2-1)))))</f>
        <v/>
      </c>
      <c r="AT9" s="122">
        <f>IF(OR($C9="",$B$2="",$D$2=0),0,IF(AT$3&lt;0,0,N(INDEX('CURVA PREVISION'!$A$1:$KZ$3000,$C9,10+3*MIN(AT$3,$D$2-1)))))</f>
        <v/>
      </c>
      <c r="AU9" s="122">
        <f>IF(OR($C9="",$B$2="",$D$2=0),0,IF(AU$3&lt;0,0,N(INDEX('CURVA PREVISION'!$A$1:$KZ$3000,$C9,10+3*MIN(AU$3,$D$2-1)))))</f>
        <v/>
      </c>
      <c r="AV9" s="122">
        <f>IF(OR($C9="",$B$2="",$D$2=0),0,IF(AV$3&lt;0,0,N(INDEX('CURVA PREVISION'!$A$1:$KZ$3000,$C9,10+3*MIN(AV$3,$D$2-1)))))</f>
        <v/>
      </c>
      <c r="AW9" s="122">
        <f>IF(OR($C9="",$B$2="",$D$2=0),0,IF(AW$3&lt;0,0,N(INDEX('CURVA PREVISION'!$A$1:$KZ$3000,$C9,10+3*MIN(AW$3,$D$2-1)))))</f>
        <v/>
      </c>
      <c r="AX9" s="122">
        <f>IF(OR($C9="",$B$2="",$D$2=0),0,IF(AX$3&lt;0,0,N(INDEX('CURVA PREVISION'!$A$1:$KZ$3000,$C9,10+3*MIN(AX$3,$D$2-1)))))</f>
        <v/>
      </c>
      <c r="AY9" s="122">
        <f>IF(OR($C9="",$B$2="",$D$2=0),0,IF(AY$3&lt;0,0,N(INDEX('CURVA PREVISION'!$A$1:$KZ$3000,$C9,10+3*MIN(AY$3,$D$2-1)))))</f>
        <v/>
      </c>
      <c r="AZ9" s="122">
        <f>IF(OR($C9="",$B$2="",$D$2=0),0,IF(AZ$3&lt;0,0,N(INDEX('CURVA PREVISION'!$A$1:$KZ$3000,$C9,10+3*MIN(AZ$3,$D$2-1)))))</f>
        <v/>
      </c>
      <c r="BA9" s="122">
        <f>IF(OR($C9="",$B$2="",$D$2=0),0,IF(BA$3&lt;0,0,N(INDEX('CURVA PREVISION'!$A$1:$KZ$3000,$C9,10+3*MIN(BA$3,$D$2-1)))))</f>
        <v/>
      </c>
      <c r="BB9" s="122">
        <f>IF(OR($C9="",$B$2="",$D$2=0),0,IF(BB$3&lt;0,0,N(INDEX('CURVA PREVISION'!$A$1:$KZ$3000,$C9,10+3*MIN(BB$3,$D$2-1)))))</f>
        <v/>
      </c>
      <c r="BC9" s="122">
        <f>IF(OR($C9="",$B$2="",$D$2=0),0,IF(BC$3&lt;0,0,N(INDEX('CURVA PREVISION'!$A$1:$KZ$3000,$C9,10+3*MIN(BC$3,$D$2-1)))))</f>
        <v/>
      </c>
      <c r="BD9" s="122">
        <f>IF(OR($C9="",$B$2="",$D$2=0),0,IF(BD$3&lt;0,0,N(INDEX('CURVA PREVISION'!$A$1:$KZ$3000,$C9,10+3*MIN(BD$3,$D$2-1)))))</f>
        <v/>
      </c>
      <c r="BE9" s="122">
        <f>IF(OR($C9="",$B$2="",$D$2=0),0,IF(BE$3&lt;0,0,N(INDEX('CURVA PREVISION'!$A$1:$KZ$3000,$C9,10+3*MIN(BE$3,$D$2-1)))))</f>
        <v/>
      </c>
      <c r="BF9" s="122">
        <f>IF(OR($C9="",$B$2="",$D$2=0),0,IF(BF$3&lt;0,0,N(INDEX('CURVA PREVISION'!$A$1:$KZ$3000,$C9,10+3*MIN(BF$3,$D$2-1)))))</f>
        <v/>
      </c>
      <c r="BG9" s="122">
        <f>IF(OR($C9="",$B$2="",$D$2=0),0,IF(BG$3&lt;0,0,N(INDEX('CURVA PREVISION'!$A$1:$KZ$3000,$C9,10+3*MIN(BG$3,$D$2-1)))))</f>
        <v/>
      </c>
      <c r="BH9" s="122">
        <f>IF(OR($C9="",$B$2="",$D$2=0),0,IF(BH$3&lt;0,0,N(INDEX('CURVA PREVISION'!$A$1:$KZ$3000,$C9,10+3*MIN(BH$3,$D$2-1)))))</f>
        <v/>
      </c>
      <c r="BI9" s="122">
        <f>IF(OR($C9="",$B$2="",$D$2=0),0,IF(BI$3&lt;0,0,N(INDEX('CURVA PREVISION'!$A$1:$KZ$3000,$C9,10+3*MIN(BI$3,$D$2-1)))))</f>
        <v/>
      </c>
      <c r="BJ9" s="122">
        <f>IF(OR($C9="",$B$2="",$D$2=0),0,IF(BJ$3&lt;0,0,N(INDEX('CURVA PREVISION'!$A$1:$KZ$3000,$C9,10+3*MIN(BJ$3,$D$2-1)))))</f>
        <v/>
      </c>
      <c r="BK9" s="122">
        <f>IF(OR($C9="",$B$2="",$D$2=0),0,IF(BK$3&lt;0,0,N(INDEX('CURVA PREVISION'!$A$1:$KZ$3000,$C9,10+3*MIN(BK$3,$D$2-1)))))</f>
        <v/>
      </c>
      <c r="BL9" s="122">
        <f>IF(OR($C9="",$B$2="",$D$2=0),0,IF(BL$3&lt;0,0,N(INDEX('CURVA PREVISION'!$A$1:$KZ$3000,$C9,10+3*MIN(BL$3,$D$2-1)))))</f>
        <v/>
      </c>
      <c r="BM9" s="122">
        <f>IF(OR($C9="",$B$2="",$D$2=0),0,IF(BM$3&lt;0,0,N(INDEX('CURVA PREVISION'!$A$1:$KZ$3000,$C9,10+3*MIN(BM$3,$D$2-1)))))</f>
        <v/>
      </c>
      <c r="BN9" s="122">
        <f>IF(OR($C9="",$B$2="",$D$2=0),0,IF(BN$3&lt;0,0,N(INDEX('CURVA PREVISION'!$A$1:$KZ$3000,$C9,10+3*MIN(BN$3,$D$2-1)))))</f>
        <v/>
      </c>
      <c r="BO9" s="122">
        <f>IF(OR($C9="",$B$2="",$D$2=0),0,IF(BO$3&lt;0,0,N(INDEX('CURVA PREVISION'!$A$1:$KZ$3000,$C9,10+3*MIN(BO$3,$D$2-1)))))</f>
        <v/>
      </c>
      <c r="BP9" s="122">
        <f>IF(OR($C9="",$B$2="",$D$2=0),0,IF(BP$3&lt;0,0,N(INDEX('CURVA PREVISION'!$A$1:$KZ$3000,$C9,10+3*MIN(BP$3,$D$2-1)))))</f>
        <v/>
      </c>
      <c r="BQ9" s="122">
        <f>IF(OR($C9="",$B$2="",$D$2=0),0,IF(BQ$3&lt;0,0,N(INDEX('CURVA PREVISION'!$A$1:$KZ$3000,$C9,10+3*MIN(BQ$3,$D$2-1)))))</f>
        <v/>
      </c>
      <c r="BR9" s="122">
        <f>IF(OR($C9="",$B$2="",$D$2=0),0,IF(BR$3&lt;0,0,N(INDEX('CURVA PREVISION'!$A$1:$KZ$3000,$C9,10+3*MIN(BR$3,$D$2-1)))))</f>
        <v/>
      </c>
      <c r="BS9" s="122">
        <f>IF(OR($C9="",$B$2="",$D$2=0),0,IF(BS$3&lt;0,0,N(INDEX('CURVA PREVISION'!$A$1:$KZ$3000,$C9,10+3*MIN(BS$3,$D$2-1)))))</f>
        <v/>
      </c>
      <c r="BT9" s="122">
        <f>IF(OR($C9="",$B$2="",$D$2=0),0,IF(BT$3&lt;0,0,N(INDEX('CURVA PREVISION'!$A$1:$KZ$3000,$C9,10+3*MIN(BT$3,$D$2-1)))))</f>
        <v/>
      </c>
      <c r="BU9" s="122">
        <f>IF(OR($C9="",$B$2="",$D$2=0),0,IF(BU$3&lt;0,0,N(INDEX('CURVA PREVISION'!$A$1:$KZ$3000,$C9,10+3*MIN(BU$3,$D$2-1)))))</f>
        <v/>
      </c>
      <c r="BV9" s="122">
        <f>IF(OR($C9="",$B$2="",$D$2=0),0,IF(BV$3&lt;0,0,N(INDEX('CURVA PREVISION'!$A$1:$KZ$3000,$C9,10+3*MIN(BV$3,$D$2-1)))))</f>
        <v/>
      </c>
      <c r="BW9" s="122">
        <f>IF(OR($C9="",$B$2="",$D$2=0),0,IF(BW$3&lt;0,0,N(INDEX('CURVA PREVISION'!$A$1:$KZ$3000,$C9,10+3*MIN(BW$3,$D$2-1)))))</f>
        <v/>
      </c>
    </row>
    <row r="10">
      <c r="A10" s="60">
        <f>IF('VALOR POR PL'!Q16="",'VALOR POR PL'!C16,'VALOR POR PL'!Q16)</f>
        <v/>
      </c>
      <c r="B10" s="60">
        <f>'VALOR POR PL'!D16</f>
        <v/>
      </c>
      <c r="C10" s="69">
        <f>IFERROR(MATCH(A10,'CURVA PREVISION'!$B$1:$B$3000,0),"")</f>
        <v/>
      </c>
      <c r="D10" s="122">
        <f>IF(OR($C10="",$B$2="",$D$2=0),0,IF(D$3&lt;0,0,N(INDEX('CURVA PREVISION'!$A$1:$KZ$3000,$C10,10+3*MIN(D$3,$D$2-1)))))</f>
        <v/>
      </c>
      <c r="E10" s="122">
        <f>IF(OR($C10="",$B$2="",$D$2=0),0,IF(E$3&lt;0,0,N(INDEX('CURVA PREVISION'!$A$1:$KZ$3000,$C10,10+3*MIN(E$3,$D$2-1)))))</f>
        <v/>
      </c>
      <c r="F10" s="122">
        <f>IF(OR($C10="",$B$2="",$D$2=0),0,IF(F$3&lt;0,0,N(INDEX('CURVA PREVISION'!$A$1:$KZ$3000,$C10,10+3*MIN(F$3,$D$2-1)))))</f>
        <v/>
      </c>
      <c r="G10" s="122">
        <f>IF(OR($C10="",$B$2="",$D$2=0),0,IF(G$3&lt;0,0,N(INDEX('CURVA PREVISION'!$A$1:$KZ$3000,$C10,10+3*MIN(G$3,$D$2-1)))))</f>
        <v/>
      </c>
      <c r="H10" s="122">
        <f>IF(OR($C10="",$B$2="",$D$2=0),0,IF(H$3&lt;0,0,N(INDEX('CURVA PREVISION'!$A$1:$KZ$3000,$C10,10+3*MIN(H$3,$D$2-1)))))</f>
        <v/>
      </c>
      <c r="I10" s="122">
        <f>IF(OR($C10="",$B$2="",$D$2=0),0,IF(I$3&lt;0,0,N(INDEX('CURVA PREVISION'!$A$1:$KZ$3000,$C10,10+3*MIN(I$3,$D$2-1)))))</f>
        <v/>
      </c>
      <c r="J10" s="122">
        <f>IF(OR($C10="",$B$2="",$D$2=0),0,IF(J$3&lt;0,0,N(INDEX('CURVA PREVISION'!$A$1:$KZ$3000,$C10,10+3*MIN(J$3,$D$2-1)))))</f>
        <v/>
      </c>
      <c r="K10" s="122">
        <f>IF(OR($C10="",$B$2="",$D$2=0),0,IF(K$3&lt;0,0,N(INDEX('CURVA PREVISION'!$A$1:$KZ$3000,$C10,10+3*MIN(K$3,$D$2-1)))))</f>
        <v/>
      </c>
      <c r="L10" s="122">
        <f>IF(OR($C10="",$B$2="",$D$2=0),0,IF(L$3&lt;0,0,N(INDEX('CURVA PREVISION'!$A$1:$KZ$3000,$C10,10+3*MIN(L$3,$D$2-1)))))</f>
        <v/>
      </c>
      <c r="M10" s="122">
        <f>IF(OR($C10="",$B$2="",$D$2=0),0,IF(M$3&lt;0,0,N(INDEX('CURVA PREVISION'!$A$1:$KZ$3000,$C10,10+3*MIN(M$3,$D$2-1)))))</f>
        <v/>
      </c>
      <c r="N10" s="122">
        <f>IF(OR($C10="",$B$2="",$D$2=0),0,IF(N$3&lt;0,0,N(INDEX('CURVA PREVISION'!$A$1:$KZ$3000,$C10,10+3*MIN(N$3,$D$2-1)))))</f>
        <v/>
      </c>
      <c r="O10" s="122">
        <f>IF(OR($C10="",$B$2="",$D$2=0),0,IF(O$3&lt;0,0,N(INDEX('CURVA PREVISION'!$A$1:$KZ$3000,$C10,10+3*MIN(O$3,$D$2-1)))))</f>
        <v/>
      </c>
      <c r="P10" s="122">
        <f>IF(OR($C10="",$B$2="",$D$2=0),0,IF(P$3&lt;0,0,N(INDEX('CURVA PREVISION'!$A$1:$KZ$3000,$C10,10+3*MIN(P$3,$D$2-1)))))</f>
        <v/>
      </c>
      <c r="Q10" s="122">
        <f>IF(OR($C10="",$B$2="",$D$2=0),0,IF(Q$3&lt;0,0,N(INDEX('CURVA PREVISION'!$A$1:$KZ$3000,$C10,10+3*MIN(Q$3,$D$2-1)))))</f>
        <v/>
      </c>
      <c r="R10" s="122">
        <f>IF(OR($C10="",$B$2="",$D$2=0),0,IF(R$3&lt;0,0,N(INDEX('CURVA PREVISION'!$A$1:$KZ$3000,$C10,10+3*MIN(R$3,$D$2-1)))))</f>
        <v/>
      </c>
      <c r="S10" s="122">
        <f>IF(OR($C10="",$B$2="",$D$2=0),0,IF(S$3&lt;0,0,N(INDEX('CURVA PREVISION'!$A$1:$KZ$3000,$C10,10+3*MIN(S$3,$D$2-1)))))</f>
        <v/>
      </c>
      <c r="T10" s="122">
        <f>IF(OR($C10="",$B$2="",$D$2=0),0,IF(T$3&lt;0,0,N(INDEX('CURVA PREVISION'!$A$1:$KZ$3000,$C10,10+3*MIN(T$3,$D$2-1)))))</f>
        <v/>
      </c>
      <c r="U10" s="122">
        <f>IF(OR($C10="",$B$2="",$D$2=0),0,IF(U$3&lt;0,0,N(INDEX('CURVA PREVISION'!$A$1:$KZ$3000,$C10,10+3*MIN(U$3,$D$2-1)))))</f>
        <v/>
      </c>
      <c r="V10" s="122">
        <f>IF(OR($C10="",$B$2="",$D$2=0),0,IF(V$3&lt;0,0,N(INDEX('CURVA PREVISION'!$A$1:$KZ$3000,$C10,10+3*MIN(V$3,$D$2-1)))))</f>
        <v/>
      </c>
      <c r="W10" s="122">
        <f>IF(OR($C10="",$B$2="",$D$2=0),0,IF(W$3&lt;0,0,N(INDEX('CURVA PREVISION'!$A$1:$KZ$3000,$C10,10+3*MIN(W$3,$D$2-1)))))</f>
        <v/>
      </c>
      <c r="X10" s="122">
        <f>IF(OR($C10="",$B$2="",$D$2=0),0,IF(X$3&lt;0,0,N(INDEX('CURVA PREVISION'!$A$1:$KZ$3000,$C10,10+3*MIN(X$3,$D$2-1)))))</f>
        <v/>
      </c>
      <c r="Y10" s="122">
        <f>IF(OR($C10="",$B$2="",$D$2=0),0,IF(Y$3&lt;0,0,N(INDEX('CURVA PREVISION'!$A$1:$KZ$3000,$C10,10+3*MIN(Y$3,$D$2-1)))))</f>
        <v/>
      </c>
      <c r="Z10" s="122">
        <f>IF(OR($C10="",$B$2="",$D$2=0),0,IF(Z$3&lt;0,0,N(INDEX('CURVA PREVISION'!$A$1:$KZ$3000,$C10,10+3*MIN(Z$3,$D$2-1)))))</f>
        <v/>
      </c>
      <c r="AA10" s="122">
        <f>IF(OR($C10="",$B$2="",$D$2=0),0,IF(AA$3&lt;0,0,N(INDEX('CURVA PREVISION'!$A$1:$KZ$3000,$C10,10+3*MIN(AA$3,$D$2-1)))))</f>
        <v/>
      </c>
      <c r="AB10" s="122">
        <f>IF(OR($C10="",$B$2="",$D$2=0),0,IF(AB$3&lt;0,0,N(INDEX('CURVA PREVISION'!$A$1:$KZ$3000,$C10,10+3*MIN(AB$3,$D$2-1)))))</f>
        <v/>
      </c>
      <c r="AC10" s="122">
        <f>IF(OR($C10="",$B$2="",$D$2=0),0,IF(AC$3&lt;0,0,N(INDEX('CURVA PREVISION'!$A$1:$KZ$3000,$C10,10+3*MIN(AC$3,$D$2-1)))))</f>
        <v/>
      </c>
      <c r="AD10" s="122">
        <f>IF(OR($C10="",$B$2="",$D$2=0),0,IF(AD$3&lt;0,0,N(INDEX('CURVA PREVISION'!$A$1:$KZ$3000,$C10,10+3*MIN(AD$3,$D$2-1)))))</f>
        <v/>
      </c>
      <c r="AE10" s="122">
        <f>IF(OR($C10="",$B$2="",$D$2=0),0,IF(AE$3&lt;0,0,N(INDEX('CURVA PREVISION'!$A$1:$KZ$3000,$C10,10+3*MIN(AE$3,$D$2-1)))))</f>
        <v/>
      </c>
      <c r="AF10" s="122">
        <f>IF(OR($C10="",$B$2="",$D$2=0),0,IF(AF$3&lt;0,0,N(INDEX('CURVA PREVISION'!$A$1:$KZ$3000,$C10,10+3*MIN(AF$3,$D$2-1)))))</f>
        <v/>
      </c>
      <c r="AG10" s="122">
        <f>IF(OR($C10="",$B$2="",$D$2=0),0,IF(AG$3&lt;0,0,N(INDEX('CURVA PREVISION'!$A$1:$KZ$3000,$C10,10+3*MIN(AG$3,$D$2-1)))))</f>
        <v/>
      </c>
      <c r="AH10" s="122">
        <f>IF(OR($C10="",$B$2="",$D$2=0),0,IF(AH$3&lt;0,0,N(INDEX('CURVA PREVISION'!$A$1:$KZ$3000,$C10,10+3*MIN(AH$3,$D$2-1)))))</f>
        <v/>
      </c>
      <c r="AI10" s="122">
        <f>IF(OR($C10="",$B$2="",$D$2=0),0,IF(AI$3&lt;0,0,N(INDEX('CURVA PREVISION'!$A$1:$KZ$3000,$C10,10+3*MIN(AI$3,$D$2-1)))))</f>
        <v/>
      </c>
      <c r="AJ10" s="122">
        <f>IF(OR($C10="",$B$2="",$D$2=0),0,IF(AJ$3&lt;0,0,N(INDEX('CURVA PREVISION'!$A$1:$KZ$3000,$C10,10+3*MIN(AJ$3,$D$2-1)))))</f>
        <v/>
      </c>
      <c r="AK10" s="122">
        <f>IF(OR($C10="",$B$2="",$D$2=0),0,IF(AK$3&lt;0,0,N(INDEX('CURVA PREVISION'!$A$1:$KZ$3000,$C10,10+3*MIN(AK$3,$D$2-1)))))</f>
        <v/>
      </c>
      <c r="AL10" s="122">
        <f>IF(OR($C10="",$B$2="",$D$2=0),0,IF(AL$3&lt;0,0,N(INDEX('CURVA PREVISION'!$A$1:$KZ$3000,$C10,10+3*MIN(AL$3,$D$2-1)))))</f>
        <v/>
      </c>
      <c r="AM10" s="122">
        <f>IF(OR($C10="",$B$2="",$D$2=0),0,IF(AM$3&lt;0,0,N(INDEX('CURVA PREVISION'!$A$1:$KZ$3000,$C10,10+3*MIN(AM$3,$D$2-1)))))</f>
        <v/>
      </c>
      <c r="AN10" s="122">
        <f>IF(OR($C10="",$B$2="",$D$2=0),0,IF(AN$3&lt;0,0,N(INDEX('CURVA PREVISION'!$A$1:$KZ$3000,$C10,10+3*MIN(AN$3,$D$2-1)))))</f>
        <v/>
      </c>
      <c r="AO10" s="122">
        <f>IF(OR($C10="",$B$2="",$D$2=0),0,IF(AO$3&lt;0,0,N(INDEX('CURVA PREVISION'!$A$1:$KZ$3000,$C10,10+3*MIN(AO$3,$D$2-1)))))</f>
        <v/>
      </c>
      <c r="AP10" s="122">
        <f>IF(OR($C10="",$B$2="",$D$2=0),0,IF(AP$3&lt;0,0,N(INDEX('CURVA PREVISION'!$A$1:$KZ$3000,$C10,10+3*MIN(AP$3,$D$2-1)))))</f>
        <v/>
      </c>
      <c r="AQ10" s="122">
        <f>IF(OR($C10="",$B$2="",$D$2=0),0,IF(AQ$3&lt;0,0,N(INDEX('CURVA PREVISION'!$A$1:$KZ$3000,$C10,10+3*MIN(AQ$3,$D$2-1)))))</f>
        <v/>
      </c>
      <c r="AR10" s="122">
        <f>IF(OR($C10="",$B$2="",$D$2=0),0,IF(AR$3&lt;0,0,N(INDEX('CURVA PREVISION'!$A$1:$KZ$3000,$C10,10+3*MIN(AR$3,$D$2-1)))))</f>
        <v/>
      </c>
      <c r="AS10" s="122">
        <f>IF(OR($C10="",$B$2="",$D$2=0),0,IF(AS$3&lt;0,0,N(INDEX('CURVA PREVISION'!$A$1:$KZ$3000,$C10,10+3*MIN(AS$3,$D$2-1)))))</f>
        <v/>
      </c>
      <c r="AT10" s="122">
        <f>IF(OR($C10="",$B$2="",$D$2=0),0,IF(AT$3&lt;0,0,N(INDEX('CURVA PREVISION'!$A$1:$KZ$3000,$C10,10+3*MIN(AT$3,$D$2-1)))))</f>
        <v/>
      </c>
      <c r="AU10" s="122">
        <f>IF(OR($C10="",$B$2="",$D$2=0),0,IF(AU$3&lt;0,0,N(INDEX('CURVA PREVISION'!$A$1:$KZ$3000,$C10,10+3*MIN(AU$3,$D$2-1)))))</f>
        <v/>
      </c>
      <c r="AV10" s="122">
        <f>IF(OR($C10="",$B$2="",$D$2=0),0,IF(AV$3&lt;0,0,N(INDEX('CURVA PREVISION'!$A$1:$KZ$3000,$C10,10+3*MIN(AV$3,$D$2-1)))))</f>
        <v/>
      </c>
      <c r="AW10" s="122">
        <f>IF(OR($C10="",$B$2="",$D$2=0),0,IF(AW$3&lt;0,0,N(INDEX('CURVA PREVISION'!$A$1:$KZ$3000,$C10,10+3*MIN(AW$3,$D$2-1)))))</f>
        <v/>
      </c>
      <c r="AX10" s="122">
        <f>IF(OR($C10="",$B$2="",$D$2=0),0,IF(AX$3&lt;0,0,N(INDEX('CURVA PREVISION'!$A$1:$KZ$3000,$C10,10+3*MIN(AX$3,$D$2-1)))))</f>
        <v/>
      </c>
      <c r="AY10" s="122">
        <f>IF(OR($C10="",$B$2="",$D$2=0),0,IF(AY$3&lt;0,0,N(INDEX('CURVA PREVISION'!$A$1:$KZ$3000,$C10,10+3*MIN(AY$3,$D$2-1)))))</f>
        <v/>
      </c>
      <c r="AZ10" s="122">
        <f>IF(OR($C10="",$B$2="",$D$2=0),0,IF(AZ$3&lt;0,0,N(INDEX('CURVA PREVISION'!$A$1:$KZ$3000,$C10,10+3*MIN(AZ$3,$D$2-1)))))</f>
        <v/>
      </c>
      <c r="BA10" s="122">
        <f>IF(OR($C10="",$B$2="",$D$2=0),0,IF(BA$3&lt;0,0,N(INDEX('CURVA PREVISION'!$A$1:$KZ$3000,$C10,10+3*MIN(BA$3,$D$2-1)))))</f>
        <v/>
      </c>
      <c r="BB10" s="122">
        <f>IF(OR($C10="",$B$2="",$D$2=0),0,IF(BB$3&lt;0,0,N(INDEX('CURVA PREVISION'!$A$1:$KZ$3000,$C10,10+3*MIN(BB$3,$D$2-1)))))</f>
        <v/>
      </c>
      <c r="BC10" s="122">
        <f>IF(OR($C10="",$B$2="",$D$2=0),0,IF(BC$3&lt;0,0,N(INDEX('CURVA PREVISION'!$A$1:$KZ$3000,$C10,10+3*MIN(BC$3,$D$2-1)))))</f>
        <v/>
      </c>
      <c r="BD10" s="122">
        <f>IF(OR($C10="",$B$2="",$D$2=0),0,IF(BD$3&lt;0,0,N(INDEX('CURVA PREVISION'!$A$1:$KZ$3000,$C10,10+3*MIN(BD$3,$D$2-1)))))</f>
        <v/>
      </c>
      <c r="BE10" s="122">
        <f>IF(OR($C10="",$B$2="",$D$2=0),0,IF(BE$3&lt;0,0,N(INDEX('CURVA PREVISION'!$A$1:$KZ$3000,$C10,10+3*MIN(BE$3,$D$2-1)))))</f>
        <v/>
      </c>
      <c r="BF10" s="122">
        <f>IF(OR($C10="",$B$2="",$D$2=0),0,IF(BF$3&lt;0,0,N(INDEX('CURVA PREVISION'!$A$1:$KZ$3000,$C10,10+3*MIN(BF$3,$D$2-1)))))</f>
        <v/>
      </c>
      <c r="BG10" s="122">
        <f>IF(OR($C10="",$B$2="",$D$2=0),0,IF(BG$3&lt;0,0,N(INDEX('CURVA PREVISION'!$A$1:$KZ$3000,$C10,10+3*MIN(BG$3,$D$2-1)))))</f>
        <v/>
      </c>
      <c r="BH10" s="122">
        <f>IF(OR($C10="",$B$2="",$D$2=0),0,IF(BH$3&lt;0,0,N(INDEX('CURVA PREVISION'!$A$1:$KZ$3000,$C10,10+3*MIN(BH$3,$D$2-1)))))</f>
        <v/>
      </c>
      <c r="BI10" s="122">
        <f>IF(OR($C10="",$B$2="",$D$2=0),0,IF(BI$3&lt;0,0,N(INDEX('CURVA PREVISION'!$A$1:$KZ$3000,$C10,10+3*MIN(BI$3,$D$2-1)))))</f>
        <v/>
      </c>
      <c r="BJ10" s="122">
        <f>IF(OR($C10="",$B$2="",$D$2=0),0,IF(BJ$3&lt;0,0,N(INDEX('CURVA PREVISION'!$A$1:$KZ$3000,$C10,10+3*MIN(BJ$3,$D$2-1)))))</f>
        <v/>
      </c>
      <c r="BK10" s="122">
        <f>IF(OR($C10="",$B$2="",$D$2=0),0,IF(BK$3&lt;0,0,N(INDEX('CURVA PREVISION'!$A$1:$KZ$3000,$C10,10+3*MIN(BK$3,$D$2-1)))))</f>
        <v/>
      </c>
      <c r="BL10" s="122">
        <f>IF(OR($C10="",$B$2="",$D$2=0),0,IF(BL$3&lt;0,0,N(INDEX('CURVA PREVISION'!$A$1:$KZ$3000,$C10,10+3*MIN(BL$3,$D$2-1)))))</f>
        <v/>
      </c>
      <c r="BM10" s="122">
        <f>IF(OR($C10="",$B$2="",$D$2=0),0,IF(BM$3&lt;0,0,N(INDEX('CURVA PREVISION'!$A$1:$KZ$3000,$C10,10+3*MIN(BM$3,$D$2-1)))))</f>
        <v/>
      </c>
      <c r="BN10" s="122">
        <f>IF(OR($C10="",$B$2="",$D$2=0),0,IF(BN$3&lt;0,0,N(INDEX('CURVA PREVISION'!$A$1:$KZ$3000,$C10,10+3*MIN(BN$3,$D$2-1)))))</f>
        <v/>
      </c>
      <c r="BO10" s="122">
        <f>IF(OR($C10="",$B$2="",$D$2=0),0,IF(BO$3&lt;0,0,N(INDEX('CURVA PREVISION'!$A$1:$KZ$3000,$C10,10+3*MIN(BO$3,$D$2-1)))))</f>
        <v/>
      </c>
      <c r="BP10" s="122">
        <f>IF(OR($C10="",$B$2="",$D$2=0),0,IF(BP$3&lt;0,0,N(INDEX('CURVA PREVISION'!$A$1:$KZ$3000,$C10,10+3*MIN(BP$3,$D$2-1)))))</f>
        <v/>
      </c>
      <c r="BQ10" s="122">
        <f>IF(OR($C10="",$B$2="",$D$2=0),0,IF(BQ$3&lt;0,0,N(INDEX('CURVA PREVISION'!$A$1:$KZ$3000,$C10,10+3*MIN(BQ$3,$D$2-1)))))</f>
        <v/>
      </c>
      <c r="BR10" s="122">
        <f>IF(OR($C10="",$B$2="",$D$2=0),0,IF(BR$3&lt;0,0,N(INDEX('CURVA PREVISION'!$A$1:$KZ$3000,$C10,10+3*MIN(BR$3,$D$2-1)))))</f>
        <v/>
      </c>
      <c r="BS10" s="122">
        <f>IF(OR($C10="",$B$2="",$D$2=0),0,IF(BS$3&lt;0,0,N(INDEX('CURVA PREVISION'!$A$1:$KZ$3000,$C10,10+3*MIN(BS$3,$D$2-1)))))</f>
        <v/>
      </c>
      <c r="BT10" s="122">
        <f>IF(OR($C10="",$B$2="",$D$2=0),0,IF(BT$3&lt;0,0,N(INDEX('CURVA PREVISION'!$A$1:$KZ$3000,$C10,10+3*MIN(BT$3,$D$2-1)))))</f>
        <v/>
      </c>
      <c r="BU10" s="122">
        <f>IF(OR($C10="",$B$2="",$D$2=0),0,IF(BU$3&lt;0,0,N(INDEX('CURVA PREVISION'!$A$1:$KZ$3000,$C10,10+3*MIN(BU$3,$D$2-1)))))</f>
        <v/>
      </c>
      <c r="BV10" s="122">
        <f>IF(OR($C10="",$B$2="",$D$2=0),0,IF(BV$3&lt;0,0,N(INDEX('CURVA PREVISION'!$A$1:$KZ$3000,$C10,10+3*MIN(BV$3,$D$2-1)))))</f>
        <v/>
      </c>
      <c r="BW10" s="122">
        <f>IF(OR($C10="",$B$2="",$D$2=0),0,IF(BW$3&lt;0,0,N(INDEX('CURVA PREVISION'!$A$1:$KZ$3000,$C10,10+3*MIN(BW$3,$D$2-1)))))</f>
        <v/>
      </c>
    </row>
    <row r="11">
      <c r="A11" s="60">
        <f>IF('VALOR POR PL'!Q17="",'VALOR POR PL'!C17,'VALOR POR PL'!Q17)</f>
        <v/>
      </c>
      <c r="B11" s="60">
        <f>'VALOR POR PL'!D17</f>
        <v/>
      </c>
      <c r="C11" s="69">
        <f>IFERROR(MATCH(A11,'CURVA PREVISION'!$B$1:$B$3000,0),"")</f>
        <v/>
      </c>
      <c r="D11" s="122">
        <f>IF(OR($C11="",$B$2="",$D$2=0),0,IF(D$3&lt;0,0,N(INDEX('CURVA PREVISION'!$A$1:$KZ$3000,$C11,10+3*MIN(D$3,$D$2-1)))))</f>
        <v/>
      </c>
      <c r="E11" s="122">
        <f>IF(OR($C11="",$B$2="",$D$2=0),0,IF(E$3&lt;0,0,N(INDEX('CURVA PREVISION'!$A$1:$KZ$3000,$C11,10+3*MIN(E$3,$D$2-1)))))</f>
        <v/>
      </c>
      <c r="F11" s="122">
        <f>IF(OR($C11="",$B$2="",$D$2=0),0,IF(F$3&lt;0,0,N(INDEX('CURVA PREVISION'!$A$1:$KZ$3000,$C11,10+3*MIN(F$3,$D$2-1)))))</f>
        <v/>
      </c>
      <c r="G11" s="122">
        <f>IF(OR($C11="",$B$2="",$D$2=0),0,IF(G$3&lt;0,0,N(INDEX('CURVA PREVISION'!$A$1:$KZ$3000,$C11,10+3*MIN(G$3,$D$2-1)))))</f>
        <v/>
      </c>
      <c r="H11" s="122">
        <f>IF(OR($C11="",$B$2="",$D$2=0),0,IF(H$3&lt;0,0,N(INDEX('CURVA PREVISION'!$A$1:$KZ$3000,$C11,10+3*MIN(H$3,$D$2-1)))))</f>
        <v/>
      </c>
      <c r="I11" s="122">
        <f>IF(OR($C11="",$B$2="",$D$2=0),0,IF(I$3&lt;0,0,N(INDEX('CURVA PREVISION'!$A$1:$KZ$3000,$C11,10+3*MIN(I$3,$D$2-1)))))</f>
        <v/>
      </c>
      <c r="J11" s="122">
        <f>IF(OR($C11="",$B$2="",$D$2=0),0,IF(J$3&lt;0,0,N(INDEX('CURVA PREVISION'!$A$1:$KZ$3000,$C11,10+3*MIN(J$3,$D$2-1)))))</f>
        <v/>
      </c>
      <c r="K11" s="122">
        <f>IF(OR($C11="",$B$2="",$D$2=0),0,IF(K$3&lt;0,0,N(INDEX('CURVA PREVISION'!$A$1:$KZ$3000,$C11,10+3*MIN(K$3,$D$2-1)))))</f>
        <v/>
      </c>
      <c r="L11" s="122">
        <f>IF(OR($C11="",$B$2="",$D$2=0),0,IF(L$3&lt;0,0,N(INDEX('CURVA PREVISION'!$A$1:$KZ$3000,$C11,10+3*MIN(L$3,$D$2-1)))))</f>
        <v/>
      </c>
      <c r="M11" s="122">
        <f>IF(OR($C11="",$B$2="",$D$2=0),0,IF(M$3&lt;0,0,N(INDEX('CURVA PREVISION'!$A$1:$KZ$3000,$C11,10+3*MIN(M$3,$D$2-1)))))</f>
        <v/>
      </c>
      <c r="N11" s="122">
        <f>IF(OR($C11="",$B$2="",$D$2=0),0,IF(N$3&lt;0,0,N(INDEX('CURVA PREVISION'!$A$1:$KZ$3000,$C11,10+3*MIN(N$3,$D$2-1)))))</f>
        <v/>
      </c>
      <c r="O11" s="122">
        <f>IF(OR($C11="",$B$2="",$D$2=0),0,IF(O$3&lt;0,0,N(INDEX('CURVA PREVISION'!$A$1:$KZ$3000,$C11,10+3*MIN(O$3,$D$2-1)))))</f>
        <v/>
      </c>
      <c r="P11" s="122">
        <f>IF(OR($C11="",$B$2="",$D$2=0),0,IF(P$3&lt;0,0,N(INDEX('CURVA PREVISION'!$A$1:$KZ$3000,$C11,10+3*MIN(P$3,$D$2-1)))))</f>
        <v/>
      </c>
      <c r="Q11" s="122">
        <f>IF(OR($C11="",$B$2="",$D$2=0),0,IF(Q$3&lt;0,0,N(INDEX('CURVA PREVISION'!$A$1:$KZ$3000,$C11,10+3*MIN(Q$3,$D$2-1)))))</f>
        <v/>
      </c>
      <c r="R11" s="122">
        <f>IF(OR($C11="",$B$2="",$D$2=0),0,IF(R$3&lt;0,0,N(INDEX('CURVA PREVISION'!$A$1:$KZ$3000,$C11,10+3*MIN(R$3,$D$2-1)))))</f>
        <v/>
      </c>
      <c r="S11" s="122">
        <f>IF(OR($C11="",$B$2="",$D$2=0),0,IF(S$3&lt;0,0,N(INDEX('CURVA PREVISION'!$A$1:$KZ$3000,$C11,10+3*MIN(S$3,$D$2-1)))))</f>
        <v/>
      </c>
      <c r="T11" s="122">
        <f>IF(OR($C11="",$B$2="",$D$2=0),0,IF(T$3&lt;0,0,N(INDEX('CURVA PREVISION'!$A$1:$KZ$3000,$C11,10+3*MIN(T$3,$D$2-1)))))</f>
        <v/>
      </c>
      <c r="U11" s="122">
        <f>IF(OR($C11="",$B$2="",$D$2=0),0,IF(U$3&lt;0,0,N(INDEX('CURVA PREVISION'!$A$1:$KZ$3000,$C11,10+3*MIN(U$3,$D$2-1)))))</f>
        <v/>
      </c>
      <c r="V11" s="122">
        <f>IF(OR($C11="",$B$2="",$D$2=0),0,IF(V$3&lt;0,0,N(INDEX('CURVA PREVISION'!$A$1:$KZ$3000,$C11,10+3*MIN(V$3,$D$2-1)))))</f>
        <v/>
      </c>
      <c r="W11" s="122">
        <f>IF(OR($C11="",$B$2="",$D$2=0),0,IF(W$3&lt;0,0,N(INDEX('CURVA PREVISION'!$A$1:$KZ$3000,$C11,10+3*MIN(W$3,$D$2-1)))))</f>
        <v/>
      </c>
      <c r="X11" s="122">
        <f>IF(OR($C11="",$B$2="",$D$2=0),0,IF(X$3&lt;0,0,N(INDEX('CURVA PREVISION'!$A$1:$KZ$3000,$C11,10+3*MIN(X$3,$D$2-1)))))</f>
        <v/>
      </c>
      <c r="Y11" s="122">
        <f>IF(OR($C11="",$B$2="",$D$2=0),0,IF(Y$3&lt;0,0,N(INDEX('CURVA PREVISION'!$A$1:$KZ$3000,$C11,10+3*MIN(Y$3,$D$2-1)))))</f>
        <v/>
      </c>
      <c r="Z11" s="122">
        <f>IF(OR($C11="",$B$2="",$D$2=0),0,IF(Z$3&lt;0,0,N(INDEX('CURVA PREVISION'!$A$1:$KZ$3000,$C11,10+3*MIN(Z$3,$D$2-1)))))</f>
        <v/>
      </c>
      <c r="AA11" s="122">
        <f>IF(OR($C11="",$B$2="",$D$2=0),0,IF(AA$3&lt;0,0,N(INDEX('CURVA PREVISION'!$A$1:$KZ$3000,$C11,10+3*MIN(AA$3,$D$2-1)))))</f>
        <v/>
      </c>
      <c r="AB11" s="122">
        <f>IF(OR($C11="",$B$2="",$D$2=0),0,IF(AB$3&lt;0,0,N(INDEX('CURVA PREVISION'!$A$1:$KZ$3000,$C11,10+3*MIN(AB$3,$D$2-1)))))</f>
        <v/>
      </c>
      <c r="AC11" s="122">
        <f>IF(OR($C11="",$B$2="",$D$2=0),0,IF(AC$3&lt;0,0,N(INDEX('CURVA PREVISION'!$A$1:$KZ$3000,$C11,10+3*MIN(AC$3,$D$2-1)))))</f>
        <v/>
      </c>
      <c r="AD11" s="122">
        <f>IF(OR($C11="",$B$2="",$D$2=0),0,IF(AD$3&lt;0,0,N(INDEX('CURVA PREVISION'!$A$1:$KZ$3000,$C11,10+3*MIN(AD$3,$D$2-1)))))</f>
        <v/>
      </c>
      <c r="AE11" s="122">
        <f>IF(OR($C11="",$B$2="",$D$2=0),0,IF(AE$3&lt;0,0,N(INDEX('CURVA PREVISION'!$A$1:$KZ$3000,$C11,10+3*MIN(AE$3,$D$2-1)))))</f>
        <v/>
      </c>
      <c r="AF11" s="122">
        <f>IF(OR($C11="",$B$2="",$D$2=0),0,IF(AF$3&lt;0,0,N(INDEX('CURVA PREVISION'!$A$1:$KZ$3000,$C11,10+3*MIN(AF$3,$D$2-1)))))</f>
        <v/>
      </c>
      <c r="AG11" s="122">
        <f>IF(OR($C11="",$B$2="",$D$2=0),0,IF(AG$3&lt;0,0,N(INDEX('CURVA PREVISION'!$A$1:$KZ$3000,$C11,10+3*MIN(AG$3,$D$2-1)))))</f>
        <v/>
      </c>
      <c r="AH11" s="122">
        <f>IF(OR($C11="",$B$2="",$D$2=0),0,IF(AH$3&lt;0,0,N(INDEX('CURVA PREVISION'!$A$1:$KZ$3000,$C11,10+3*MIN(AH$3,$D$2-1)))))</f>
        <v/>
      </c>
      <c r="AI11" s="122">
        <f>IF(OR($C11="",$B$2="",$D$2=0),0,IF(AI$3&lt;0,0,N(INDEX('CURVA PREVISION'!$A$1:$KZ$3000,$C11,10+3*MIN(AI$3,$D$2-1)))))</f>
        <v/>
      </c>
      <c r="AJ11" s="122">
        <f>IF(OR($C11="",$B$2="",$D$2=0),0,IF(AJ$3&lt;0,0,N(INDEX('CURVA PREVISION'!$A$1:$KZ$3000,$C11,10+3*MIN(AJ$3,$D$2-1)))))</f>
        <v/>
      </c>
      <c r="AK11" s="122">
        <f>IF(OR($C11="",$B$2="",$D$2=0),0,IF(AK$3&lt;0,0,N(INDEX('CURVA PREVISION'!$A$1:$KZ$3000,$C11,10+3*MIN(AK$3,$D$2-1)))))</f>
        <v/>
      </c>
      <c r="AL11" s="122">
        <f>IF(OR($C11="",$B$2="",$D$2=0),0,IF(AL$3&lt;0,0,N(INDEX('CURVA PREVISION'!$A$1:$KZ$3000,$C11,10+3*MIN(AL$3,$D$2-1)))))</f>
        <v/>
      </c>
      <c r="AM11" s="122">
        <f>IF(OR($C11="",$B$2="",$D$2=0),0,IF(AM$3&lt;0,0,N(INDEX('CURVA PREVISION'!$A$1:$KZ$3000,$C11,10+3*MIN(AM$3,$D$2-1)))))</f>
        <v/>
      </c>
      <c r="AN11" s="122">
        <f>IF(OR($C11="",$B$2="",$D$2=0),0,IF(AN$3&lt;0,0,N(INDEX('CURVA PREVISION'!$A$1:$KZ$3000,$C11,10+3*MIN(AN$3,$D$2-1)))))</f>
        <v/>
      </c>
      <c r="AO11" s="122">
        <f>IF(OR($C11="",$B$2="",$D$2=0),0,IF(AO$3&lt;0,0,N(INDEX('CURVA PREVISION'!$A$1:$KZ$3000,$C11,10+3*MIN(AO$3,$D$2-1)))))</f>
        <v/>
      </c>
      <c r="AP11" s="122">
        <f>IF(OR($C11="",$B$2="",$D$2=0),0,IF(AP$3&lt;0,0,N(INDEX('CURVA PREVISION'!$A$1:$KZ$3000,$C11,10+3*MIN(AP$3,$D$2-1)))))</f>
        <v/>
      </c>
      <c r="AQ11" s="122">
        <f>IF(OR($C11="",$B$2="",$D$2=0),0,IF(AQ$3&lt;0,0,N(INDEX('CURVA PREVISION'!$A$1:$KZ$3000,$C11,10+3*MIN(AQ$3,$D$2-1)))))</f>
        <v/>
      </c>
      <c r="AR11" s="122">
        <f>IF(OR($C11="",$B$2="",$D$2=0),0,IF(AR$3&lt;0,0,N(INDEX('CURVA PREVISION'!$A$1:$KZ$3000,$C11,10+3*MIN(AR$3,$D$2-1)))))</f>
        <v/>
      </c>
      <c r="AS11" s="122">
        <f>IF(OR($C11="",$B$2="",$D$2=0),0,IF(AS$3&lt;0,0,N(INDEX('CURVA PREVISION'!$A$1:$KZ$3000,$C11,10+3*MIN(AS$3,$D$2-1)))))</f>
        <v/>
      </c>
      <c r="AT11" s="122">
        <f>IF(OR($C11="",$B$2="",$D$2=0),0,IF(AT$3&lt;0,0,N(INDEX('CURVA PREVISION'!$A$1:$KZ$3000,$C11,10+3*MIN(AT$3,$D$2-1)))))</f>
        <v/>
      </c>
      <c r="AU11" s="122">
        <f>IF(OR($C11="",$B$2="",$D$2=0),0,IF(AU$3&lt;0,0,N(INDEX('CURVA PREVISION'!$A$1:$KZ$3000,$C11,10+3*MIN(AU$3,$D$2-1)))))</f>
        <v/>
      </c>
      <c r="AV11" s="122">
        <f>IF(OR($C11="",$B$2="",$D$2=0),0,IF(AV$3&lt;0,0,N(INDEX('CURVA PREVISION'!$A$1:$KZ$3000,$C11,10+3*MIN(AV$3,$D$2-1)))))</f>
        <v/>
      </c>
      <c r="AW11" s="122">
        <f>IF(OR($C11="",$B$2="",$D$2=0),0,IF(AW$3&lt;0,0,N(INDEX('CURVA PREVISION'!$A$1:$KZ$3000,$C11,10+3*MIN(AW$3,$D$2-1)))))</f>
        <v/>
      </c>
      <c r="AX11" s="122">
        <f>IF(OR($C11="",$B$2="",$D$2=0),0,IF(AX$3&lt;0,0,N(INDEX('CURVA PREVISION'!$A$1:$KZ$3000,$C11,10+3*MIN(AX$3,$D$2-1)))))</f>
        <v/>
      </c>
      <c r="AY11" s="122">
        <f>IF(OR($C11="",$B$2="",$D$2=0),0,IF(AY$3&lt;0,0,N(INDEX('CURVA PREVISION'!$A$1:$KZ$3000,$C11,10+3*MIN(AY$3,$D$2-1)))))</f>
        <v/>
      </c>
      <c r="AZ11" s="122">
        <f>IF(OR($C11="",$B$2="",$D$2=0),0,IF(AZ$3&lt;0,0,N(INDEX('CURVA PREVISION'!$A$1:$KZ$3000,$C11,10+3*MIN(AZ$3,$D$2-1)))))</f>
        <v/>
      </c>
      <c r="BA11" s="122">
        <f>IF(OR($C11="",$B$2="",$D$2=0),0,IF(BA$3&lt;0,0,N(INDEX('CURVA PREVISION'!$A$1:$KZ$3000,$C11,10+3*MIN(BA$3,$D$2-1)))))</f>
        <v/>
      </c>
      <c r="BB11" s="122">
        <f>IF(OR($C11="",$B$2="",$D$2=0),0,IF(BB$3&lt;0,0,N(INDEX('CURVA PREVISION'!$A$1:$KZ$3000,$C11,10+3*MIN(BB$3,$D$2-1)))))</f>
        <v/>
      </c>
      <c r="BC11" s="122">
        <f>IF(OR($C11="",$B$2="",$D$2=0),0,IF(BC$3&lt;0,0,N(INDEX('CURVA PREVISION'!$A$1:$KZ$3000,$C11,10+3*MIN(BC$3,$D$2-1)))))</f>
        <v/>
      </c>
      <c r="BD11" s="122">
        <f>IF(OR($C11="",$B$2="",$D$2=0),0,IF(BD$3&lt;0,0,N(INDEX('CURVA PREVISION'!$A$1:$KZ$3000,$C11,10+3*MIN(BD$3,$D$2-1)))))</f>
        <v/>
      </c>
      <c r="BE11" s="122">
        <f>IF(OR($C11="",$B$2="",$D$2=0),0,IF(BE$3&lt;0,0,N(INDEX('CURVA PREVISION'!$A$1:$KZ$3000,$C11,10+3*MIN(BE$3,$D$2-1)))))</f>
        <v/>
      </c>
      <c r="BF11" s="122">
        <f>IF(OR($C11="",$B$2="",$D$2=0),0,IF(BF$3&lt;0,0,N(INDEX('CURVA PREVISION'!$A$1:$KZ$3000,$C11,10+3*MIN(BF$3,$D$2-1)))))</f>
        <v/>
      </c>
      <c r="BG11" s="122">
        <f>IF(OR($C11="",$B$2="",$D$2=0),0,IF(BG$3&lt;0,0,N(INDEX('CURVA PREVISION'!$A$1:$KZ$3000,$C11,10+3*MIN(BG$3,$D$2-1)))))</f>
        <v/>
      </c>
      <c r="BH11" s="122">
        <f>IF(OR($C11="",$B$2="",$D$2=0),0,IF(BH$3&lt;0,0,N(INDEX('CURVA PREVISION'!$A$1:$KZ$3000,$C11,10+3*MIN(BH$3,$D$2-1)))))</f>
        <v/>
      </c>
      <c r="BI11" s="122">
        <f>IF(OR($C11="",$B$2="",$D$2=0),0,IF(BI$3&lt;0,0,N(INDEX('CURVA PREVISION'!$A$1:$KZ$3000,$C11,10+3*MIN(BI$3,$D$2-1)))))</f>
        <v/>
      </c>
      <c r="BJ11" s="122">
        <f>IF(OR($C11="",$B$2="",$D$2=0),0,IF(BJ$3&lt;0,0,N(INDEX('CURVA PREVISION'!$A$1:$KZ$3000,$C11,10+3*MIN(BJ$3,$D$2-1)))))</f>
        <v/>
      </c>
      <c r="BK11" s="122">
        <f>IF(OR($C11="",$B$2="",$D$2=0),0,IF(BK$3&lt;0,0,N(INDEX('CURVA PREVISION'!$A$1:$KZ$3000,$C11,10+3*MIN(BK$3,$D$2-1)))))</f>
        <v/>
      </c>
      <c r="BL11" s="122">
        <f>IF(OR($C11="",$B$2="",$D$2=0),0,IF(BL$3&lt;0,0,N(INDEX('CURVA PREVISION'!$A$1:$KZ$3000,$C11,10+3*MIN(BL$3,$D$2-1)))))</f>
        <v/>
      </c>
      <c r="BM11" s="122">
        <f>IF(OR($C11="",$B$2="",$D$2=0),0,IF(BM$3&lt;0,0,N(INDEX('CURVA PREVISION'!$A$1:$KZ$3000,$C11,10+3*MIN(BM$3,$D$2-1)))))</f>
        <v/>
      </c>
      <c r="BN11" s="122">
        <f>IF(OR($C11="",$B$2="",$D$2=0),0,IF(BN$3&lt;0,0,N(INDEX('CURVA PREVISION'!$A$1:$KZ$3000,$C11,10+3*MIN(BN$3,$D$2-1)))))</f>
        <v/>
      </c>
      <c r="BO11" s="122">
        <f>IF(OR($C11="",$B$2="",$D$2=0),0,IF(BO$3&lt;0,0,N(INDEX('CURVA PREVISION'!$A$1:$KZ$3000,$C11,10+3*MIN(BO$3,$D$2-1)))))</f>
        <v/>
      </c>
      <c r="BP11" s="122">
        <f>IF(OR($C11="",$B$2="",$D$2=0),0,IF(BP$3&lt;0,0,N(INDEX('CURVA PREVISION'!$A$1:$KZ$3000,$C11,10+3*MIN(BP$3,$D$2-1)))))</f>
        <v/>
      </c>
      <c r="BQ11" s="122">
        <f>IF(OR($C11="",$B$2="",$D$2=0),0,IF(BQ$3&lt;0,0,N(INDEX('CURVA PREVISION'!$A$1:$KZ$3000,$C11,10+3*MIN(BQ$3,$D$2-1)))))</f>
        <v/>
      </c>
      <c r="BR11" s="122">
        <f>IF(OR($C11="",$B$2="",$D$2=0),0,IF(BR$3&lt;0,0,N(INDEX('CURVA PREVISION'!$A$1:$KZ$3000,$C11,10+3*MIN(BR$3,$D$2-1)))))</f>
        <v/>
      </c>
      <c r="BS11" s="122">
        <f>IF(OR($C11="",$B$2="",$D$2=0),0,IF(BS$3&lt;0,0,N(INDEX('CURVA PREVISION'!$A$1:$KZ$3000,$C11,10+3*MIN(BS$3,$D$2-1)))))</f>
        <v/>
      </c>
      <c r="BT11" s="122">
        <f>IF(OR($C11="",$B$2="",$D$2=0),0,IF(BT$3&lt;0,0,N(INDEX('CURVA PREVISION'!$A$1:$KZ$3000,$C11,10+3*MIN(BT$3,$D$2-1)))))</f>
        <v/>
      </c>
      <c r="BU11" s="122">
        <f>IF(OR($C11="",$B$2="",$D$2=0),0,IF(BU$3&lt;0,0,N(INDEX('CURVA PREVISION'!$A$1:$KZ$3000,$C11,10+3*MIN(BU$3,$D$2-1)))))</f>
        <v/>
      </c>
      <c r="BV11" s="122">
        <f>IF(OR($C11="",$B$2="",$D$2=0),0,IF(BV$3&lt;0,0,N(INDEX('CURVA PREVISION'!$A$1:$KZ$3000,$C11,10+3*MIN(BV$3,$D$2-1)))))</f>
        <v/>
      </c>
      <c r="BW11" s="122">
        <f>IF(OR($C11="",$B$2="",$D$2=0),0,IF(BW$3&lt;0,0,N(INDEX('CURVA PREVISION'!$A$1:$KZ$3000,$C11,10+3*MIN(BW$3,$D$2-1)))))</f>
        <v/>
      </c>
    </row>
    <row r="12">
      <c r="A12" s="60">
        <f>IF('VALOR POR PL'!Q18="",'VALOR POR PL'!C18,'VALOR POR PL'!Q18)</f>
        <v/>
      </c>
      <c r="B12" s="60">
        <f>'VALOR POR PL'!D18</f>
        <v/>
      </c>
      <c r="C12" s="69">
        <f>IFERROR(MATCH(A12,'CURVA PREVISION'!$B$1:$B$3000,0),"")</f>
        <v/>
      </c>
      <c r="D12" s="122">
        <f>IF(OR($C12="",$B$2="",$D$2=0),0,IF(D$3&lt;0,0,N(INDEX('CURVA PREVISION'!$A$1:$KZ$3000,$C12,10+3*MIN(D$3,$D$2-1)))))</f>
        <v/>
      </c>
      <c r="E12" s="122">
        <f>IF(OR($C12="",$B$2="",$D$2=0),0,IF(E$3&lt;0,0,N(INDEX('CURVA PREVISION'!$A$1:$KZ$3000,$C12,10+3*MIN(E$3,$D$2-1)))))</f>
        <v/>
      </c>
      <c r="F12" s="122">
        <f>IF(OR($C12="",$B$2="",$D$2=0),0,IF(F$3&lt;0,0,N(INDEX('CURVA PREVISION'!$A$1:$KZ$3000,$C12,10+3*MIN(F$3,$D$2-1)))))</f>
        <v/>
      </c>
      <c r="G12" s="122">
        <f>IF(OR($C12="",$B$2="",$D$2=0),0,IF(G$3&lt;0,0,N(INDEX('CURVA PREVISION'!$A$1:$KZ$3000,$C12,10+3*MIN(G$3,$D$2-1)))))</f>
        <v/>
      </c>
      <c r="H12" s="122">
        <f>IF(OR($C12="",$B$2="",$D$2=0),0,IF(H$3&lt;0,0,N(INDEX('CURVA PREVISION'!$A$1:$KZ$3000,$C12,10+3*MIN(H$3,$D$2-1)))))</f>
        <v/>
      </c>
      <c r="I12" s="122">
        <f>IF(OR($C12="",$B$2="",$D$2=0),0,IF(I$3&lt;0,0,N(INDEX('CURVA PREVISION'!$A$1:$KZ$3000,$C12,10+3*MIN(I$3,$D$2-1)))))</f>
        <v/>
      </c>
      <c r="J12" s="122">
        <f>IF(OR($C12="",$B$2="",$D$2=0),0,IF(J$3&lt;0,0,N(INDEX('CURVA PREVISION'!$A$1:$KZ$3000,$C12,10+3*MIN(J$3,$D$2-1)))))</f>
        <v/>
      </c>
      <c r="K12" s="122">
        <f>IF(OR($C12="",$B$2="",$D$2=0),0,IF(K$3&lt;0,0,N(INDEX('CURVA PREVISION'!$A$1:$KZ$3000,$C12,10+3*MIN(K$3,$D$2-1)))))</f>
        <v/>
      </c>
      <c r="L12" s="122">
        <f>IF(OR($C12="",$B$2="",$D$2=0),0,IF(L$3&lt;0,0,N(INDEX('CURVA PREVISION'!$A$1:$KZ$3000,$C12,10+3*MIN(L$3,$D$2-1)))))</f>
        <v/>
      </c>
      <c r="M12" s="122">
        <f>IF(OR($C12="",$B$2="",$D$2=0),0,IF(M$3&lt;0,0,N(INDEX('CURVA PREVISION'!$A$1:$KZ$3000,$C12,10+3*MIN(M$3,$D$2-1)))))</f>
        <v/>
      </c>
      <c r="N12" s="122">
        <f>IF(OR($C12="",$B$2="",$D$2=0),0,IF(N$3&lt;0,0,N(INDEX('CURVA PREVISION'!$A$1:$KZ$3000,$C12,10+3*MIN(N$3,$D$2-1)))))</f>
        <v/>
      </c>
      <c r="O12" s="122">
        <f>IF(OR($C12="",$B$2="",$D$2=0),0,IF(O$3&lt;0,0,N(INDEX('CURVA PREVISION'!$A$1:$KZ$3000,$C12,10+3*MIN(O$3,$D$2-1)))))</f>
        <v/>
      </c>
      <c r="P12" s="122">
        <f>IF(OR($C12="",$B$2="",$D$2=0),0,IF(P$3&lt;0,0,N(INDEX('CURVA PREVISION'!$A$1:$KZ$3000,$C12,10+3*MIN(P$3,$D$2-1)))))</f>
        <v/>
      </c>
      <c r="Q12" s="122">
        <f>IF(OR($C12="",$B$2="",$D$2=0),0,IF(Q$3&lt;0,0,N(INDEX('CURVA PREVISION'!$A$1:$KZ$3000,$C12,10+3*MIN(Q$3,$D$2-1)))))</f>
        <v/>
      </c>
      <c r="R12" s="122">
        <f>IF(OR($C12="",$B$2="",$D$2=0),0,IF(R$3&lt;0,0,N(INDEX('CURVA PREVISION'!$A$1:$KZ$3000,$C12,10+3*MIN(R$3,$D$2-1)))))</f>
        <v/>
      </c>
      <c r="S12" s="122">
        <f>IF(OR($C12="",$B$2="",$D$2=0),0,IF(S$3&lt;0,0,N(INDEX('CURVA PREVISION'!$A$1:$KZ$3000,$C12,10+3*MIN(S$3,$D$2-1)))))</f>
        <v/>
      </c>
      <c r="T12" s="122">
        <f>IF(OR($C12="",$B$2="",$D$2=0),0,IF(T$3&lt;0,0,N(INDEX('CURVA PREVISION'!$A$1:$KZ$3000,$C12,10+3*MIN(T$3,$D$2-1)))))</f>
        <v/>
      </c>
      <c r="U12" s="122">
        <f>IF(OR($C12="",$B$2="",$D$2=0),0,IF(U$3&lt;0,0,N(INDEX('CURVA PREVISION'!$A$1:$KZ$3000,$C12,10+3*MIN(U$3,$D$2-1)))))</f>
        <v/>
      </c>
      <c r="V12" s="122">
        <f>IF(OR($C12="",$B$2="",$D$2=0),0,IF(V$3&lt;0,0,N(INDEX('CURVA PREVISION'!$A$1:$KZ$3000,$C12,10+3*MIN(V$3,$D$2-1)))))</f>
        <v/>
      </c>
      <c r="W12" s="122">
        <f>IF(OR($C12="",$B$2="",$D$2=0),0,IF(W$3&lt;0,0,N(INDEX('CURVA PREVISION'!$A$1:$KZ$3000,$C12,10+3*MIN(W$3,$D$2-1)))))</f>
        <v/>
      </c>
      <c r="X12" s="122">
        <f>IF(OR($C12="",$B$2="",$D$2=0),0,IF(X$3&lt;0,0,N(INDEX('CURVA PREVISION'!$A$1:$KZ$3000,$C12,10+3*MIN(X$3,$D$2-1)))))</f>
        <v/>
      </c>
      <c r="Y12" s="122">
        <f>IF(OR($C12="",$B$2="",$D$2=0),0,IF(Y$3&lt;0,0,N(INDEX('CURVA PREVISION'!$A$1:$KZ$3000,$C12,10+3*MIN(Y$3,$D$2-1)))))</f>
        <v/>
      </c>
      <c r="Z12" s="122">
        <f>IF(OR($C12="",$B$2="",$D$2=0),0,IF(Z$3&lt;0,0,N(INDEX('CURVA PREVISION'!$A$1:$KZ$3000,$C12,10+3*MIN(Z$3,$D$2-1)))))</f>
        <v/>
      </c>
      <c r="AA12" s="122">
        <f>IF(OR($C12="",$B$2="",$D$2=0),0,IF(AA$3&lt;0,0,N(INDEX('CURVA PREVISION'!$A$1:$KZ$3000,$C12,10+3*MIN(AA$3,$D$2-1)))))</f>
        <v/>
      </c>
      <c r="AB12" s="122">
        <f>IF(OR($C12="",$B$2="",$D$2=0),0,IF(AB$3&lt;0,0,N(INDEX('CURVA PREVISION'!$A$1:$KZ$3000,$C12,10+3*MIN(AB$3,$D$2-1)))))</f>
        <v/>
      </c>
      <c r="AC12" s="122">
        <f>IF(OR($C12="",$B$2="",$D$2=0),0,IF(AC$3&lt;0,0,N(INDEX('CURVA PREVISION'!$A$1:$KZ$3000,$C12,10+3*MIN(AC$3,$D$2-1)))))</f>
        <v/>
      </c>
      <c r="AD12" s="122">
        <f>IF(OR($C12="",$B$2="",$D$2=0),0,IF(AD$3&lt;0,0,N(INDEX('CURVA PREVISION'!$A$1:$KZ$3000,$C12,10+3*MIN(AD$3,$D$2-1)))))</f>
        <v/>
      </c>
      <c r="AE12" s="122">
        <f>IF(OR($C12="",$B$2="",$D$2=0),0,IF(AE$3&lt;0,0,N(INDEX('CURVA PREVISION'!$A$1:$KZ$3000,$C12,10+3*MIN(AE$3,$D$2-1)))))</f>
        <v/>
      </c>
      <c r="AF12" s="122">
        <f>IF(OR($C12="",$B$2="",$D$2=0),0,IF(AF$3&lt;0,0,N(INDEX('CURVA PREVISION'!$A$1:$KZ$3000,$C12,10+3*MIN(AF$3,$D$2-1)))))</f>
        <v/>
      </c>
      <c r="AG12" s="122">
        <f>IF(OR($C12="",$B$2="",$D$2=0),0,IF(AG$3&lt;0,0,N(INDEX('CURVA PREVISION'!$A$1:$KZ$3000,$C12,10+3*MIN(AG$3,$D$2-1)))))</f>
        <v/>
      </c>
      <c r="AH12" s="122">
        <f>IF(OR($C12="",$B$2="",$D$2=0),0,IF(AH$3&lt;0,0,N(INDEX('CURVA PREVISION'!$A$1:$KZ$3000,$C12,10+3*MIN(AH$3,$D$2-1)))))</f>
        <v/>
      </c>
      <c r="AI12" s="122">
        <f>IF(OR($C12="",$B$2="",$D$2=0),0,IF(AI$3&lt;0,0,N(INDEX('CURVA PREVISION'!$A$1:$KZ$3000,$C12,10+3*MIN(AI$3,$D$2-1)))))</f>
        <v/>
      </c>
      <c r="AJ12" s="122">
        <f>IF(OR($C12="",$B$2="",$D$2=0),0,IF(AJ$3&lt;0,0,N(INDEX('CURVA PREVISION'!$A$1:$KZ$3000,$C12,10+3*MIN(AJ$3,$D$2-1)))))</f>
        <v/>
      </c>
      <c r="AK12" s="122">
        <f>IF(OR($C12="",$B$2="",$D$2=0),0,IF(AK$3&lt;0,0,N(INDEX('CURVA PREVISION'!$A$1:$KZ$3000,$C12,10+3*MIN(AK$3,$D$2-1)))))</f>
        <v/>
      </c>
      <c r="AL12" s="122">
        <f>IF(OR($C12="",$B$2="",$D$2=0),0,IF(AL$3&lt;0,0,N(INDEX('CURVA PREVISION'!$A$1:$KZ$3000,$C12,10+3*MIN(AL$3,$D$2-1)))))</f>
        <v/>
      </c>
      <c r="AM12" s="122">
        <f>IF(OR($C12="",$B$2="",$D$2=0),0,IF(AM$3&lt;0,0,N(INDEX('CURVA PREVISION'!$A$1:$KZ$3000,$C12,10+3*MIN(AM$3,$D$2-1)))))</f>
        <v/>
      </c>
      <c r="AN12" s="122">
        <f>IF(OR($C12="",$B$2="",$D$2=0),0,IF(AN$3&lt;0,0,N(INDEX('CURVA PREVISION'!$A$1:$KZ$3000,$C12,10+3*MIN(AN$3,$D$2-1)))))</f>
        <v/>
      </c>
      <c r="AO12" s="122">
        <f>IF(OR($C12="",$B$2="",$D$2=0),0,IF(AO$3&lt;0,0,N(INDEX('CURVA PREVISION'!$A$1:$KZ$3000,$C12,10+3*MIN(AO$3,$D$2-1)))))</f>
        <v/>
      </c>
      <c r="AP12" s="122">
        <f>IF(OR($C12="",$B$2="",$D$2=0),0,IF(AP$3&lt;0,0,N(INDEX('CURVA PREVISION'!$A$1:$KZ$3000,$C12,10+3*MIN(AP$3,$D$2-1)))))</f>
        <v/>
      </c>
      <c r="AQ12" s="122">
        <f>IF(OR($C12="",$B$2="",$D$2=0),0,IF(AQ$3&lt;0,0,N(INDEX('CURVA PREVISION'!$A$1:$KZ$3000,$C12,10+3*MIN(AQ$3,$D$2-1)))))</f>
        <v/>
      </c>
      <c r="AR12" s="122">
        <f>IF(OR($C12="",$B$2="",$D$2=0),0,IF(AR$3&lt;0,0,N(INDEX('CURVA PREVISION'!$A$1:$KZ$3000,$C12,10+3*MIN(AR$3,$D$2-1)))))</f>
        <v/>
      </c>
      <c r="AS12" s="122">
        <f>IF(OR($C12="",$B$2="",$D$2=0),0,IF(AS$3&lt;0,0,N(INDEX('CURVA PREVISION'!$A$1:$KZ$3000,$C12,10+3*MIN(AS$3,$D$2-1)))))</f>
        <v/>
      </c>
      <c r="AT12" s="122">
        <f>IF(OR($C12="",$B$2="",$D$2=0),0,IF(AT$3&lt;0,0,N(INDEX('CURVA PREVISION'!$A$1:$KZ$3000,$C12,10+3*MIN(AT$3,$D$2-1)))))</f>
        <v/>
      </c>
      <c r="AU12" s="122">
        <f>IF(OR($C12="",$B$2="",$D$2=0),0,IF(AU$3&lt;0,0,N(INDEX('CURVA PREVISION'!$A$1:$KZ$3000,$C12,10+3*MIN(AU$3,$D$2-1)))))</f>
        <v/>
      </c>
      <c r="AV12" s="122">
        <f>IF(OR($C12="",$B$2="",$D$2=0),0,IF(AV$3&lt;0,0,N(INDEX('CURVA PREVISION'!$A$1:$KZ$3000,$C12,10+3*MIN(AV$3,$D$2-1)))))</f>
        <v/>
      </c>
      <c r="AW12" s="122">
        <f>IF(OR($C12="",$B$2="",$D$2=0),0,IF(AW$3&lt;0,0,N(INDEX('CURVA PREVISION'!$A$1:$KZ$3000,$C12,10+3*MIN(AW$3,$D$2-1)))))</f>
        <v/>
      </c>
      <c r="AX12" s="122">
        <f>IF(OR($C12="",$B$2="",$D$2=0),0,IF(AX$3&lt;0,0,N(INDEX('CURVA PREVISION'!$A$1:$KZ$3000,$C12,10+3*MIN(AX$3,$D$2-1)))))</f>
        <v/>
      </c>
      <c r="AY12" s="122">
        <f>IF(OR($C12="",$B$2="",$D$2=0),0,IF(AY$3&lt;0,0,N(INDEX('CURVA PREVISION'!$A$1:$KZ$3000,$C12,10+3*MIN(AY$3,$D$2-1)))))</f>
        <v/>
      </c>
      <c r="AZ12" s="122">
        <f>IF(OR($C12="",$B$2="",$D$2=0),0,IF(AZ$3&lt;0,0,N(INDEX('CURVA PREVISION'!$A$1:$KZ$3000,$C12,10+3*MIN(AZ$3,$D$2-1)))))</f>
        <v/>
      </c>
      <c r="BA12" s="122">
        <f>IF(OR($C12="",$B$2="",$D$2=0),0,IF(BA$3&lt;0,0,N(INDEX('CURVA PREVISION'!$A$1:$KZ$3000,$C12,10+3*MIN(BA$3,$D$2-1)))))</f>
        <v/>
      </c>
      <c r="BB12" s="122">
        <f>IF(OR($C12="",$B$2="",$D$2=0),0,IF(BB$3&lt;0,0,N(INDEX('CURVA PREVISION'!$A$1:$KZ$3000,$C12,10+3*MIN(BB$3,$D$2-1)))))</f>
        <v/>
      </c>
      <c r="BC12" s="122">
        <f>IF(OR($C12="",$B$2="",$D$2=0),0,IF(BC$3&lt;0,0,N(INDEX('CURVA PREVISION'!$A$1:$KZ$3000,$C12,10+3*MIN(BC$3,$D$2-1)))))</f>
        <v/>
      </c>
      <c r="BD12" s="122">
        <f>IF(OR($C12="",$B$2="",$D$2=0),0,IF(BD$3&lt;0,0,N(INDEX('CURVA PREVISION'!$A$1:$KZ$3000,$C12,10+3*MIN(BD$3,$D$2-1)))))</f>
        <v/>
      </c>
      <c r="BE12" s="122">
        <f>IF(OR($C12="",$B$2="",$D$2=0),0,IF(BE$3&lt;0,0,N(INDEX('CURVA PREVISION'!$A$1:$KZ$3000,$C12,10+3*MIN(BE$3,$D$2-1)))))</f>
        <v/>
      </c>
      <c r="BF12" s="122">
        <f>IF(OR($C12="",$B$2="",$D$2=0),0,IF(BF$3&lt;0,0,N(INDEX('CURVA PREVISION'!$A$1:$KZ$3000,$C12,10+3*MIN(BF$3,$D$2-1)))))</f>
        <v/>
      </c>
      <c r="BG12" s="122">
        <f>IF(OR($C12="",$B$2="",$D$2=0),0,IF(BG$3&lt;0,0,N(INDEX('CURVA PREVISION'!$A$1:$KZ$3000,$C12,10+3*MIN(BG$3,$D$2-1)))))</f>
        <v/>
      </c>
      <c r="BH12" s="122">
        <f>IF(OR($C12="",$B$2="",$D$2=0),0,IF(BH$3&lt;0,0,N(INDEX('CURVA PREVISION'!$A$1:$KZ$3000,$C12,10+3*MIN(BH$3,$D$2-1)))))</f>
        <v/>
      </c>
      <c r="BI12" s="122">
        <f>IF(OR($C12="",$B$2="",$D$2=0),0,IF(BI$3&lt;0,0,N(INDEX('CURVA PREVISION'!$A$1:$KZ$3000,$C12,10+3*MIN(BI$3,$D$2-1)))))</f>
        <v/>
      </c>
      <c r="BJ12" s="122">
        <f>IF(OR($C12="",$B$2="",$D$2=0),0,IF(BJ$3&lt;0,0,N(INDEX('CURVA PREVISION'!$A$1:$KZ$3000,$C12,10+3*MIN(BJ$3,$D$2-1)))))</f>
        <v/>
      </c>
      <c r="BK12" s="122">
        <f>IF(OR($C12="",$B$2="",$D$2=0),0,IF(BK$3&lt;0,0,N(INDEX('CURVA PREVISION'!$A$1:$KZ$3000,$C12,10+3*MIN(BK$3,$D$2-1)))))</f>
        <v/>
      </c>
      <c r="BL12" s="122">
        <f>IF(OR($C12="",$B$2="",$D$2=0),0,IF(BL$3&lt;0,0,N(INDEX('CURVA PREVISION'!$A$1:$KZ$3000,$C12,10+3*MIN(BL$3,$D$2-1)))))</f>
        <v/>
      </c>
      <c r="BM12" s="122">
        <f>IF(OR($C12="",$B$2="",$D$2=0),0,IF(BM$3&lt;0,0,N(INDEX('CURVA PREVISION'!$A$1:$KZ$3000,$C12,10+3*MIN(BM$3,$D$2-1)))))</f>
        <v/>
      </c>
      <c r="BN12" s="122">
        <f>IF(OR($C12="",$B$2="",$D$2=0),0,IF(BN$3&lt;0,0,N(INDEX('CURVA PREVISION'!$A$1:$KZ$3000,$C12,10+3*MIN(BN$3,$D$2-1)))))</f>
        <v/>
      </c>
      <c r="BO12" s="122">
        <f>IF(OR($C12="",$B$2="",$D$2=0),0,IF(BO$3&lt;0,0,N(INDEX('CURVA PREVISION'!$A$1:$KZ$3000,$C12,10+3*MIN(BO$3,$D$2-1)))))</f>
        <v/>
      </c>
      <c r="BP12" s="122">
        <f>IF(OR($C12="",$B$2="",$D$2=0),0,IF(BP$3&lt;0,0,N(INDEX('CURVA PREVISION'!$A$1:$KZ$3000,$C12,10+3*MIN(BP$3,$D$2-1)))))</f>
        <v/>
      </c>
      <c r="BQ12" s="122">
        <f>IF(OR($C12="",$B$2="",$D$2=0),0,IF(BQ$3&lt;0,0,N(INDEX('CURVA PREVISION'!$A$1:$KZ$3000,$C12,10+3*MIN(BQ$3,$D$2-1)))))</f>
        <v/>
      </c>
      <c r="BR12" s="122">
        <f>IF(OR($C12="",$B$2="",$D$2=0),0,IF(BR$3&lt;0,0,N(INDEX('CURVA PREVISION'!$A$1:$KZ$3000,$C12,10+3*MIN(BR$3,$D$2-1)))))</f>
        <v/>
      </c>
      <c r="BS12" s="122">
        <f>IF(OR($C12="",$B$2="",$D$2=0),0,IF(BS$3&lt;0,0,N(INDEX('CURVA PREVISION'!$A$1:$KZ$3000,$C12,10+3*MIN(BS$3,$D$2-1)))))</f>
        <v/>
      </c>
      <c r="BT12" s="122">
        <f>IF(OR($C12="",$B$2="",$D$2=0),0,IF(BT$3&lt;0,0,N(INDEX('CURVA PREVISION'!$A$1:$KZ$3000,$C12,10+3*MIN(BT$3,$D$2-1)))))</f>
        <v/>
      </c>
      <c r="BU12" s="122">
        <f>IF(OR($C12="",$B$2="",$D$2=0),0,IF(BU$3&lt;0,0,N(INDEX('CURVA PREVISION'!$A$1:$KZ$3000,$C12,10+3*MIN(BU$3,$D$2-1)))))</f>
        <v/>
      </c>
      <c r="BV12" s="122">
        <f>IF(OR($C12="",$B$2="",$D$2=0),0,IF(BV$3&lt;0,0,N(INDEX('CURVA PREVISION'!$A$1:$KZ$3000,$C12,10+3*MIN(BV$3,$D$2-1)))))</f>
        <v/>
      </c>
      <c r="BW12" s="122">
        <f>IF(OR($C12="",$B$2="",$D$2=0),0,IF(BW$3&lt;0,0,N(INDEX('CURVA PREVISION'!$A$1:$KZ$3000,$C12,10+3*MIN(BW$3,$D$2-1)))))</f>
        <v/>
      </c>
    </row>
    <row r="13">
      <c r="A13" s="60">
        <f>IF('VALOR POR PL'!Q19="",'VALOR POR PL'!C19,'VALOR POR PL'!Q19)</f>
        <v/>
      </c>
      <c r="B13" s="60">
        <f>'VALOR POR PL'!D19</f>
        <v/>
      </c>
      <c r="C13" s="69">
        <f>IFERROR(MATCH(A13,'CURVA PREVISION'!$B$1:$B$3000,0),"")</f>
        <v/>
      </c>
      <c r="D13" s="122">
        <f>IF(OR($C13="",$B$2="",$D$2=0),0,IF(D$3&lt;0,0,N(INDEX('CURVA PREVISION'!$A$1:$KZ$3000,$C13,10+3*MIN(D$3,$D$2-1)))))</f>
        <v/>
      </c>
      <c r="E13" s="122">
        <f>IF(OR($C13="",$B$2="",$D$2=0),0,IF(E$3&lt;0,0,N(INDEX('CURVA PREVISION'!$A$1:$KZ$3000,$C13,10+3*MIN(E$3,$D$2-1)))))</f>
        <v/>
      </c>
      <c r="F13" s="122">
        <f>IF(OR($C13="",$B$2="",$D$2=0),0,IF(F$3&lt;0,0,N(INDEX('CURVA PREVISION'!$A$1:$KZ$3000,$C13,10+3*MIN(F$3,$D$2-1)))))</f>
        <v/>
      </c>
      <c r="G13" s="122">
        <f>IF(OR($C13="",$B$2="",$D$2=0),0,IF(G$3&lt;0,0,N(INDEX('CURVA PREVISION'!$A$1:$KZ$3000,$C13,10+3*MIN(G$3,$D$2-1)))))</f>
        <v/>
      </c>
      <c r="H13" s="122">
        <f>IF(OR($C13="",$B$2="",$D$2=0),0,IF(H$3&lt;0,0,N(INDEX('CURVA PREVISION'!$A$1:$KZ$3000,$C13,10+3*MIN(H$3,$D$2-1)))))</f>
        <v/>
      </c>
      <c r="I13" s="122">
        <f>IF(OR($C13="",$B$2="",$D$2=0),0,IF(I$3&lt;0,0,N(INDEX('CURVA PREVISION'!$A$1:$KZ$3000,$C13,10+3*MIN(I$3,$D$2-1)))))</f>
        <v/>
      </c>
      <c r="J13" s="122">
        <f>IF(OR($C13="",$B$2="",$D$2=0),0,IF(J$3&lt;0,0,N(INDEX('CURVA PREVISION'!$A$1:$KZ$3000,$C13,10+3*MIN(J$3,$D$2-1)))))</f>
        <v/>
      </c>
      <c r="K13" s="122">
        <f>IF(OR($C13="",$B$2="",$D$2=0),0,IF(K$3&lt;0,0,N(INDEX('CURVA PREVISION'!$A$1:$KZ$3000,$C13,10+3*MIN(K$3,$D$2-1)))))</f>
        <v/>
      </c>
      <c r="L13" s="122">
        <f>IF(OR($C13="",$B$2="",$D$2=0),0,IF(L$3&lt;0,0,N(INDEX('CURVA PREVISION'!$A$1:$KZ$3000,$C13,10+3*MIN(L$3,$D$2-1)))))</f>
        <v/>
      </c>
      <c r="M13" s="122">
        <f>IF(OR($C13="",$B$2="",$D$2=0),0,IF(M$3&lt;0,0,N(INDEX('CURVA PREVISION'!$A$1:$KZ$3000,$C13,10+3*MIN(M$3,$D$2-1)))))</f>
        <v/>
      </c>
      <c r="N13" s="122">
        <f>IF(OR($C13="",$B$2="",$D$2=0),0,IF(N$3&lt;0,0,N(INDEX('CURVA PREVISION'!$A$1:$KZ$3000,$C13,10+3*MIN(N$3,$D$2-1)))))</f>
        <v/>
      </c>
      <c r="O13" s="122">
        <f>IF(OR($C13="",$B$2="",$D$2=0),0,IF(O$3&lt;0,0,N(INDEX('CURVA PREVISION'!$A$1:$KZ$3000,$C13,10+3*MIN(O$3,$D$2-1)))))</f>
        <v/>
      </c>
      <c r="P13" s="122">
        <f>IF(OR($C13="",$B$2="",$D$2=0),0,IF(P$3&lt;0,0,N(INDEX('CURVA PREVISION'!$A$1:$KZ$3000,$C13,10+3*MIN(P$3,$D$2-1)))))</f>
        <v/>
      </c>
      <c r="Q13" s="122">
        <f>IF(OR($C13="",$B$2="",$D$2=0),0,IF(Q$3&lt;0,0,N(INDEX('CURVA PREVISION'!$A$1:$KZ$3000,$C13,10+3*MIN(Q$3,$D$2-1)))))</f>
        <v/>
      </c>
      <c r="R13" s="122">
        <f>IF(OR($C13="",$B$2="",$D$2=0),0,IF(R$3&lt;0,0,N(INDEX('CURVA PREVISION'!$A$1:$KZ$3000,$C13,10+3*MIN(R$3,$D$2-1)))))</f>
        <v/>
      </c>
      <c r="S13" s="122">
        <f>IF(OR($C13="",$B$2="",$D$2=0),0,IF(S$3&lt;0,0,N(INDEX('CURVA PREVISION'!$A$1:$KZ$3000,$C13,10+3*MIN(S$3,$D$2-1)))))</f>
        <v/>
      </c>
      <c r="T13" s="122">
        <f>IF(OR($C13="",$B$2="",$D$2=0),0,IF(T$3&lt;0,0,N(INDEX('CURVA PREVISION'!$A$1:$KZ$3000,$C13,10+3*MIN(T$3,$D$2-1)))))</f>
        <v/>
      </c>
      <c r="U13" s="122">
        <f>IF(OR($C13="",$B$2="",$D$2=0),0,IF(U$3&lt;0,0,N(INDEX('CURVA PREVISION'!$A$1:$KZ$3000,$C13,10+3*MIN(U$3,$D$2-1)))))</f>
        <v/>
      </c>
      <c r="V13" s="122">
        <f>IF(OR($C13="",$B$2="",$D$2=0),0,IF(V$3&lt;0,0,N(INDEX('CURVA PREVISION'!$A$1:$KZ$3000,$C13,10+3*MIN(V$3,$D$2-1)))))</f>
        <v/>
      </c>
      <c r="W13" s="122">
        <f>IF(OR($C13="",$B$2="",$D$2=0),0,IF(W$3&lt;0,0,N(INDEX('CURVA PREVISION'!$A$1:$KZ$3000,$C13,10+3*MIN(W$3,$D$2-1)))))</f>
        <v/>
      </c>
      <c r="X13" s="122">
        <f>IF(OR($C13="",$B$2="",$D$2=0),0,IF(X$3&lt;0,0,N(INDEX('CURVA PREVISION'!$A$1:$KZ$3000,$C13,10+3*MIN(X$3,$D$2-1)))))</f>
        <v/>
      </c>
      <c r="Y13" s="122">
        <f>IF(OR($C13="",$B$2="",$D$2=0),0,IF(Y$3&lt;0,0,N(INDEX('CURVA PREVISION'!$A$1:$KZ$3000,$C13,10+3*MIN(Y$3,$D$2-1)))))</f>
        <v/>
      </c>
      <c r="Z13" s="122">
        <f>IF(OR($C13="",$B$2="",$D$2=0),0,IF(Z$3&lt;0,0,N(INDEX('CURVA PREVISION'!$A$1:$KZ$3000,$C13,10+3*MIN(Z$3,$D$2-1)))))</f>
        <v/>
      </c>
      <c r="AA13" s="122">
        <f>IF(OR($C13="",$B$2="",$D$2=0),0,IF(AA$3&lt;0,0,N(INDEX('CURVA PREVISION'!$A$1:$KZ$3000,$C13,10+3*MIN(AA$3,$D$2-1)))))</f>
        <v/>
      </c>
      <c r="AB13" s="122">
        <f>IF(OR($C13="",$B$2="",$D$2=0),0,IF(AB$3&lt;0,0,N(INDEX('CURVA PREVISION'!$A$1:$KZ$3000,$C13,10+3*MIN(AB$3,$D$2-1)))))</f>
        <v/>
      </c>
      <c r="AC13" s="122">
        <f>IF(OR($C13="",$B$2="",$D$2=0),0,IF(AC$3&lt;0,0,N(INDEX('CURVA PREVISION'!$A$1:$KZ$3000,$C13,10+3*MIN(AC$3,$D$2-1)))))</f>
        <v/>
      </c>
      <c r="AD13" s="122">
        <f>IF(OR($C13="",$B$2="",$D$2=0),0,IF(AD$3&lt;0,0,N(INDEX('CURVA PREVISION'!$A$1:$KZ$3000,$C13,10+3*MIN(AD$3,$D$2-1)))))</f>
        <v/>
      </c>
      <c r="AE13" s="122">
        <f>IF(OR($C13="",$B$2="",$D$2=0),0,IF(AE$3&lt;0,0,N(INDEX('CURVA PREVISION'!$A$1:$KZ$3000,$C13,10+3*MIN(AE$3,$D$2-1)))))</f>
        <v/>
      </c>
      <c r="AF13" s="122">
        <f>IF(OR($C13="",$B$2="",$D$2=0),0,IF(AF$3&lt;0,0,N(INDEX('CURVA PREVISION'!$A$1:$KZ$3000,$C13,10+3*MIN(AF$3,$D$2-1)))))</f>
        <v/>
      </c>
      <c r="AG13" s="122">
        <f>IF(OR($C13="",$B$2="",$D$2=0),0,IF(AG$3&lt;0,0,N(INDEX('CURVA PREVISION'!$A$1:$KZ$3000,$C13,10+3*MIN(AG$3,$D$2-1)))))</f>
        <v/>
      </c>
      <c r="AH13" s="122">
        <f>IF(OR($C13="",$B$2="",$D$2=0),0,IF(AH$3&lt;0,0,N(INDEX('CURVA PREVISION'!$A$1:$KZ$3000,$C13,10+3*MIN(AH$3,$D$2-1)))))</f>
        <v/>
      </c>
      <c r="AI13" s="122">
        <f>IF(OR($C13="",$B$2="",$D$2=0),0,IF(AI$3&lt;0,0,N(INDEX('CURVA PREVISION'!$A$1:$KZ$3000,$C13,10+3*MIN(AI$3,$D$2-1)))))</f>
        <v/>
      </c>
      <c r="AJ13" s="122">
        <f>IF(OR($C13="",$B$2="",$D$2=0),0,IF(AJ$3&lt;0,0,N(INDEX('CURVA PREVISION'!$A$1:$KZ$3000,$C13,10+3*MIN(AJ$3,$D$2-1)))))</f>
        <v/>
      </c>
      <c r="AK13" s="122">
        <f>IF(OR($C13="",$B$2="",$D$2=0),0,IF(AK$3&lt;0,0,N(INDEX('CURVA PREVISION'!$A$1:$KZ$3000,$C13,10+3*MIN(AK$3,$D$2-1)))))</f>
        <v/>
      </c>
      <c r="AL13" s="122">
        <f>IF(OR($C13="",$B$2="",$D$2=0),0,IF(AL$3&lt;0,0,N(INDEX('CURVA PREVISION'!$A$1:$KZ$3000,$C13,10+3*MIN(AL$3,$D$2-1)))))</f>
        <v/>
      </c>
      <c r="AM13" s="122">
        <f>IF(OR($C13="",$B$2="",$D$2=0),0,IF(AM$3&lt;0,0,N(INDEX('CURVA PREVISION'!$A$1:$KZ$3000,$C13,10+3*MIN(AM$3,$D$2-1)))))</f>
        <v/>
      </c>
      <c r="AN13" s="122">
        <f>IF(OR($C13="",$B$2="",$D$2=0),0,IF(AN$3&lt;0,0,N(INDEX('CURVA PREVISION'!$A$1:$KZ$3000,$C13,10+3*MIN(AN$3,$D$2-1)))))</f>
        <v/>
      </c>
      <c r="AO13" s="122">
        <f>IF(OR($C13="",$B$2="",$D$2=0),0,IF(AO$3&lt;0,0,N(INDEX('CURVA PREVISION'!$A$1:$KZ$3000,$C13,10+3*MIN(AO$3,$D$2-1)))))</f>
        <v/>
      </c>
      <c r="AP13" s="122">
        <f>IF(OR($C13="",$B$2="",$D$2=0),0,IF(AP$3&lt;0,0,N(INDEX('CURVA PREVISION'!$A$1:$KZ$3000,$C13,10+3*MIN(AP$3,$D$2-1)))))</f>
        <v/>
      </c>
      <c r="AQ13" s="122">
        <f>IF(OR($C13="",$B$2="",$D$2=0),0,IF(AQ$3&lt;0,0,N(INDEX('CURVA PREVISION'!$A$1:$KZ$3000,$C13,10+3*MIN(AQ$3,$D$2-1)))))</f>
        <v/>
      </c>
      <c r="AR13" s="122">
        <f>IF(OR($C13="",$B$2="",$D$2=0),0,IF(AR$3&lt;0,0,N(INDEX('CURVA PREVISION'!$A$1:$KZ$3000,$C13,10+3*MIN(AR$3,$D$2-1)))))</f>
        <v/>
      </c>
      <c r="AS13" s="122">
        <f>IF(OR($C13="",$B$2="",$D$2=0),0,IF(AS$3&lt;0,0,N(INDEX('CURVA PREVISION'!$A$1:$KZ$3000,$C13,10+3*MIN(AS$3,$D$2-1)))))</f>
        <v/>
      </c>
      <c r="AT13" s="122">
        <f>IF(OR($C13="",$B$2="",$D$2=0),0,IF(AT$3&lt;0,0,N(INDEX('CURVA PREVISION'!$A$1:$KZ$3000,$C13,10+3*MIN(AT$3,$D$2-1)))))</f>
        <v/>
      </c>
      <c r="AU13" s="122">
        <f>IF(OR($C13="",$B$2="",$D$2=0),0,IF(AU$3&lt;0,0,N(INDEX('CURVA PREVISION'!$A$1:$KZ$3000,$C13,10+3*MIN(AU$3,$D$2-1)))))</f>
        <v/>
      </c>
      <c r="AV13" s="122">
        <f>IF(OR($C13="",$B$2="",$D$2=0),0,IF(AV$3&lt;0,0,N(INDEX('CURVA PREVISION'!$A$1:$KZ$3000,$C13,10+3*MIN(AV$3,$D$2-1)))))</f>
        <v/>
      </c>
      <c r="AW13" s="122">
        <f>IF(OR($C13="",$B$2="",$D$2=0),0,IF(AW$3&lt;0,0,N(INDEX('CURVA PREVISION'!$A$1:$KZ$3000,$C13,10+3*MIN(AW$3,$D$2-1)))))</f>
        <v/>
      </c>
      <c r="AX13" s="122">
        <f>IF(OR($C13="",$B$2="",$D$2=0),0,IF(AX$3&lt;0,0,N(INDEX('CURVA PREVISION'!$A$1:$KZ$3000,$C13,10+3*MIN(AX$3,$D$2-1)))))</f>
        <v/>
      </c>
      <c r="AY13" s="122">
        <f>IF(OR($C13="",$B$2="",$D$2=0),0,IF(AY$3&lt;0,0,N(INDEX('CURVA PREVISION'!$A$1:$KZ$3000,$C13,10+3*MIN(AY$3,$D$2-1)))))</f>
        <v/>
      </c>
      <c r="AZ13" s="122">
        <f>IF(OR($C13="",$B$2="",$D$2=0),0,IF(AZ$3&lt;0,0,N(INDEX('CURVA PREVISION'!$A$1:$KZ$3000,$C13,10+3*MIN(AZ$3,$D$2-1)))))</f>
        <v/>
      </c>
      <c r="BA13" s="122">
        <f>IF(OR($C13="",$B$2="",$D$2=0),0,IF(BA$3&lt;0,0,N(INDEX('CURVA PREVISION'!$A$1:$KZ$3000,$C13,10+3*MIN(BA$3,$D$2-1)))))</f>
        <v/>
      </c>
      <c r="BB13" s="122">
        <f>IF(OR($C13="",$B$2="",$D$2=0),0,IF(BB$3&lt;0,0,N(INDEX('CURVA PREVISION'!$A$1:$KZ$3000,$C13,10+3*MIN(BB$3,$D$2-1)))))</f>
        <v/>
      </c>
      <c r="BC13" s="122">
        <f>IF(OR($C13="",$B$2="",$D$2=0),0,IF(BC$3&lt;0,0,N(INDEX('CURVA PREVISION'!$A$1:$KZ$3000,$C13,10+3*MIN(BC$3,$D$2-1)))))</f>
        <v/>
      </c>
      <c r="BD13" s="122">
        <f>IF(OR($C13="",$B$2="",$D$2=0),0,IF(BD$3&lt;0,0,N(INDEX('CURVA PREVISION'!$A$1:$KZ$3000,$C13,10+3*MIN(BD$3,$D$2-1)))))</f>
        <v/>
      </c>
      <c r="BE13" s="122">
        <f>IF(OR($C13="",$B$2="",$D$2=0),0,IF(BE$3&lt;0,0,N(INDEX('CURVA PREVISION'!$A$1:$KZ$3000,$C13,10+3*MIN(BE$3,$D$2-1)))))</f>
        <v/>
      </c>
      <c r="BF13" s="122">
        <f>IF(OR($C13="",$B$2="",$D$2=0),0,IF(BF$3&lt;0,0,N(INDEX('CURVA PREVISION'!$A$1:$KZ$3000,$C13,10+3*MIN(BF$3,$D$2-1)))))</f>
        <v/>
      </c>
      <c r="BG13" s="122">
        <f>IF(OR($C13="",$B$2="",$D$2=0),0,IF(BG$3&lt;0,0,N(INDEX('CURVA PREVISION'!$A$1:$KZ$3000,$C13,10+3*MIN(BG$3,$D$2-1)))))</f>
        <v/>
      </c>
      <c r="BH13" s="122">
        <f>IF(OR($C13="",$B$2="",$D$2=0),0,IF(BH$3&lt;0,0,N(INDEX('CURVA PREVISION'!$A$1:$KZ$3000,$C13,10+3*MIN(BH$3,$D$2-1)))))</f>
        <v/>
      </c>
      <c r="BI13" s="122">
        <f>IF(OR($C13="",$B$2="",$D$2=0),0,IF(BI$3&lt;0,0,N(INDEX('CURVA PREVISION'!$A$1:$KZ$3000,$C13,10+3*MIN(BI$3,$D$2-1)))))</f>
        <v/>
      </c>
      <c r="BJ13" s="122">
        <f>IF(OR($C13="",$B$2="",$D$2=0),0,IF(BJ$3&lt;0,0,N(INDEX('CURVA PREVISION'!$A$1:$KZ$3000,$C13,10+3*MIN(BJ$3,$D$2-1)))))</f>
        <v/>
      </c>
      <c r="BK13" s="122">
        <f>IF(OR($C13="",$B$2="",$D$2=0),0,IF(BK$3&lt;0,0,N(INDEX('CURVA PREVISION'!$A$1:$KZ$3000,$C13,10+3*MIN(BK$3,$D$2-1)))))</f>
        <v/>
      </c>
      <c r="BL13" s="122">
        <f>IF(OR($C13="",$B$2="",$D$2=0),0,IF(BL$3&lt;0,0,N(INDEX('CURVA PREVISION'!$A$1:$KZ$3000,$C13,10+3*MIN(BL$3,$D$2-1)))))</f>
        <v/>
      </c>
      <c r="BM13" s="122">
        <f>IF(OR($C13="",$B$2="",$D$2=0),0,IF(BM$3&lt;0,0,N(INDEX('CURVA PREVISION'!$A$1:$KZ$3000,$C13,10+3*MIN(BM$3,$D$2-1)))))</f>
        <v/>
      </c>
      <c r="BN13" s="122">
        <f>IF(OR($C13="",$B$2="",$D$2=0),0,IF(BN$3&lt;0,0,N(INDEX('CURVA PREVISION'!$A$1:$KZ$3000,$C13,10+3*MIN(BN$3,$D$2-1)))))</f>
        <v/>
      </c>
      <c r="BO13" s="122">
        <f>IF(OR($C13="",$B$2="",$D$2=0),0,IF(BO$3&lt;0,0,N(INDEX('CURVA PREVISION'!$A$1:$KZ$3000,$C13,10+3*MIN(BO$3,$D$2-1)))))</f>
        <v/>
      </c>
      <c r="BP13" s="122">
        <f>IF(OR($C13="",$B$2="",$D$2=0),0,IF(BP$3&lt;0,0,N(INDEX('CURVA PREVISION'!$A$1:$KZ$3000,$C13,10+3*MIN(BP$3,$D$2-1)))))</f>
        <v/>
      </c>
      <c r="BQ13" s="122">
        <f>IF(OR($C13="",$B$2="",$D$2=0),0,IF(BQ$3&lt;0,0,N(INDEX('CURVA PREVISION'!$A$1:$KZ$3000,$C13,10+3*MIN(BQ$3,$D$2-1)))))</f>
        <v/>
      </c>
      <c r="BR13" s="122">
        <f>IF(OR($C13="",$B$2="",$D$2=0),0,IF(BR$3&lt;0,0,N(INDEX('CURVA PREVISION'!$A$1:$KZ$3000,$C13,10+3*MIN(BR$3,$D$2-1)))))</f>
        <v/>
      </c>
      <c r="BS13" s="122">
        <f>IF(OR($C13="",$B$2="",$D$2=0),0,IF(BS$3&lt;0,0,N(INDEX('CURVA PREVISION'!$A$1:$KZ$3000,$C13,10+3*MIN(BS$3,$D$2-1)))))</f>
        <v/>
      </c>
      <c r="BT13" s="122">
        <f>IF(OR($C13="",$B$2="",$D$2=0),0,IF(BT$3&lt;0,0,N(INDEX('CURVA PREVISION'!$A$1:$KZ$3000,$C13,10+3*MIN(BT$3,$D$2-1)))))</f>
        <v/>
      </c>
      <c r="BU13" s="122">
        <f>IF(OR($C13="",$B$2="",$D$2=0),0,IF(BU$3&lt;0,0,N(INDEX('CURVA PREVISION'!$A$1:$KZ$3000,$C13,10+3*MIN(BU$3,$D$2-1)))))</f>
        <v/>
      </c>
      <c r="BV13" s="122">
        <f>IF(OR($C13="",$B$2="",$D$2=0),0,IF(BV$3&lt;0,0,N(INDEX('CURVA PREVISION'!$A$1:$KZ$3000,$C13,10+3*MIN(BV$3,$D$2-1)))))</f>
        <v/>
      </c>
      <c r="BW13" s="122">
        <f>IF(OR($C13="",$B$2="",$D$2=0),0,IF(BW$3&lt;0,0,N(INDEX('CURVA PREVISION'!$A$1:$KZ$3000,$C13,10+3*MIN(BW$3,$D$2-1)))))</f>
        <v/>
      </c>
    </row>
    <row r="14">
      <c r="A14" s="60">
        <f>IF('VALOR POR PL'!Q20="",'VALOR POR PL'!C20,'VALOR POR PL'!Q20)</f>
        <v/>
      </c>
      <c r="B14" s="60">
        <f>'VALOR POR PL'!D20</f>
        <v/>
      </c>
      <c r="C14" s="69">
        <f>IFERROR(MATCH(A14,'CURVA PREVISION'!$B$1:$B$3000,0),"")</f>
        <v/>
      </c>
      <c r="D14" s="122">
        <f>IF(OR($C14="",$B$2="",$D$2=0),0,IF(D$3&lt;0,0,N(INDEX('CURVA PREVISION'!$A$1:$KZ$3000,$C14,10+3*MIN(D$3,$D$2-1)))))</f>
        <v/>
      </c>
      <c r="E14" s="122">
        <f>IF(OR($C14="",$B$2="",$D$2=0),0,IF(E$3&lt;0,0,N(INDEX('CURVA PREVISION'!$A$1:$KZ$3000,$C14,10+3*MIN(E$3,$D$2-1)))))</f>
        <v/>
      </c>
      <c r="F14" s="122">
        <f>IF(OR($C14="",$B$2="",$D$2=0),0,IF(F$3&lt;0,0,N(INDEX('CURVA PREVISION'!$A$1:$KZ$3000,$C14,10+3*MIN(F$3,$D$2-1)))))</f>
        <v/>
      </c>
      <c r="G14" s="122">
        <f>IF(OR($C14="",$B$2="",$D$2=0),0,IF(G$3&lt;0,0,N(INDEX('CURVA PREVISION'!$A$1:$KZ$3000,$C14,10+3*MIN(G$3,$D$2-1)))))</f>
        <v/>
      </c>
      <c r="H14" s="122">
        <f>IF(OR($C14="",$B$2="",$D$2=0),0,IF(H$3&lt;0,0,N(INDEX('CURVA PREVISION'!$A$1:$KZ$3000,$C14,10+3*MIN(H$3,$D$2-1)))))</f>
        <v/>
      </c>
      <c r="I14" s="122">
        <f>IF(OR($C14="",$B$2="",$D$2=0),0,IF(I$3&lt;0,0,N(INDEX('CURVA PREVISION'!$A$1:$KZ$3000,$C14,10+3*MIN(I$3,$D$2-1)))))</f>
        <v/>
      </c>
      <c r="J14" s="122">
        <f>IF(OR($C14="",$B$2="",$D$2=0),0,IF(J$3&lt;0,0,N(INDEX('CURVA PREVISION'!$A$1:$KZ$3000,$C14,10+3*MIN(J$3,$D$2-1)))))</f>
        <v/>
      </c>
      <c r="K14" s="122">
        <f>IF(OR($C14="",$B$2="",$D$2=0),0,IF(K$3&lt;0,0,N(INDEX('CURVA PREVISION'!$A$1:$KZ$3000,$C14,10+3*MIN(K$3,$D$2-1)))))</f>
        <v/>
      </c>
      <c r="L14" s="122">
        <f>IF(OR($C14="",$B$2="",$D$2=0),0,IF(L$3&lt;0,0,N(INDEX('CURVA PREVISION'!$A$1:$KZ$3000,$C14,10+3*MIN(L$3,$D$2-1)))))</f>
        <v/>
      </c>
      <c r="M14" s="122">
        <f>IF(OR($C14="",$B$2="",$D$2=0),0,IF(M$3&lt;0,0,N(INDEX('CURVA PREVISION'!$A$1:$KZ$3000,$C14,10+3*MIN(M$3,$D$2-1)))))</f>
        <v/>
      </c>
      <c r="N14" s="122">
        <f>IF(OR($C14="",$B$2="",$D$2=0),0,IF(N$3&lt;0,0,N(INDEX('CURVA PREVISION'!$A$1:$KZ$3000,$C14,10+3*MIN(N$3,$D$2-1)))))</f>
        <v/>
      </c>
      <c r="O14" s="122">
        <f>IF(OR($C14="",$B$2="",$D$2=0),0,IF(O$3&lt;0,0,N(INDEX('CURVA PREVISION'!$A$1:$KZ$3000,$C14,10+3*MIN(O$3,$D$2-1)))))</f>
        <v/>
      </c>
      <c r="P14" s="122">
        <f>IF(OR($C14="",$B$2="",$D$2=0),0,IF(P$3&lt;0,0,N(INDEX('CURVA PREVISION'!$A$1:$KZ$3000,$C14,10+3*MIN(P$3,$D$2-1)))))</f>
        <v/>
      </c>
      <c r="Q14" s="122">
        <f>IF(OR($C14="",$B$2="",$D$2=0),0,IF(Q$3&lt;0,0,N(INDEX('CURVA PREVISION'!$A$1:$KZ$3000,$C14,10+3*MIN(Q$3,$D$2-1)))))</f>
        <v/>
      </c>
      <c r="R14" s="122">
        <f>IF(OR($C14="",$B$2="",$D$2=0),0,IF(R$3&lt;0,0,N(INDEX('CURVA PREVISION'!$A$1:$KZ$3000,$C14,10+3*MIN(R$3,$D$2-1)))))</f>
        <v/>
      </c>
      <c r="S14" s="122">
        <f>IF(OR($C14="",$B$2="",$D$2=0),0,IF(S$3&lt;0,0,N(INDEX('CURVA PREVISION'!$A$1:$KZ$3000,$C14,10+3*MIN(S$3,$D$2-1)))))</f>
        <v/>
      </c>
      <c r="T14" s="122">
        <f>IF(OR($C14="",$B$2="",$D$2=0),0,IF(T$3&lt;0,0,N(INDEX('CURVA PREVISION'!$A$1:$KZ$3000,$C14,10+3*MIN(T$3,$D$2-1)))))</f>
        <v/>
      </c>
      <c r="U14" s="122">
        <f>IF(OR($C14="",$B$2="",$D$2=0),0,IF(U$3&lt;0,0,N(INDEX('CURVA PREVISION'!$A$1:$KZ$3000,$C14,10+3*MIN(U$3,$D$2-1)))))</f>
        <v/>
      </c>
      <c r="V14" s="122">
        <f>IF(OR($C14="",$B$2="",$D$2=0),0,IF(V$3&lt;0,0,N(INDEX('CURVA PREVISION'!$A$1:$KZ$3000,$C14,10+3*MIN(V$3,$D$2-1)))))</f>
        <v/>
      </c>
      <c r="W14" s="122">
        <f>IF(OR($C14="",$B$2="",$D$2=0),0,IF(W$3&lt;0,0,N(INDEX('CURVA PREVISION'!$A$1:$KZ$3000,$C14,10+3*MIN(W$3,$D$2-1)))))</f>
        <v/>
      </c>
      <c r="X14" s="122">
        <f>IF(OR($C14="",$B$2="",$D$2=0),0,IF(X$3&lt;0,0,N(INDEX('CURVA PREVISION'!$A$1:$KZ$3000,$C14,10+3*MIN(X$3,$D$2-1)))))</f>
        <v/>
      </c>
      <c r="Y14" s="122">
        <f>IF(OR($C14="",$B$2="",$D$2=0),0,IF(Y$3&lt;0,0,N(INDEX('CURVA PREVISION'!$A$1:$KZ$3000,$C14,10+3*MIN(Y$3,$D$2-1)))))</f>
        <v/>
      </c>
      <c r="Z14" s="122">
        <f>IF(OR($C14="",$B$2="",$D$2=0),0,IF(Z$3&lt;0,0,N(INDEX('CURVA PREVISION'!$A$1:$KZ$3000,$C14,10+3*MIN(Z$3,$D$2-1)))))</f>
        <v/>
      </c>
      <c r="AA14" s="122">
        <f>IF(OR($C14="",$B$2="",$D$2=0),0,IF(AA$3&lt;0,0,N(INDEX('CURVA PREVISION'!$A$1:$KZ$3000,$C14,10+3*MIN(AA$3,$D$2-1)))))</f>
        <v/>
      </c>
      <c r="AB14" s="122">
        <f>IF(OR($C14="",$B$2="",$D$2=0),0,IF(AB$3&lt;0,0,N(INDEX('CURVA PREVISION'!$A$1:$KZ$3000,$C14,10+3*MIN(AB$3,$D$2-1)))))</f>
        <v/>
      </c>
      <c r="AC14" s="122">
        <f>IF(OR($C14="",$B$2="",$D$2=0),0,IF(AC$3&lt;0,0,N(INDEX('CURVA PREVISION'!$A$1:$KZ$3000,$C14,10+3*MIN(AC$3,$D$2-1)))))</f>
        <v/>
      </c>
      <c r="AD14" s="122">
        <f>IF(OR($C14="",$B$2="",$D$2=0),0,IF(AD$3&lt;0,0,N(INDEX('CURVA PREVISION'!$A$1:$KZ$3000,$C14,10+3*MIN(AD$3,$D$2-1)))))</f>
        <v/>
      </c>
      <c r="AE14" s="122">
        <f>IF(OR($C14="",$B$2="",$D$2=0),0,IF(AE$3&lt;0,0,N(INDEX('CURVA PREVISION'!$A$1:$KZ$3000,$C14,10+3*MIN(AE$3,$D$2-1)))))</f>
        <v/>
      </c>
      <c r="AF14" s="122">
        <f>IF(OR($C14="",$B$2="",$D$2=0),0,IF(AF$3&lt;0,0,N(INDEX('CURVA PREVISION'!$A$1:$KZ$3000,$C14,10+3*MIN(AF$3,$D$2-1)))))</f>
        <v/>
      </c>
      <c r="AG14" s="122">
        <f>IF(OR($C14="",$B$2="",$D$2=0),0,IF(AG$3&lt;0,0,N(INDEX('CURVA PREVISION'!$A$1:$KZ$3000,$C14,10+3*MIN(AG$3,$D$2-1)))))</f>
        <v/>
      </c>
      <c r="AH14" s="122">
        <f>IF(OR($C14="",$B$2="",$D$2=0),0,IF(AH$3&lt;0,0,N(INDEX('CURVA PREVISION'!$A$1:$KZ$3000,$C14,10+3*MIN(AH$3,$D$2-1)))))</f>
        <v/>
      </c>
      <c r="AI14" s="122">
        <f>IF(OR($C14="",$B$2="",$D$2=0),0,IF(AI$3&lt;0,0,N(INDEX('CURVA PREVISION'!$A$1:$KZ$3000,$C14,10+3*MIN(AI$3,$D$2-1)))))</f>
        <v/>
      </c>
      <c r="AJ14" s="122">
        <f>IF(OR($C14="",$B$2="",$D$2=0),0,IF(AJ$3&lt;0,0,N(INDEX('CURVA PREVISION'!$A$1:$KZ$3000,$C14,10+3*MIN(AJ$3,$D$2-1)))))</f>
        <v/>
      </c>
      <c r="AK14" s="122">
        <f>IF(OR($C14="",$B$2="",$D$2=0),0,IF(AK$3&lt;0,0,N(INDEX('CURVA PREVISION'!$A$1:$KZ$3000,$C14,10+3*MIN(AK$3,$D$2-1)))))</f>
        <v/>
      </c>
      <c r="AL14" s="122">
        <f>IF(OR($C14="",$B$2="",$D$2=0),0,IF(AL$3&lt;0,0,N(INDEX('CURVA PREVISION'!$A$1:$KZ$3000,$C14,10+3*MIN(AL$3,$D$2-1)))))</f>
        <v/>
      </c>
      <c r="AM14" s="122">
        <f>IF(OR($C14="",$B$2="",$D$2=0),0,IF(AM$3&lt;0,0,N(INDEX('CURVA PREVISION'!$A$1:$KZ$3000,$C14,10+3*MIN(AM$3,$D$2-1)))))</f>
        <v/>
      </c>
      <c r="AN14" s="122">
        <f>IF(OR($C14="",$B$2="",$D$2=0),0,IF(AN$3&lt;0,0,N(INDEX('CURVA PREVISION'!$A$1:$KZ$3000,$C14,10+3*MIN(AN$3,$D$2-1)))))</f>
        <v/>
      </c>
      <c r="AO14" s="122">
        <f>IF(OR($C14="",$B$2="",$D$2=0),0,IF(AO$3&lt;0,0,N(INDEX('CURVA PREVISION'!$A$1:$KZ$3000,$C14,10+3*MIN(AO$3,$D$2-1)))))</f>
        <v/>
      </c>
      <c r="AP14" s="122">
        <f>IF(OR($C14="",$B$2="",$D$2=0),0,IF(AP$3&lt;0,0,N(INDEX('CURVA PREVISION'!$A$1:$KZ$3000,$C14,10+3*MIN(AP$3,$D$2-1)))))</f>
        <v/>
      </c>
      <c r="AQ14" s="122">
        <f>IF(OR($C14="",$B$2="",$D$2=0),0,IF(AQ$3&lt;0,0,N(INDEX('CURVA PREVISION'!$A$1:$KZ$3000,$C14,10+3*MIN(AQ$3,$D$2-1)))))</f>
        <v/>
      </c>
      <c r="AR14" s="122">
        <f>IF(OR($C14="",$B$2="",$D$2=0),0,IF(AR$3&lt;0,0,N(INDEX('CURVA PREVISION'!$A$1:$KZ$3000,$C14,10+3*MIN(AR$3,$D$2-1)))))</f>
        <v/>
      </c>
      <c r="AS14" s="122">
        <f>IF(OR($C14="",$B$2="",$D$2=0),0,IF(AS$3&lt;0,0,N(INDEX('CURVA PREVISION'!$A$1:$KZ$3000,$C14,10+3*MIN(AS$3,$D$2-1)))))</f>
        <v/>
      </c>
      <c r="AT14" s="122">
        <f>IF(OR($C14="",$B$2="",$D$2=0),0,IF(AT$3&lt;0,0,N(INDEX('CURVA PREVISION'!$A$1:$KZ$3000,$C14,10+3*MIN(AT$3,$D$2-1)))))</f>
        <v/>
      </c>
      <c r="AU14" s="122">
        <f>IF(OR($C14="",$B$2="",$D$2=0),0,IF(AU$3&lt;0,0,N(INDEX('CURVA PREVISION'!$A$1:$KZ$3000,$C14,10+3*MIN(AU$3,$D$2-1)))))</f>
        <v/>
      </c>
      <c r="AV14" s="122">
        <f>IF(OR($C14="",$B$2="",$D$2=0),0,IF(AV$3&lt;0,0,N(INDEX('CURVA PREVISION'!$A$1:$KZ$3000,$C14,10+3*MIN(AV$3,$D$2-1)))))</f>
        <v/>
      </c>
      <c r="AW14" s="122">
        <f>IF(OR($C14="",$B$2="",$D$2=0),0,IF(AW$3&lt;0,0,N(INDEX('CURVA PREVISION'!$A$1:$KZ$3000,$C14,10+3*MIN(AW$3,$D$2-1)))))</f>
        <v/>
      </c>
      <c r="AX14" s="122">
        <f>IF(OR($C14="",$B$2="",$D$2=0),0,IF(AX$3&lt;0,0,N(INDEX('CURVA PREVISION'!$A$1:$KZ$3000,$C14,10+3*MIN(AX$3,$D$2-1)))))</f>
        <v/>
      </c>
      <c r="AY14" s="122">
        <f>IF(OR($C14="",$B$2="",$D$2=0),0,IF(AY$3&lt;0,0,N(INDEX('CURVA PREVISION'!$A$1:$KZ$3000,$C14,10+3*MIN(AY$3,$D$2-1)))))</f>
        <v/>
      </c>
      <c r="AZ14" s="122">
        <f>IF(OR($C14="",$B$2="",$D$2=0),0,IF(AZ$3&lt;0,0,N(INDEX('CURVA PREVISION'!$A$1:$KZ$3000,$C14,10+3*MIN(AZ$3,$D$2-1)))))</f>
        <v/>
      </c>
      <c r="BA14" s="122">
        <f>IF(OR($C14="",$B$2="",$D$2=0),0,IF(BA$3&lt;0,0,N(INDEX('CURVA PREVISION'!$A$1:$KZ$3000,$C14,10+3*MIN(BA$3,$D$2-1)))))</f>
        <v/>
      </c>
      <c r="BB14" s="122">
        <f>IF(OR($C14="",$B$2="",$D$2=0),0,IF(BB$3&lt;0,0,N(INDEX('CURVA PREVISION'!$A$1:$KZ$3000,$C14,10+3*MIN(BB$3,$D$2-1)))))</f>
        <v/>
      </c>
      <c r="BC14" s="122">
        <f>IF(OR($C14="",$B$2="",$D$2=0),0,IF(BC$3&lt;0,0,N(INDEX('CURVA PREVISION'!$A$1:$KZ$3000,$C14,10+3*MIN(BC$3,$D$2-1)))))</f>
        <v/>
      </c>
      <c r="BD14" s="122">
        <f>IF(OR($C14="",$B$2="",$D$2=0),0,IF(BD$3&lt;0,0,N(INDEX('CURVA PREVISION'!$A$1:$KZ$3000,$C14,10+3*MIN(BD$3,$D$2-1)))))</f>
        <v/>
      </c>
      <c r="BE14" s="122">
        <f>IF(OR($C14="",$B$2="",$D$2=0),0,IF(BE$3&lt;0,0,N(INDEX('CURVA PREVISION'!$A$1:$KZ$3000,$C14,10+3*MIN(BE$3,$D$2-1)))))</f>
        <v/>
      </c>
      <c r="BF14" s="122">
        <f>IF(OR($C14="",$B$2="",$D$2=0),0,IF(BF$3&lt;0,0,N(INDEX('CURVA PREVISION'!$A$1:$KZ$3000,$C14,10+3*MIN(BF$3,$D$2-1)))))</f>
        <v/>
      </c>
      <c r="BG14" s="122">
        <f>IF(OR($C14="",$B$2="",$D$2=0),0,IF(BG$3&lt;0,0,N(INDEX('CURVA PREVISION'!$A$1:$KZ$3000,$C14,10+3*MIN(BG$3,$D$2-1)))))</f>
        <v/>
      </c>
      <c r="BH14" s="122">
        <f>IF(OR($C14="",$B$2="",$D$2=0),0,IF(BH$3&lt;0,0,N(INDEX('CURVA PREVISION'!$A$1:$KZ$3000,$C14,10+3*MIN(BH$3,$D$2-1)))))</f>
        <v/>
      </c>
      <c r="BI14" s="122">
        <f>IF(OR($C14="",$B$2="",$D$2=0),0,IF(BI$3&lt;0,0,N(INDEX('CURVA PREVISION'!$A$1:$KZ$3000,$C14,10+3*MIN(BI$3,$D$2-1)))))</f>
        <v/>
      </c>
      <c r="BJ14" s="122">
        <f>IF(OR($C14="",$B$2="",$D$2=0),0,IF(BJ$3&lt;0,0,N(INDEX('CURVA PREVISION'!$A$1:$KZ$3000,$C14,10+3*MIN(BJ$3,$D$2-1)))))</f>
        <v/>
      </c>
      <c r="BK14" s="122">
        <f>IF(OR($C14="",$B$2="",$D$2=0),0,IF(BK$3&lt;0,0,N(INDEX('CURVA PREVISION'!$A$1:$KZ$3000,$C14,10+3*MIN(BK$3,$D$2-1)))))</f>
        <v/>
      </c>
      <c r="BL14" s="122">
        <f>IF(OR($C14="",$B$2="",$D$2=0),0,IF(BL$3&lt;0,0,N(INDEX('CURVA PREVISION'!$A$1:$KZ$3000,$C14,10+3*MIN(BL$3,$D$2-1)))))</f>
        <v/>
      </c>
      <c r="BM14" s="122">
        <f>IF(OR($C14="",$B$2="",$D$2=0),0,IF(BM$3&lt;0,0,N(INDEX('CURVA PREVISION'!$A$1:$KZ$3000,$C14,10+3*MIN(BM$3,$D$2-1)))))</f>
        <v/>
      </c>
      <c r="BN14" s="122">
        <f>IF(OR($C14="",$B$2="",$D$2=0),0,IF(BN$3&lt;0,0,N(INDEX('CURVA PREVISION'!$A$1:$KZ$3000,$C14,10+3*MIN(BN$3,$D$2-1)))))</f>
        <v/>
      </c>
      <c r="BO14" s="122">
        <f>IF(OR($C14="",$B$2="",$D$2=0),0,IF(BO$3&lt;0,0,N(INDEX('CURVA PREVISION'!$A$1:$KZ$3000,$C14,10+3*MIN(BO$3,$D$2-1)))))</f>
        <v/>
      </c>
      <c r="BP14" s="122">
        <f>IF(OR($C14="",$B$2="",$D$2=0),0,IF(BP$3&lt;0,0,N(INDEX('CURVA PREVISION'!$A$1:$KZ$3000,$C14,10+3*MIN(BP$3,$D$2-1)))))</f>
        <v/>
      </c>
      <c r="BQ14" s="122">
        <f>IF(OR($C14="",$B$2="",$D$2=0),0,IF(BQ$3&lt;0,0,N(INDEX('CURVA PREVISION'!$A$1:$KZ$3000,$C14,10+3*MIN(BQ$3,$D$2-1)))))</f>
        <v/>
      </c>
      <c r="BR14" s="122">
        <f>IF(OR($C14="",$B$2="",$D$2=0),0,IF(BR$3&lt;0,0,N(INDEX('CURVA PREVISION'!$A$1:$KZ$3000,$C14,10+3*MIN(BR$3,$D$2-1)))))</f>
        <v/>
      </c>
      <c r="BS14" s="122">
        <f>IF(OR($C14="",$B$2="",$D$2=0),0,IF(BS$3&lt;0,0,N(INDEX('CURVA PREVISION'!$A$1:$KZ$3000,$C14,10+3*MIN(BS$3,$D$2-1)))))</f>
        <v/>
      </c>
      <c r="BT14" s="122">
        <f>IF(OR($C14="",$B$2="",$D$2=0),0,IF(BT$3&lt;0,0,N(INDEX('CURVA PREVISION'!$A$1:$KZ$3000,$C14,10+3*MIN(BT$3,$D$2-1)))))</f>
        <v/>
      </c>
      <c r="BU14" s="122">
        <f>IF(OR($C14="",$B$2="",$D$2=0),0,IF(BU$3&lt;0,0,N(INDEX('CURVA PREVISION'!$A$1:$KZ$3000,$C14,10+3*MIN(BU$3,$D$2-1)))))</f>
        <v/>
      </c>
      <c r="BV14" s="122">
        <f>IF(OR($C14="",$B$2="",$D$2=0),0,IF(BV$3&lt;0,0,N(INDEX('CURVA PREVISION'!$A$1:$KZ$3000,$C14,10+3*MIN(BV$3,$D$2-1)))))</f>
        <v/>
      </c>
      <c r="BW14" s="122">
        <f>IF(OR($C14="",$B$2="",$D$2=0),0,IF(BW$3&lt;0,0,N(INDEX('CURVA PREVISION'!$A$1:$KZ$3000,$C14,10+3*MIN(BW$3,$D$2-1)))))</f>
        <v/>
      </c>
    </row>
    <row r="15">
      <c r="A15" s="60">
        <f>IF('VALOR POR PL'!Q21="",'VALOR POR PL'!C21,'VALOR POR PL'!Q21)</f>
        <v/>
      </c>
      <c r="B15" s="60">
        <f>'VALOR POR PL'!D21</f>
        <v/>
      </c>
      <c r="C15" s="69">
        <f>IFERROR(MATCH(A15,'CURVA PREVISION'!$B$1:$B$3000,0),"")</f>
        <v/>
      </c>
      <c r="D15" s="122">
        <f>IF(OR($C15="",$B$2="",$D$2=0),0,IF(D$3&lt;0,0,N(INDEX('CURVA PREVISION'!$A$1:$KZ$3000,$C15,10+3*MIN(D$3,$D$2-1)))))</f>
        <v/>
      </c>
      <c r="E15" s="122">
        <f>IF(OR($C15="",$B$2="",$D$2=0),0,IF(E$3&lt;0,0,N(INDEX('CURVA PREVISION'!$A$1:$KZ$3000,$C15,10+3*MIN(E$3,$D$2-1)))))</f>
        <v/>
      </c>
      <c r="F15" s="122">
        <f>IF(OR($C15="",$B$2="",$D$2=0),0,IF(F$3&lt;0,0,N(INDEX('CURVA PREVISION'!$A$1:$KZ$3000,$C15,10+3*MIN(F$3,$D$2-1)))))</f>
        <v/>
      </c>
      <c r="G15" s="122">
        <f>IF(OR($C15="",$B$2="",$D$2=0),0,IF(G$3&lt;0,0,N(INDEX('CURVA PREVISION'!$A$1:$KZ$3000,$C15,10+3*MIN(G$3,$D$2-1)))))</f>
        <v/>
      </c>
      <c r="H15" s="122">
        <f>IF(OR($C15="",$B$2="",$D$2=0),0,IF(H$3&lt;0,0,N(INDEX('CURVA PREVISION'!$A$1:$KZ$3000,$C15,10+3*MIN(H$3,$D$2-1)))))</f>
        <v/>
      </c>
      <c r="I15" s="122">
        <f>IF(OR($C15="",$B$2="",$D$2=0),0,IF(I$3&lt;0,0,N(INDEX('CURVA PREVISION'!$A$1:$KZ$3000,$C15,10+3*MIN(I$3,$D$2-1)))))</f>
        <v/>
      </c>
      <c r="J15" s="122">
        <f>IF(OR($C15="",$B$2="",$D$2=0),0,IF(J$3&lt;0,0,N(INDEX('CURVA PREVISION'!$A$1:$KZ$3000,$C15,10+3*MIN(J$3,$D$2-1)))))</f>
        <v/>
      </c>
      <c r="K15" s="122">
        <f>IF(OR($C15="",$B$2="",$D$2=0),0,IF(K$3&lt;0,0,N(INDEX('CURVA PREVISION'!$A$1:$KZ$3000,$C15,10+3*MIN(K$3,$D$2-1)))))</f>
        <v/>
      </c>
      <c r="L15" s="122">
        <f>IF(OR($C15="",$B$2="",$D$2=0),0,IF(L$3&lt;0,0,N(INDEX('CURVA PREVISION'!$A$1:$KZ$3000,$C15,10+3*MIN(L$3,$D$2-1)))))</f>
        <v/>
      </c>
      <c r="M15" s="122">
        <f>IF(OR($C15="",$B$2="",$D$2=0),0,IF(M$3&lt;0,0,N(INDEX('CURVA PREVISION'!$A$1:$KZ$3000,$C15,10+3*MIN(M$3,$D$2-1)))))</f>
        <v/>
      </c>
      <c r="N15" s="122">
        <f>IF(OR($C15="",$B$2="",$D$2=0),0,IF(N$3&lt;0,0,N(INDEX('CURVA PREVISION'!$A$1:$KZ$3000,$C15,10+3*MIN(N$3,$D$2-1)))))</f>
        <v/>
      </c>
      <c r="O15" s="122">
        <f>IF(OR($C15="",$B$2="",$D$2=0),0,IF(O$3&lt;0,0,N(INDEX('CURVA PREVISION'!$A$1:$KZ$3000,$C15,10+3*MIN(O$3,$D$2-1)))))</f>
        <v/>
      </c>
      <c r="P15" s="122">
        <f>IF(OR($C15="",$B$2="",$D$2=0),0,IF(P$3&lt;0,0,N(INDEX('CURVA PREVISION'!$A$1:$KZ$3000,$C15,10+3*MIN(P$3,$D$2-1)))))</f>
        <v/>
      </c>
      <c r="Q15" s="122">
        <f>IF(OR($C15="",$B$2="",$D$2=0),0,IF(Q$3&lt;0,0,N(INDEX('CURVA PREVISION'!$A$1:$KZ$3000,$C15,10+3*MIN(Q$3,$D$2-1)))))</f>
        <v/>
      </c>
      <c r="R15" s="122">
        <f>IF(OR($C15="",$B$2="",$D$2=0),0,IF(R$3&lt;0,0,N(INDEX('CURVA PREVISION'!$A$1:$KZ$3000,$C15,10+3*MIN(R$3,$D$2-1)))))</f>
        <v/>
      </c>
      <c r="S15" s="122">
        <f>IF(OR($C15="",$B$2="",$D$2=0),0,IF(S$3&lt;0,0,N(INDEX('CURVA PREVISION'!$A$1:$KZ$3000,$C15,10+3*MIN(S$3,$D$2-1)))))</f>
        <v/>
      </c>
      <c r="T15" s="122">
        <f>IF(OR($C15="",$B$2="",$D$2=0),0,IF(T$3&lt;0,0,N(INDEX('CURVA PREVISION'!$A$1:$KZ$3000,$C15,10+3*MIN(T$3,$D$2-1)))))</f>
        <v/>
      </c>
      <c r="U15" s="122">
        <f>IF(OR($C15="",$B$2="",$D$2=0),0,IF(U$3&lt;0,0,N(INDEX('CURVA PREVISION'!$A$1:$KZ$3000,$C15,10+3*MIN(U$3,$D$2-1)))))</f>
        <v/>
      </c>
      <c r="V15" s="122">
        <f>IF(OR($C15="",$B$2="",$D$2=0),0,IF(V$3&lt;0,0,N(INDEX('CURVA PREVISION'!$A$1:$KZ$3000,$C15,10+3*MIN(V$3,$D$2-1)))))</f>
        <v/>
      </c>
      <c r="W15" s="122">
        <f>IF(OR($C15="",$B$2="",$D$2=0),0,IF(W$3&lt;0,0,N(INDEX('CURVA PREVISION'!$A$1:$KZ$3000,$C15,10+3*MIN(W$3,$D$2-1)))))</f>
        <v/>
      </c>
      <c r="X15" s="122">
        <f>IF(OR($C15="",$B$2="",$D$2=0),0,IF(X$3&lt;0,0,N(INDEX('CURVA PREVISION'!$A$1:$KZ$3000,$C15,10+3*MIN(X$3,$D$2-1)))))</f>
        <v/>
      </c>
      <c r="Y15" s="122">
        <f>IF(OR($C15="",$B$2="",$D$2=0),0,IF(Y$3&lt;0,0,N(INDEX('CURVA PREVISION'!$A$1:$KZ$3000,$C15,10+3*MIN(Y$3,$D$2-1)))))</f>
        <v/>
      </c>
      <c r="Z15" s="122">
        <f>IF(OR($C15="",$B$2="",$D$2=0),0,IF(Z$3&lt;0,0,N(INDEX('CURVA PREVISION'!$A$1:$KZ$3000,$C15,10+3*MIN(Z$3,$D$2-1)))))</f>
        <v/>
      </c>
      <c r="AA15" s="122">
        <f>IF(OR($C15="",$B$2="",$D$2=0),0,IF(AA$3&lt;0,0,N(INDEX('CURVA PREVISION'!$A$1:$KZ$3000,$C15,10+3*MIN(AA$3,$D$2-1)))))</f>
        <v/>
      </c>
      <c r="AB15" s="122">
        <f>IF(OR($C15="",$B$2="",$D$2=0),0,IF(AB$3&lt;0,0,N(INDEX('CURVA PREVISION'!$A$1:$KZ$3000,$C15,10+3*MIN(AB$3,$D$2-1)))))</f>
        <v/>
      </c>
      <c r="AC15" s="122">
        <f>IF(OR($C15="",$B$2="",$D$2=0),0,IF(AC$3&lt;0,0,N(INDEX('CURVA PREVISION'!$A$1:$KZ$3000,$C15,10+3*MIN(AC$3,$D$2-1)))))</f>
        <v/>
      </c>
      <c r="AD15" s="122">
        <f>IF(OR($C15="",$B$2="",$D$2=0),0,IF(AD$3&lt;0,0,N(INDEX('CURVA PREVISION'!$A$1:$KZ$3000,$C15,10+3*MIN(AD$3,$D$2-1)))))</f>
        <v/>
      </c>
      <c r="AE15" s="122">
        <f>IF(OR($C15="",$B$2="",$D$2=0),0,IF(AE$3&lt;0,0,N(INDEX('CURVA PREVISION'!$A$1:$KZ$3000,$C15,10+3*MIN(AE$3,$D$2-1)))))</f>
        <v/>
      </c>
      <c r="AF15" s="122">
        <f>IF(OR($C15="",$B$2="",$D$2=0),0,IF(AF$3&lt;0,0,N(INDEX('CURVA PREVISION'!$A$1:$KZ$3000,$C15,10+3*MIN(AF$3,$D$2-1)))))</f>
        <v/>
      </c>
      <c r="AG15" s="122">
        <f>IF(OR($C15="",$B$2="",$D$2=0),0,IF(AG$3&lt;0,0,N(INDEX('CURVA PREVISION'!$A$1:$KZ$3000,$C15,10+3*MIN(AG$3,$D$2-1)))))</f>
        <v/>
      </c>
      <c r="AH15" s="122">
        <f>IF(OR($C15="",$B$2="",$D$2=0),0,IF(AH$3&lt;0,0,N(INDEX('CURVA PREVISION'!$A$1:$KZ$3000,$C15,10+3*MIN(AH$3,$D$2-1)))))</f>
        <v/>
      </c>
      <c r="AI15" s="122">
        <f>IF(OR($C15="",$B$2="",$D$2=0),0,IF(AI$3&lt;0,0,N(INDEX('CURVA PREVISION'!$A$1:$KZ$3000,$C15,10+3*MIN(AI$3,$D$2-1)))))</f>
        <v/>
      </c>
      <c r="AJ15" s="122">
        <f>IF(OR($C15="",$B$2="",$D$2=0),0,IF(AJ$3&lt;0,0,N(INDEX('CURVA PREVISION'!$A$1:$KZ$3000,$C15,10+3*MIN(AJ$3,$D$2-1)))))</f>
        <v/>
      </c>
      <c r="AK15" s="122">
        <f>IF(OR($C15="",$B$2="",$D$2=0),0,IF(AK$3&lt;0,0,N(INDEX('CURVA PREVISION'!$A$1:$KZ$3000,$C15,10+3*MIN(AK$3,$D$2-1)))))</f>
        <v/>
      </c>
      <c r="AL15" s="122">
        <f>IF(OR($C15="",$B$2="",$D$2=0),0,IF(AL$3&lt;0,0,N(INDEX('CURVA PREVISION'!$A$1:$KZ$3000,$C15,10+3*MIN(AL$3,$D$2-1)))))</f>
        <v/>
      </c>
      <c r="AM15" s="122">
        <f>IF(OR($C15="",$B$2="",$D$2=0),0,IF(AM$3&lt;0,0,N(INDEX('CURVA PREVISION'!$A$1:$KZ$3000,$C15,10+3*MIN(AM$3,$D$2-1)))))</f>
        <v/>
      </c>
      <c r="AN15" s="122">
        <f>IF(OR($C15="",$B$2="",$D$2=0),0,IF(AN$3&lt;0,0,N(INDEX('CURVA PREVISION'!$A$1:$KZ$3000,$C15,10+3*MIN(AN$3,$D$2-1)))))</f>
        <v/>
      </c>
      <c r="AO15" s="122">
        <f>IF(OR($C15="",$B$2="",$D$2=0),0,IF(AO$3&lt;0,0,N(INDEX('CURVA PREVISION'!$A$1:$KZ$3000,$C15,10+3*MIN(AO$3,$D$2-1)))))</f>
        <v/>
      </c>
      <c r="AP15" s="122">
        <f>IF(OR($C15="",$B$2="",$D$2=0),0,IF(AP$3&lt;0,0,N(INDEX('CURVA PREVISION'!$A$1:$KZ$3000,$C15,10+3*MIN(AP$3,$D$2-1)))))</f>
        <v/>
      </c>
      <c r="AQ15" s="122">
        <f>IF(OR($C15="",$B$2="",$D$2=0),0,IF(AQ$3&lt;0,0,N(INDEX('CURVA PREVISION'!$A$1:$KZ$3000,$C15,10+3*MIN(AQ$3,$D$2-1)))))</f>
        <v/>
      </c>
      <c r="AR15" s="122">
        <f>IF(OR($C15="",$B$2="",$D$2=0),0,IF(AR$3&lt;0,0,N(INDEX('CURVA PREVISION'!$A$1:$KZ$3000,$C15,10+3*MIN(AR$3,$D$2-1)))))</f>
        <v/>
      </c>
      <c r="AS15" s="122">
        <f>IF(OR($C15="",$B$2="",$D$2=0),0,IF(AS$3&lt;0,0,N(INDEX('CURVA PREVISION'!$A$1:$KZ$3000,$C15,10+3*MIN(AS$3,$D$2-1)))))</f>
        <v/>
      </c>
      <c r="AT15" s="122">
        <f>IF(OR($C15="",$B$2="",$D$2=0),0,IF(AT$3&lt;0,0,N(INDEX('CURVA PREVISION'!$A$1:$KZ$3000,$C15,10+3*MIN(AT$3,$D$2-1)))))</f>
        <v/>
      </c>
      <c r="AU15" s="122">
        <f>IF(OR($C15="",$B$2="",$D$2=0),0,IF(AU$3&lt;0,0,N(INDEX('CURVA PREVISION'!$A$1:$KZ$3000,$C15,10+3*MIN(AU$3,$D$2-1)))))</f>
        <v/>
      </c>
      <c r="AV15" s="122">
        <f>IF(OR($C15="",$B$2="",$D$2=0),0,IF(AV$3&lt;0,0,N(INDEX('CURVA PREVISION'!$A$1:$KZ$3000,$C15,10+3*MIN(AV$3,$D$2-1)))))</f>
        <v/>
      </c>
      <c r="AW15" s="122">
        <f>IF(OR($C15="",$B$2="",$D$2=0),0,IF(AW$3&lt;0,0,N(INDEX('CURVA PREVISION'!$A$1:$KZ$3000,$C15,10+3*MIN(AW$3,$D$2-1)))))</f>
        <v/>
      </c>
      <c r="AX15" s="122">
        <f>IF(OR($C15="",$B$2="",$D$2=0),0,IF(AX$3&lt;0,0,N(INDEX('CURVA PREVISION'!$A$1:$KZ$3000,$C15,10+3*MIN(AX$3,$D$2-1)))))</f>
        <v/>
      </c>
      <c r="AY15" s="122">
        <f>IF(OR($C15="",$B$2="",$D$2=0),0,IF(AY$3&lt;0,0,N(INDEX('CURVA PREVISION'!$A$1:$KZ$3000,$C15,10+3*MIN(AY$3,$D$2-1)))))</f>
        <v/>
      </c>
      <c r="AZ15" s="122">
        <f>IF(OR($C15="",$B$2="",$D$2=0),0,IF(AZ$3&lt;0,0,N(INDEX('CURVA PREVISION'!$A$1:$KZ$3000,$C15,10+3*MIN(AZ$3,$D$2-1)))))</f>
        <v/>
      </c>
      <c r="BA15" s="122">
        <f>IF(OR($C15="",$B$2="",$D$2=0),0,IF(BA$3&lt;0,0,N(INDEX('CURVA PREVISION'!$A$1:$KZ$3000,$C15,10+3*MIN(BA$3,$D$2-1)))))</f>
        <v/>
      </c>
      <c r="BB15" s="122">
        <f>IF(OR($C15="",$B$2="",$D$2=0),0,IF(BB$3&lt;0,0,N(INDEX('CURVA PREVISION'!$A$1:$KZ$3000,$C15,10+3*MIN(BB$3,$D$2-1)))))</f>
        <v/>
      </c>
      <c r="BC15" s="122">
        <f>IF(OR($C15="",$B$2="",$D$2=0),0,IF(BC$3&lt;0,0,N(INDEX('CURVA PREVISION'!$A$1:$KZ$3000,$C15,10+3*MIN(BC$3,$D$2-1)))))</f>
        <v/>
      </c>
      <c r="BD15" s="122">
        <f>IF(OR($C15="",$B$2="",$D$2=0),0,IF(BD$3&lt;0,0,N(INDEX('CURVA PREVISION'!$A$1:$KZ$3000,$C15,10+3*MIN(BD$3,$D$2-1)))))</f>
        <v/>
      </c>
      <c r="BE15" s="122">
        <f>IF(OR($C15="",$B$2="",$D$2=0),0,IF(BE$3&lt;0,0,N(INDEX('CURVA PREVISION'!$A$1:$KZ$3000,$C15,10+3*MIN(BE$3,$D$2-1)))))</f>
        <v/>
      </c>
      <c r="BF15" s="122">
        <f>IF(OR($C15="",$B$2="",$D$2=0),0,IF(BF$3&lt;0,0,N(INDEX('CURVA PREVISION'!$A$1:$KZ$3000,$C15,10+3*MIN(BF$3,$D$2-1)))))</f>
        <v/>
      </c>
      <c r="BG15" s="122">
        <f>IF(OR($C15="",$B$2="",$D$2=0),0,IF(BG$3&lt;0,0,N(INDEX('CURVA PREVISION'!$A$1:$KZ$3000,$C15,10+3*MIN(BG$3,$D$2-1)))))</f>
        <v/>
      </c>
      <c r="BH15" s="122">
        <f>IF(OR($C15="",$B$2="",$D$2=0),0,IF(BH$3&lt;0,0,N(INDEX('CURVA PREVISION'!$A$1:$KZ$3000,$C15,10+3*MIN(BH$3,$D$2-1)))))</f>
        <v/>
      </c>
      <c r="BI15" s="122">
        <f>IF(OR($C15="",$B$2="",$D$2=0),0,IF(BI$3&lt;0,0,N(INDEX('CURVA PREVISION'!$A$1:$KZ$3000,$C15,10+3*MIN(BI$3,$D$2-1)))))</f>
        <v/>
      </c>
      <c r="BJ15" s="122">
        <f>IF(OR($C15="",$B$2="",$D$2=0),0,IF(BJ$3&lt;0,0,N(INDEX('CURVA PREVISION'!$A$1:$KZ$3000,$C15,10+3*MIN(BJ$3,$D$2-1)))))</f>
        <v/>
      </c>
      <c r="BK15" s="122">
        <f>IF(OR($C15="",$B$2="",$D$2=0),0,IF(BK$3&lt;0,0,N(INDEX('CURVA PREVISION'!$A$1:$KZ$3000,$C15,10+3*MIN(BK$3,$D$2-1)))))</f>
        <v/>
      </c>
      <c r="BL15" s="122">
        <f>IF(OR($C15="",$B$2="",$D$2=0),0,IF(BL$3&lt;0,0,N(INDEX('CURVA PREVISION'!$A$1:$KZ$3000,$C15,10+3*MIN(BL$3,$D$2-1)))))</f>
        <v/>
      </c>
      <c r="BM15" s="122">
        <f>IF(OR($C15="",$B$2="",$D$2=0),0,IF(BM$3&lt;0,0,N(INDEX('CURVA PREVISION'!$A$1:$KZ$3000,$C15,10+3*MIN(BM$3,$D$2-1)))))</f>
        <v/>
      </c>
      <c r="BN15" s="122">
        <f>IF(OR($C15="",$B$2="",$D$2=0),0,IF(BN$3&lt;0,0,N(INDEX('CURVA PREVISION'!$A$1:$KZ$3000,$C15,10+3*MIN(BN$3,$D$2-1)))))</f>
        <v/>
      </c>
      <c r="BO15" s="122">
        <f>IF(OR($C15="",$B$2="",$D$2=0),0,IF(BO$3&lt;0,0,N(INDEX('CURVA PREVISION'!$A$1:$KZ$3000,$C15,10+3*MIN(BO$3,$D$2-1)))))</f>
        <v/>
      </c>
      <c r="BP15" s="122">
        <f>IF(OR($C15="",$B$2="",$D$2=0),0,IF(BP$3&lt;0,0,N(INDEX('CURVA PREVISION'!$A$1:$KZ$3000,$C15,10+3*MIN(BP$3,$D$2-1)))))</f>
        <v/>
      </c>
      <c r="BQ15" s="122">
        <f>IF(OR($C15="",$B$2="",$D$2=0),0,IF(BQ$3&lt;0,0,N(INDEX('CURVA PREVISION'!$A$1:$KZ$3000,$C15,10+3*MIN(BQ$3,$D$2-1)))))</f>
        <v/>
      </c>
      <c r="BR15" s="122">
        <f>IF(OR($C15="",$B$2="",$D$2=0),0,IF(BR$3&lt;0,0,N(INDEX('CURVA PREVISION'!$A$1:$KZ$3000,$C15,10+3*MIN(BR$3,$D$2-1)))))</f>
        <v/>
      </c>
      <c r="BS15" s="122">
        <f>IF(OR($C15="",$B$2="",$D$2=0),0,IF(BS$3&lt;0,0,N(INDEX('CURVA PREVISION'!$A$1:$KZ$3000,$C15,10+3*MIN(BS$3,$D$2-1)))))</f>
        <v/>
      </c>
      <c r="BT15" s="122">
        <f>IF(OR($C15="",$B$2="",$D$2=0),0,IF(BT$3&lt;0,0,N(INDEX('CURVA PREVISION'!$A$1:$KZ$3000,$C15,10+3*MIN(BT$3,$D$2-1)))))</f>
        <v/>
      </c>
      <c r="BU15" s="122">
        <f>IF(OR($C15="",$B$2="",$D$2=0),0,IF(BU$3&lt;0,0,N(INDEX('CURVA PREVISION'!$A$1:$KZ$3000,$C15,10+3*MIN(BU$3,$D$2-1)))))</f>
        <v/>
      </c>
      <c r="BV15" s="122">
        <f>IF(OR($C15="",$B$2="",$D$2=0),0,IF(BV$3&lt;0,0,N(INDEX('CURVA PREVISION'!$A$1:$KZ$3000,$C15,10+3*MIN(BV$3,$D$2-1)))))</f>
        <v/>
      </c>
      <c r="BW15" s="122">
        <f>IF(OR($C15="",$B$2="",$D$2=0),0,IF(BW$3&lt;0,0,N(INDEX('CURVA PREVISION'!$A$1:$KZ$3000,$C15,10+3*MIN(BW$3,$D$2-1)))))</f>
        <v/>
      </c>
    </row>
    <row r="16">
      <c r="A16" s="60">
        <f>IF('VALOR POR PL'!Q22="",'VALOR POR PL'!C22,'VALOR POR PL'!Q22)</f>
        <v/>
      </c>
      <c r="B16" s="60">
        <f>'VALOR POR PL'!D22</f>
        <v/>
      </c>
      <c r="C16" s="69">
        <f>IFERROR(MATCH(A16,'CURVA PREVISION'!$B$1:$B$3000,0),"")</f>
        <v/>
      </c>
      <c r="D16" s="122">
        <f>IF(OR($C16="",$B$2="",$D$2=0),0,IF(D$3&lt;0,0,N(INDEX('CURVA PREVISION'!$A$1:$KZ$3000,$C16,10+3*MIN(D$3,$D$2-1)))))</f>
        <v/>
      </c>
      <c r="E16" s="122">
        <f>IF(OR($C16="",$B$2="",$D$2=0),0,IF(E$3&lt;0,0,N(INDEX('CURVA PREVISION'!$A$1:$KZ$3000,$C16,10+3*MIN(E$3,$D$2-1)))))</f>
        <v/>
      </c>
      <c r="F16" s="122">
        <f>IF(OR($C16="",$B$2="",$D$2=0),0,IF(F$3&lt;0,0,N(INDEX('CURVA PREVISION'!$A$1:$KZ$3000,$C16,10+3*MIN(F$3,$D$2-1)))))</f>
        <v/>
      </c>
      <c r="G16" s="122">
        <f>IF(OR($C16="",$B$2="",$D$2=0),0,IF(G$3&lt;0,0,N(INDEX('CURVA PREVISION'!$A$1:$KZ$3000,$C16,10+3*MIN(G$3,$D$2-1)))))</f>
        <v/>
      </c>
      <c r="H16" s="122">
        <f>IF(OR($C16="",$B$2="",$D$2=0),0,IF(H$3&lt;0,0,N(INDEX('CURVA PREVISION'!$A$1:$KZ$3000,$C16,10+3*MIN(H$3,$D$2-1)))))</f>
        <v/>
      </c>
      <c r="I16" s="122">
        <f>IF(OR($C16="",$B$2="",$D$2=0),0,IF(I$3&lt;0,0,N(INDEX('CURVA PREVISION'!$A$1:$KZ$3000,$C16,10+3*MIN(I$3,$D$2-1)))))</f>
        <v/>
      </c>
      <c r="J16" s="122">
        <f>IF(OR($C16="",$B$2="",$D$2=0),0,IF(J$3&lt;0,0,N(INDEX('CURVA PREVISION'!$A$1:$KZ$3000,$C16,10+3*MIN(J$3,$D$2-1)))))</f>
        <v/>
      </c>
      <c r="K16" s="122">
        <f>IF(OR($C16="",$B$2="",$D$2=0),0,IF(K$3&lt;0,0,N(INDEX('CURVA PREVISION'!$A$1:$KZ$3000,$C16,10+3*MIN(K$3,$D$2-1)))))</f>
        <v/>
      </c>
      <c r="L16" s="122">
        <f>IF(OR($C16="",$B$2="",$D$2=0),0,IF(L$3&lt;0,0,N(INDEX('CURVA PREVISION'!$A$1:$KZ$3000,$C16,10+3*MIN(L$3,$D$2-1)))))</f>
        <v/>
      </c>
      <c r="M16" s="122">
        <f>IF(OR($C16="",$B$2="",$D$2=0),0,IF(M$3&lt;0,0,N(INDEX('CURVA PREVISION'!$A$1:$KZ$3000,$C16,10+3*MIN(M$3,$D$2-1)))))</f>
        <v/>
      </c>
      <c r="N16" s="122">
        <f>IF(OR($C16="",$B$2="",$D$2=0),0,IF(N$3&lt;0,0,N(INDEX('CURVA PREVISION'!$A$1:$KZ$3000,$C16,10+3*MIN(N$3,$D$2-1)))))</f>
        <v/>
      </c>
      <c r="O16" s="122">
        <f>IF(OR($C16="",$B$2="",$D$2=0),0,IF(O$3&lt;0,0,N(INDEX('CURVA PREVISION'!$A$1:$KZ$3000,$C16,10+3*MIN(O$3,$D$2-1)))))</f>
        <v/>
      </c>
      <c r="P16" s="122">
        <f>IF(OR($C16="",$B$2="",$D$2=0),0,IF(P$3&lt;0,0,N(INDEX('CURVA PREVISION'!$A$1:$KZ$3000,$C16,10+3*MIN(P$3,$D$2-1)))))</f>
        <v/>
      </c>
      <c r="Q16" s="122">
        <f>IF(OR($C16="",$B$2="",$D$2=0),0,IF(Q$3&lt;0,0,N(INDEX('CURVA PREVISION'!$A$1:$KZ$3000,$C16,10+3*MIN(Q$3,$D$2-1)))))</f>
        <v/>
      </c>
      <c r="R16" s="122">
        <f>IF(OR($C16="",$B$2="",$D$2=0),0,IF(R$3&lt;0,0,N(INDEX('CURVA PREVISION'!$A$1:$KZ$3000,$C16,10+3*MIN(R$3,$D$2-1)))))</f>
        <v/>
      </c>
      <c r="S16" s="122">
        <f>IF(OR($C16="",$B$2="",$D$2=0),0,IF(S$3&lt;0,0,N(INDEX('CURVA PREVISION'!$A$1:$KZ$3000,$C16,10+3*MIN(S$3,$D$2-1)))))</f>
        <v/>
      </c>
      <c r="T16" s="122">
        <f>IF(OR($C16="",$B$2="",$D$2=0),0,IF(T$3&lt;0,0,N(INDEX('CURVA PREVISION'!$A$1:$KZ$3000,$C16,10+3*MIN(T$3,$D$2-1)))))</f>
        <v/>
      </c>
      <c r="U16" s="122">
        <f>IF(OR($C16="",$B$2="",$D$2=0),0,IF(U$3&lt;0,0,N(INDEX('CURVA PREVISION'!$A$1:$KZ$3000,$C16,10+3*MIN(U$3,$D$2-1)))))</f>
        <v/>
      </c>
      <c r="V16" s="122">
        <f>IF(OR($C16="",$B$2="",$D$2=0),0,IF(V$3&lt;0,0,N(INDEX('CURVA PREVISION'!$A$1:$KZ$3000,$C16,10+3*MIN(V$3,$D$2-1)))))</f>
        <v/>
      </c>
      <c r="W16" s="122">
        <f>IF(OR($C16="",$B$2="",$D$2=0),0,IF(W$3&lt;0,0,N(INDEX('CURVA PREVISION'!$A$1:$KZ$3000,$C16,10+3*MIN(W$3,$D$2-1)))))</f>
        <v/>
      </c>
      <c r="X16" s="122">
        <f>IF(OR($C16="",$B$2="",$D$2=0),0,IF(X$3&lt;0,0,N(INDEX('CURVA PREVISION'!$A$1:$KZ$3000,$C16,10+3*MIN(X$3,$D$2-1)))))</f>
        <v/>
      </c>
      <c r="Y16" s="122">
        <f>IF(OR($C16="",$B$2="",$D$2=0),0,IF(Y$3&lt;0,0,N(INDEX('CURVA PREVISION'!$A$1:$KZ$3000,$C16,10+3*MIN(Y$3,$D$2-1)))))</f>
        <v/>
      </c>
      <c r="Z16" s="122">
        <f>IF(OR($C16="",$B$2="",$D$2=0),0,IF(Z$3&lt;0,0,N(INDEX('CURVA PREVISION'!$A$1:$KZ$3000,$C16,10+3*MIN(Z$3,$D$2-1)))))</f>
        <v/>
      </c>
      <c r="AA16" s="122">
        <f>IF(OR($C16="",$B$2="",$D$2=0),0,IF(AA$3&lt;0,0,N(INDEX('CURVA PREVISION'!$A$1:$KZ$3000,$C16,10+3*MIN(AA$3,$D$2-1)))))</f>
        <v/>
      </c>
      <c r="AB16" s="122">
        <f>IF(OR($C16="",$B$2="",$D$2=0),0,IF(AB$3&lt;0,0,N(INDEX('CURVA PREVISION'!$A$1:$KZ$3000,$C16,10+3*MIN(AB$3,$D$2-1)))))</f>
        <v/>
      </c>
      <c r="AC16" s="122">
        <f>IF(OR($C16="",$B$2="",$D$2=0),0,IF(AC$3&lt;0,0,N(INDEX('CURVA PREVISION'!$A$1:$KZ$3000,$C16,10+3*MIN(AC$3,$D$2-1)))))</f>
        <v/>
      </c>
      <c r="AD16" s="122">
        <f>IF(OR($C16="",$B$2="",$D$2=0),0,IF(AD$3&lt;0,0,N(INDEX('CURVA PREVISION'!$A$1:$KZ$3000,$C16,10+3*MIN(AD$3,$D$2-1)))))</f>
        <v/>
      </c>
      <c r="AE16" s="122">
        <f>IF(OR($C16="",$B$2="",$D$2=0),0,IF(AE$3&lt;0,0,N(INDEX('CURVA PREVISION'!$A$1:$KZ$3000,$C16,10+3*MIN(AE$3,$D$2-1)))))</f>
        <v/>
      </c>
      <c r="AF16" s="122">
        <f>IF(OR($C16="",$B$2="",$D$2=0),0,IF(AF$3&lt;0,0,N(INDEX('CURVA PREVISION'!$A$1:$KZ$3000,$C16,10+3*MIN(AF$3,$D$2-1)))))</f>
        <v/>
      </c>
      <c r="AG16" s="122">
        <f>IF(OR($C16="",$B$2="",$D$2=0),0,IF(AG$3&lt;0,0,N(INDEX('CURVA PREVISION'!$A$1:$KZ$3000,$C16,10+3*MIN(AG$3,$D$2-1)))))</f>
        <v/>
      </c>
      <c r="AH16" s="122">
        <f>IF(OR($C16="",$B$2="",$D$2=0),0,IF(AH$3&lt;0,0,N(INDEX('CURVA PREVISION'!$A$1:$KZ$3000,$C16,10+3*MIN(AH$3,$D$2-1)))))</f>
        <v/>
      </c>
      <c r="AI16" s="122">
        <f>IF(OR($C16="",$B$2="",$D$2=0),0,IF(AI$3&lt;0,0,N(INDEX('CURVA PREVISION'!$A$1:$KZ$3000,$C16,10+3*MIN(AI$3,$D$2-1)))))</f>
        <v/>
      </c>
      <c r="AJ16" s="122">
        <f>IF(OR($C16="",$B$2="",$D$2=0),0,IF(AJ$3&lt;0,0,N(INDEX('CURVA PREVISION'!$A$1:$KZ$3000,$C16,10+3*MIN(AJ$3,$D$2-1)))))</f>
        <v/>
      </c>
      <c r="AK16" s="122">
        <f>IF(OR($C16="",$B$2="",$D$2=0),0,IF(AK$3&lt;0,0,N(INDEX('CURVA PREVISION'!$A$1:$KZ$3000,$C16,10+3*MIN(AK$3,$D$2-1)))))</f>
        <v/>
      </c>
      <c r="AL16" s="122">
        <f>IF(OR($C16="",$B$2="",$D$2=0),0,IF(AL$3&lt;0,0,N(INDEX('CURVA PREVISION'!$A$1:$KZ$3000,$C16,10+3*MIN(AL$3,$D$2-1)))))</f>
        <v/>
      </c>
      <c r="AM16" s="122">
        <f>IF(OR($C16="",$B$2="",$D$2=0),0,IF(AM$3&lt;0,0,N(INDEX('CURVA PREVISION'!$A$1:$KZ$3000,$C16,10+3*MIN(AM$3,$D$2-1)))))</f>
        <v/>
      </c>
      <c r="AN16" s="122">
        <f>IF(OR($C16="",$B$2="",$D$2=0),0,IF(AN$3&lt;0,0,N(INDEX('CURVA PREVISION'!$A$1:$KZ$3000,$C16,10+3*MIN(AN$3,$D$2-1)))))</f>
        <v/>
      </c>
      <c r="AO16" s="122">
        <f>IF(OR($C16="",$B$2="",$D$2=0),0,IF(AO$3&lt;0,0,N(INDEX('CURVA PREVISION'!$A$1:$KZ$3000,$C16,10+3*MIN(AO$3,$D$2-1)))))</f>
        <v/>
      </c>
      <c r="AP16" s="122">
        <f>IF(OR($C16="",$B$2="",$D$2=0),0,IF(AP$3&lt;0,0,N(INDEX('CURVA PREVISION'!$A$1:$KZ$3000,$C16,10+3*MIN(AP$3,$D$2-1)))))</f>
        <v/>
      </c>
      <c r="AQ16" s="122">
        <f>IF(OR($C16="",$B$2="",$D$2=0),0,IF(AQ$3&lt;0,0,N(INDEX('CURVA PREVISION'!$A$1:$KZ$3000,$C16,10+3*MIN(AQ$3,$D$2-1)))))</f>
        <v/>
      </c>
      <c r="AR16" s="122">
        <f>IF(OR($C16="",$B$2="",$D$2=0),0,IF(AR$3&lt;0,0,N(INDEX('CURVA PREVISION'!$A$1:$KZ$3000,$C16,10+3*MIN(AR$3,$D$2-1)))))</f>
        <v/>
      </c>
      <c r="AS16" s="122">
        <f>IF(OR($C16="",$B$2="",$D$2=0),0,IF(AS$3&lt;0,0,N(INDEX('CURVA PREVISION'!$A$1:$KZ$3000,$C16,10+3*MIN(AS$3,$D$2-1)))))</f>
        <v/>
      </c>
      <c r="AT16" s="122">
        <f>IF(OR($C16="",$B$2="",$D$2=0),0,IF(AT$3&lt;0,0,N(INDEX('CURVA PREVISION'!$A$1:$KZ$3000,$C16,10+3*MIN(AT$3,$D$2-1)))))</f>
        <v/>
      </c>
      <c r="AU16" s="122">
        <f>IF(OR($C16="",$B$2="",$D$2=0),0,IF(AU$3&lt;0,0,N(INDEX('CURVA PREVISION'!$A$1:$KZ$3000,$C16,10+3*MIN(AU$3,$D$2-1)))))</f>
        <v/>
      </c>
      <c r="AV16" s="122">
        <f>IF(OR($C16="",$B$2="",$D$2=0),0,IF(AV$3&lt;0,0,N(INDEX('CURVA PREVISION'!$A$1:$KZ$3000,$C16,10+3*MIN(AV$3,$D$2-1)))))</f>
        <v/>
      </c>
      <c r="AW16" s="122">
        <f>IF(OR($C16="",$B$2="",$D$2=0),0,IF(AW$3&lt;0,0,N(INDEX('CURVA PREVISION'!$A$1:$KZ$3000,$C16,10+3*MIN(AW$3,$D$2-1)))))</f>
        <v/>
      </c>
      <c r="AX16" s="122">
        <f>IF(OR($C16="",$B$2="",$D$2=0),0,IF(AX$3&lt;0,0,N(INDEX('CURVA PREVISION'!$A$1:$KZ$3000,$C16,10+3*MIN(AX$3,$D$2-1)))))</f>
        <v/>
      </c>
      <c r="AY16" s="122">
        <f>IF(OR($C16="",$B$2="",$D$2=0),0,IF(AY$3&lt;0,0,N(INDEX('CURVA PREVISION'!$A$1:$KZ$3000,$C16,10+3*MIN(AY$3,$D$2-1)))))</f>
        <v/>
      </c>
      <c r="AZ16" s="122">
        <f>IF(OR($C16="",$B$2="",$D$2=0),0,IF(AZ$3&lt;0,0,N(INDEX('CURVA PREVISION'!$A$1:$KZ$3000,$C16,10+3*MIN(AZ$3,$D$2-1)))))</f>
        <v/>
      </c>
      <c r="BA16" s="122">
        <f>IF(OR($C16="",$B$2="",$D$2=0),0,IF(BA$3&lt;0,0,N(INDEX('CURVA PREVISION'!$A$1:$KZ$3000,$C16,10+3*MIN(BA$3,$D$2-1)))))</f>
        <v/>
      </c>
      <c r="BB16" s="122">
        <f>IF(OR($C16="",$B$2="",$D$2=0),0,IF(BB$3&lt;0,0,N(INDEX('CURVA PREVISION'!$A$1:$KZ$3000,$C16,10+3*MIN(BB$3,$D$2-1)))))</f>
        <v/>
      </c>
      <c r="BC16" s="122">
        <f>IF(OR($C16="",$B$2="",$D$2=0),0,IF(BC$3&lt;0,0,N(INDEX('CURVA PREVISION'!$A$1:$KZ$3000,$C16,10+3*MIN(BC$3,$D$2-1)))))</f>
        <v/>
      </c>
      <c r="BD16" s="122">
        <f>IF(OR($C16="",$B$2="",$D$2=0),0,IF(BD$3&lt;0,0,N(INDEX('CURVA PREVISION'!$A$1:$KZ$3000,$C16,10+3*MIN(BD$3,$D$2-1)))))</f>
        <v/>
      </c>
      <c r="BE16" s="122">
        <f>IF(OR($C16="",$B$2="",$D$2=0),0,IF(BE$3&lt;0,0,N(INDEX('CURVA PREVISION'!$A$1:$KZ$3000,$C16,10+3*MIN(BE$3,$D$2-1)))))</f>
        <v/>
      </c>
      <c r="BF16" s="122">
        <f>IF(OR($C16="",$B$2="",$D$2=0),0,IF(BF$3&lt;0,0,N(INDEX('CURVA PREVISION'!$A$1:$KZ$3000,$C16,10+3*MIN(BF$3,$D$2-1)))))</f>
        <v/>
      </c>
      <c r="BG16" s="122">
        <f>IF(OR($C16="",$B$2="",$D$2=0),0,IF(BG$3&lt;0,0,N(INDEX('CURVA PREVISION'!$A$1:$KZ$3000,$C16,10+3*MIN(BG$3,$D$2-1)))))</f>
        <v/>
      </c>
      <c r="BH16" s="122">
        <f>IF(OR($C16="",$B$2="",$D$2=0),0,IF(BH$3&lt;0,0,N(INDEX('CURVA PREVISION'!$A$1:$KZ$3000,$C16,10+3*MIN(BH$3,$D$2-1)))))</f>
        <v/>
      </c>
      <c r="BI16" s="122">
        <f>IF(OR($C16="",$B$2="",$D$2=0),0,IF(BI$3&lt;0,0,N(INDEX('CURVA PREVISION'!$A$1:$KZ$3000,$C16,10+3*MIN(BI$3,$D$2-1)))))</f>
        <v/>
      </c>
      <c r="BJ16" s="122">
        <f>IF(OR($C16="",$B$2="",$D$2=0),0,IF(BJ$3&lt;0,0,N(INDEX('CURVA PREVISION'!$A$1:$KZ$3000,$C16,10+3*MIN(BJ$3,$D$2-1)))))</f>
        <v/>
      </c>
      <c r="BK16" s="122">
        <f>IF(OR($C16="",$B$2="",$D$2=0),0,IF(BK$3&lt;0,0,N(INDEX('CURVA PREVISION'!$A$1:$KZ$3000,$C16,10+3*MIN(BK$3,$D$2-1)))))</f>
        <v/>
      </c>
      <c r="BL16" s="122">
        <f>IF(OR($C16="",$B$2="",$D$2=0),0,IF(BL$3&lt;0,0,N(INDEX('CURVA PREVISION'!$A$1:$KZ$3000,$C16,10+3*MIN(BL$3,$D$2-1)))))</f>
        <v/>
      </c>
      <c r="BM16" s="122">
        <f>IF(OR($C16="",$B$2="",$D$2=0),0,IF(BM$3&lt;0,0,N(INDEX('CURVA PREVISION'!$A$1:$KZ$3000,$C16,10+3*MIN(BM$3,$D$2-1)))))</f>
        <v/>
      </c>
      <c r="BN16" s="122">
        <f>IF(OR($C16="",$B$2="",$D$2=0),0,IF(BN$3&lt;0,0,N(INDEX('CURVA PREVISION'!$A$1:$KZ$3000,$C16,10+3*MIN(BN$3,$D$2-1)))))</f>
        <v/>
      </c>
      <c r="BO16" s="122">
        <f>IF(OR($C16="",$B$2="",$D$2=0),0,IF(BO$3&lt;0,0,N(INDEX('CURVA PREVISION'!$A$1:$KZ$3000,$C16,10+3*MIN(BO$3,$D$2-1)))))</f>
        <v/>
      </c>
      <c r="BP16" s="122">
        <f>IF(OR($C16="",$B$2="",$D$2=0),0,IF(BP$3&lt;0,0,N(INDEX('CURVA PREVISION'!$A$1:$KZ$3000,$C16,10+3*MIN(BP$3,$D$2-1)))))</f>
        <v/>
      </c>
      <c r="BQ16" s="122">
        <f>IF(OR($C16="",$B$2="",$D$2=0),0,IF(BQ$3&lt;0,0,N(INDEX('CURVA PREVISION'!$A$1:$KZ$3000,$C16,10+3*MIN(BQ$3,$D$2-1)))))</f>
        <v/>
      </c>
      <c r="BR16" s="122">
        <f>IF(OR($C16="",$B$2="",$D$2=0),0,IF(BR$3&lt;0,0,N(INDEX('CURVA PREVISION'!$A$1:$KZ$3000,$C16,10+3*MIN(BR$3,$D$2-1)))))</f>
        <v/>
      </c>
      <c r="BS16" s="122">
        <f>IF(OR($C16="",$B$2="",$D$2=0),0,IF(BS$3&lt;0,0,N(INDEX('CURVA PREVISION'!$A$1:$KZ$3000,$C16,10+3*MIN(BS$3,$D$2-1)))))</f>
        <v/>
      </c>
      <c r="BT16" s="122">
        <f>IF(OR($C16="",$B$2="",$D$2=0),0,IF(BT$3&lt;0,0,N(INDEX('CURVA PREVISION'!$A$1:$KZ$3000,$C16,10+3*MIN(BT$3,$D$2-1)))))</f>
        <v/>
      </c>
      <c r="BU16" s="122">
        <f>IF(OR($C16="",$B$2="",$D$2=0),0,IF(BU$3&lt;0,0,N(INDEX('CURVA PREVISION'!$A$1:$KZ$3000,$C16,10+3*MIN(BU$3,$D$2-1)))))</f>
        <v/>
      </c>
      <c r="BV16" s="122">
        <f>IF(OR($C16="",$B$2="",$D$2=0),0,IF(BV$3&lt;0,0,N(INDEX('CURVA PREVISION'!$A$1:$KZ$3000,$C16,10+3*MIN(BV$3,$D$2-1)))))</f>
        <v/>
      </c>
      <c r="BW16" s="122">
        <f>IF(OR($C16="",$B$2="",$D$2=0),0,IF(BW$3&lt;0,0,N(INDEX('CURVA PREVISION'!$A$1:$KZ$3000,$C16,10+3*MIN(BW$3,$D$2-1)))))</f>
        <v/>
      </c>
    </row>
    <row r="17">
      <c r="A17" s="60">
        <f>IF('VALOR POR PL'!Q23="",'VALOR POR PL'!C23,'VALOR POR PL'!Q23)</f>
        <v/>
      </c>
      <c r="B17" s="60">
        <f>'VALOR POR PL'!D23</f>
        <v/>
      </c>
      <c r="C17" s="69">
        <f>IFERROR(MATCH(A17,'CURVA PREVISION'!$B$1:$B$3000,0),"")</f>
        <v/>
      </c>
      <c r="D17" s="122">
        <f>IF(OR($C17="",$B$2="",$D$2=0),0,IF(D$3&lt;0,0,N(INDEX('CURVA PREVISION'!$A$1:$KZ$3000,$C17,10+3*MIN(D$3,$D$2-1)))))</f>
        <v/>
      </c>
      <c r="E17" s="122">
        <f>IF(OR($C17="",$B$2="",$D$2=0),0,IF(E$3&lt;0,0,N(INDEX('CURVA PREVISION'!$A$1:$KZ$3000,$C17,10+3*MIN(E$3,$D$2-1)))))</f>
        <v/>
      </c>
      <c r="F17" s="122">
        <f>IF(OR($C17="",$B$2="",$D$2=0),0,IF(F$3&lt;0,0,N(INDEX('CURVA PREVISION'!$A$1:$KZ$3000,$C17,10+3*MIN(F$3,$D$2-1)))))</f>
        <v/>
      </c>
      <c r="G17" s="122">
        <f>IF(OR($C17="",$B$2="",$D$2=0),0,IF(G$3&lt;0,0,N(INDEX('CURVA PREVISION'!$A$1:$KZ$3000,$C17,10+3*MIN(G$3,$D$2-1)))))</f>
        <v/>
      </c>
      <c r="H17" s="122">
        <f>IF(OR($C17="",$B$2="",$D$2=0),0,IF(H$3&lt;0,0,N(INDEX('CURVA PREVISION'!$A$1:$KZ$3000,$C17,10+3*MIN(H$3,$D$2-1)))))</f>
        <v/>
      </c>
      <c r="I17" s="122">
        <f>IF(OR($C17="",$B$2="",$D$2=0),0,IF(I$3&lt;0,0,N(INDEX('CURVA PREVISION'!$A$1:$KZ$3000,$C17,10+3*MIN(I$3,$D$2-1)))))</f>
        <v/>
      </c>
      <c r="J17" s="122">
        <f>IF(OR($C17="",$B$2="",$D$2=0),0,IF(J$3&lt;0,0,N(INDEX('CURVA PREVISION'!$A$1:$KZ$3000,$C17,10+3*MIN(J$3,$D$2-1)))))</f>
        <v/>
      </c>
      <c r="K17" s="122">
        <f>IF(OR($C17="",$B$2="",$D$2=0),0,IF(K$3&lt;0,0,N(INDEX('CURVA PREVISION'!$A$1:$KZ$3000,$C17,10+3*MIN(K$3,$D$2-1)))))</f>
        <v/>
      </c>
      <c r="L17" s="122">
        <f>IF(OR($C17="",$B$2="",$D$2=0),0,IF(L$3&lt;0,0,N(INDEX('CURVA PREVISION'!$A$1:$KZ$3000,$C17,10+3*MIN(L$3,$D$2-1)))))</f>
        <v/>
      </c>
      <c r="M17" s="122">
        <f>IF(OR($C17="",$B$2="",$D$2=0),0,IF(M$3&lt;0,0,N(INDEX('CURVA PREVISION'!$A$1:$KZ$3000,$C17,10+3*MIN(M$3,$D$2-1)))))</f>
        <v/>
      </c>
      <c r="N17" s="122">
        <f>IF(OR($C17="",$B$2="",$D$2=0),0,IF(N$3&lt;0,0,N(INDEX('CURVA PREVISION'!$A$1:$KZ$3000,$C17,10+3*MIN(N$3,$D$2-1)))))</f>
        <v/>
      </c>
      <c r="O17" s="122">
        <f>IF(OR($C17="",$B$2="",$D$2=0),0,IF(O$3&lt;0,0,N(INDEX('CURVA PREVISION'!$A$1:$KZ$3000,$C17,10+3*MIN(O$3,$D$2-1)))))</f>
        <v/>
      </c>
      <c r="P17" s="122">
        <f>IF(OR($C17="",$B$2="",$D$2=0),0,IF(P$3&lt;0,0,N(INDEX('CURVA PREVISION'!$A$1:$KZ$3000,$C17,10+3*MIN(P$3,$D$2-1)))))</f>
        <v/>
      </c>
      <c r="Q17" s="122">
        <f>IF(OR($C17="",$B$2="",$D$2=0),0,IF(Q$3&lt;0,0,N(INDEX('CURVA PREVISION'!$A$1:$KZ$3000,$C17,10+3*MIN(Q$3,$D$2-1)))))</f>
        <v/>
      </c>
      <c r="R17" s="122">
        <f>IF(OR($C17="",$B$2="",$D$2=0),0,IF(R$3&lt;0,0,N(INDEX('CURVA PREVISION'!$A$1:$KZ$3000,$C17,10+3*MIN(R$3,$D$2-1)))))</f>
        <v/>
      </c>
      <c r="S17" s="122">
        <f>IF(OR($C17="",$B$2="",$D$2=0),0,IF(S$3&lt;0,0,N(INDEX('CURVA PREVISION'!$A$1:$KZ$3000,$C17,10+3*MIN(S$3,$D$2-1)))))</f>
        <v/>
      </c>
      <c r="T17" s="122">
        <f>IF(OR($C17="",$B$2="",$D$2=0),0,IF(T$3&lt;0,0,N(INDEX('CURVA PREVISION'!$A$1:$KZ$3000,$C17,10+3*MIN(T$3,$D$2-1)))))</f>
        <v/>
      </c>
      <c r="U17" s="122">
        <f>IF(OR($C17="",$B$2="",$D$2=0),0,IF(U$3&lt;0,0,N(INDEX('CURVA PREVISION'!$A$1:$KZ$3000,$C17,10+3*MIN(U$3,$D$2-1)))))</f>
        <v/>
      </c>
      <c r="V17" s="122">
        <f>IF(OR($C17="",$B$2="",$D$2=0),0,IF(V$3&lt;0,0,N(INDEX('CURVA PREVISION'!$A$1:$KZ$3000,$C17,10+3*MIN(V$3,$D$2-1)))))</f>
        <v/>
      </c>
      <c r="W17" s="122">
        <f>IF(OR($C17="",$B$2="",$D$2=0),0,IF(W$3&lt;0,0,N(INDEX('CURVA PREVISION'!$A$1:$KZ$3000,$C17,10+3*MIN(W$3,$D$2-1)))))</f>
        <v/>
      </c>
      <c r="X17" s="122">
        <f>IF(OR($C17="",$B$2="",$D$2=0),0,IF(X$3&lt;0,0,N(INDEX('CURVA PREVISION'!$A$1:$KZ$3000,$C17,10+3*MIN(X$3,$D$2-1)))))</f>
        <v/>
      </c>
      <c r="Y17" s="122">
        <f>IF(OR($C17="",$B$2="",$D$2=0),0,IF(Y$3&lt;0,0,N(INDEX('CURVA PREVISION'!$A$1:$KZ$3000,$C17,10+3*MIN(Y$3,$D$2-1)))))</f>
        <v/>
      </c>
      <c r="Z17" s="122">
        <f>IF(OR($C17="",$B$2="",$D$2=0),0,IF(Z$3&lt;0,0,N(INDEX('CURVA PREVISION'!$A$1:$KZ$3000,$C17,10+3*MIN(Z$3,$D$2-1)))))</f>
        <v/>
      </c>
      <c r="AA17" s="122">
        <f>IF(OR($C17="",$B$2="",$D$2=0),0,IF(AA$3&lt;0,0,N(INDEX('CURVA PREVISION'!$A$1:$KZ$3000,$C17,10+3*MIN(AA$3,$D$2-1)))))</f>
        <v/>
      </c>
      <c r="AB17" s="122">
        <f>IF(OR($C17="",$B$2="",$D$2=0),0,IF(AB$3&lt;0,0,N(INDEX('CURVA PREVISION'!$A$1:$KZ$3000,$C17,10+3*MIN(AB$3,$D$2-1)))))</f>
        <v/>
      </c>
      <c r="AC17" s="122">
        <f>IF(OR($C17="",$B$2="",$D$2=0),0,IF(AC$3&lt;0,0,N(INDEX('CURVA PREVISION'!$A$1:$KZ$3000,$C17,10+3*MIN(AC$3,$D$2-1)))))</f>
        <v/>
      </c>
      <c r="AD17" s="122">
        <f>IF(OR($C17="",$B$2="",$D$2=0),0,IF(AD$3&lt;0,0,N(INDEX('CURVA PREVISION'!$A$1:$KZ$3000,$C17,10+3*MIN(AD$3,$D$2-1)))))</f>
        <v/>
      </c>
      <c r="AE17" s="122">
        <f>IF(OR($C17="",$B$2="",$D$2=0),0,IF(AE$3&lt;0,0,N(INDEX('CURVA PREVISION'!$A$1:$KZ$3000,$C17,10+3*MIN(AE$3,$D$2-1)))))</f>
        <v/>
      </c>
      <c r="AF17" s="122">
        <f>IF(OR($C17="",$B$2="",$D$2=0),0,IF(AF$3&lt;0,0,N(INDEX('CURVA PREVISION'!$A$1:$KZ$3000,$C17,10+3*MIN(AF$3,$D$2-1)))))</f>
        <v/>
      </c>
      <c r="AG17" s="122">
        <f>IF(OR($C17="",$B$2="",$D$2=0),0,IF(AG$3&lt;0,0,N(INDEX('CURVA PREVISION'!$A$1:$KZ$3000,$C17,10+3*MIN(AG$3,$D$2-1)))))</f>
        <v/>
      </c>
      <c r="AH17" s="122">
        <f>IF(OR($C17="",$B$2="",$D$2=0),0,IF(AH$3&lt;0,0,N(INDEX('CURVA PREVISION'!$A$1:$KZ$3000,$C17,10+3*MIN(AH$3,$D$2-1)))))</f>
        <v/>
      </c>
      <c r="AI17" s="122">
        <f>IF(OR($C17="",$B$2="",$D$2=0),0,IF(AI$3&lt;0,0,N(INDEX('CURVA PREVISION'!$A$1:$KZ$3000,$C17,10+3*MIN(AI$3,$D$2-1)))))</f>
        <v/>
      </c>
      <c r="AJ17" s="122">
        <f>IF(OR($C17="",$B$2="",$D$2=0),0,IF(AJ$3&lt;0,0,N(INDEX('CURVA PREVISION'!$A$1:$KZ$3000,$C17,10+3*MIN(AJ$3,$D$2-1)))))</f>
        <v/>
      </c>
      <c r="AK17" s="122">
        <f>IF(OR($C17="",$B$2="",$D$2=0),0,IF(AK$3&lt;0,0,N(INDEX('CURVA PREVISION'!$A$1:$KZ$3000,$C17,10+3*MIN(AK$3,$D$2-1)))))</f>
        <v/>
      </c>
      <c r="AL17" s="122">
        <f>IF(OR($C17="",$B$2="",$D$2=0),0,IF(AL$3&lt;0,0,N(INDEX('CURVA PREVISION'!$A$1:$KZ$3000,$C17,10+3*MIN(AL$3,$D$2-1)))))</f>
        <v/>
      </c>
      <c r="AM17" s="122">
        <f>IF(OR($C17="",$B$2="",$D$2=0),0,IF(AM$3&lt;0,0,N(INDEX('CURVA PREVISION'!$A$1:$KZ$3000,$C17,10+3*MIN(AM$3,$D$2-1)))))</f>
        <v/>
      </c>
      <c r="AN17" s="122">
        <f>IF(OR($C17="",$B$2="",$D$2=0),0,IF(AN$3&lt;0,0,N(INDEX('CURVA PREVISION'!$A$1:$KZ$3000,$C17,10+3*MIN(AN$3,$D$2-1)))))</f>
        <v/>
      </c>
      <c r="AO17" s="122">
        <f>IF(OR($C17="",$B$2="",$D$2=0),0,IF(AO$3&lt;0,0,N(INDEX('CURVA PREVISION'!$A$1:$KZ$3000,$C17,10+3*MIN(AO$3,$D$2-1)))))</f>
        <v/>
      </c>
      <c r="AP17" s="122">
        <f>IF(OR($C17="",$B$2="",$D$2=0),0,IF(AP$3&lt;0,0,N(INDEX('CURVA PREVISION'!$A$1:$KZ$3000,$C17,10+3*MIN(AP$3,$D$2-1)))))</f>
        <v/>
      </c>
      <c r="AQ17" s="122">
        <f>IF(OR($C17="",$B$2="",$D$2=0),0,IF(AQ$3&lt;0,0,N(INDEX('CURVA PREVISION'!$A$1:$KZ$3000,$C17,10+3*MIN(AQ$3,$D$2-1)))))</f>
        <v/>
      </c>
      <c r="AR17" s="122">
        <f>IF(OR($C17="",$B$2="",$D$2=0),0,IF(AR$3&lt;0,0,N(INDEX('CURVA PREVISION'!$A$1:$KZ$3000,$C17,10+3*MIN(AR$3,$D$2-1)))))</f>
        <v/>
      </c>
      <c r="AS17" s="122">
        <f>IF(OR($C17="",$B$2="",$D$2=0),0,IF(AS$3&lt;0,0,N(INDEX('CURVA PREVISION'!$A$1:$KZ$3000,$C17,10+3*MIN(AS$3,$D$2-1)))))</f>
        <v/>
      </c>
      <c r="AT17" s="122">
        <f>IF(OR($C17="",$B$2="",$D$2=0),0,IF(AT$3&lt;0,0,N(INDEX('CURVA PREVISION'!$A$1:$KZ$3000,$C17,10+3*MIN(AT$3,$D$2-1)))))</f>
        <v/>
      </c>
      <c r="AU17" s="122">
        <f>IF(OR($C17="",$B$2="",$D$2=0),0,IF(AU$3&lt;0,0,N(INDEX('CURVA PREVISION'!$A$1:$KZ$3000,$C17,10+3*MIN(AU$3,$D$2-1)))))</f>
        <v/>
      </c>
      <c r="AV17" s="122">
        <f>IF(OR($C17="",$B$2="",$D$2=0),0,IF(AV$3&lt;0,0,N(INDEX('CURVA PREVISION'!$A$1:$KZ$3000,$C17,10+3*MIN(AV$3,$D$2-1)))))</f>
        <v/>
      </c>
      <c r="AW17" s="122">
        <f>IF(OR($C17="",$B$2="",$D$2=0),0,IF(AW$3&lt;0,0,N(INDEX('CURVA PREVISION'!$A$1:$KZ$3000,$C17,10+3*MIN(AW$3,$D$2-1)))))</f>
        <v/>
      </c>
      <c r="AX17" s="122">
        <f>IF(OR($C17="",$B$2="",$D$2=0),0,IF(AX$3&lt;0,0,N(INDEX('CURVA PREVISION'!$A$1:$KZ$3000,$C17,10+3*MIN(AX$3,$D$2-1)))))</f>
        <v/>
      </c>
      <c r="AY17" s="122">
        <f>IF(OR($C17="",$B$2="",$D$2=0),0,IF(AY$3&lt;0,0,N(INDEX('CURVA PREVISION'!$A$1:$KZ$3000,$C17,10+3*MIN(AY$3,$D$2-1)))))</f>
        <v/>
      </c>
      <c r="AZ17" s="122">
        <f>IF(OR($C17="",$B$2="",$D$2=0),0,IF(AZ$3&lt;0,0,N(INDEX('CURVA PREVISION'!$A$1:$KZ$3000,$C17,10+3*MIN(AZ$3,$D$2-1)))))</f>
        <v/>
      </c>
      <c r="BA17" s="122">
        <f>IF(OR($C17="",$B$2="",$D$2=0),0,IF(BA$3&lt;0,0,N(INDEX('CURVA PREVISION'!$A$1:$KZ$3000,$C17,10+3*MIN(BA$3,$D$2-1)))))</f>
        <v/>
      </c>
      <c r="BB17" s="122">
        <f>IF(OR($C17="",$B$2="",$D$2=0),0,IF(BB$3&lt;0,0,N(INDEX('CURVA PREVISION'!$A$1:$KZ$3000,$C17,10+3*MIN(BB$3,$D$2-1)))))</f>
        <v/>
      </c>
      <c r="BC17" s="122">
        <f>IF(OR($C17="",$B$2="",$D$2=0),0,IF(BC$3&lt;0,0,N(INDEX('CURVA PREVISION'!$A$1:$KZ$3000,$C17,10+3*MIN(BC$3,$D$2-1)))))</f>
        <v/>
      </c>
      <c r="BD17" s="122">
        <f>IF(OR($C17="",$B$2="",$D$2=0),0,IF(BD$3&lt;0,0,N(INDEX('CURVA PREVISION'!$A$1:$KZ$3000,$C17,10+3*MIN(BD$3,$D$2-1)))))</f>
        <v/>
      </c>
      <c r="BE17" s="122">
        <f>IF(OR($C17="",$B$2="",$D$2=0),0,IF(BE$3&lt;0,0,N(INDEX('CURVA PREVISION'!$A$1:$KZ$3000,$C17,10+3*MIN(BE$3,$D$2-1)))))</f>
        <v/>
      </c>
      <c r="BF17" s="122">
        <f>IF(OR($C17="",$B$2="",$D$2=0),0,IF(BF$3&lt;0,0,N(INDEX('CURVA PREVISION'!$A$1:$KZ$3000,$C17,10+3*MIN(BF$3,$D$2-1)))))</f>
        <v/>
      </c>
      <c r="BG17" s="122">
        <f>IF(OR($C17="",$B$2="",$D$2=0),0,IF(BG$3&lt;0,0,N(INDEX('CURVA PREVISION'!$A$1:$KZ$3000,$C17,10+3*MIN(BG$3,$D$2-1)))))</f>
        <v/>
      </c>
      <c r="BH17" s="122">
        <f>IF(OR($C17="",$B$2="",$D$2=0),0,IF(BH$3&lt;0,0,N(INDEX('CURVA PREVISION'!$A$1:$KZ$3000,$C17,10+3*MIN(BH$3,$D$2-1)))))</f>
        <v/>
      </c>
      <c r="BI17" s="122">
        <f>IF(OR($C17="",$B$2="",$D$2=0),0,IF(BI$3&lt;0,0,N(INDEX('CURVA PREVISION'!$A$1:$KZ$3000,$C17,10+3*MIN(BI$3,$D$2-1)))))</f>
        <v/>
      </c>
      <c r="BJ17" s="122">
        <f>IF(OR($C17="",$B$2="",$D$2=0),0,IF(BJ$3&lt;0,0,N(INDEX('CURVA PREVISION'!$A$1:$KZ$3000,$C17,10+3*MIN(BJ$3,$D$2-1)))))</f>
        <v/>
      </c>
      <c r="BK17" s="122">
        <f>IF(OR($C17="",$B$2="",$D$2=0),0,IF(BK$3&lt;0,0,N(INDEX('CURVA PREVISION'!$A$1:$KZ$3000,$C17,10+3*MIN(BK$3,$D$2-1)))))</f>
        <v/>
      </c>
      <c r="BL17" s="122">
        <f>IF(OR($C17="",$B$2="",$D$2=0),0,IF(BL$3&lt;0,0,N(INDEX('CURVA PREVISION'!$A$1:$KZ$3000,$C17,10+3*MIN(BL$3,$D$2-1)))))</f>
        <v/>
      </c>
      <c r="BM17" s="122">
        <f>IF(OR($C17="",$B$2="",$D$2=0),0,IF(BM$3&lt;0,0,N(INDEX('CURVA PREVISION'!$A$1:$KZ$3000,$C17,10+3*MIN(BM$3,$D$2-1)))))</f>
        <v/>
      </c>
      <c r="BN17" s="122">
        <f>IF(OR($C17="",$B$2="",$D$2=0),0,IF(BN$3&lt;0,0,N(INDEX('CURVA PREVISION'!$A$1:$KZ$3000,$C17,10+3*MIN(BN$3,$D$2-1)))))</f>
        <v/>
      </c>
      <c r="BO17" s="122">
        <f>IF(OR($C17="",$B$2="",$D$2=0),0,IF(BO$3&lt;0,0,N(INDEX('CURVA PREVISION'!$A$1:$KZ$3000,$C17,10+3*MIN(BO$3,$D$2-1)))))</f>
        <v/>
      </c>
      <c r="BP17" s="122">
        <f>IF(OR($C17="",$B$2="",$D$2=0),0,IF(BP$3&lt;0,0,N(INDEX('CURVA PREVISION'!$A$1:$KZ$3000,$C17,10+3*MIN(BP$3,$D$2-1)))))</f>
        <v/>
      </c>
      <c r="BQ17" s="122">
        <f>IF(OR($C17="",$B$2="",$D$2=0),0,IF(BQ$3&lt;0,0,N(INDEX('CURVA PREVISION'!$A$1:$KZ$3000,$C17,10+3*MIN(BQ$3,$D$2-1)))))</f>
        <v/>
      </c>
      <c r="BR17" s="122">
        <f>IF(OR($C17="",$B$2="",$D$2=0),0,IF(BR$3&lt;0,0,N(INDEX('CURVA PREVISION'!$A$1:$KZ$3000,$C17,10+3*MIN(BR$3,$D$2-1)))))</f>
        <v/>
      </c>
      <c r="BS17" s="122">
        <f>IF(OR($C17="",$B$2="",$D$2=0),0,IF(BS$3&lt;0,0,N(INDEX('CURVA PREVISION'!$A$1:$KZ$3000,$C17,10+3*MIN(BS$3,$D$2-1)))))</f>
        <v/>
      </c>
      <c r="BT17" s="122">
        <f>IF(OR($C17="",$B$2="",$D$2=0),0,IF(BT$3&lt;0,0,N(INDEX('CURVA PREVISION'!$A$1:$KZ$3000,$C17,10+3*MIN(BT$3,$D$2-1)))))</f>
        <v/>
      </c>
      <c r="BU17" s="122">
        <f>IF(OR($C17="",$B$2="",$D$2=0),0,IF(BU$3&lt;0,0,N(INDEX('CURVA PREVISION'!$A$1:$KZ$3000,$C17,10+3*MIN(BU$3,$D$2-1)))))</f>
        <v/>
      </c>
      <c r="BV17" s="122">
        <f>IF(OR($C17="",$B$2="",$D$2=0),0,IF(BV$3&lt;0,0,N(INDEX('CURVA PREVISION'!$A$1:$KZ$3000,$C17,10+3*MIN(BV$3,$D$2-1)))))</f>
        <v/>
      </c>
      <c r="BW17" s="122">
        <f>IF(OR($C17="",$B$2="",$D$2=0),0,IF(BW$3&lt;0,0,N(INDEX('CURVA PREVISION'!$A$1:$KZ$3000,$C17,10+3*MIN(BW$3,$D$2-1)))))</f>
        <v/>
      </c>
    </row>
    <row r="18">
      <c r="A18" s="60">
        <f>IF('VALOR POR PL'!Q24="",'VALOR POR PL'!C24,'VALOR POR PL'!Q24)</f>
        <v/>
      </c>
      <c r="B18" s="60">
        <f>'VALOR POR PL'!D24</f>
        <v/>
      </c>
      <c r="C18" s="69">
        <f>IFERROR(MATCH(A18,'CURVA PREVISION'!$B$1:$B$3000,0),"")</f>
        <v/>
      </c>
      <c r="D18" s="122">
        <f>IF(OR($C18="",$B$2="",$D$2=0),0,IF(D$3&lt;0,0,N(INDEX('CURVA PREVISION'!$A$1:$KZ$3000,$C18,10+3*MIN(D$3,$D$2-1)))))</f>
        <v/>
      </c>
      <c r="E18" s="122">
        <f>IF(OR($C18="",$B$2="",$D$2=0),0,IF(E$3&lt;0,0,N(INDEX('CURVA PREVISION'!$A$1:$KZ$3000,$C18,10+3*MIN(E$3,$D$2-1)))))</f>
        <v/>
      </c>
      <c r="F18" s="122">
        <f>IF(OR($C18="",$B$2="",$D$2=0),0,IF(F$3&lt;0,0,N(INDEX('CURVA PREVISION'!$A$1:$KZ$3000,$C18,10+3*MIN(F$3,$D$2-1)))))</f>
        <v/>
      </c>
      <c r="G18" s="122">
        <f>IF(OR($C18="",$B$2="",$D$2=0),0,IF(G$3&lt;0,0,N(INDEX('CURVA PREVISION'!$A$1:$KZ$3000,$C18,10+3*MIN(G$3,$D$2-1)))))</f>
        <v/>
      </c>
      <c r="H18" s="122">
        <f>IF(OR($C18="",$B$2="",$D$2=0),0,IF(H$3&lt;0,0,N(INDEX('CURVA PREVISION'!$A$1:$KZ$3000,$C18,10+3*MIN(H$3,$D$2-1)))))</f>
        <v/>
      </c>
      <c r="I18" s="122">
        <f>IF(OR($C18="",$B$2="",$D$2=0),0,IF(I$3&lt;0,0,N(INDEX('CURVA PREVISION'!$A$1:$KZ$3000,$C18,10+3*MIN(I$3,$D$2-1)))))</f>
        <v/>
      </c>
      <c r="J18" s="122">
        <f>IF(OR($C18="",$B$2="",$D$2=0),0,IF(J$3&lt;0,0,N(INDEX('CURVA PREVISION'!$A$1:$KZ$3000,$C18,10+3*MIN(J$3,$D$2-1)))))</f>
        <v/>
      </c>
      <c r="K18" s="122">
        <f>IF(OR($C18="",$B$2="",$D$2=0),0,IF(K$3&lt;0,0,N(INDEX('CURVA PREVISION'!$A$1:$KZ$3000,$C18,10+3*MIN(K$3,$D$2-1)))))</f>
        <v/>
      </c>
      <c r="L18" s="122">
        <f>IF(OR($C18="",$B$2="",$D$2=0),0,IF(L$3&lt;0,0,N(INDEX('CURVA PREVISION'!$A$1:$KZ$3000,$C18,10+3*MIN(L$3,$D$2-1)))))</f>
        <v/>
      </c>
      <c r="M18" s="122">
        <f>IF(OR($C18="",$B$2="",$D$2=0),0,IF(M$3&lt;0,0,N(INDEX('CURVA PREVISION'!$A$1:$KZ$3000,$C18,10+3*MIN(M$3,$D$2-1)))))</f>
        <v/>
      </c>
      <c r="N18" s="122">
        <f>IF(OR($C18="",$B$2="",$D$2=0),0,IF(N$3&lt;0,0,N(INDEX('CURVA PREVISION'!$A$1:$KZ$3000,$C18,10+3*MIN(N$3,$D$2-1)))))</f>
        <v/>
      </c>
      <c r="O18" s="122">
        <f>IF(OR($C18="",$B$2="",$D$2=0),0,IF(O$3&lt;0,0,N(INDEX('CURVA PREVISION'!$A$1:$KZ$3000,$C18,10+3*MIN(O$3,$D$2-1)))))</f>
        <v/>
      </c>
      <c r="P18" s="122">
        <f>IF(OR($C18="",$B$2="",$D$2=0),0,IF(P$3&lt;0,0,N(INDEX('CURVA PREVISION'!$A$1:$KZ$3000,$C18,10+3*MIN(P$3,$D$2-1)))))</f>
        <v/>
      </c>
      <c r="Q18" s="122">
        <f>IF(OR($C18="",$B$2="",$D$2=0),0,IF(Q$3&lt;0,0,N(INDEX('CURVA PREVISION'!$A$1:$KZ$3000,$C18,10+3*MIN(Q$3,$D$2-1)))))</f>
        <v/>
      </c>
      <c r="R18" s="122">
        <f>IF(OR($C18="",$B$2="",$D$2=0),0,IF(R$3&lt;0,0,N(INDEX('CURVA PREVISION'!$A$1:$KZ$3000,$C18,10+3*MIN(R$3,$D$2-1)))))</f>
        <v/>
      </c>
      <c r="S18" s="122">
        <f>IF(OR($C18="",$B$2="",$D$2=0),0,IF(S$3&lt;0,0,N(INDEX('CURVA PREVISION'!$A$1:$KZ$3000,$C18,10+3*MIN(S$3,$D$2-1)))))</f>
        <v/>
      </c>
      <c r="T18" s="122">
        <f>IF(OR($C18="",$B$2="",$D$2=0),0,IF(T$3&lt;0,0,N(INDEX('CURVA PREVISION'!$A$1:$KZ$3000,$C18,10+3*MIN(T$3,$D$2-1)))))</f>
        <v/>
      </c>
      <c r="U18" s="122">
        <f>IF(OR($C18="",$B$2="",$D$2=0),0,IF(U$3&lt;0,0,N(INDEX('CURVA PREVISION'!$A$1:$KZ$3000,$C18,10+3*MIN(U$3,$D$2-1)))))</f>
        <v/>
      </c>
      <c r="V18" s="122">
        <f>IF(OR($C18="",$B$2="",$D$2=0),0,IF(V$3&lt;0,0,N(INDEX('CURVA PREVISION'!$A$1:$KZ$3000,$C18,10+3*MIN(V$3,$D$2-1)))))</f>
        <v/>
      </c>
      <c r="W18" s="122">
        <f>IF(OR($C18="",$B$2="",$D$2=0),0,IF(W$3&lt;0,0,N(INDEX('CURVA PREVISION'!$A$1:$KZ$3000,$C18,10+3*MIN(W$3,$D$2-1)))))</f>
        <v/>
      </c>
      <c r="X18" s="122">
        <f>IF(OR($C18="",$B$2="",$D$2=0),0,IF(X$3&lt;0,0,N(INDEX('CURVA PREVISION'!$A$1:$KZ$3000,$C18,10+3*MIN(X$3,$D$2-1)))))</f>
        <v/>
      </c>
      <c r="Y18" s="122">
        <f>IF(OR($C18="",$B$2="",$D$2=0),0,IF(Y$3&lt;0,0,N(INDEX('CURVA PREVISION'!$A$1:$KZ$3000,$C18,10+3*MIN(Y$3,$D$2-1)))))</f>
        <v/>
      </c>
      <c r="Z18" s="122">
        <f>IF(OR($C18="",$B$2="",$D$2=0),0,IF(Z$3&lt;0,0,N(INDEX('CURVA PREVISION'!$A$1:$KZ$3000,$C18,10+3*MIN(Z$3,$D$2-1)))))</f>
        <v/>
      </c>
      <c r="AA18" s="122">
        <f>IF(OR($C18="",$B$2="",$D$2=0),0,IF(AA$3&lt;0,0,N(INDEX('CURVA PREVISION'!$A$1:$KZ$3000,$C18,10+3*MIN(AA$3,$D$2-1)))))</f>
        <v/>
      </c>
      <c r="AB18" s="122">
        <f>IF(OR($C18="",$B$2="",$D$2=0),0,IF(AB$3&lt;0,0,N(INDEX('CURVA PREVISION'!$A$1:$KZ$3000,$C18,10+3*MIN(AB$3,$D$2-1)))))</f>
        <v/>
      </c>
      <c r="AC18" s="122">
        <f>IF(OR($C18="",$B$2="",$D$2=0),0,IF(AC$3&lt;0,0,N(INDEX('CURVA PREVISION'!$A$1:$KZ$3000,$C18,10+3*MIN(AC$3,$D$2-1)))))</f>
        <v/>
      </c>
      <c r="AD18" s="122">
        <f>IF(OR($C18="",$B$2="",$D$2=0),0,IF(AD$3&lt;0,0,N(INDEX('CURVA PREVISION'!$A$1:$KZ$3000,$C18,10+3*MIN(AD$3,$D$2-1)))))</f>
        <v/>
      </c>
      <c r="AE18" s="122">
        <f>IF(OR($C18="",$B$2="",$D$2=0),0,IF(AE$3&lt;0,0,N(INDEX('CURVA PREVISION'!$A$1:$KZ$3000,$C18,10+3*MIN(AE$3,$D$2-1)))))</f>
        <v/>
      </c>
      <c r="AF18" s="122">
        <f>IF(OR($C18="",$B$2="",$D$2=0),0,IF(AF$3&lt;0,0,N(INDEX('CURVA PREVISION'!$A$1:$KZ$3000,$C18,10+3*MIN(AF$3,$D$2-1)))))</f>
        <v/>
      </c>
      <c r="AG18" s="122">
        <f>IF(OR($C18="",$B$2="",$D$2=0),0,IF(AG$3&lt;0,0,N(INDEX('CURVA PREVISION'!$A$1:$KZ$3000,$C18,10+3*MIN(AG$3,$D$2-1)))))</f>
        <v/>
      </c>
      <c r="AH18" s="122">
        <f>IF(OR($C18="",$B$2="",$D$2=0),0,IF(AH$3&lt;0,0,N(INDEX('CURVA PREVISION'!$A$1:$KZ$3000,$C18,10+3*MIN(AH$3,$D$2-1)))))</f>
        <v/>
      </c>
      <c r="AI18" s="122">
        <f>IF(OR($C18="",$B$2="",$D$2=0),0,IF(AI$3&lt;0,0,N(INDEX('CURVA PREVISION'!$A$1:$KZ$3000,$C18,10+3*MIN(AI$3,$D$2-1)))))</f>
        <v/>
      </c>
      <c r="AJ18" s="122">
        <f>IF(OR($C18="",$B$2="",$D$2=0),0,IF(AJ$3&lt;0,0,N(INDEX('CURVA PREVISION'!$A$1:$KZ$3000,$C18,10+3*MIN(AJ$3,$D$2-1)))))</f>
        <v/>
      </c>
      <c r="AK18" s="122">
        <f>IF(OR($C18="",$B$2="",$D$2=0),0,IF(AK$3&lt;0,0,N(INDEX('CURVA PREVISION'!$A$1:$KZ$3000,$C18,10+3*MIN(AK$3,$D$2-1)))))</f>
        <v/>
      </c>
      <c r="AL18" s="122">
        <f>IF(OR($C18="",$B$2="",$D$2=0),0,IF(AL$3&lt;0,0,N(INDEX('CURVA PREVISION'!$A$1:$KZ$3000,$C18,10+3*MIN(AL$3,$D$2-1)))))</f>
        <v/>
      </c>
      <c r="AM18" s="122">
        <f>IF(OR($C18="",$B$2="",$D$2=0),0,IF(AM$3&lt;0,0,N(INDEX('CURVA PREVISION'!$A$1:$KZ$3000,$C18,10+3*MIN(AM$3,$D$2-1)))))</f>
        <v/>
      </c>
      <c r="AN18" s="122">
        <f>IF(OR($C18="",$B$2="",$D$2=0),0,IF(AN$3&lt;0,0,N(INDEX('CURVA PREVISION'!$A$1:$KZ$3000,$C18,10+3*MIN(AN$3,$D$2-1)))))</f>
        <v/>
      </c>
      <c r="AO18" s="122">
        <f>IF(OR($C18="",$B$2="",$D$2=0),0,IF(AO$3&lt;0,0,N(INDEX('CURVA PREVISION'!$A$1:$KZ$3000,$C18,10+3*MIN(AO$3,$D$2-1)))))</f>
        <v/>
      </c>
      <c r="AP18" s="122">
        <f>IF(OR($C18="",$B$2="",$D$2=0),0,IF(AP$3&lt;0,0,N(INDEX('CURVA PREVISION'!$A$1:$KZ$3000,$C18,10+3*MIN(AP$3,$D$2-1)))))</f>
        <v/>
      </c>
      <c r="AQ18" s="122">
        <f>IF(OR($C18="",$B$2="",$D$2=0),0,IF(AQ$3&lt;0,0,N(INDEX('CURVA PREVISION'!$A$1:$KZ$3000,$C18,10+3*MIN(AQ$3,$D$2-1)))))</f>
        <v/>
      </c>
      <c r="AR18" s="122">
        <f>IF(OR($C18="",$B$2="",$D$2=0),0,IF(AR$3&lt;0,0,N(INDEX('CURVA PREVISION'!$A$1:$KZ$3000,$C18,10+3*MIN(AR$3,$D$2-1)))))</f>
        <v/>
      </c>
      <c r="AS18" s="122">
        <f>IF(OR($C18="",$B$2="",$D$2=0),0,IF(AS$3&lt;0,0,N(INDEX('CURVA PREVISION'!$A$1:$KZ$3000,$C18,10+3*MIN(AS$3,$D$2-1)))))</f>
        <v/>
      </c>
      <c r="AT18" s="122">
        <f>IF(OR($C18="",$B$2="",$D$2=0),0,IF(AT$3&lt;0,0,N(INDEX('CURVA PREVISION'!$A$1:$KZ$3000,$C18,10+3*MIN(AT$3,$D$2-1)))))</f>
        <v/>
      </c>
      <c r="AU18" s="122">
        <f>IF(OR($C18="",$B$2="",$D$2=0),0,IF(AU$3&lt;0,0,N(INDEX('CURVA PREVISION'!$A$1:$KZ$3000,$C18,10+3*MIN(AU$3,$D$2-1)))))</f>
        <v/>
      </c>
      <c r="AV18" s="122">
        <f>IF(OR($C18="",$B$2="",$D$2=0),0,IF(AV$3&lt;0,0,N(INDEX('CURVA PREVISION'!$A$1:$KZ$3000,$C18,10+3*MIN(AV$3,$D$2-1)))))</f>
        <v/>
      </c>
      <c r="AW18" s="122">
        <f>IF(OR($C18="",$B$2="",$D$2=0),0,IF(AW$3&lt;0,0,N(INDEX('CURVA PREVISION'!$A$1:$KZ$3000,$C18,10+3*MIN(AW$3,$D$2-1)))))</f>
        <v/>
      </c>
      <c r="AX18" s="122">
        <f>IF(OR($C18="",$B$2="",$D$2=0),0,IF(AX$3&lt;0,0,N(INDEX('CURVA PREVISION'!$A$1:$KZ$3000,$C18,10+3*MIN(AX$3,$D$2-1)))))</f>
        <v/>
      </c>
      <c r="AY18" s="122">
        <f>IF(OR($C18="",$B$2="",$D$2=0),0,IF(AY$3&lt;0,0,N(INDEX('CURVA PREVISION'!$A$1:$KZ$3000,$C18,10+3*MIN(AY$3,$D$2-1)))))</f>
        <v/>
      </c>
      <c r="AZ18" s="122">
        <f>IF(OR($C18="",$B$2="",$D$2=0),0,IF(AZ$3&lt;0,0,N(INDEX('CURVA PREVISION'!$A$1:$KZ$3000,$C18,10+3*MIN(AZ$3,$D$2-1)))))</f>
        <v/>
      </c>
      <c r="BA18" s="122">
        <f>IF(OR($C18="",$B$2="",$D$2=0),0,IF(BA$3&lt;0,0,N(INDEX('CURVA PREVISION'!$A$1:$KZ$3000,$C18,10+3*MIN(BA$3,$D$2-1)))))</f>
        <v/>
      </c>
      <c r="BB18" s="122">
        <f>IF(OR($C18="",$B$2="",$D$2=0),0,IF(BB$3&lt;0,0,N(INDEX('CURVA PREVISION'!$A$1:$KZ$3000,$C18,10+3*MIN(BB$3,$D$2-1)))))</f>
        <v/>
      </c>
      <c r="BC18" s="122">
        <f>IF(OR($C18="",$B$2="",$D$2=0),0,IF(BC$3&lt;0,0,N(INDEX('CURVA PREVISION'!$A$1:$KZ$3000,$C18,10+3*MIN(BC$3,$D$2-1)))))</f>
        <v/>
      </c>
      <c r="BD18" s="122">
        <f>IF(OR($C18="",$B$2="",$D$2=0),0,IF(BD$3&lt;0,0,N(INDEX('CURVA PREVISION'!$A$1:$KZ$3000,$C18,10+3*MIN(BD$3,$D$2-1)))))</f>
        <v/>
      </c>
      <c r="BE18" s="122">
        <f>IF(OR($C18="",$B$2="",$D$2=0),0,IF(BE$3&lt;0,0,N(INDEX('CURVA PREVISION'!$A$1:$KZ$3000,$C18,10+3*MIN(BE$3,$D$2-1)))))</f>
        <v/>
      </c>
      <c r="BF18" s="122">
        <f>IF(OR($C18="",$B$2="",$D$2=0),0,IF(BF$3&lt;0,0,N(INDEX('CURVA PREVISION'!$A$1:$KZ$3000,$C18,10+3*MIN(BF$3,$D$2-1)))))</f>
        <v/>
      </c>
      <c r="BG18" s="122">
        <f>IF(OR($C18="",$B$2="",$D$2=0),0,IF(BG$3&lt;0,0,N(INDEX('CURVA PREVISION'!$A$1:$KZ$3000,$C18,10+3*MIN(BG$3,$D$2-1)))))</f>
        <v/>
      </c>
      <c r="BH18" s="122">
        <f>IF(OR($C18="",$B$2="",$D$2=0),0,IF(BH$3&lt;0,0,N(INDEX('CURVA PREVISION'!$A$1:$KZ$3000,$C18,10+3*MIN(BH$3,$D$2-1)))))</f>
        <v/>
      </c>
      <c r="BI18" s="122">
        <f>IF(OR($C18="",$B$2="",$D$2=0),0,IF(BI$3&lt;0,0,N(INDEX('CURVA PREVISION'!$A$1:$KZ$3000,$C18,10+3*MIN(BI$3,$D$2-1)))))</f>
        <v/>
      </c>
      <c r="BJ18" s="122">
        <f>IF(OR($C18="",$B$2="",$D$2=0),0,IF(BJ$3&lt;0,0,N(INDEX('CURVA PREVISION'!$A$1:$KZ$3000,$C18,10+3*MIN(BJ$3,$D$2-1)))))</f>
        <v/>
      </c>
      <c r="BK18" s="122">
        <f>IF(OR($C18="",$B$2="",$D$2=0),0,IF(BK$3&lt;0,0,N(INDEX('CURVA PREVISION'!$A$1:$KZ$3000,$C18,10+3*MIN(BK$3,$D$2-1)))))</f>
        <v/>
      </c>
      <c r="BL18" s="122">
        <f>IF(OR($C18="",$B$2="",$D$2=0),0,IF(BL$3&lt;0,0,N(INDEX('CURVA PREVISION'!$A$1:$KZ$3000,$C18,10+3*MIN(BL$3,$D$2-1)))))</f>
        <v/>
      </c>
      <c r="BM18" s="122">
        <f>IF(OR($C18="",$B$2="",$D$2=0),0,IF(BM$3&lt;0,0,N(INDEX('CURVA PREVISION'!$A$1:$KZ$3000,$C18,10+3*MIN(BM$3,$D$2-1)))))</f>
        <v/>
      </c>
      <c r="BN18" s="122">
        <f>IF(OR($C18="",$B$2="",$D$2=0),0,IF(BN$3&lt;0,0,N(INDEX('CURVA PREVISION'!$A$1:$KZ$3000,$C18,10+3*MIN(BN$3,$D$2-1)))))</f>
        <v/>
      </c>
      <c r="BO18" s="122">
        <f>IF(OR($C18="",$B$2="",$D$2=0),0,IF(BO$3&lt;0,0,N(INDEX('CURVA PREVISION'!$A$1:$KZ$3000,$C18,10+3*MIN(BO$3,$D$2-1)))))</f>
        <v/>
      </c>
      <c r="BP18" s="122">
        <f>IF(OR($C18="",$B$2="",$D$2=0),0,IF(BP$3&lt;0,0,N(INDEX('CURVA PREVISION'!$A$1:$KZ$3000,$C18,10+3*MIN(BP$3,$D$2-1)))))</f>
        <v/>
      </c>
      <c r="BQ18" s="122">
        <f>IF(OR($C18="",$B$2="",$D$2=0),0,IF(BQ$3&lt;0,0,N(INDEX('CURVA PREVISION'!$A$1:$KZ$3000,$C18,10+3*MIN(BQ$3,$D$2-1)))))</f>
        <v/>
      </c>
      <c r="BR18" s="122">
        <f>IF(OR($C18="",$B$2="",$D$2=0),0,IF(BR$3&lt;0,0,N(INDEX('CURVA PREVISION'!$A$1:$KZ$3000,$C18,10+3*MIN(BR$3,$D$2-1)))))</f>
        <v/>
      </c>
      <c r="BS18" s="122">
        <f>IF(OR($C18="",$B$2="",$D$2=0),0,IF(BS$3&lt;0,0,N(INDEX('CURVA PREVISION'!$A$1:$KZ$3000,$C18,10+3*MIN(BS$3,$D$2-1)))))</f>
        <v/>
      </c>
      <c r="BT18" s="122">
        <f>IF(OR($C18="",$B$2="",$D$2=0),0,IF(BT$3&lt;0,0,N(INDEX('CURVA PREVISION'!$A$1:$KZ$3000,$C18,10+3*MIN(BT$3,$D$2-1)))))</f>
        <v/>
      </c>
      <c r="BU18" s="122">
        <f>IF(OR($C18="",$B$2="",$D$2=0),0,IF(BU$3&lt;0,0,N(INDEX('CURVA PREVISION'!$A$1:$KZ$3000,$C18,10+3*MIN(BU$3,$D$2-1)))))</f>
        <v/>
      </c>
      <c r="BV18" s="122">
        <f>IF(OR($C18="",$B$2="",$D$2=0),0,IF(BV$3&lt;0,0,N(INDEX('CURVA PREVISION'!$A$1:$KZ$3000,$C18,10+3*MIN(BV$3,$D$2-1)))))</f>
        <v/>
      </c>
      <c r="BW18" s="122">
        <f>IF(OR($C18="",$B$2="",$D$2=0),0,IF(BW$3&lt;0,0,N(INDEX('CURVA PREVISION'!$A$1:$KZ$3000,$C18,10+3*MIN(BW$3,$D$2-1)))))</f>
        <v/>
      </c>
    </row>
    <row r="19">
      <c r="A19" s="60">
        <f>IF('VALOR POR PL'!Q25="",'VALOR POR PL'!C25,'VALOR POR PL'!Q25)</f>
        <v/>
      </c>
      <c r="B19" s="60">
        <f>'VALOR POR PL'!D25</f>
        <v/>
      </c>
      <c r="C19" s="69">
        <f>IFERROR(MATCH(A19,'CURVA PREVISION'!$B$1:$B$3000,0),"")</f>
        <v/>
      </c>
      <c r="D19" s="122">
        <f>IF(OR($C19="",$B$2="",$D$2=0),0,IF(D$3&lt;0,0,N(INDEX('CURVA PREVISION'!$A$1:$KZ$3000,$C19,10+3*MIN(D$3,$D$2-1)))))</f>
        <v/>
      </c>
      <c r="E19" s="122">
        <f>IF(OR($C19="",$B$2="",$D$2=0),0,IF(E$3&lt;0,0,N(INDEX('CURVA PREVISION'!$A$1:$KZ$3000,$C19,10+3*MIN(E$3,$D$2-1)))))</f>
        <v/>
      </c>
      <c r="F19" s="122">
        <f>IF(OR($C19="",$B$2="",$D$2=0),0,IF(F$3&lt;0,0,N(INDEX('CURVA PREVISION'!$A$1:$KZ$3000,$C19,10+3*MIN(F$3,$D$2-1)))))</f>
        <v/>
      </c>
      <c r="G19" s="122">
        <f>IF(OR($C19="",$B$2="",$D$2=0),0,IF(G$3&lt;0,0,N(INDEX('CURVA PREVISION'!$A$1:$KZ$3000,$C19,10+3*MIN(G$3,$D$2-1)))))</f>
        <v/>
      </c>
      <c r="H19" s="122">
        <f>IF(OR($C19="",$B$2="",$D$2=0),0,IF(H$3&lt;0,0,N(INDEX('CURVA PREVISION'!$A$1:$KZ$3000,$C19,10+3*MIN(H$3,$D$2-1)))))</f>
        <v/>
      </c>
      <c r="I19" s="122">
        <f>IF(OR($C19="",$B$2="",$D$2=0),0,IF(I$3&lt;0,0,N(INDEX('CURVA PREVISION'!$A$1:$KZ$3000,$C19,10+3*MIN(I$3,$D$2-1)))))</f>
        <v/>
      </c>
      <c r="J19" s="122">
        <f>IF(OR($C19="",$B$2="",$D$2=0),0,IF(J$3&lt;0,0,N(INDEX('CURVA PREVISION'!$A$1:$KZ$3000,$C19,10+3*MIN(J$3,$D$2-1)))))</f>
        <v/>
      </c>
      <c r="K19" s="122">
        <f>IF(OR($C19="",$B$2="",$D$2=0),0,IF(K$3&lt;0,0,N(INDEX('CURVA PREVISION'!$A$1:$KZ$3000,$C19,10+3*MIN(K$3,$D$2-1)))))</f>
        <v/>
      </c>
      <c r="L19" s="122">
        <f>IF(OR($C19="",$B$2="",$D$2=0),0,IF(L$3&lt;0,0,N(INDEX('CURVA PREVISION'!$A$1:$KZ$3000,$C19,10+3*MIN(L$3,$D$2-1)))))</f>
        <v/>
      </c>
      <c r="M19" s="122">
        <f>IF(OR($C19="",$B$2="",$D$2=0),0,IF(M$3&lt;0,0,N(INDEX('CURVA PREVISION'!$A$1:$KZ$3000,$C19,10+3*MIN(M$3,$D$2-1)))))</f>
        <v/>
      </c>
      <c r="N19" s="122">
        <f>IF(OR($C19="",$B$2="",$D$2=0),0,IF(N$3&lt;0,0,N(INDEX('CURVA PREVISION'!$A$1:$KZ$3000,$C19,10+3*MIN(N$3,$D$2-1)))))</f>
        <v/>
      </c>
      <c r="O19" s="122">
        <f>IF(OR($C19="",$B$2="",$D$2=0),0,IF(O$3&lt;0,0,N(INDEX('CURVA PREVISION'!$A$1:$KZ$3000,$C19,10+3*MIN(O$3,$D$2-1)))))</f>
        <v/>
      </c>
      <c r="P19" s="122">
        <f>IF(OR($C19="",$B$2="",$D$2=0),0,IF(P$3&lt;0,0,N(INDEX('CURVA PREVISION'!$A$1:$KZ$3000,$C19,10+3*MIN(P$3,$D$2-1)))))</f>
        <v/>
      </c>
      <c r="Q19" s="122">
        <f>IF(OR($C19="",$B$2="",$D$2=0),0,IF(Q$3&lt;0,0,N(INDEX('CURVA PREVISION'!$A$1:$KZ$3000,$C19,10+3*MIN(Q$3,$D$2-1)))))</f>
        <v/>
      </c>
      <c r="R19" s="122">
        <f>IF(OR($C19="",$B$2="",$D$2=0),0,IF(R$3&lt;0,0,N(INDEX('CURVA PREVISION'!$A$1:$KZ$3000,$C19,10+3*MIN(R$3,$D$2-1)))))</f>
        <v/>
      </c>
      <c r="S19" s="122">
        <f>IF(OR($C19="",$B$2="",$D$2=0),0,IF(S$3&lt;0,0,N(INDEX('CURVA PREVISION'!$A$1:$KZ$3000,$C19,10+3*MIN(S$3,$D$2-1)))))</f>
        <v/>
      </c>
      <c r="T19" s="122">
        <f>IF(OR($C19="",$B$2="",$D$2=0),0,IF(T$3&lt;0,0,N(INDEX('CURVA PREVISION'!$A$1:$KZ$3000,$C19,10+3*MIN(T$3,$D$2-1)))))</f>
        <v/>
      </c>
      <c r="U19" s="122">
        <f>IF(OR($C19="",$B$2="",$D$2=0),0,IF(U$3&lt;0,0,N(INDEX('CURVA PREVISION'!$A$1:$KZ$3000,$C19,10+3*MIN(U$3,$D$2-1)))))</f>
        <v/>
      </c>
      <c r="V19" s="122">
        <f>IF(OR($C19="",$B$2="",$D$2=0),0,IF(V$3&lt;0,0,N(INDEX('CURVA PREVISION'!$A$1:$KZ$3000,$C19,10+3*MIN(V$3,$D$2-1)))))</f>
        <v/>
      </c>
      <c r="W19" s="122">
        <f>IF(OR($C19="",$B$2="",$D$2=0),0,IF(W$3&lt;0,0,N(INDEX('CURVA PREVISION'!$A$1:$KZ$3000,$C19,10+3*MIN(W$3,$D$2-1)))))</f>
        <v/>
      </c>
      <c r="X19" s="122">
        <f>IF(OR($C19="",$B$2="",$D$2=0),0,IF(X$3&lt;0,0,N(INDEX('CURVA PREVISION'!$A$1:$KZ$3000,$C19,10+3*MIN(X$3,$D$2-1)))))</f>
        <v/>
      </c>
      <c r="Y19" s="122">
        <f>IF(OR($C19="",$B$2="",$D$2=0),0,IF(Y$3&lt;0,0,N(INDEX('CURVA PREVISION'!$A$1:$KZ$3000,$C19,10+3*MIN(Y$3,$D$2-1)))))</f>
        <v/>
      </c>
      <c r="Z19" s="122">
        <f>IF(OR($C19="",$B$2="",$D$2=0),0,IF(Z$3&lt;0,0,N(INDEX('CURVA PREVISION'!$A$1:$KZ$3000,$C19,10+3*MIN(Z$3,$D$2-1)))))</f>
        <v/>
      </c>
      <c r="AA19" s="122">
        <f>IF(OR($C19="",$B$2="",$D$2=0),0,IF(AA$3&lt;0,0,N(INDEX('CURVA PREVISION'!$A$1:$KZ$3000,$C19,10+3*MIN(AA$3,$D$2-1)))))</f>
        <v/>
      </c>
      <c r="AB19" s="122">
        <f>IF(OR($C19="",$B$2="",$D$2=0),0,IF(AB$3&lt;0,0,N(INDEX('CURVA PREVISION'!$A$1:$KZ$3000,$C19,10+3*MIN(AB$3,$D$2-1)))))</f>
        <v/>
      </c>
      <c r="AC19" s="122">
        <f>IF(OR($C19="",$B$2="",$D$2=0),0,IF(AC$3&lt;0,0,N(INDEX('CURVA PREVISION'!$A$1:$KZ$3000,$C19,10+3*MIN(AC$3,$D$2-1)))))</f>
        <v/>
      </c>
      <c r="AD19" s="122">
        <f>IF(OR($C19="",$B$2="",$D$2=0),0,IF(AD$3&lt;0,0,N(INDEX('CURVA PREVISION'!$A$1:$KZ$3000,$C19,10+3*MIN(AD$3,$D$2-1)))))</f>
        <v/>
      </c>
      <c r="AE19" s="122">
        <f>IF(OR($C19="",$B$2="",$D$2=0),0,IF(AE$3&lt;0,0,N(INDEX('CURVA PREVISION'!$A$1:$KZ$3000,$C19,10+3*MIN(AE$3,$D$2-1)))))</f>
        <v/>
      </c>
      <c r="AF19" s="122">
        <f>IF(OR($C19="",$B$2="",$D$2=0),0,IF(AF$3&lt;0,0,N(INDEX('CURVA PREVISION'!$A$1:$KZ$3000,$C19,10+3*MIN(AF$3,$D$2-1)))))</f>
        <v/>
      </c>
      <c r="AG19" s="122">
        <f>IF(OR($C19="",$B$2="",$D$2=0),0,IF(AG$3&lt;0,0,N(INDEX('CURVA PREVISION'!$A$1:$KZ$3000,$C19,10+3*MIN(AG$3,$D$2-1)))))</f>
        <v/>
      </c>
      <c r="AH19" s="122">
        <f>IF(OR($C19="",$B$2="",$D$2=0),0,IF(AH$3&lt;0,0,N(INDEX('CURVA PREVISION'!$A$1:$KZ$3000,$C19,10+3*MIN(AH$3,$D$2-1)))))</f>
        <v/>
      </c>
      <c r="AI19" s="122">
        <f>IF(OR($C19="",$B$2="",$D$2=0),0,IF(AI$3&lt;0,0,N(INDEX('CURVA PREVISION'!$A$1:$KZ$3000,$C19,10+3*MIN(AI$3,$D$2-1)))))</f>
        <v/>
      </c>
      <c r="AJ19" s="122">
        <f>IF(OR($C19="",$B$2="",$D$2=0),0,IF(AJ$3&lt;0,0,N(INDEX('CURVA PREVISION'!$A$1:$KZ$3000,$C19,10+3*MIN(AJ$3,$D$2-1)))))</f>
        <v/>
      </c>
      <c r="AK19" s="122">
        <f>IF(OR($C19="",$B$2="",$D$2=0),0,IF(AK$3&lt;0,0,N(INDEX('CURVA PREVISION'!$A$1:$KZ$3000,$C19,10+3*MIN(AK$3,$D$2-1)))))</f>
        <v/>
      </c>
      <c r="AL19" s="122">
        <f>IF(OR($C19="",$B$2="",$D$2=0),0,IF(AL$3&lt;0,0,N(INDEX('CURVA PREVISION'!$A$1:$KZ$3000,$C19,10+3*MIN(AL$3,$D$2-1)))))</f>
        <v/>
      </c>
      <c r="AM19" s="122">
        <f>IF(OR($C19="",$B$2="",$D$2=0),0,IF(AM$3&lt;0,0,N(INDEX('CURVA PREVISION'!$A$1:$KZ$3000,$C19,10+3*MIN(AM$3,$D$2-1)))))</f>
        <v/>
      </c>
      <c r="AN19" s="122">
        <f>IF(OR($C19="",$B$2="",$D$2=0),0,IF(AN$3&lt;0,0,N(INDEX('CURVA PREVISION'!$A$1:$KZ$3000,$C19,10+3*MIN(AN$3,$D$2-1)))))</f>
        <v/>
      </c>
      <c r="AO19" s="122">
        <f>IF(OR($C19="",$B$2="",$D$2=0),0,IF(AO$3&lt;0,0,N(INDEX('CURVA PREVISION'!$A$1:$KZ$3000,$C19,10+3*MIN(AO$3,$D$2-1)))))</f>
        <v/>
      </c>
      <c r="AP19" s="122">
        <f>IF(OR($C19="",$B$2="",$D$2=0),0,IF(AP$3&lt;0,0,N(INDEX('CURVA PREVISION'!$A$1:$KZ$3000,$C19,10+3*MIN(AP$3,$D$2-1)))))</f>
        <v/>
      </c>
      <c r="AQ19" s="122">
        <f>IF(OR($C19="",$B$2="",$D$2=0),0,IF(AQ$3&lt;0,0,N(INDEX('CURVA PREVISION'!$A$1:$KZ$3000,$C19,10+3*MIN(AQ$3,$D$2-1)))))</f>
        <v/>
      </c>
      <c r="AR19" s="122">
        <f>IF(OR($C19="",$B$2="",$D$2=0),0,IF(AR$3&lt;0,0,N(INDEX('CURVA PREVISION'!$A$1:$KZ$3000,$C19,10+3*MIN(AR$3,$D$2-1)))))</f>
        <v/>
      </c>
      <c r="AS19" s="122">
        <f>IF(OR($C19="",$B$2="",$D$2=0),0,IF(AS$3&lt;0,0,N(INDEX('CURVA PREVISION'!$A$1:$KZ$3000,$C19,10+3*MIN(AS$3,$D$2-1)))))</f>
        <v/>
      </c>
      <c r="AT19" s="122">
        <f>IF(OR($C19="",$B$2="",$D$2=0),0,IF(AT$3&lt;0,0,N(INDEX('CURVA PREVISION'!$A$1:$KZ$3000,$C19,10+3*MIN(AT$3,$D$2-1)))))</f>
        <v/>
      </c>
      <c r="AU19" s="122">
        <f>IF(OR($C19="",$B$2="",$D$2=0),0,IF(AU$3&lt;0,0,N(INDEX('CURVA PREVISION'!$A$1:$KZ$3000,$C19,10+3*MIN(AU$3,$D$2-1)))))</f>
        <v/>
      </c>
      <c r="AV19" s="122">
        <f>IF(OR($C19="",$B$2="",$D$2=0),0,IF(AV$3&lt;0,0,N(INDEX('CURVA PREVISION'!$A$1:$KZ$3000,$C19,10+3*MIN(AV$3,$D$2-1)))))</f>
        <v/>
      </c>
      <c r="AW19" s="122">
        <f>IF(OR($C19="",$B$2="",$D$2=0),0,IF(AW$3&lt;0,0,N(INDEX('CURVA PREVISION'!$A$1:$KZ$3000,$C19,10+3*MIN(AW$3,$D$2-1)))))</f>
        <v/>
      </c>
      <c r="AX19" s="122">
        <f>IF(OR($C19="",$B$2="",$D$2=0),0,IF(AX$3&lt;0,0,N(INDEX('CURVA PREVISION'!$A$1:$KZ$3000,$C19,10+3*MIN(AX$3,$D$2-1)))))</f>
        <v/>
      </c>
      <c r="AY19" s="122">
        <f>IF(OR($C19="",$B$2="",$D$2=0),0,IF(AY$3&lt;0,0,N(INDEX('CURVA PREVISION'!$A$1:$KZ$3000,$C19,10+3*MIN(AY$3,$D$2-1)))))</f>
        <v/>
      </c>
      <c r="AZ19" s="122">
        <f>IF(OR($C19="",$B$2="",$D$2=0),0,IF(AZ$3&lt;0,0,N(INDEX('CURVA PREVISION'!$A$1:$KZ$3000,$C19,10+3*MIN(AZ$3,$D$2-1)))))</f>
        <v/>
      </c>
      <c r="BA19" s="122">
        <f>IF(OR($C19="",$B$2="",$D$2=0),0,IF(BA$3&lt;0,0,N(INDEX('CURVA PREVISION'!$A$1:$KZ$3000,$C19,10+3*MIN(BA$3,$D$2-1)))))</f>
        <v/>
      </c>
      <c r="BB19" s="122">
        <f>IF(OR($C19="",$B$2="",$D$2=0),0,IF(BB$3&lt;0,0,N(INDEX('CURVA PREVISION'!$A$1:$KZ$3000,$C19,10+3*MIN(BB$3,$D$2-1)))))</f>
        <v/>
      </c>
      <c r="BC19" s="122">
        <f>IF(OR($C19="",$B$2="",$D$2=0),0,IF(BC$3&lt;0,0,N(INDEX('CURVA PREVISION'!$A$1:$KZ$3000,$C19,10+3*MIN(BC$3,$D$2-1)))))</f>
        <v/>
      </c>
      <c r="BD19" s="122">
        <f>IF(OR($C19="",$B$2="",$D$2=0),0,IF(BD$3&lt;0,0,N(INDEX('CURVA PREVISION'!$A$1:$KZ$3000,$C19,10+3*MIN(BD$3,$D$2-1)))))</f>
        <v/>
      </c>
      <c r="BE19" s="122">
        <f>IF(OR($C19="",$B$2="",$D$2=0),0,IF(BE$3&lt;0,0,N(INDEX('CURVA PREVISION'!$A$1:$KZ$3000,$C19,10+3*MIN(BE$3,$D$2-1)))))</f>
        <v/>
      </c>
      <c r="BF19" s="122">
        <f>IF(OR($C19="",$B$2="",$D$2=0),0,IF(BF$3&lt;0,0,N(INDEX('CURVA PREVISION'!$A$1:$KZ$3000,$C19,10+3*MIN(BF$3,$D$2-1)))))</f>
        <v/>
      </c>
      <c r="BG19" s="122">
        <f>IF(OR($C19="",$B$2="",$D$2=0),0,IF(BG$3&lt;0,0,N(INDEX('CURVA PREVISION'!$A$1:$KZ$3000,$C19,10+3*MIN(BG$3,$D$2-1)))))</f>
        <v/>
      </c>
      <c r="BH19" s="122">
        <f>IF(OR($C19="",$B$2="",$D$2=0),0,IF(BH$3&lt;0,0,N(INDEX('CURVA PREVISION'!$A$1:$KZ$3000,$C19,10+3*MIN(BH$3,$D$2-1)))))</f>
        <v/>
      </c>
      <c r="BI19" s="122">
        <f>IF(OR($C19="",$B$2="",$D$2=0),0,IF(BI$3&lt;0,0,N(INDEX('CURVA PREVISION'!$A$1:$KZ$3000,$C19,10+3*MIN(BI$3,$D$2-1)))))</f>
        <v/>
      </c>
      <c r="BJ19" s="122">
        <f>IF(OR($C19="",$B$2="",$D$2=0),0,IF(BJ$3&lt;0,0,N(INDEX('CURVA PREVISION'!$A$1:$KZ$3000,$C19,10+3*MIN(BJ$3,$D$2-1)))))</f>
        <v/>
      </c>
      <c r="BK19" s="122">
        <f>IF(OR($C19="",$B$2="",$D$2=0),0,IF(BK$3&lt;0,0,N(INDEX('CURVA PREVISION'!$A$1:$KZ$3000,$C19,10+3*MIN(BK$3,$D$2-1)))))</f>
        <v/>
      </c>
      <c r="BL19" s="122">
        <f>IF(OR($C19="",$B$2="",$D$2=0),0,IF(BL$3&lt;0,0,N(INDEX('CURVA PREVISION'!$A$1:$KZ$3000,$C19,10+3*MIN(BL$3,$D$2-1)))))</f>
        <v/>
      </c>
      <c r="BM19" s="122">
        <f>IF(OR($C19="",$B$2="",$D$2=0),0,IF(BM$3&lt;0,0,N(INDEX('CURVA PREVISION'!$A$1:$KZ$3000,$C19,10+3*MIN(BM$3,$D$2-1)))))</f>
        <v/>
      </c>
      <c r="BN19" s="122">
        <f>IF(OR($C19="",$B$2="",$D$2=0),0,IF(BN$3&lt;0,0,N(INDEX('CURVA PREVISION'!$A$1:$KZ$3000,$C19,10+3*MIN(BN$3,$D$2-1)))))</f>
        <v/>
      </c>
      <c r="BO19" s="122">
        <f>IF(OR($C19="",$B$2="",$D$2=0),0,IF(BO$3&lt;0,0,N(INDEX('CURVA PREVISION'!$A$1:$KZ$3000,$C19,10+3*MIN(BO$3,$D$2-1)))))</f>
        <v/>
      </c>
      <c r="BP19" s="122">
        <f>IF(OR($C19="",$B$2="",$D$2=0),0,IF(BP$3&lt;0,0,N(INDEX('CURVA PREVISION'!$A$1:$KZ$3000,$C19,10+3*MIN(BP$3,$D$2-1)))))</f>
        <v/>
      </c>
      <c r="BQ19" s="122">
        <f>IF(OR($C19="",$B$2="",$D$2=0),0,IF(BQ$3&lt;0,0,N(INDEX('CURVA PREVISION'!$A$1:$KZ$3000,$C19,10+3*MIN(BQ$3,$D$2-1)))))</f>
        <v/>
      </c>
      <c r="BR19" s="122">
        <f>IF(OR($C19="",$B$2="",$D$2=0),0,IF(BR$3&lt;0,0,N(INDEX('CURVA PREVISION'!$A$1:$KZ$3000,$C19,10+3*MIN(BR$3,$D$2-1)))))</f>
        <v/>
      </c>
      <c r="BS19" s="122">
        <f>IF(OR($C19="",$B$2="",$D$2=0),0,IF(BS$3&lt;0,0,N(INDEX('CURVA PREVISION'!$A$1:$KZ$3000,$C19,10+3*MIN(BS$3,$D$2-1)))))</f>
        <v/>
      </c>
      <c r="BT19" s="122">
        <f>IF(OR($C19="",$B$2="",$D$2=0),0,IF(BT$3&lt;0,0,N(INDEX('CURVA PREVISION'!$A$1:$KZ$3000,$C19,10+3*MIN(BT$3,$D$2-1)))))</f>
        <v/>
      </c>
      <c r="BU19" s="122">
        <f>IF(OR($C19="",$B$2="",$D$2=0),0,IF(BU$3&lt;0,0,N(INDEX('CURVA PREVISION'!$A$1:$KZ$3000,$C19,10+3*MIN(BU$3,$D$2-1)))))</f>
        <v/>
      </c>
      <c r="BV19" s="122">
        <f>IF(OR($C19="",$B$2="",$D$2=0),0,IF(BV$3&lt;0,0,N(INDEX('CURVA PREVISION'!$A$1:$KZ$3000,$C19,10+3*MIN(BV$3,$D$2-1)))))</f>
        <v/>
      </c>
      <c r="BW19" s="122">
        <f>IF(OR($C19="",$B$2="",$D$2=0),0,IF(BW$3&lt;0,0,N(INDEX('CURVA PREVISION'!$A$1:$KZ$3000,$C19,10+3*MIN(BW$3,$D$2-1)))))</f>
        <v/>
      </c>
    </row>
    <row r="20">
      <c r="A20" s="60">
        <f>IF('VALOR POR PL'!Q26="",'VALOR POR PL'!C26,'VALOR POR PL'!Q26)</f>
        <v/>
      </c>
      <c r="B20" s="60">
        <f>'VALOR POR PL'!D26</f>
        <v/>
      </c>
      <c r="C20" s="69">
        <f>IFERROR(MATCH(A20,'CURVA PREVISION'!$B$1:$B$3000,0),"")</f>
        <v/>
      </c>
      <c r="D20" s="122">
        <f>IF(OR($C20="",$B$2="",$D$2=0),0,IF(D$3&lt;0,0,N(INDEX('CURVA PREVISION'!$A$1:$KZ$3000,$C20,10+3*MIN(D$3,$D$2-1)))))</f>
        <v/>
      </c>
      <c r="E20" s="122">
        <f>IF(OR($C20="",$B$2="",$D$2=0),0,IF(E$3&lt;0,0,N(INDEX('CURVA PREVISION'!$A$1:$KZ$3000,$C20,10+3*MIN(E$3,$D$2-1)))))</f>
        <v/>
      </c>
      <c r="F20" s="122">
        <f>IF(OR($C20="",$B$2="",$D$2=0),0,IF(F$3&lt;0,0,N(INDEX('CURVA PREVISION'!$A$1:$KZ$3000,$C20,10+3*MIN(F$3,$D$2-1)))))</f>
        <v/>
      </c>
      <c r="G20" s="122">
        <f>IF(OR($C20="",$B$2="",$D$2=0),0,IF(G$3&lt;0,0,N(INDEX('CURVA PREVISION'!$A$1:$KZ$3000,$C20,10+3*MIN(G$3,$D$2-1)))))</f>
        <v/>
      </c>
      <c r="H20" s="122">
        <f>IF(OR($C20="",$B$2="",$D$2=0),0,IF(H$3&lt;0,0,N(INDEX('CURVA PREVISION'!$A$1:$KZ$3000,$C20,10+3*MIN(H$3,$D$2-1)))))</f>
        <v/>
      </c>
      <c r="I20" s="122">
        <f>IF(OR($C20="",$B$2="",$D$2=0),0,IF(I$3&lt;0,0,N(INDEX('CURVA PREVISION'!$A$1:$KZ$3000,$C20,10+3*MIN(I$3,$D$2-1)))))</f>
        <v/>
      </c>
      <c r="J20" s="122">
        <f>IF(OR($C20="",$B$2="",$D$2=0),0,IF(J$3&lt;0,0,N(INDEX('CURVA PREVISION'!$A$1:$KZ$3000,$C20,10+3*MIN(J$3,$D$2-1)))))</f>
        <v/>
      </c>
      <c r="K20" s="122">
        <f>IF(OR($C20="",$B$2="",$D$2=0),0,IF(K$3&lt;0,0,N(INDEX('CURVA PREVISION'!$A$1:$KZ$3000,$C20,10+3*MIN(K$3,$D$2-1)))))</f>
        <v/>
      </c>
      <c r="L20" s="122">
        <f>IF(OR($C20="",$B$2="",$D$2=0),0,IF(L$3&lt;0,0,N(INDEX('CURVA PREVISION'!$A$1:$KZ$3000,$C20,10+3*MIN(L$3,$D$2-1)))))</f>
        <v/>
      </c>
      <c r="M20" s="122">
        <f>IF(OR($C20="",$B$2="",$D$2=0),0,IF(M$3&lt;0,0,N(INDEX('CURVA PREVISION'!$A$1:$KZ$3000,$C20,10+3*MIN(M$3,$D$2-1)))))</f>
        <v/>
      </c>
      <c r="N20" s="122">
        <f>IF(OR($C20="",$B$2="",$D$2=0),0,IF(N$3&lt;0,0,N(INDEX('CURVA PREVISION'!$A$1:$KZ$3000,$C20,10+3*MIN(N$3,$D$2-1)))))</f>
        <v/>
      </c>
      <c r="O20" s="122">
        <f>IF(OR($C20="",$B$2="",$D$2=0),0,IF(O$3&lt;0,0,N(INDEX('CURVA PREVISION'!$A$1:$KZ$3000,$C20,10+3*MIN(O$3,$D$2-1)))))</f>
        <v/>
      </c>
      <c r="P20" s="122">
        <f>IF(OR($C20="",$B$2="",$D$2=0),0,IF(P$3&lt;0,0,N(INDEX('CURVA PREVISION'!$A$1:$KZ$3000,$C20,10+3*MIN(P$3,$D$2-1)))))</f>
        <v/>
      </c>
      <c r="Q20" s="122">
        <f>IF(OR($C20="",$B$2="",$D$2=0),0,IF(Q$3&lt;0,0,N(INDEX('CURVA PREVISION'!$A$1:$KZ$3000,$C20,10+3*MIN(Q$3,$D$2-1)))))</f>
        <v/>
      </c>
      <c r="R20" s="122">
        <f>IF(OR($C20="",$B$2="",$D$2=0),0,IF(R$3&lt;0,0,N(INDEX('CURVA PREVISION'!$A$1:$KZ$3000,$C20,10+3*MIN(R$3,$D$2-1)))))</f>
        <v/>
      </c>
      <c r="S20" s="122">
        <f>IF(OR($C20="",$B$2="",$D$2=0),0,IF(S$3&lt;0,0,N(INDEX('CURVA PREVISION'!$A$1:$KZ$3000,$C20,10+3*MIN(S$3,$D$2-1)))))</f>
        <v/>
      </c>
      <c r="T20" s="122">
        <f>IF(OR($C20="",$B$2="",$D$2=0),0,IF(T$3&lt;0,0,N(INDEX('CURVA PREVISION'!$A$1:$KZ$3000,$C20,10+3*MIN(T$3,$D$2-1)))))</f>
        <v/>
      </c>
      <c r="U20" s="122">
        <f>IF(OR($C20="",$B$2="",$D$2=0),0,IF(U$3&lt;0,0,N(INDEX('CURVA PREVISION'!$A$1:$KZ$3000,$C20,10+3*MIN(U$3,$D$2-1)))))</f>
        <v/>
      </c>
      <c r="V20" s="122">
        <f>IF(OR($C20="",$B$2="",$D$2=0),0,IF(V$3&lt;0,0,N(INDEX('CURVA PREVISION'!$A$1:$KZ$3000,$C20,10+3*MIN(V$3,$D$2-1)))))</f>
        <v/>
      </c>
      <c r="W20" s="122">
        <f>IF(OR($C20="",$B$2="",$D$2=0),0,IF(W$3&lt;0,0,N(INDEX('CURVA PREVISION'!$A$1:$KZ$3000,$C20,10+3*MIN(W$3,$D$2-1)))))</f>
        <v/>
      </c>
      <c r="X20" s="122">
        <f>IF(OR($C20="",$B$2="",$D$2=0),0,IF(X$3&lt;0,0,N(INDEX('CURVA PREVISION'!$A$1:$KZ$3000,$C20,10+3*MIN(X$3,$D$2-1)))))</f>
        <v/>
      </c>
      <c r="Y20" s="122">
        <f>IF(OR($C20="",$B$2="",$D$2=0),0,IF(Y$3&lt;0,0,N(INDEX('CURVA PREVISION'!$A$1:$KZ$3000,$C20,10+3*MIN(Y$3,$D$2-1)))))</f>
        <v/>
      </c>
      <c r="Z20" s="122">
        <f>IF(OR($C20="",$B$2="",$D$2=0),0,IF(Z$3&lt;0,0,N(INDEX('CURVA PREVISION'!$A$1:$KZ$3000,$C20,10+3*MIN(Z$3,$D$2-1)))))</f>
        <v/>
      </c>
      <c r="AA20" s="122">
        <f>IF(OR($C20="",$B$2="",$D$2=0),0,IF(AA$3&lt;0,0,N(INDEX('CURVA PREVISION'!$A$1:$KZ$3000,$C20,10+3*MIN(AA$3,$D$2-1)))))</f>
        <v/>
      </c>
      <c r="AB20" s="122">
        <f>IF(OR($C20="",$B$2="",$D$2=0),0,IF(AB$3&lt;0,0,N(INDEX('CURVA PREVISION'!$A$1:$KZ$3000,$C20,10+3*MIN(AB$3,$D$2-1)))))</f>
        <v/>
      </c>
      <c r="AC20" s="122">
        <f>IF(OR($C20="",$B$2="",$D$2=0),0,IF(AC$3&lt;0,0,N(INDEX('CURVA PREVISION'!$A$1:$KZ$3000,$C20,10+3*MIN(AC$3,$D$2-1)))))</f>
        <v/>
      </c>
      <c r="AD20" s="122">
        <f>IF(OR($C20="",$B$2="",$D$2=0),0,IF(AD$3&lt;0,0,N(INDEX('CURVA PREVISION'!$A$1:$KZ$3000,$C20,10+3*MIN(AD$3,$D$2-1)))))</f>
        <v/>
      </c>
      <c r="AE20" s="122">
        <f>IF(OR($C20="",$B$2="",$D$2=0),0,IF(AE$3&lt;0,0,N(INDEX('CURVA PREVISION'!$A$1:$KZ$3000,$C20,10+3*MIN(AE$3,$D$2-1)))))</f>
        <v/>
      </c>
      <c r="AF20" s="122">
        <f>IF(OR($C20="",$B$2="",$D$2=0),0,IF(AF$3&lt;0,0,N(INDEX('CURVA PREVISION'!$A$1:$KZ$3000,$C20,10+3*MIN(AF$3,$D$2-1)))))</f>
        <v/>
      </c>
      <c r="AG20" s="122">
        <f>IF(OR($C20="",$B$2="",$D$2=0),0,IF(AG$3&lt;0,0,N(INDEX('CURVA PREVISION'!$A$1:$KZ$3000,$C20,10+3*MIN(AG$3,$D$2-1)))))</f>
        <v/>
      </c>
      <c r="AH20" s="122">
        <f>IF(OR($C20="",$B$2="",$D$2=0),0,IF(AH$3&lt;0,0,N(INDEX('CURVA PREVISION'!$A$1:$KZ$3000,$C20,10+3*MIN(AH$3,$D$2-1)))))</f>
        <v/>
      </c>
      <c r="AI20" s="122">
        <f>IF(OR($C20="",$B$2="",$D$2=0),0,IF(AI$3&lt;0,0,N(INDEX('CURVA PREVISION'!$A$1:$KZ$3000,$C20,10+3*MIN(AI$3,$D$2-1)))))</f>
        <v/>
      </c>
      <c r="AJ20" s="122">
        <f>IF(OR($C20="",$B$2="",$D$2=0),0,IF(AJ$3&lt;0,0,N(INDEX('CURVA PREVISION'!$A$1:$KZ$3000,$C20,10+3*MIN(AJ$3,$D$2-1)))))</f>
        <v/>
      </c>
      <c r="AK20" s="122">
        <f>IF(OR($C20="",$B$2="",$D$2=0),0,IF(AK$3&lt;0,0,N(INDEX('CURVA PREVISION'!$A$1:$KZ$3000,$C20,10+3*MIN(AK$3,$D$2-1)))))</f>
        <v/>
      </c>
      <c r="AL20" s="122">
        <f>IF(OR($C20="",$B$2="",$D$2=0),0,IF(AL$3&lt;0,0,N(INDEX('CURVA PREVISION'!$A$1:$KZ$3000,$C20,10+3*MIN(AL$3,$D$2-1)))))</f>
        <v/>
      </c>
      <c r="AM20" s="122">
        <f>IF(OR($C20="",$B$2="",$D$2=0),0,IF(AM$3&lt;0,0,N(INDEX('CURVA PREVISION'!$A$1:$KZ$3000,$C20,10+3*MIN(AM$3,$D$2-1)))))</f>
        <v/>
      </c>
      <c r="AN20" s="122">
        <f>IF(OR($C20="",$B$2="",$D$2=0),0,IF(AN$3&lt;0,0,N(INDEX('CURVA PREVISION'!$A$1:$KZ$3000,$C20,10+3*MIN(AN$3,$D$2-1)))))</f>
        <v/>
      </c>
      <c r="AO20" s="122">
        <f>IF(OR($C20="",$B$2="",$D$2=0),0,IF(AO$3&lt;0,0,N(INDEX('CURVA PREVISION'!$A$1:$KZ$3000,$C20,10+3*MIN(AO$3,$D$2-1)))))</f>
        <v/>
      </c>
      <c r="AP20" s="122">
        <f>IF(OR($C20="",$B$2="",$D$2=0),0,IF(AP$3&lt;0,0,N(INDEX('CURVA PREVISION'!$A$1:$KZ$3000,$C20,10+3*MIN(AP$3,$D$2-1)))))</f>
        <v/>
      </c>
      <c r="AQ20" s="122">
        <f>IF(OR($C20="",$B$2="",$D$2=0),0,IF(AQ$3&lt;0,0,N(INDEX('CURVA PREVISION'!$A$1:$KZ$3000,$C20,10+3*MIN(AQ$3,$D$2-1)))))</f>
        <v/>
      </c>
      <c r="AR20" s="122">
        <f>IF(OR($C20="",$B$2="",$D$2=0),0,IF(AR$3&lt;0,0,N(INDEX('CURVA PREVISION'!$A$1:$KZ$3000,$C20,10+3*MIN(AR$3,$D$2-1)))))</f>
        <v/>
      </c>
      <c r="AS20" s="122">
        <f>IF(OR($C20="",$B$2="",$D$2=0),0,IF(AS$3&lt;0,0,N(INDEX('CURVA PREVISION'!$A$1:$KZ$3000,$C20,10+3*MIN(AS$3,$D$2-1)))))</f>
        <v/>
      </c>
      <c r="AT20" s="122">
        <f>IF(OR($C20="",$B$2="",$D$2=0),0,IF(AT$3&lt;0,0,N(INDEX('CURVA PREVISION'!$A$1:$KZ$3000,$C20,10+3*MIN(AT$3,$D$2-1)))))</f>
        <v/>
      </c>
      <c r="AU20" s="122">
        <f>IF(OR($C20="",$B$2="",$D$2=0),0,IF(AU$3&lt;0,0,N(INDEX('CURVA PREVISION'!$A$1:$KZ$3000,$C20,10+3*MIN(AU$3,$D$2-1)))))</f>
        <v/>
      </c>
      <c r="AV20" s="122">
        <f>IF(OR($C20="",$B$2="",$D$2=0),0,IF(AV$3&lt;0,0,N(INDEX('CURVA PREVISION'!$A$1:$KZ$3000,$C20,10+3*MIN(AV$3,$D$2-1)))))</f>
        <v/>
      </c>
      <c r="AW20" s="122">
        <f>IF(OR($C20="",$B$2="",$D$2=0),0,IF(AW$3&lt;0,0,N(INDEX('CURVA PREVISION'!$A$1:$KZ$3000,$C20,10+3*MIN(AW$3,$D$2-1)))))</f>
        <v/>
      </c>
      <c r="AX20" s="122">
        <f>IF(OR($C20="",$B$2="",$D$2=0),0,IF(AX$3&lt;0,0,N(INDEX('CURVA PREVISION'!$A$1:$KZ$3000,$C20,10+3*MIN(AX$3,$D$2-1)))))</f>
        <v/>
      </c>
      <c r="AY20" s="122">
        <f>IF(OR($C20="",$B$2="",$D$2=0),0,IF(AY$3&lt;0,0,N(INDEX('CURVA PREVISION'!$A$1:$KZ$3000,$C20,10+3*MIN(AY$3,$D$2-1)))))</f>
        <v/>
      </c>
      <c r="AZ20" s="122">
        <f>IF(OR($C20="",$B$2="",$D$2=0),0,IF(AZ$3&lt;0,0,N(INDEX('CURVA PREVISION'!$A$1:$KZ$3000,$C20,10+3*MIN(AZ$3,$D$2-1)))))</f>
        <v/>
      </c>
      <c r="BA20" s="122">
        <f>IF(OR($C20="",$B$2="",$D$2=0),0,IF(BA$3&lt;0,0,N(INDEX('CURVA PREVISION'!$A$1:$KZ$3000,$C20,10+3*MIN(BA$3,$D$2-1)))))</f>
        <v/>
      </c>
      <c r="BB20" s="122">
        <f>IF(OR($C20="",$B$2="",$D$2=0),0,IF(BB$3&lt;0,0,N(INDEX('CURVA PREVISION'!$A$1:$KZ$3000,$C20,10+3*MIN(BB$3,$D$2-1)))))</f>
        <v/>
      </c>
      <c r="BC20" s="122">
        <f>IF(OR($C20="",$B$2="",$D$2=0),0,IF(BC$3&lt;0,0,N(INDEX('CURVA PREVISION'!$A$1:$KZ$3000,$C20,10+3*MIN(BC$3,$D$2-1)))))</f>
        <v/>
      </c>
      <c r="BD20" s="122">
        <f>IF(OR($C20="",$B$2="",$D$2=0),0,IF(BD$3&lt;0,0,N(INDEX('CURVA PREVISION'!$A$1:$KZ$3000,$C20,10+3*MIN(BD$3,$D$2-1)))))</f>
        <v/>
      </c>
      <c r="BE20" s="122">
        <f>IF(OR($C20="",$B$2="",$D$2=0),0,IF(BE$3&lt;0,0,N(INDEX('CURVA PREVISION'!$A$1:$KZ$3000,$C20,10+3*MIN(BE$3,$D$2-1)))))</f>
        <v/>
      </c>
      <c r="BF20" s="122">
        <f>IF(OR($C20="",$B$2="",$D$2=0),0,IF(BF$3&lt;0,0,N(INDEX('CURVA PREVISION'!$A$1:$KZ$3000,$C20,10+3*MIN(BF$3,$D$2-1)))))</f>
        <v/>
      </c>
      <c r="BG20" s="122">
        <f>IF(OR($C20="",$B$2="",$D$2=0),0,IF(BG$3&lt;0,0,N(INDEX('CURVA PREVISION'!$A$1:$KZ$3000,$C20,10+3*MIN(BG$3,$D$2-1)))))</f>
        <v/>
      </c>
      <c r="BH20" s="122">
        <f>IF(OR($C20="",$B$2="",$D$2=0),0,IF(BH$3&lt;0,0,N(INDEX('CURVA PREVISION'!$A$1:$KZ$3000,$C20,10+3*MIN(BH$3,$D$2-1)))))</f>
        <v/>
      </c>
      <c r="BI20" s="122">
        <f>IF(OR($C20="",$B$2="",$D$2=0),0,IF(BI$3&lt;0,0,N(INDEX('CURVA PREVISION'!$A$1:$KZ$3000,$C20,10+3*MIN(BI$3,$D$2-1)))))</f>
        <v/>
      </c>
      <c r="BJ20" s="122">
        <f>IF(OR($C20="",$B$2="",$D$2=0),0,IF(BJ$3&lt;0,0,N(INDEX('CURVA PREVISION'!$A$1:$KZ$3000,$C20,10+3*MIN(BJ$3,$D$2-1)))))</f>
        <v/>
      </c>
      <c r="BK20" s="122">
        <f>IF(OR($C20="",$B$2="",$D$2=0),0,IF(BK$3&lt;0,0,N(INDEX('CURVA PREVISION'!$A$1:$KZ$3000,$C20,10+3*MIN(BK$3,$D$2-1)))))</f>
        <v/>
      </c>
      <c r="BL20" s="122">
        <f>IF(OR($C20="",$B$2="",$D$2=0),0,IF(BL$3&lt;0,0,N(INDEX('CURVA PREVISION'!$A$1:$KZ$3000,$C20,10+3*MIN(BL$3,$D$2-1)))))</f>
        <v/>
      </c>
      <c r="BM20" s="122">
        <f>IF(OR($C20="",$B$2="",$D$2=0),0,IF(BM$3&lt;0,0,N(INDEX('CURVA PREVISION'!$A$1:$KZ$3000,$C20,10+3*MIN(BM$3,$D$2-1)))))</f>
        <v/>
      </c>
      <c r="BN20" s="122">
        <f>IF(OR($C20="",$B$2="",$D$2=0),0,IF(BN$3&lt;0,0,N(INDEX('CURVA PREVISION'!$A$1:$KZ$3000,$C20,10+3*MIN(BN$3,$D$2-1)))))</f>
        <v/>
      </c>
      <c r="BO20" s="122">
        <f>IF(OR($C20="",$B$2="",$D$2=0),0,IF(BO$3&lt;0,0,N(INDEX('CURVA PREVISION'!$A$1:$KZ$3000,$C20,10+3*MIN(BO$3,$D$2-1)))))</f>
        <v/>
      </c>
      <c r="BP20" s="122">
        <f>IF(OR($C20="",$B$2="",$D$2=0),0,IF(BP$3&lt;0,0,N(INDEX('CURVA PREVISION'!$A$1:$KZ$3000,$C20,10+3*MIN(BP$3,$D$2-1)))))</f>
        <v/>
      </c>
      <c r="BQ20" s="122">
        <f>IF(OR($C20="",$B$2="",$D$2=0),0,IF(BQ$3&lt;0,0,N(INDEX('CURVA PREVISION'!$A$1:$KZ$3000,$C20,10+3*MIN(BQ$3,$D$2-1)))))</f>
        <v/>
      </c>
      <c r="BR20" s="122">
        <f>IF(OR($C20="",$B$2="",$D$2=0),0,IF(BR$3&lt;0,0,N(INDEX('CURVA PREVISION'!$A$1:$KZ$3000,$C20,10+3*MIN(BR$3,$D$2-1)))))</f>
        <v/>
      </c>
      <c r="BS20" s="122">
        <f>IF(OR($C20="",$B$2="",$D$2=0),0,IF(BS$3&lt;0,0,N(INDEX('CURVA PREVISION'!$A$1:$KZ$3000,$C20,10+3*MIN(BS$3,$D$2-1)))))</f>
        <v/>
      </c>
      <c r="BT20" s="122">
        <f>IF(OR($C20="",$B$2="",$D$2=0),0,IF(BT$3&lt;0,0,N(INDEX('CURVA PREVISION'!$A$1:$KZ$3000,$C20,10+3*MIN(BT$3,$D$2-1)))))</f>
        <v/>
      </c>
      <c r="BU20" s="122">
        <f>IF(OR($C20="",$B$2="",$D$2=0),0,IF(BU$3&lt;0,0,N(INDEX('CURVA PREVISION'!$A$1:$KZ$3000,$C20,10+3*MIN(BU$3,$D$2-1)))))</f>
        <v/>
      </c>
      <c r="BV20" s="122">
        <f>IF(OR($C20="",$B$2="",$D$2=0),0,IF(BV$3&lt;0,0,N(INDEX('CURVA PREVISION'!$A$1:$KZ$3000,$C20,10+3*MIN(BV$3,$D$2-1)))))</f>
        <v/>
      </c>
      <c r="BW20" s="122">
        <f>IF(OR($C20="",$B$2="",$D$2=0),0,IF(BW$3&lt;0,0,N(INDEX('CURVA PREVISION'!$A$1:$KZ$3000,$C20,10+3*MIN(BW$3,$D$2-1)))))</f>
        <v/>
      </c>
    </row>
    <row r="21">
      <c r="A21" s="60">
        <f>IF('VALOR POR PL'!Q27="",'VALOR POR PL'!C27,'VALOR POR PL'!Q27)</f>
        <v/>
      </c>
      <c r="B21" s="60">
        <f>'VALOR POR PL'!D27</f>
        <v/>
      </c>
      <c r="C21" s="69">
        <f>IFERROR(MATCH(A21,'CURVA PREVISION'!$B$1:$B$3000,0),"")</f>
        <v/>
      </c>
      <c r="D21" s="122">
        <f>IF(OR($C21="",$B$2="",$D$2=0),0,IF(D$3&lt;0,0,N(INDEX('CURVA PREVISION'!$A$1:$KZ$3000,$C21,10+3*MIN(D$3,$D$2-1)))))</f>
        <v/>
      </c>
      <c r="E21" s="122">
        <f>IF(OR($C21="",$B$2="",$D$2=0),0,IF(E$3&lt;0,0,N(INDEX('CURVA PREVISION'!$A$1:$KZ$3000,$C21,10+3*MIN(E$3,$D$2-1)))))</f>
        <v/>
      </c>
      <c r="F21" s="122">
        <f>IF(OR($C21="",$B$2="",$D$2=0),0,IF(F$3&lt;0,0,N(INDEX('CURVA PREVISION'!$A$1:$KZ$3000,$C21,10+3*MIN(F$3,$D$2-1)))))</f>
        <v/>
      </c>
      <c r="G21" s="122">
        <f>IF(OR($C21="",$B$2="",$D$2=0),0,IF(G$3&lt;0,0,N(INDEX('CURVA PREVISION'!$A$1:$KZ$3000,$C21,10+3*MIN(G$3,$D$2-1)))))</f>
        <v/>
      </c>
      <c r="H21" s="122">
        <f>IF(OR($C21="",$B$2="",$D$2=0),0,IF(H$3&lt;0,0,N(INDEX('CURVA PREVISION'!$A$1:$KZ$3000,$C21,10+3*MIN(H$3,$D$2-1)))))</f>
        <v/>
      </c>
      <c r="I21" s="122">
        <f>IF(OR($C21="",$B$2="",$D$2=0),0,IF(I$3&lt;0,0,N(INDEX('CURVA PREVISION'!$A$1:$KZ$3000,$C21,10+3*MIN(I$3,$D$2-1)))))</f>
        <v/>
      </c>
      <c r="J21" s="122">
        <f>IF(OR($C21="",$B$2="",$D$2=0),0,IF(J$3&lt;0,0,N(INDEX('CURVA PREVISION'!$A$1:$KZ$3000,$C21,10+3*MIN(J$3,$D$2-1)))))</f>
        <v/>
      </c>
      <c r="K21" s="122">
        <f>IF(OR($C21="",$B$2="",$D$2=0),0,IF(K$3&lt;0,0,N(INDEX('CURVA PREVISION'!$A$1:$KZ$3000,$C21,10+3*MIN(K$3,$D$2-1)))))</f>
        <v/>
      </c>
      <c r="L21" s="122">
        <f>IF(OR($C21="",$B$2="",$D$2=0),0,IF(L$3&lt;0,0,N(INDEX('CURVA PREVISION'!$A$1:$KZ$3000,$C21,10+3*MIN(L$3,$D$2-1)))))</f>
        <v/>
      </c>
      <c r="M21" s="122">
        <f>IF(OR($C21="",$B$2="",$D$2=0),0,IF(M$3&lt;0,0,N(INDEX('CURVA PREVISION'!$A$1:$KZ$3000,$C21,10+3*MIN(M$3,$D$2-1)))))</f>
        <v/>
      </c>
      <c r="N21" s="122">
        <f>IF(OR($C21="",$B$2="",$D$2=0),0,IF(N$3&lt;0,0,N(INDEX('CURVA PREVISION'!$A$1:$KZ$3000,$C21,10+3*MIN(N$3,$D$2-1)))))</f>
        <v/>
      </c>
      <c r="O21" s="122">
        <f>IF(OR($C21="",$B$2="",$D$2=0),0,IF(O$3&lt;0,0,N(INDEX('CURVA PREVISION'!$A$1:$KZ$3000,$C21,10+3*MIN(O$3,$D$2-1)))))</f>
        <v/>
      </c>
      <c r="P21" s="122">
        <f>IF(OR($C21="",$B$2="",$D$2=0),0,IF(P$3&lt;0,0,N(INDEX('CURVA PREVISION'!$A$1:$KZ$3000,$C21,10+3*MIN(P$3,$D$2-1)))))</f>
        <v/>
      </c>
      <c r="Q21" s="122">
        <f>IF(OR($C21="",$B$2="",$D$2=0),0,IF(Q$3&lt;0,0,N(INDEX('CURVA PREVISION'!$A$1:$KZ$3000,$C21,10+3*MIN(Q$3,$D$2-1)))))</f>
        <v/>
      </c>
      <c r="R21" s="122">
        <f>IF(OR($C21="",$B$2="",$D$2=0),0,IF(R$3&lt;0,0,N(INDEX('CURVA PREVISION'!$A$1:$KZ$3000,$C21,10+3*MIN(R$3,$D$2-1)))))</f>
        <v/>
      </c>
      <c r="S21" s="122">
        <f>IF(OR($C21="",$B$2="",$D$2=0),0,IF(S$3&lt;0,0,N(INDEX('CURVA PREVISION'!$A$1:$KZ$3000,$C21,10+3*MIN(S$3,$D$2-1)))))</f>
        <v/>
      </c>
      <c r="T21" s="122">
        <f>IF(OR($C21="",$B$2="",$D$2=0),0,IF(T$3&lt;0,0,N(INDEX('CURVA PREVISION'!$A$1:$KZ$3000,$C21,10+3*MIN(T$3,$D$2-1)))))</f>
        <v/>
      </c>
      <c r="U21" s="122">
        <f>IF(OR($C21="",$B$2="",$D$2=0),0,IF(U$3&lt;0,0,N(INDEX('CURVA PREVISION'!$A$1:$KZ$3000,$C21,10+3*MIN(U$3,$D$2-1)))))</f>
        <v/>
      </c>
      <c r="V21" s="122">
        <f>IF(OR($C21="",$B$2="",$D$2=0),0,IF(V$3&lt;0,0,N(INDEX('CURVA PREVISION'!$A$1:$KZ$3000,$C21,10+3*MIN(V$3,$D$2-1)))))</f>
        <v/>
      </c>
      <c r="W21" s="122">
        <f>IF(OR($C21="",$B$2="",$D$2=0),0,IF(W$3&lt;0,0,N(INDEX('CURVA PREVISION'!$A$1:$KZ$3000,$C21,10+3*MIN(W$3,$D$2-1)))))</f>
        <v/>
      </c>
      <c r="X21" s="122">
        <f>IF(OR($C21="",$B$2="",$D$2=0),0,IF(X$3&lt;0,0,N(INDEX('CURVA PREVISION'!$A$1:$KZ$3000,$C21,10+3*MIN(X$3,$D$2-1)))))</f>
        <v/>
      </c>
      <c r="Y21" s="122">
        <f>IF(OR($C21="",$B$2="",$D$2=0),0,IF(Y$3&lt;0,0,N(INDEX('CURVA PREVISION'!$A$1:$KZ$3000,$C21,10+3*MIN(Y$3,$D$2-1)))))</f>
        <v/>
      </c>
      <c r="Z21" s="122">
        <f>IF(OR($C21="",$B$2="",$D$2=0),0,IF(Z$3&lt;0,0,N(INDEX('CURVA PREVISION'!$A$1:$KZ$3000,$C21,10+3*MIN(Z$3,$D$2-1)))))</f>
        <v/>
      </c>
      <c r="AA21" s="122">
        <f>IF(OR($C21="",$B$2="",$D$2=0),0,IF(AA$3&lt;0,0,N(INDEX('CURVA PREVISION'!$A$1:$KZ$3000,$C21,10+3*MIN(AA$3,$D$2-1)))))</f>
        <v/>
      </c>
      <c r="AB21" s="122">
        <f>IF(OR($C21="",$B$2="",$D$2=0),0,IF(AB$3&lt;0,0,N(INDEX('CURVA PREVISION'!$A$1:$KZ$3000,$C21,10+3*MIN(AB$3,$D$2-1)))))</f>
        <v/>
      </c>
      <c r="AC21" s="122">
        <f>IF(OR($C21="",$B$2="",$D$2=0),0,IF(AC$3&lt;0,0,N(INDEX('CURVA PREVISION'!$A$1:$KZ$3000,$C21,10+3*MIN(AC$3,$D$2-1)))))</f>
        <v/>
      </c>
      <c r="AD21" s="122">
        <f>IF(OR($C21="",$B$2="",$D$2=0),0,IF(AD$3&lt;0,0,N(INDEX('CURVA PREVISION'!$A$1:$KZ$3000,$C21,10+3*MIN(AD$3,$D$2-1)))))</f>
        <v/>
      </c>
      <c r="AE21" s="122">
        <f>IF(OR($C21="",$B$2="",$D$2=0),0,IF(AE$3&lt;0,0,N(INDEX('CURVA PREVISION'!$A$1:$KZ$3000,$C21,10+3*MIN(AE$3,$D$2-1)))))</f>
        <v/>
      </c>
      <c r="AF21" s="122">
        <f>IF(OR($C21="",$B$2="",$D$2=0),0,IF(AF$3&lt;0,0,N(INDEX('CURVA PREVISION'!$A$1:$KZ$3000,$C21,10+3*MIN(AF$3,$D$2-1)))))</f>
        <v/>
      </c>
      <c r="AG21" s="122">
        <f>IF(OR($C21="",$B$2="",$D$2=0),0,IF(AG$3&lt;0,0,N(INDEX('CURVA PREVISION'!$A$1:$KZ$3000,$C21,10+3*MIN(AG$3,$D$2-1)))))</f>
        <v/>
      </c>
      <c r="AH21" s="122">
        <f>IF(OR($C21="",$B$2="",$D$2=0),0,IF(AH$3&lt;0,0,N(INDEX('CURVA PREVISION'!$A$1:$KZ$3000,$C21,10+3*MIN(AH$3,$D$2-1)))))</f>
        <v/>
      </c>
      <c r="AI21" s="122">
        <f>IF(OR($C21="",$B$2="",$D$2=0),0,IF(AI$3&lt;0,0,N(INDEX('CURVA PREVISION'!$A$1:$KZ$3000,$C21,10+3*MIN(AI$3,$D$2-1)))))</f>
        <v/>
      </c>
      <c r="AJ21" s="122">
        <f>IF(OR($C21="",$B$2="",$D$2=0),0,IF(AJ$3&lt;0,0,N(INDEX('CURVA PREVISION'!$A$1:$KZ$3000,$C21,10+3*MIN(AJ$3,$D$2-1)))))</f>
        <v/>
      </c>
      <c r="AK21" s="122">
        <f>IF(OR($C21="",$B$2="",$D$2=0),0,IF(AK$3&lt;0,0,N(INDEX('CURVA PREVISION'!$A$1:$KZ$3000,$C21,10+3*MIN(AK$3,$D$2-1)))))</f>
        <v/>
      </c>
      <c r="AL21" s="122">
        <f>IF(OR($C21="",$B$2="",$D$2=0),0,IF(AL$3&lt;0,0,N(INDEX('CURVA PREVISION'!$A$1:$KZ$3000,$C21,10+3*MIN(AL$3,$D$2-1)))))</f>
        <v/>
      </c>
      <c r="AM21" s="122">
        <f>IF(OR($C21="",$B$2="",$D$2=0),0,IF(AM$3&lt;0,0,N(INDEX('CURVA PREVISION'!$A$1:$KZ$3000,$C21,10+3*MIN(AM$3,$D$2-1)))))</f>
        <v/>
      </c>
      <c r="AN21" s="122">
        <f>IF(OR($C21="",$B$2="",$D$2=0),0,IF(AN$3&lt;0,0,N(INDEX('CURVA PREVISION'!$A$1:$KZ$3000,$C21,10+3*MIN(AN$3,$D$2-1)))))</f>
        <v/>
      </c>
      <c r="AO21" s="122">
        <f>IF(OR($C21="",$B$2="",$D$2=0),0,IF(AO$3&lt;0,0,N(INDEX('CURVA PREVISION'!$A$1:$KZ$3000,$C21,10+3*MIN(AO$3,$D$2-1)))))</f>
        <v/>
      </c>
      <c r="AP21" s="122">
        <f>IF(OR($C21="",$B$2="",$D$2=0),0,IF(AP$3&lt;0,0,N(INDEX('CURVA PREVISION'!$A$1:$KZ$3000,$C21,10+3*MIN(AP$3,$D$2-1)))))</f>
        <v/>
      </c>
      <c r="AQ21" s="122">
        <f>IF(OR($C21="",$B$2="",$D$2=0),0,IF(AQ$3&lt;0,0,N(INDEX('CURVA PREVISION'!$A$1:$KZ$3000,$C21,10+3*MIN(AQ$3,$D$2-1)))))</f>
        <v/>
      </c>
      <c r="AR21" s="122">
        <f>IF(OR($C21="",$B$2="",$D$2=0),0,IF(AR$3&lt;0,0,N(INDEX('CURVA PREVISION'!$A$1:$KZ$3000,$C21,10+3*MIN(AR$3,$D$2-1)))))</f>
        <v/>
      </c>
      <c r="AS21" s="122">
        <f>IF(OR($C21="",$B$2="",$D$2=0),0,IF(AS$3&lt;0,0,N(INDEX('CURVA PREVISION'!$A$1:$KZ$3000,$C21,10+3*MIN(AS$3,$D$2-1)))))</f>
        <v/>
      </c>
      <c r="AT21" s="122">
        <f>IF(OR($C21="",$B$2="",$D$2=0),0,IF(AT$3&lt;0,0,N(INDEX('CURVA PREVISION'!$A$1:$KZ$3000,$C21,10+3*MIN(AT$3,$D$2-1)))))</f>
        <v/>
      </c>
      <c r="AU21" s="122">
        <f>IF(OR($C21="",$B$2="",$D$2=0),0,IF(AU$3&lt;0,0,N(INDEX('CURVA PREVISION'!$A$1:$KZ$3000,$C21,10+3*MIN(AU$3,$D$2-1)))))</f>
        <v/>
      </c>
      <c r="AV21" s="122">
        <f>IF(OR($C21="",$B$2="",$D$2=0),0,IF(AV$3&lt;0,0,N(INDEX('CURVA PREVISION'!$A$1:$KZ$3000,$C21,10+3*MIN(AV$3,$D$2-1)))))</f>
        <v/>
      </c>
      <c r="AW21" s="122">
        <f>IF(OR($C21="",$B$2="",$D$2=0),0,IF(AW$3&lt;0,0,N(INDEX('CURVA PREVISION'!$A$1:$KZ$3000,$C21,10+3*MIN(AW$3,$D$2-1)))))</f>
        <v/>
      </c>
      <c r="AX21" s="122">
        <f>IF(OR($C21="",$B$2="",$D$2=0),0,IF(AX$3&lt;0,0,N(INDEX('CURVA PREVISION'!$A$1:$KZ$3000,$C21,10+3*MIN(AX$3,$D$2-1)))))</f>
        <v/>
      </c>
      <c r="AY21" s="122">
        <f>IF(OR($C21="",$B$2="",$D$2=0),0,IF(AY$3&lt;0,0,N(INDEX('CURVA PREVISION'!$A$1:$KZ$3000,$C21,10+3*MIN(AY$3,$D$2-1)))))</f>
        <v/>
      </c>
      <c r="AZ21" s="122">
        <f>IF(OR($C21="",$B$2="",$D$2=0),0,IF(AZ$3&lt;0,0,N(INDEX('CURVA PREVISION'!$A$1:$KZ$3000,$C21,10+3*MIN(AZ$3,$D$2-1)))))</f>
        <v/>
      </c>
      <c r="BA21" s="122">
        <f>IF(OR($C21="",$B$2="",$D$2=0),0,IF(BA$3&lt;0,0,N(INDEX('CURVA PREVISION'!$A$1:$KZ$3000,$C21,10+3*MIN(BA$3,$D$2-1)))))</f>
        <v/>
      </c>
      <c r="BB21" s="122">
        <f>IF(OR($C21="",$B$2="",$D$2=0),0,IF(BB$3&lt;0,0,N(INDEX('CURVA PREVISION'!$A$1:$KZ$3000,$C21,10+3*MIN(BB$3,$D$2-1)))))</f>
        <v/>
      </c>
      <c r="BC21" s="122">
        <f>IF(OR($C21="",$B$2="",$D$2=0),0,IF(BC$3&lt;0,0,N(INDEX('CURVA PREVISION'!$A$1:$KZ$3000,$C21,10+3*MIN(BC$3,$D$2-1)))))</f>
        <v/>
      </c>
      <c r="BD21" s="122">
        <f>IF(OR($C21="",$B$2="",$D$2=0),0,IF(BD$3&lt;0,0,N(INDEX('CURVA PREVISION'!$A$1:$KZ$3000,$C21,10+3*MIN(BD$3,$D$2-1)))))</f>
        <v/>
      </c>
      <c r="BE21" s="122">
        <f>IF(OR($C21="",$B$2="",$D$2=0),0,IF(BE$3&lt;0,0,N(INDEX('CURVA PREVISION'!$A$1:$KZ$3000,$C21,10+3*MIN(BE$3,$D$2-1)))))</f>
        <v/>
      </c>
      <c r="BF21" s="122">
        <f>IF(OR($C21="",$B$2="",$D$2=0),0,IF(BF$3&lt;0,0,N(INDEX('CURVA PREVISION'!$A$1:$KZ$3000,$C21,10+3*MIN(BF$3,$D$2-1)))))</f>
        <v/>
      </c>
      <c r="BG21" s="122">
        <f>IF(OR($C21="",$B$2="",$D$2=0),0,IF(BG$3&lt;0,0,N(INDEX('CURVA PREVISION'!$A$1:$KZ$3000,$C21,10+3*MIN(BG$3,$D$2-1)))))</f>
        <v/>
      </c>
      <c r="BH21" s="122">
        <f>IF(OR($C21="",$B$2="",$D$2=0),0,IF(BH$3&lt;0,0,N(INDEX('CURVA PREVISION'!$A$1:$KZ$3000,$C21,10+3*MIN(BH$3,$D$2-1)))))</f>
        <v/>
      </c>
      <c r="BI21" s="122">
        <f>IF(OR($C21="",$B$2="",$D$2=0),0,IF(BI$3&lt;0,0,N(INDEX('CURVA PREVISION'!$A$1:$KZ$3000,$C21,10+3*MIN(BI$3,$D$2-1)))))</f>
        <v/>
      </c>
      <c r="BJ21" s="122">
        <f>IF(OR($C21="",$B$2="",$D$2=0),0,IF(BJ$3&lt;0,0,N(INDEX('CURVA PREVISION'!$A$1:$KZ$3000,$C21,10+3*MIN(BJ$3,$D$2-1)))))</f>
        <v/>
      </c>
      <c r="BK21" s="122">
        <f>IF(OR($C21="",$B$2="",$D$2=0),0,IF(BK$3&lt;0,0,N(INDEX('CURVA PREVISION'!$A$1:$KZ$3000,$C21,10+3*MIN(BK$3,$D$2-1)))))</f>
        <v/>
      </c>
      <c r="BL21" s="122">
        <f>IF(OR($C21="",$B$2="",$D$2=0),0,IF(BL$3&lt;0,0,N(INDEX('CURVA PREVISION'!$A$1:$KZ$3000,$C21,10+3*MIN(BL$3,$D$2-1)))))</f>
        <v/>
      </c>
      <c r="BM21" s="122">
        <f>IF(OR($C21="",$B$2="",$D$2=0),0,IF(BM$3&lt;0,0,N(INDEX('CURVA PREVISION'!$A$1:$KZ$3000,$C21,10+3*MIN(BM$3,$D$2-1)))))</f>
        <v/>
      </c>
      <c r="BN21" s="122">
        <f>IF(OR($C21="",$B$2="",$D$2=0),0,IF(BN$3&lt;0,0,N(INDEX('CURVA PREVISION'!$A$1:$KZ$3000,$C21,10+3*MIN(BN$3,$D$2-1)))))</f>
        <v/>
      </c>
      <c r="BO21" s="122">
        <f>IF(OR($C21="",$B$2="",$D$2=0),0,IF(BO$3&lt;0,0,N(INDEX('CURVA PREVISION'!$A$1:$KZ$3000,$C21,10+3*MIN(BO$3,$D$2-1)))))</f>
        <v/>
      </c>
      <c r="BP21" s="122">
        <f>IF(OR($C21="",$B$2="",$D$2=0),0,IF(BP$3&lt;0,0,N(INDEX('CURVA PREVISION'!$A$1:$KZ$3000,$C21,10+3*MIN(BP$3,$D$2-1)))))</f>
        <v/>
      </c>
      <c r="BQ21" s="122">
        <f>IF(OR($C21="",$B$2="",$D$2=0),0,IF(BQ$3&lt;0,0,N(INDEX('CURVA PREVISION'!$A$1:$KZ$3000,$C21,10+3*MIN(BQ$3,$D$2-1)))))</f>
        <v/>
      </c>
      <c r="BR21" s="122">
        <f>IF(OR($C21="",$B$2="",$D$2=0),0,IF(BR$3&lt;0,0,N(INDEX('CURVA PREVISION'!$A$1:$KZ$3000,$C21,10+3*MIN(BR$3,$D$2-1)))))</f>
        <v/>
      </c>
      <c r="BS21" s="122">
        <f>IF(OR($C21="",$B$2="",$D$2=0),0,IF(BS$3&lt;0,0,N(INDEX('CURVA PREVISION'!$A$1:$KZ$3000,$C21,10+3*MIN(BS$3,$D$2-1)))))</f>
        <v/>
      </c>
      <c r="BT21" s="122">
        <f>IF(OR($C21="",$B$2="",$D$2=0),0,IF(BT$3&lt;0,0,N(INDEX('CURVA PREVISION'!$A$1:$KZ$3000,$C21,10+3*MIN(BT$3,$D$2-1)))))</f>
        <v/>
      </c>
      <c r="BU21" s="122">
        <f>IF(OR($C21="",$B$2="",$D$2=0),0,IF(BU$3&lt;0,0,N(INDEX('CURVA PREVISION'!$A$1:$KZ$3000,$C21,10+3*MIN(BU$3,$D$2-1)))))</f>
        <v/>
      </c>
      <c r="BV21" s="122">
        <f>IF(OR($C21="",$B$2="",$D$2=0),0,IF(BV$3&lt;0,0,N(INDEX('CURVA PREVISION'!$A$1:$KZ$3000,$C21,10+3*MIN(BV$3,$D$2-1)))))</f>
        <v/>
      </c>
      <c r="BW21" s="122">
        <f>IF(OR($C21="",$B$2="",$D$2=0),0,IF(BW$3&lt;0,0,N(INDEX('CURVA PREVISION'!$A$1:$KZ$3000,$C21,10+3*MIN(BW$3,$D$2-1)))))</f>
        <v/>
      </c>
    </row>
    <row r="22">
      <c r="A22" s="60">
        <f>IF('VALOR POR PL'!Q28="",'VALOR POR PL'!C28,'VALOR POR PL'!Q28)</f>
        <v/>
      </c>
      <c r="B22" s="60">
        <f>'VALOR POR PL'!D28</f>
        <v/>
      </c>
      <c r="C22" s="69">
        <f>IFERROR(MATCH(A22,'CURVA PREVISION'!$B$1:$B$3000,0),"")</f>
        <v/>
      </c>
      <c r="D22" s="122">
        <f>IF(OR($C22="",$B$2="",$D$2=0),0,IF(D$3&lt;0,0,N(INDEX('CURVA PREVISION'!$A$1:$KZ$3000,$C22,10+3*MIN(D$3,$D$2-1)))))</f>
        <v/>
      </c>
      <c r="E22" s="122">
        <f>IF(OR($C22="",$B$2="",$D$2=0),0,IF(E$3&lt;0,0,N(INDEX('CURVA PREVISION'!$A$1:$KZ$3000,$C22,10+3*MIN(E$3,$D$2-1)))))</f>
        <v/>
      </c>
      <c r="F22" s="122">
        <f>IF(OR($C22="",$B$2="",$D$2=0),0,IF(F$3&lt;0,0,N(INDEX('CURVA PREVISION'!$A$1:$KZ$3000,$C22,10+3*MIN(F$3,$D$2-1)))))</f>
        <v/>
      </c>
      <c r="G22" s="122">
        <f>IF(OR($C22="",$B$2="",$D$2=0),0,IF(G$3&lt;0,0,N(INDEX('CURVA PREVISION'!$A$1:$KZ$3000,$C22,10+3*MIN(G$3,$D$2-1)))))</f>
        <v/>
      </c>
      <c r="H22" s="122">
        <f>IF(OR($C22="",$B$2="",$D$2=0),0,IF(H$3&lt;0,0,N(INDEX('CURVA PREVISION'!$A$1:$KZ$3000,$C22,10+3*MIN(H$3,$D$2-1)))))</f>
        <v/>
      </c>
      <c r="I22" s="122">
        <f>IF(OR($C22="",$B$2="",$D$2=0),0,IF(I$3&lt;0,0,N(INDEX('CURVA PREVISION'!$A$1:$KZ$3000,$C22,10+3*MIN(I$3,$D$2-1)))))</f>
        <v/>
      </c>
      <c r="J22" s="122">
        <f>IF(OR($C22="",$B$2="",$D$2=0),0,IF(J$3&lt;0,0,N(INDEX('CURVA PREVISION'!$A$1:$KZ$3000,$C22,10+3*MIN(J$3,$D$2-1)))))</f>
        <v/>
      </c>
      <c r="K22" s="122">
        <f>IF(OR($C22="",$B$2="",$D$2=0),0,IF(K$3&lt;0,0,N(INDEX('CURVA PREVISION'!$A$1:$KZ$3000,$C22,10+3*MIN(K$3,$D$2-1)))))</f>
        <v/>
      </c>
      <c r="L22" s="122">
        <f>IF(OR($C22="",$B$2="",$D$2=0),0,IF(L$3&lt;0,0,N(INDEX('CURVA PREVISION'!$A$1:$KZ$3000,$C22,10+3*MIN(L$3,$D$2-1)))))</f>
        <v/>
      </c>
      <c r="M22" s="122">
        <f>IF(OR($C22="",$B$2="",$D$2=0),0,IF(M$3&lt;0,0,N(INDEX('CURVA PREVISION'!$A$1:$KZ$3000,$C22,10+3*MIN(M$3,$D$2-1)))))</f>
        <v/>
      </c>
      <c r="N22" s="122">
        <f>IF(OR($C22="",$B$2="",$D$2=0),0,IF(N$3&lt;0,0,N(INDEX('CURVA PREVISION'!$A$1:$KZ$3000,$C22,10+3*MIN(N$3,$D$2-1)))))</f>
        <v/>
      </c>
      <c r="O22" s="122">
        <f>IF(OR($C22="",$B$2="",$D$2=0),0,IF(O$3&lt;0,0,N(INDEX('CURVA PREVISION'!$A$1:$KZ$3000,$C22,10+3*MIN(O$3,$D$2-1)))))</f>
        <v/>
      </c>
      <c r="P22" s="122">
        <f>IF(OR($C22="",$B$2="",$D$2=0),0,IF(P$3&lt;0,0,N(INDEX('CURVA PREVISION'!$A$1:$KZ$3000,$C22,10+3*MIN(P$3,$D$2-1)))))</f>
        <v/>
      </c>
      <c r="Q22" s="122">
        <f>IF(OR($C22="",$B$2="",$D$2=0),0,IF(Q$3&lt;0,0,N(INDEX('CURVA PREVISION'!$A$1:$KZ$3000,$C22,10+3*MIN(Q$3,$D$2-1)))))</f>
        <v/>
      </c>
      <c r="R22" s="122">
        <f>IF(OR($C22="",$B$2="",$D$2=0),0,IF(R$3&lt;0,0,N(INDEX('CURVA PREVISION'!$A$1:$KZ$3000,$C22,10+3*MIN(R$3,$D$2-1)))))</f>
        <v/>
      </c>
      <c r="S22" s="122">
        <f>IF(OR($C22="",$B$2="",$D$2=0),0,IF(S$3&lt;0,0,N(INDEX('CURVA PREVISION'!$A$1:$KZ$3000,$C22,10+3*MIN(S$3,$D$2-1)))))</f>
        <v/>
      </c>
      <c r="T22" s="122">
        <f>IF(OR($C22="",$B$2="",$D$2=0),0,IF(T$3&lt;0,0,N(INDEX('CURVA PREVISION'!$A$1:$KZ$3000,$C22,10+3*MIN(T$3,$D$2-1)))))</f>
        <v/>
      </c>
      <c r="U22" s="122">
        <f>IF(OR($C22="",$B$2="",$D$2=0),0,IF(U$3&lt;0,0,N(INDEX('CURVA PREVISION'!$A$1:$KZ$3000,$C22,10+3*MIN(U$3,$D$2-1)))))</f>
        <v/>
      </c>
      <c r="V22" s="122">
        <f>IF(OR($C22="",$B$2="",$D$2=0),0,IF(V$3&lt;0,0,N(INDEX('CURVA PREVISION'!$A$1:$KZ$3000,$C22,10+3*MIN(V$3,$D$2-1)))))</f>
        <v/>
      </c>
      <c r="W22" s="122">
        <f>IF(OR($C22="",$B$2="",$D$2=0),0,IF(W$3&lt;0,0,N(INDEX('CURVA PREVISION'!$A$1:$KZ$3000,$C22,10+3*MIN(W$3,$D$2-1)))))</f>
        <v/>
      </c>
      <c r="X22" s="122">
        <f>IF(OR($C22="",$B$2="",$D$2=0),0,IF(X$3&lt;0,0,N(INDEX('CURVA PREVISION'!$A$1:$KZ$3000,$C22,10+3*MIN(X$3,$D$2-1)))))</f>
        <v/>
      </c>
      <c r="Y22" s="122">
        <f>IF(OR($C22="",$B$2="",$D$2=0),0,IF(Y$3&lt;0,0,N(INDEX('CURVA PREVISION'!$A$1:$KZ$3000,$C22,10+3*MIN(Y$3,$D$2-1)))))</f>
        <v/>
      </c>
      <c r="Z22" s="122">
        <f>IF(OR($C22="",$B$2="",$D$2=0),0,IF(Z$3&lt;0,0,N(INDEX('CURVA PREVISION'!$A$1:$KZ$3000,$C22,10+3*MIN(Z$3,$D$2-1)))))</f>
        <v/>
      </c>
      <c r="AA22" s="122">
        <f>IF(OR($C22="",$B$2="",$D$2=0),0,IF(AA$3&lt;0,0,N(INDEX('CURVA PREVISION'!$A$1:$KZ$3000,$C22,10+3*MIN(AA$3,$D$2-1)))))</f>
        <v/>
      </c>
      <c r="AB22" s="122">
        <f>IF(OR($C22="",$B$2="",$D$2=0),0,IF(AB$3&lt;0,0,N(INDEX('CURVA PREVISION'!$A$1:$KZ$3000,$C22,10+3*MIN(AB$3,$D$2-1)))))</f>
        <v/>
      </c>
      <c r="AC22" s="122">
        <f>IF(OR($C22="",$B$2="",$D$2=0),0,IF(AC$3&lt;0,0,N(INDEX('CURVA PREVISION'!$A$1:$KZ$3000,$C22,10+3*MIN(AC$3,$D$2-1)))))</f>
        <v/>
      </c>
      <c r="AD22" s="122">
        <f>IF(OR($C22="",$B$2="",$D$2=0),0,IF(AD$3&lt;0,0,N(INDEX('CURVA PREVISION'!$A$1:$KZ$3000,$C22,10+3*MIN(AD$3,$D$2-1)))))</f>
        <v/>
      </c>
      <c r="AE22" s="122">
        <f>IF(OR($C22="",$B$2="",$D$2=0),0,IF(AE$3&lt;0,0,N(INDEX('CURVA PREVISION'!$A$1:$KZ$3000,$C22,10+3*MIN(AE$3,$D$2-1)))))</f>
        <v/>
      </c>
      <c r="AF22" s="122">
        <f>IF(OR($C22="",$B$2="",$D$2=0),0,IF(AF$3&lt;0,0,N(INDEX('CURVA PREVISION'!$A$1:$KZ$3000,$C22,10+3*MIN(AF$3,$D$2-1)))))</f>
        <v/>
      </c>
      <c r="AG22" s="122">
        <f>IF(OR($C22="",$B$2="",$D$2=0),0,IF(AG$3&lt;0,0,N(INDEX('CURVA PREVISION'!$A$1:$KZ$3000,$C22,10+3*MIN(AG$3,$D$2-1)))))</f>
        <v/>
      </c>
      <c r="AH22" s="122">
        <f>IF(OR($C22="",$B$2="",$D$2=0),0,IF(AH$3&lt;0,0,N(INDEX('CURVA PREVISION'!$A$1:$KZ$3000,$C22,10+3*MIN(AH$3,$D$2-1)))))</f>
        <v/>
      </c>
      <c r="AI22" s="122">
        <f>IF(OR($C22="",$B$2="",$D$2=0),0,IF(AI$3&lt;0,0,N(INDEX('CURVA PREVISION'!$A$1:$KZ$3000,$C22,10+3*MIN(AI$3,$D$2-1)))))</f>
        <v/>
      </c>
      <c r="AJ22" s="122">
        <f>IF(OR($C22="",$B$2="",$D$2=0),0,IF(AJ$3&lt;0,0,N(INDEX('CURVA PREVISION'!$A$1:$KZ$3000,$C22,10+3*MIN(AJ$3,$D$2-1)))))</f>
        <v/>
      </c>
      <c r="AK22" s="122">
        <f>IF(OR($C22="",$B$2="",$D$2=0),0,IF(AK$3&lt;0,0,N(INDEX('CURVA PREVISION'!$A$1:$KZ$3000,$C22,10+3*MIN(AK$3,$D$2-1)))))</f>
        <v/>
      </c>
      <c r="AL22" s="122">
        <f>IF(OR($C22="",$B$2="",$D$2=0),0,IF(AL$3&lt;0,0,N(INDEX('CURVA PREVISION'!$A$1:$KZ$3000,$C22,10+3*MIN(AL$3,$D$2-1)))))</f>
        <v/>
      </c>
      <c r="AM22" s="122">
        <f>IF(OR($C22="",$B$2="",$D$2=0),0,IF(AM$3&lt;0,0,N(INDEX('CURVA PREVISION'!$A$1:$KZ$3000,$C22,10+3*MIN(AM$3,$D$2-1)))))</f>
        <v/>
      </c>
      <c r="AN22" s="122">
        <f>IF(OR($C22="",$B$2="",$D$2=0),0,IF(AN$3&lt;0,0,N(INDEX('CURVA PREVISION'!$A$1:$KZ$3000,$C22,10+3*MIN(AN$3,$D$2-1)))))</f>
        <v/>
      </c>
      <c r="AO22" s="122">
        <f>IF(OR($C22="",$B$2="",$D$2=0),0,IF(AO$3&lt;0,0,N(INDEX('CURVA PREVISION'!$A$1:$KZ$3000,$C22,10+3*MIN(AO$3,$D$2-1)))))</f>
        <v/>
      </c>
      <c r="AP22" s="122">
        <f>IF(OR($C22="",$B$2="",$D$2=0),0,IF(AP$3&lt;0,0,N(INDEX('CURVA PREVISION'!$A$1:$KZ$3000,$C22,10+3*MIN(AP$3,$D$2-1)))))</f>
        <v/>
      </c>
      <c r="AQ22" s="122">
        <f>IF(OR($C22="",$B$2="",$D$2=0),0,IF(AQ$3&lt;0,0,N(INDEX('CURVA PREVISION'!$A$1:$KZ$3000,$C22,10+3*MIN(AQ$3,$D$2-1)))))</f>
        <v/>
      </c>
      <c r="AR22" s="122">
        <f>IF(OR($C22="",$B$2="",$D$2=0),0,IF(AR$3&lt;0,0,N(INDEX('CURVA PREVISION'!$A$1:$KZ$3000,$C22,10+3*MIN(AR$3,$D$2-1)))))</f>
        <v/>
      </c>
      <c r="AS22" s="122">
        <f>IF(OR($C22="",$B$2="",$D$2=0),0,IF(AS$3&lt;0,0,N(INDEX('CURVA PREVISION'!$A$1:$KZ$3000,$C22,10+3*MIN(AS$3,$D$2-1)))))</f>
        <v/>
      </c>
      <c r="AT22" s="122">
        <f>IF(OR($C22="",$B$2="",$D$2=0),0,IF(AT$3&lt;0,0,N(INDEX('CURVA PREVISION'!$A$1:$KZ$3000,$C22,10+3*MIN(AT$3,$D$2-1)))))</f>
        <v/>
      </c>
      <c r="AU22" s="122">
        <f>IF(OR($C22="",$B$2="",$D$2=0),0,IF(AU$3&lt;0,0,N(INDEX('CURVA PREVISION'!$A$1:$KZ$3000,$C22,10+3*MIN(AU$3,$D$2-1)))))</f>
        <v/>
      </c>
      <c r="AV22" s="122">
        <f>IF(OR($C22="",$B$2="",$D$2=0),0,IF(AV$3&lt;0,0,N(INDEX('CURVA PREVISION'!$A$1:$KZ$3000,$C22,10+3*MIN(AV$3,$D$2-1)))))</f>
        <v/>
      </c>
      <c r="AW22" s="122">
        <f>IF(OR($C22="",$B$2="",$D$2=0),0,IF(AW$3&lt;0,0,N(INDEX('CURVA PREVISION'!$A$1:$KZ$3000,$C22,10+3*MIN(AW$3,$D$2-1)))))</f>
        <v/>
      </c>
      <c r="AX22" s="122">
        <f>IF(OR($C22="",$B$2="",$D$2=0),0,IF(AX$3&lt;0,0,N(INDEX('CURVA PREVISION'!$A$1:$KZ$3000,$C22,10+3*MIN(AX$3,$D$2-1)))))</f>
        <v/>
      </c>
      <c r="AY22" s="122">
        <f>IF(OR($C22="",$B$2="",$D$2=0),0,IF(AY$3&lt;0,0,N(INDEX('CURVA PREVISION'!$A$1:$KZ$3000,$C22,10+3*MIN(AY$3,$D$2-1)))))</f>
        <v/>
      </c>
      <c r="AZ22" s="122">
        <f>IF(OR($C22="",$B$2="",$D$2=0),0,IF(AZ$3&lt;0,0,N(INDEX('CURVA PREVISION'!$A$1:$KZ$3000,$C22,10+3*MIN(AZ$3,$D$2-1)))))</f>
        <v/>
      </c>
      <c r="BA22" s="122">
        <f>IF(OR($C22="",$B$2="",$D$2=0),0,IF(BA$3&lt;0,0,N(INDEX('CURVA PREVISION'!$A$1:$KZ$3000,$C22,10+3*MIN(BA$3,$D$2-1)))))</f>
        <v/>
      </c>
      <c r="BB22" s="122">
        <f>IF(OR($C22="",$B$2="",$D$2=0),0,IF(BB$3&lt;0,0,N(INDEX('CURVA PREVISION'!$A$1:$KZ$3000,$C22,10+3*MIN(BB$3,$D$2-1)))))</f>
        <v/>
      </c>
      <c r="BC22" s="122">
        <f>IF(OR($C22="",$B$2="",$D$2=0),0,IF(BC$3&lt;0,0,N(INDEX('CURVA PREVISION'!$A$1:$KZ$3000,$C22,10+3*MIN(BC$3,$D$2-1)))))</f>
        <v/>
      </c>
      <c r="BD22" s="122">
        <f>IF(OR($C22="",$B$2="",$D$2=0),0,IF(BD$3&lt;0,0,N(INDEX('CURVA PREVISION'!$A$1:$KZ$3000,$C22,10+3*MIN(BD$3,$D$2-1)))))</f>
        <v/>
      </c>
      <c r="BE22" s="122">
        <f>IF(OR($C22="",$B$2="",$D$2=0),0,IF(BE$3&lt;0,0,N(INDEX('CURVA PREVISION'!$A$1:$KZ$3000,$C22,10+3*MIN(BE$3,$D$2-1)))))</f>
        <v/>
      </c>
      <c r="BF22" s="122">
        <f>IF(OR($C22="",$B$2="",$D$2=0),0,IF(BF$3&lt;0,0,N(INDEX('CURVA PREVISION'!$A$1:$KZ$3000,$C22,10+3*MIN(BF$3,$D$2-1)))))</f>
        <v/>
      </c>
      <c r="BG22" s="122">
        <f>IF(OR($C22="",$B$2="",$D$2=0),0,IF(BG$3&lt;0,0,N(INDEX('CURVA PREVISION'!$A$1:$KZ$3000,$C22,10+3*MIN(BG$3,$D$2-1)))))</f>
        <v/>
      </c>
      <c r="BH22" s="122">
        <f>IF(OR($C22="",$B$2="",$D$2=0),0,IF(BH$3&lt;0,0,N(INDEX('CURVA PREVISION'!$A$1:$KZ$3000,$C22,10+3*MIN(BH$3,$D$2-1)))))</f>
        <v/>
      </c>
      <c r="BI22" s="122">
        <f>IF(OR($C22="",$B$2="",$D$2=0),0,IF(BI$3&lt;0,0,N(INDEX('CURVA PREVISION'!$A$1:$KZ$3000,$C22,10+3*MIN(BI$3,$D$2-1)))))</f>
        <v/>
      </c>
      <c r="BJ22" s="122">
        <f>IF(OR($C22="",$B$2="",$D$2=0),0,IF(BJ$3&lt;0,0,N(INDEX('CURVA PREVISION'!$A$1:$KZ$3000,$C22,10+3*MIN(BJ$3,$D$2-1)))))</f>
        <v/>
      </c>
      <c r="BK22" s="122">
        <f>IF(OR($C22="",$B$2="",$D$2=0),0,IF(BK$3&lt;0,0,N(INDEX('CURVA PREVISION'!$A$1:$KZ$3000,$C22,10+3*MIN(BK$3,$D$2-1)))))</f>
        <v/>
      </c>
      <c r="BL22" s="122">
        <f>IF(OR($C22="",$B$2="",$D$2=0),0,IF(BL$3&lt;0,0,N(INDEX('CURVA PREVISION'!$A$1:$KZ$3000,$C22,10+3*MIN(BL$3,$D$2-1)))))</f>
        <v/>
      </c>
      <c r="BM22" s="122">
        <f>IF(OR($C22="",$B$2="",$D$2=0),0,IF(BM$3&lt;0,0,N(INDEX('CURVA PREVISION'!$A$1:$KZ$3000,$C22,10+3*MIN(BM$3,$D$2-1)))))</f>
        <v/>
      </c>
      <c r="BN22" s="122">
        <f>IF(OR($C22="",$B$2="",$D$2=0),0,IF(BN$3&lt;0,0,N(INDEX('CURVA PREVISION'!$A$1:$KZ$3000,$C22,10+3*MIN(BN$3,$D$2-1)))))</f>
        <v/>
      </c>
      <c r="BO22" s="122">
        <f>IF(OR($C22="",$B$2="",$D$2=0),0,IF(BO$3&lt;0,0,N(INDEX('CURVA PREVISION'!$A$1:$KZ$3000,$C22,10+3*MIN(BO$3,$D$2-1)))))</f>
        <v/>
      </c>
      <c r="BP22" s="122">
        <f>IF(OR($C22="",$B$2="",$D$2=0),0,IF(BP$3&lt;0,0,N(INDEX('CURVA PREVISION'!$A$1:$KZ$3000,$C22,10+3*MIN(BP$3,$D$2-1)))))</f>
        <v/>
      </c>
      <c r="BQ22" s="122">
        <f>IF(OR($C22="",$B$2="",$D$2=0),0,IF(BQ$3&lt;0,0,N(INDEX('CURVA PREVISION'!$A$1:$KZ$3000,$C22,10+3*MIN(BQ$3,$D$2-1)))))</f>
        <v/>
      </c>
      <c r="BR22" s="122">
        <f>IF(OR($C22="",$B$2="",$D$2=0),0,IF(BR$3&lt;0,0,N(INDEX('CURVA PREVISION'!$A$1:$KZ$3000,$C22,10+3*MIN(BR$3,$D$2-1)))))</f>
        <v/>
      </c>
      <c r="BS22" s="122">
        <f>IF(OR($C22="",$B$2="",$D$2=0),0,IF(BS$3&lt;0,0,N(INDEX('CURVA PREVISION'!$A$1:$KZ$3000,$C22,10+3*MIN(BS$3,$D$2-1)))))</f>
        <v/>
      </c>
      <c r="BT22" s="122">
        <f>IF(OR($C22="",$B$2="",$D$2=0),0,IF(BT$3&lt;0,0,N(INDEX('CURVA PREVISION'!$A$1:$KZ$3000,$C22,10+3*MIN(BT$3,$D$2-1)))))</f>
        <v/>
      </c>
      <c r="BU22" s="122">
        <f>IF(OR($C22="",$B$2="",$D$2=0),0,IF(BU$3&lt;0,0,N(INDEX('CURVA PREVISION'!$A$1:$KZ$3000,$C22,10+3*MIN(BU$3,$D$2-1)))))</f>
        <v/>
      </c>
      <c r="BV22" s="122">
        <f>IF(OR($C22="",$B$2="",$D$2=0),0,IF(BV$3&lt;0,0,N(INDEX('CURVA PREVISION'!$A$1:$KZ$3000,$C22,10+3*MIN(BV$3,$D$2-1)))))</f>
        <v/>
      </c>
      <c r="BW22" s="122">
        <f>IF(OR($C22="",$B$2="",$D$2=0),0,IF(BW$3&lt;0,0,N(INDEX('CURVA PREVISION'!$A$1:$KZ$3000,$C22,10+3*MIN(BW$3,$D$2-1)))))</f>
        <v/>
      </c>
    </row>
    <row r="23">
      <c r="A23" s="60">
        <f>IF('VALOR POR PL'!Q29="",'VALOR POR PL'!C29,'VALOR POR PL'!Q29)</f>
        <v/>
      </c>
      <c r="B23" s="60">
        <f>'VALOR POR PL'!D29</f>
        <v/>
      </c>
      <c r="C23" s="69">
        <f>IFERROR(MATCH(A23,'CURVA PREVISION'!$B$1:$B$3000,0),"")</f>
        <v/>
      </c>
      <c r="D23" s="122">
        <f>IF(OR($C23="",$B$2="",$D$2=0),0,IF(D$3&lt;0,0,N(INDEX('CURVA PREVISION'!$A$1:$KZ$3000,$C23,10+3*MIN(D$3,$D$2-1)))))</f>
        <v/>
      </c>
      <c r="E23" s="122">
        <f>IF(OR($C23="",$B$2="",$D$2=0),0,IF(E$3&lt;0,0,N(INDEX('CURVA PREVISION'!$A$1:$KZ$3000,$C23,10+3*MIN(E$3,$D$2-1)))))</f>
        <v/>
      </c>
      <c r="F23" s="122">
        <f>IF(OR($C23="",$B$2="",$D$2=0),0,IF(F$3&lt;0,0,N(INDEX('CURVA PREVISION'!$A$1:$KZ$3000,$C23,10+3*MIN(F$3,$D$2-1)))))</f>
        <v/>
      </c>
      <c r="G23" s="122">
        <f>IF(OR($C23="",$B$2="",$D$2=0),0,IF(G$3&lt;0,0,N(INDEX('CURVA PREVISION'!$A$1:$KZ$3000,$C23,10+3*MIN(G$3,$D$2-1)))))</f>
        <v/>
      </c>
      <c r="H23" s="122">
        <f>IF(OR($C23="",$B$2="",$D$2=0),0,IF(H$3&lt;0,0,N(INDEX('CURVA PREVISION'!$A$1:$KZ$3000,$C23,10+3*MIN(H$3,$D$2-1)))))</f>
        <v/>
      </c>
      <c r="I23" s="122">
        <f>IF(OR($C23="",$B$2="",$D$2=0),0,IF(I$3&lt;0,0,N(INDEX('CURVA PREVISION'!$A$1:$KZ$3000,$C23,10+3*MIN(I$3,$D$2-1)))))</f>
        <v/>
      </c>
      <c r="J23" s="122">
        <f>IF(OR($C23="",$B$2="",$D$2=0),0,IF(J$3&lt;0,0,N(INDEX('CURVA PREVISION'!$A$1:$KZ$3000,$C23,10+3*MIN(J$3,$D$2-1)))))</f>
        <v/>
      </c>
      <c r="K23" s="122">
        <f>IF(OR($C23="",$B$2="",$D$2=0),0,IF(K$3&lt;0,0,N(INDEX('CURVA PREVISION'!$A$1:$KZ$3000,$C23,10+3*MIN(K$3,$D$2-1)))))</f>
        <v/>
      </c>
      <c r="L23" s="122">
        <f>IF(OR($C23="",$B$2="",$D$2=0),0,IF(L$3&lt;0,0,N(INDEX('CURVA PREVISION'!$A$1:$KZ$3000,$C23,10+3*MIN(L$3,$D$2-1)))))</f>
        <v/>
      </c>
      <c r="M23" s="122">
        <f>IF(OR($C23="",$B$2="",$D$2=0),0,IF(M$3&lt;0,0,N(INDEX('CURVA PREVISION'!$A$1:$KZ$3000,$C23,10+3*MIN(M$3,$D$2-1)))))</f>
        <v/>
      </c>
      <c r="N23" s="122">
        <f>IF(OR($C23="",$B$2="",$D$2=0),0,IF(N$3&lt;0,0,N(INDEX('CURVA PREVISION'!$A$1:$KZ$3000,$C23,10+3*MIN(N$3,$D$2-1)))))</f>
        <v/>
      </c>
      <c r="O23" s="122">
        <f>IF(OR($C23="",$B$2="",$D$2=0),0,IF(O$3&lt;0,0,N(INDEX('CURVA PREVISION'!$A$1:$KZ$3000,$C23,10+3*MIN(O$3,$D$2-1)))))</f>
        <v/>
      </c>
      <c r="P23" s="122">
        <f>IF(OR($C23="",$B$2="",$D$2=0),0,IF(P$3&lt;0,0,N(INDEX('CURVA PREVISION'!$A$1:$KZ$3000,$C23,10+3*MIN(P$3,$D$2-1)))))</f>
        <v/>
      </c>
      <c r="Q23" s="122">
        <f>IF(OR($C23="",$B$2="",$D$2=0),0,IF(Q$3&lt;0,0,N(INDEX('CURVA PREVISION'!$A$1:$KZ$3000,$C23,10+3*MIN(Q$3,$D$2-1)))))</f>
        <v/>
      </c>
      <c r="R23" s="122">
        <f>IF(OR($C23="",$B$2="",$D$2=0),0,IF(R$3&lt;0,0,N(INDEX('CURVA PREVISION'!$A$1:$KZ$3000,$C23,10+3*MIN(R$3,$D$2-1)))))</f>
        <v/>
      </c>
      <c r="S23" s="122">
        <f>IF(OR($C23="",$B$2="",$D$2=0),0,IF(S$3&lt;0,0,N(INDEX('CURVA PREVISION'!$A$1:$KZ$3000,$C23,10+3*MIN(S$3,$D$2-1)))))</f>
        <v/>
      </c>
      <c r="T23" s="122">
        <f>IF(OR($C23="",$B$2="",$D$2=0),0,IF(T$3&lt;0,0,N(INDEX('CURVA PREVISION'!$A$1:$KZ$3000,$C23,10+3*MIN(T$3,$D$2-1)))))</f>
        <v/>
      </c>
      <c r="U23" s="122">
        <f>IF(OR($C23="",$B$2="",$D$2=0),0,IF(U$3&lt;0,0,N(INDEX('CURVA PREVISION'!$A$1:$KZ$3000,$C23,10+3*MIN(U$3,$D$2-1)))))</f>
        <v/>
      </c>
      <c r="V23" s="122">
        <f>IF(OR($C23="",$B$2="",$D$2=0),0,IF(V$3&lt;0,0,N(INDEX('CURVA PREVISION'!$A$1:$KZ$3000,$C23,10+3*MIN(V$3,$D$2-1)))))</f>
        <v/>
      </c>
      <c r="W23" s="122">
        <f>IF(OR($C23="",$B$2="",$D$2=0),0,IF(W$3&lt;0,0,N(INDEX('CURVA PREVISION'!$A$1:$KZ$3000,$C23,10+3*MIN(W$3,$D$2-1)))))</f>
        <v/>
      </c>
      <c r="X23" s="122">
        <f>IF(OR($C23="",$B$2="",$D$2=0),0,IF(X$3&lt;0,0,N(INDEX('CURVA PREVISION'!$A$1:$KZ$3000,$C23,10+3*MIN(X$3,$D$2-1)))))</f>
        <v/>
      </c>
      <c r="Y23" s="122">
        <f>IF(OR($C23="",$B$2="",$D$2=0),0,IF(Y$3&lt;0,0,N(INDEX('CURVA PREVISION'!$A$1:$KZ$3000,$C23,10+3*MIN(Y$3,$D$2-1)))))</f>
        <v/>
      </c>
      <c r="Z23" s="122">
        <f>IF(OR($C23="",$B$2="",$D$2=0),0,IF(Z$3&lt;0,0,N(INDEX('CURVA PREVISION'!$A$1:$KZ$3000,$C23,10+3*MIN(Z$3,$D$2-1)))))</f>
        <v/>
      </c>
      <c r="AA23" s="122">
        <f>IF(OR($C23="",$B$2="",$D$2=0),0,IF(AA$3&lt;0,0,N(INDEX('CURVA PREVISION'!$A$1:$KZ$3000,$C23,10+3*MIN(AA$3,$D$2-1)))))</f>
        <v/>
      </c>
      <c r="AB23" s="122">
        <f>IF(OR($C23="",$B$2="",$D$2=0),0,IF(AB$3&lt;0,0,N(INDEX('CURVA PREVISION'!$A$1:$KZ$3000,$C23,10+3*MIN(AB$3,$D$2-1)))))</f>
        <v/>
      </c>
      <c r="AC23" s="122">
        <f>IF(OR($C23="",$B$2="",$D$2=0),0,IF(AC$3&lt;0,0,N(INDEX('CURVA PREVISION'!$A$1:$KZ$3000,$C23,10+3*MIN(AC$3,$D$2-1)))))</f>
        <v/>
      </c>
      <c r="AD23" s="122">
        <f>IF(OR($C23="",$B$2="",$D$2=0),0,IF(AD$3&lt;0,0,N(INDEX('CURVA PREVISION'!$A$1:$KZ$3000,$C23,10+3*MIN(AD$3,$D$2-1)))))</f>
        <v/>
      </c>
      <c r="AE23" s="122">
        <f>IF(OR($C23="",$B$2="",$D$2=0),0,IF(AE$3&lt;0,0,N(INDEX('CURVA PREVISION'!$A$1:$KZ$3000,$C23,10+3*MIN(AE$3,$D$2-1)))))</f>
        <v/>
      </c>
      <c r="AF23" s="122">
        <f>IF(OR($C23="",$B$2="",$D$2=0),0,IF(AF$3&lt;0,0,N(INDEX('CURVA PREVISION'!$A$1:$KZ$3000,$C23,10+3*MIN(AF$3,$D$2-1)))))</f>
        <v/>
      </c>
      <c r="AG23" s="122">
        <f>IF(OR($C23="",$B$2="",$D$2=0),0,IF(AG$3&lt;0,0,N(INDEX('CURVA PREVISION'!$A$1:$KZ$3000,$C23,10+3*MIN(AG$3,$D$2-1)))))</f>
        <v/>
      </c>
      <c r="AH23" s="122">
        <f>IF(OR($C23="",$B$2="",$D$2=0),0,IF(AH$3&lt;0,0,N(INDEX('CURVA PREVISION'!$A$1:$KZ$3000,$C23,10+3*MIN(AH$3,$D$2-1)))))</f>
        <v/>
      </c>
      <c r="AI23" s="122">
        <f>IF(OR($C23="",$B$2="",$D$2=0),0,IF(AI$3&lt;0,0,N(INDEX('CURVA PREVISION'!$A$1:$KZ$3000,$C23,10+3*MIN(AI$3,$D$2-1)))))</f>
        <v/>
      </c>
      <c r="AJ23" s="122">
        <f>IF(OR($C23="",$B$2="",$D$2=0),0,IF(AJ$3&lt;0,0,N(INDEX('CURVA PREVISION'!$A$1:$KZ$3000,$C23,10+3*MIN(AJ$3,$D$2-1)))))</f>
        <v/>
      </c>
      <c r="AK23" s="122">
        <f>IF(OR($C23="",$B$2="",$D$2=0),0,IF(AK$3&lt;0,0,N(INDEX('CURVA PREVISION'!$A$1:$KZ$3000,$C23,10+3*MIN(AK$3,$D$2-1)))))</f>
        <v/>
      </c>
      <c r="AL23" s="122">
        <f>IF(OR($C23="",$B$2="",$D$2=0),0,IF(AL$3&lt;0,0,N(INDEX('CURVA PREVISION'!$A$1:$KZ$3000,$C23,10+3*MIN(AL$3,$D$2-1)))))</f>
        <v/>
      </c>
      <c r="AM23" s="122">
        <f>IF(OR($C23="",$B$2="",$D$2=0),0,IF(AM$3&lt;0,0,N(INDEX('CURVA PREVISION'!$A$1:$KZ$3000,$C23,10+3*MIN(AM$3,$D$2-1)))))</f>
        <v/>
      </c>
      <c r="AN23" s="122">
        <f>IF(OR($C23="",$B$2="",$D$2=0),0,IF(AN$3&lt;0,0,N(INDEX('CURVA PREVISION'!$A$1:$KZ$3000,$C23,10+3*MIN(AN$3,$D$2-1)))))</f>
        <v/>
      </c>
      <c r="AO23" s="122">
        <f>IF(OR($C23="",$B$2="",$D$2=0),0,IF(AO$3&lt;0,0,N(INDEX('CURVA PREVISION'!$A$1:$KZ$3000,$C23,10+3*MIN(AO$3,$D$2-1)))))</f>
        <v/>
      </c>
      <c r="AP23" s="122">
        <f>IF(OR($C23="",$B$2="",$D$2=0),0,IF(AP$3&lt;0,0,N(INDEX('CURVA PREVISION'!$A$1:$KZ$3000,$C23,10+3*MIN(AP$3,$D$2-1)))))</f>
        <v/>
      </c>
      <c r="AQ23" s="122">
        <f>IF(OR($C23="",$B$2="",$D$2=0),0,IF(AQ$3&lt;0,0,N(INDEX('CURVA PREVISION'!$A$1:$KZ$3000,$C23,10+3*MIN(AQ$3,$D$2-1)))))</f>
        <v/>
      </c>
      <c r="AR23" s="122">
        <f>IF(OR($C23="",$B$2="",$D$2=0),0,IF(AR$3&lt;0,0,N(INDEX('CURVA PREVISION'!$A$1:$KZ$3000,$C23,10+3*MIN(AR$3,$D$2-1)))))</f>
        <v/>
      </c>
      <c r="AS23" s="122">
        <f>IF(OR($C23="",$B$2="",$D$2=0),0,IF(AS$3&lt;0,0,N(INDEX('CURVA PREVISION'!$A$1:$KZ$3000,$C23,10+3*MIN(AS$3,$D$2-1)))))</f>
        <v/>
      </c>
      <c r="AT23" s="122">
        <f>IF(OR($C23="",$B$2="",$D$2=0),0,IF(AT$3&lt;0,0,N(INDEX('CURVA PREVISION'!$A$1:$KZ$3000,$C23,10+3*MIN(AT$3,$D$2-1)))))</f>
        <v/>
      </c>
      <c r="AU23" s="122">
        <f>IF(OR($C23="",$B$2="",$D$2=0),0,IF(AU$3&lt;0,0,N(INDEX('CURVA PREVISION'!$A$1:$KZ$3000,$C23,10+3*MIN(AU$3,$D$2-1)))))</f>
        <v/>
      </c>
      <c r="AV23" s="122">
        <f>IF(OR($C23="",$B$2="",$D$2=0),0,IF(AV$3&lt;0,0,N(INDEX('CURVA PREVISION'!$A$1:$KZ$3000,$C23,10+3*MIN(AV$3,$D$2-1)))))</f>
        <v/>
      </c>
      <c r="AW23" s="122">
        <f>IF(OR($C23="",$B$2="",$D$2=0),0,IF(AW$3&lt;0,0,N(INDEX('CURVA PREVISION'!$A$1:$KZ$3000,$C23,10+3*MIN(AW$3,$D$2-1)))))</f>
        <v/>
      </c>
      <c r="AX23" s="122">
        <f>IF(OR($C23="",$B$2="",$D$2=0),0,IF(AX$3&lt;0,0,N(INDEX('CURVA PREVISION'!$A$1:$KZ$3000,$C23,10+3*MIN(AX$3,$D$2-1)))))</f>
        <v/>
      </c>
      <c r="AY23" s="122">
        <f>IF(OR($C23="",$B$2="",$D$2=0),0,IF(AY$3&lt;0,0,N(INDEX('CURVA PREVISION'!$A$1:$KZ$3000,$C23,10+3*MIN(AY$3,$D$2-1)))))</f>
        <v/>
      </c>
      <c r="AZ23" s="122">
        <f>IF(OR($C23="",$B$2="",$D$2=0),0,IF(AZ$3&lt;0,0,N(INDEX('CURVA PREVISION'!$A$1:$KZ$3000,$C23,10+3*MIN(AZ$3,$D$2-1)))))</f>
        <v/>
      </c>
      <c r="BA23" s="122">
        <f>IF(OR($C23="",$B$2="",$D$2=0),0,IF(BA$3&lt;0,0,N(INDEX('CURVA PREVISION'!$A$1:$KZ$3000,$C23,10+3*MIN(BA$3,$D$2-1)))))</f>
        <v/>
      </c>
      <c r="BB23" s="122">
        <f>IF(OR($C23="",$B$2="",$D$2=0),0,IF(BB$3&lt;0,0,N(INDEX('CURVA PREVISION'!$A$1:$KZ$3000,$C23,10+3*MIN(BB$3,$D$2-1)))))</f>
        <v/>
      </c>
      <c r="BC23" s="122">
        <f>IF(OR($C23="",$B$2="",$D$2=0),0,IF(BC$3&lt;0,0,N(INDEX('CURVA PREVISION'!$A$1:$KZ$3000,$C23,10+3*MIN(BC$3,$D$2-1)))))</f>
        <v/>
      </c>
      <c r="BD23" s="122">
        <f>IF(OR($C23="",$B$2="",$D$2=0),0,IF(BD$3&lt;0,0,N(INDEX('CURVA PREVISION'!$A$1:$KZ$3000,$C23,10+3*MIN(BD$3,$D$2-1)))))</f>
        <v/>
      </c>
      <c r="BE23" s="122">
        <f>IF(OR($C23="",$B$2="",$D$2=0),0,IF(BE$3&lt;0,0,N(INDEX('CURVA PREVISION'!$A$1:$KZ$3000,$C23,10+3*MIN(BE$3,$D$2-1)))))</f>
        <v/>
      </c>
      <c r="BF23" s="122">
        <f>IF(OR($C23="",$B$2="",$D$2=0),0,IF(BF$3&lt;0,0,N(INDEX('CURVA PREVISION'!$A$1:$KZ$3000,$C23,10+3*MIN(BF$3,$D$2-1)))))</f>
        <v/>
      </c>
      <c r="BG23" s="122">
        <f>IF(OR($C23="",$B$2="",$D$2=0),0,IF(BG$3&lt;0,0,N(INDEX('CURVA PREVISION'!$A$1:$KZ$3000,$C23,10+3*MIN(BG$3,$D$2-1)))))</f>
        <v/>
      </c>
      <c r="BH23" s="122">
        <f>IF(OR($C23="",$B$2="",$D$2=0),0,IF(BH$3&lt;0,0,N(INDEX('CURVA PREVISION'!$A$1:$KZ$3000,$C23,10+3*MIN(BH$3,$D$2-1)))))</f>
        <v/>
      </c>
      <c r="BI23" s="122">
        <f>IF(OR($C23="",$B$2="",$D$2=0),0,IF(BI$3&lt;0,0,N(INDEX('CURVA PREVISION'!$A$1:$KZ$3000,$C23,10+3*MIN(BI$3,$D$2-1)))))</f>
        <v/>
      </c>
      <c r="BJ23" s="122">
        <f>IF(OR($C23="",$B$2="",$D$2=0),0,IF(BJ$3&lt;0,0,N(INDEX('CURVA PREVISION'!$A$1:$KZ$3000,$C23,10+3*MIN(BJ$3,$D$2-1)))))</f>
        <v/>
      </c>
      <c r="BK23" s="122">
        <f>IF(OR($C23="",$B$2="",$D$2=0),0,IF(BK$3&lt;0,0,N(INDEX('CURVA PREVISION'!$A$1:$KZ$3000,$C23,10+3*MIN(BK$3,$D$2-1)))))</f>
        <v/>
      </c>
      <c r="BL23" s="122">
        <f>IF(OR($C23="",$B$2="",$D$2=0),0,IF(BL$3&lt;0,0,N(INDEX('CURVA PREVISION'!$A$1:$KZ$3000,$C23,10+3*MIN(BL$3,$D$2-1)))))</f>
        <v/>
      </c>
      <c r="BM23" s="122">
        <f>IF(OR($C23="",$B$2="",$D$2=0),0,IF(BM$3&lt;0,0,N(INDEX('CURVA PREVISION'!$A$1:$KZ$3000,$C23,10+3*MIN(BM$3,$D$2-1)))))</f>
        <v/>
      </c>
      <c r="BN23" s="122">
        <f>IF(OR($C23="",$B$2="",$D$2=0),0,IF(BN$3&lt;0,0,N(INDEX('CURVA PREVISION'!$A$1:$KZ$3000,$C23,10+3*MIN(BN$3,$D$2-1)))))</f>
        <v/>
      </c>
      <c r="BO23" s="122">
        <f>IF(OR($C23="",$B$2="",$D$2=0),0,IF(BO$3&lt;0,0,N(INDEX('CURVA PREVISION'!$A$1:$KZ$3000,$C23,10+3*MIN(BO$3,$D$2-1)))))</f>
        <v/>
      </c>
      <c r="BP23" s="122">
        <f>IF(OR($C23="",$B$2="",$D$2=0),0,IF(BP$3&lt;0,0,N(INDEX('CURVA PREVISION'!$A$1:$KZ$3000,$C23,10+3*MIN(BP$3,$D$2-1)))))</f>
        <v/>
      </c>
      <c r="BQ23" s="122">
        <f>IF(OR($C23="",$B$2="",$D$2=0),0,IF(BQ$3&lt;0,0,N(INDEX('CURVA PREVISION'!$A$1:$KZ$3000,$C23,10+3*MIN(BQ$3,$D$2-1)))))</f>
        <v/>
      </c>
      <c r="BR23" s="122">
        <f>IF(OR($C23="",$B$2="",$D$2=0),0,IF(BR$3&lt;0,0,N(INDEX('CURVA PREVISION'!$A$1:$KZ$3000,$C23,10+3*MIN(BR$3,$D$2-1)))))</f>
        <v/>
      </c>
      <c r="BS23" s="122">
        <f>IF(OR($C23="",$B$2="",$D$2=0),0,IF(BS$3&lt;0,0,N(INDEX('CURVA PREVISION'!$A$1:$KZ$3000,$C23,10+3*MIN(BS$3,$D$2-1)))))</f>
        <v/>
      </c>
      <c r="BT23" s="122">
        <f>IF(OR($C23="",$B$2="",$D$2=0),0,IF(BT$3&lt;0,0,N(INDEX('CURVA PREVISION'!$A$1:$KZ$3000,$C23,10+3*MIN(BT$3,$D$2-1)))))</f>
        <v/>
      </c>
      <c r="BU23" s="122">
        <f>IF(OR($C23="",$B$2="",$D$2=0),0,IF(BU$3&lt;0,0,N(INDEX('CURVA PREVISION'!$A$1:$KZ$3000,$C23,10+3*MIN(BU$3,$D$2-1)))))</f>
        <v/>
      </c>
      <c r="BV23" s="122">
        <f>IF(OR($C23="",$B$2="",$D$2=0),0,IF(BV$3&lt;0,0,N(INDEX('CURVA PREVISION'!$A$1:$KZ$3000,$C23,10+3*MIN(BV$3,$D$2-1)))))</f>
        <v/>
      </c>
      <c r="BW23" s="122">
        <f>IF(OR($C23="",$B$2="",$D$2=0),0,IF(BW$3&lt;0,0,N(INDEX('CURVA PREVISION'!$A$1:$KZ$3000,$C23,10+3*MIN(BW$3,$D$2-1)))))</f>
        <v/>
      </c>
    </row>
    <row r="24">
      <c r="A24" s="60">
        <f>IF('VALOR POR PL'!Q30="",'VALOR POR PL'!C30,'VALOR POR PL'!Q30)</f>
        <v/>
      </c>
      <c r="B24" s="60">
        <f>'VALOR POR PL'!D30</f>
        <v/>
      </c>
      <c r="C24" s="69">
        <f>IFERROR(MATCH(A24,'CURVA PREVISION'!$B$1:$B$3000,0),"")</f>
        <v/>
      </c>
      <c r="D24" s="122">
        <f>IF(OR($C24="",$B$2="",$D$2=0),0,IF(D$3&lt;0,0,N(INDEX('CURVA PREVISION'!$A$1:$KZ$3000,$C24,10+3*MIN(D$3,$D$2-1)))))</f>
        <v/>
      </c>
      <c r="E24" s="122">
        <f>IF(OR($C24="",$B$2="",$D$2=0),0,IF(E$3&lt;0,0,N(INDEX('CURVA PREVISION'!$A$1:$KZ$3000,$C24,10+3*MIN(E$3,$D$2-1)))))</f>
        <v/>
      </c>
      <c r="F24" s="122">
        <f>IF(OR($C24="",$B$2="",$D$2=0),0,IF(F$3&lt;0,0,N(INDEX('CURVA PREVISION'!$A$1:$KZ$3000,$C24,10+3*MIN(F$3,$D$2-1)))))</f>
        <v/>
      </c>
      <c r="G24" s="122">
        <f>IF(OR($C24="",$B$2="",$D$2=0),0,IF(G$3&lt;0,0,N(INDEX('CURVA PREVISION'!$A$1:$KZ$3000,$C24,10+3*MIN(G$3,$D$2-1)))))</f>
        <v/>
      </c>
      <c r="H24" s="122">
        <f>IF(OR($C24="",$B$2="",$D$2=0),0,IF(H$3&lt;0,0,N(INDEX('CURVA PREVISION'!$A$1:$KZ$3000,$C24,10+3*MIN(H$3,$D$2-1)))))</f>
        <v/>
      </c>
      <c r="I24" s="122">
        <f>IF(OR($C24="",$B$2="",$D$2=0),0,IF(I$3&lt;0,0,N(INDEX('CURVA PREVISION'!$A$1:$KZ$3000,$C24,10+3*MIN(I$3,$D$2-1)))))</f>
        <v/>
      </c>
      <c r="J24" s="122">
        <f>IF(OR($C24="",$B$2="",$D$2=0),0,IF(J$3&lt;0,0,N(INDEX('CURVA PREVISION'!$A$1:$KZ$3000,$C24,10+3*MIN(J$3,$D$2-1)))))</f>
        <v/>
      </c>
      <c r="K24" s="122">
        <f>IF(OR($C24="",$B$2="",$D$2=0),0,IF(K$3&lt;0,0,N(INDEX('CURVA PREVISION'!$A$1:$KZ$3000,$C24,10+3*MIN(K$3,$D$2-1)))))</f>
        <v/>
      </c>
      <c r="L24" s="122">
        <f>IF(OR($C24="",$B$2="",$D$2=0),0,IF(L$3&lt;0,0,N(INDEX('CURVA PREVISION'!$A$1:$KZ$3000,$C24,10+3*MIN(L$3,$D$2-1)))))</f>
        <v/>
      </c>
      <c r="M24" s="122">
        <f>IF(OR($C24="",$B$2="",$D$2=0),0,IF(M$3&lt;0,0,N(INDEX('CURVA PREVISION'!$A$1:$KZ$3000,$C24,10+3*MIN(M$3,$D$2-1)))))</f>
        <v/>
      </c>
      <c r="N24" s="122">
        <f>IF(OR($C24="",$B$2="",$D$2=0),0,IF(N$3&lt;0,0,N(INDEX('CURVA PREVISION'!$A$1:$KZ$3000,$C24,10+3*MIN(N$3,$D$2-1)))))</f>
        <v/>
      </c>
      <c r="O24" s="122">
        <f>IF(OR($C24="",$B$2="",$D$2=0),0,IF(O$3&lt;0,0,N(INDEX('CURVA PREVISION'!$A$1:$KZ$3000,$C24,10+3*MIN(O$3,$D$2-1)))))</f>
        <v/>
      </c>
      <c r="P24" s="122">
        <f>IF(OR($C24="",$B$2="",$D$2=0),0,IF(P$3&lt;0,0,N(INDEX('CURVA PREVISION'!$A$1:$KZ$3000,$C24,10+3*MIN(P$3,$D$2-1)))))</f>
        <v/>
      </c>
      <c r="Q24" s="122">
        <f>IF(OR($C24="",$B$2="",$D$2=0),0,IF(Q$3&lt;0,0,N(INDEX('CURVA PREVISION'!$A$1:$KZ$3000,$C24,10+3*MIN(Q$3,$D$2-1)))))</f>
        <v/>
      </c>
      <c r="R24" s="122">
        <f>IF(OR($C24="",$B$2="",$D$2=0),0,IF(R$3&lt;0,0,N(INDEX('CURVA PREVISION'!$A$1:$KZ$3000,$C24,10+3*MIN(R$3,$D$2-1)))))</f>
        <v/>
      </c>
      <c r="S24" s="122">
        <f>IF(OR($C24="",$B$2="",$D$2=0),0,IF(S$3&lt;0,0,N(INDEX('CURVA PREVISION'!$A$1:$KZ$3000,$C24,10+3*MIN(S$3,$D$2-1)))))</f>
        <v/>
      </c>
      <c r="T24" s="122">
        <f>IF(OR($C24="",$B$2="",$D$2=0),0,IF(T$3&lt;0,0,N(INDEX('CURVA PREVISION'!$A$1:$KZ$3000,$C24,10+3*MIN(T$3,$D$2-1)))))</f>
        <v/>
      </c>
      <c r="U24" s="122">
        <f>IF(OR($C24="",$B$2="",$D$2=0),0,IF(U$3&lt;0,0,N(INDEX('CURVA PREVISION'!$A$1:$KZ$3000,$C24,10+3*MIN(U$3,$D$2-1)))))</f>
        <v/>
      </c>
      <c r="V24" s="122">
        <f>IF(OR($C24="",$B$2="",$D$2=0),0,IF(V$3&lt;0,0,N(INDEX('CURVA PREVISION'!$A$1:$KZ$3000,$C24,10+3*MIN(V$3,$D$2-1)))))</f>
        <v/>
      </c>
      <c r="W24" s="122">
        <f>IF(OR($C24="",$B$2="",$D$2=0),0,IF(W$3&lt;0,0,N(INDEX('CURVA PREVISION'!$A$1:$KZ$3000,$C24,10+3*MIN(W$3,$D$2-1)))))</f>
        <v/>
      </c>
      <c r="X24" s="122">
        <f>IF(OR($C24="",$B$2="",$D$2=0),0,IF(X$3&lt;0,0,N(INDEX('CURVA PREVISION'!$A$1:$KZ$3000,$C24,10+3*MIN(X$3,$D$2-1)))))</f>
        <v/>
      </c>
      <c r="Y24" s="122">
        <f>IF(OR($C24="",$B$2="",$D$2=0),0,IF(Y$3&lt;0,0,N(INDEX('CURVA PREVISION'!$A$1:$KZ$3000,$C24,10+3*MIN(Y$3,$D$2-1)))))</f>
        <v/>
      </c>
      <c r="Z24" s="122">
        <f>IF(OR($C24="",$B$2="",$D$2=0),0,IF(Z$3&lt;0,0,N(INDEX('CURVA PREVISION'!$A$1:$KZ$3000,$C24,10+3*MIN(Z$3,$D$2-1)))))</f>
        <v/>
      </c>
      <c r="AA24" s="122">
        <f>IF(OR($C24="",$B$2="",$D$2=0),0,IF(AA$3&lt;0,0,N(INDEX('CURVA PREVISION'!$A$1:$KZ$3000,$C24,10+3*MIN(AA$3,$D$2-1)))))</f>
        <v/>
      </c>
      <c r="AB24" s="122">
        <f>IF(OR($C24="",$B$2="",$D$2=0),0,IF(AB$3&lt;0,0,N(INDEX('CURVA PREVISION'!$A$1:$KZ$3000,$C24,10+3*MIN(AB$3,$D$2-1)))))</f>
        <v/>
      </c>
      <c r="AC24" s="122">
        <f>IF(OR($C24="",$B$2="",$D$2=0),0,IF(AC$3&lt;0,0,N(INDEX('CURVA PREVISION'!$A$1:$KZ$3000,$C24,10+3*MIN(AC$3,$D$2-1)))))</f>
        <v/>
      </c>
      <c r="AD24" s="122">
        <f>IF(OR($C24="",$B$2="",$D$2=0),0,IF(AD$3&lt;0,0,N(INDEX('CURVA PREVISION'!$A$1:$KZ$3000,$C24,10+3*MIN(AD$3,$D$2-1)))))</f>
        <v/>
      </c>
      <c r="AE24" s="122">
        <f>IF(OR($C24="",$B$2="",$D$2=0),0,IF(AE$3&lt;0,0,N(INDEX('CURVA PREVISION'!$A$1:$KZ$3000,$C24,10+3*MIN(AE$3,$D$2-1)))))</f>
        <v/>
      </c>
      <c r="AF24" s="122">
        <f>IF(OR($C24="",$B$2="",$D$2=0),0,IF(AF$3&lt;0,0,N(INDEX('CURVA PREVISION'!$A$1:$KZ$3000,$C24,10+3*MIN(AF$3,$D$2-1)))))</f>
        <v/>
      </c>
      <c r="AG24" s="122">
        <f>IF(OR($C24="",$B$2="",$D$2=0),0,IF(AG$3&lt;0,0,N(INDEX('CURVA PREVISION'!$A$1:$KZ$3000,$C24,10+3*MIN(AG$3,$D$2-1)))))</f>
        <v/>
      </c>
      <c r="AH24" s="122">
        <f>IF(OR($C24="",$B$2="",$D$2=0),0,IF(AH$3&lt;0,0,N(INDEX('CURVA PREVISION'!$A$1:$KZ$3000,$C24,10+3*MIN(AH$3,$D$2-1)))))</f>
        <v/>
      </c>
      <c r="AI24" s="122">
        <f>IF(OR($C24="",$B$2="",$D$2=0),0,IF(AI$3&lt;0,0,N(INDEX('CURVA PREVISION'!$A$1:$KZ$3000,$C24,10+3*MIN(AI$3,$D$2-1)))))</f>
        <v/>
      </c>
      <c r="AJ24" s="122">
        <f>IF(OR($C24="",$B$2="",$D$2=0),0,IF(AJ$3&lt;0,0,N(INDEX('CURVA PREVISION'!$A$1:$KZ$3000,$C24,10+3*MIN(AJ$3,$D$2-1)))))</f>
        <v/>
      </c>
      <c r="AK24" s="122">
        <f>IF(OR($C24="",$B$2="",$D$2=0),0,IF(AK$3&lt;0,0,N(INDEX('CURVA PREVISION'!$A$1:$KZ$3000,$C24,10+3*MIN(AK$3,$D$2-1)))))</f>
        <v/>
      </c>
      <c r="AL24" s="122">
        <f>IF(OR($C24="",$B$2="",$D$2=0),0,IF(AL$3&lt;0,0,N(INDEX('CURVA PREVISION'!$A$1:$KZ$3000,$C24,10+3*MIN(AL$3,$D$2-1)))))</f>
        <v/>
      </c>
      <c r="AM24" s="122">
        <f>IF(OR($C24="",$B$2="",$D$2=0),0,IF(AM$3&lt;0,0,N(INDEX('CURVA PREVISION'!$A$1:$KZ$3000,$C24,10+3*MIN(AM$3,$D$2-1)))))</f>
        <v/>
      </c>
      <c r="AN24" s="122">
        <f>IF(OR($C24="",$B$2="",$D$2=0),0,IF(AN$3&lt;0,0,N(INDEX('CURVA PREVISION'!$A$1:$KZ$3000,$C24,10+3*MIN(AN$3,$D$2-1)))))</f>
        <v/>
      </c>
      <c r="AO24" s="122">
        <f>IF(OR($C24="",$B$2="",$D$2=0),0,IF(AO$3&lt;0,0,N(INDEX('CURVA PREVISION'!$A$1:$KZ$3000,$C24,10+3*MIN(AO$3,$D$2-1)))))</f>
        <v/>
      </c>
      <c r="AP24" s="122">
        <f>IF(OR($C24="",$B$2="",$D$2=0),0,IF(AP$3&lt;0,0,N(INDEX('CURVA PREVISION'!$A$1:$KZ$3000,$C24,10+3*MIN(AP$3,$D$2-1)))))</f>
        <v/>
      </c>
      <c r="AQ24" s="122">
        <f>IF(OR($C24="",$B$2="",$D$2=0),0,IF(AQ$3&lt;0,0,N(INDEX('CURVA PREVISION'!$A$1:$KZ$3000,$C24,10+3*MIN(AQ$3,$D$2-1)))))</f>
        <v/>
      </c>
      <c r="AR24" s="122">
        <f>IF(OR($C24="",$B$2="",$D$2=0),0,IF(AR$3&lt;0,0,N(INDEX('CURVA PREVISION'!$A$1:$KZ$3000,$C24,10+3*MIN(AR$3,$D$2-1)))))</f>
        <v/>
      </c>
      <c r="AS24" s="122">
        <f>IF(OR($C24="",$B$2="",$D$2=0),0,IF(AS$3&lt;0,0,N(INDEX('CURVA PREVISION'!$A$1:$KZ$3000,$C24,10+3*MIN(AS$3,$D$2-1)))))</f>
        <v/>
      </c>
      <c r="AT24" s="122">
        <f>IF(OR($C24="",$B$2="",$D$2=0),0,IF(AT$3&lt;0,0,N(INDEX('CURVA PREVISION'!$A$1:$KZ$3000,$C24,10+3*MIN(AT$3,$D$2-1)))))</f>
        <v/>
      </c>
      <c r="AU24" s="122">
        <f>IF(OR($C24="",$B$2="",$D$2=0),0,IF(AU$3&lt;0,0,N(INDEX('CURVA PREVISION'!$A$1:$KZ$3000,$C24,10+3*MIN(AU$3,$D$2-1)))))</f>
        <v/>
      </c>
      <c r="AV24" s="122">
        <f>IF(OR($C24="",$B$2="",$D$2=0),0,IF(AV$3&lt;0,0,N(INDEX('CURVA PREVISION'!$A$1:$KZ$3000,$C24,10+3*MIN(AV$3,$D$2-1)))))</f>
        <v/>
      </c>
      <c r="AW24" s="122">
        <f>IF(OR($C24="",$B$2="",$D$2=0),0,IF(AW$3&lt;0,0,N(INDEX('CURVA PREVISION'!$A$1:$KZ$3000,$C24,10+3*MIN(AW$3,$D$2-1)))))</f>
        <v/>
      </c>
      <c r="AX24" s="122">
        <f>IF(OR($C24="",$B$2="",$D$2=0),0,IF(AX$3&lt;0,0,N(INDEX('CURVA PREVISION'!$A$1:$KZ$3000,$C24,10+3*MIN(AX$3,$D$2-1)))))</f>
        <v/>
      </c>
      <c r="AY24" s="122">
        <f>IF(OR($C24="",$B$2="",$D$2=0),0,IF(AY$3&lt;0,0,N(INDEX('CURVA PREVISION'!$A$1:$KZ$3000,$C24,10+3*MIN(AY$3,$D$2-1)))))</f>
        <v/>
      </c>
      <c r="AZ24" s="122">
        <f>IF(OR($C24="",$B$2="",$D$2=0),0,IF(AZ$3&lt;0,0,N(INDEX('CURVA PREVISION'!$A$1:$KZ$3000,$C24,10+3*MIN(AZ$3,$D$2-1)))))</f>
        <v/>
      </c>
      <c r="BA24" s="122">
        <f>IF(OR($C24="",$B$2="",$D$2=0),0,IF(BA$3&lt;0,0,N(INDEX('CURVA PREVISION'!$A$1:$KZ$3000,$C24,10+3*MIN(BA$3,$D$2-1)))))</f>
        <v/>
      </c>
      <c r="BB24" s="122">
        <f>IF(OR($C24="",$B$2="",$D$2=0),0,IF(BB$3&lt;0,0,N(INDEX('CURVA PREVISION'!$A$1:$KZ$3000,$C24,10+3*MIN(BB$3,$D$2-1)))))</f>
        <v/>
      </c>
      <c r="BC24" s="122">
        <f>IF(OR($C24="",$B$2="",$D$2=0),0,IF(BC$3&lt;0,0,N(INDEX('CURVA PREVISION'!$A$1:$KZ$3000,$C24,10+3*MIN(BC$3,$D$2-1)))))</f>
        <v/>
      </c>
      <c r="BD24" s="122">
        <f>IF(OR($C24="",$B$2="",$D$2=0),0,IF(BD$3&lt;0,0,N(INDEX('CURVA PREVISION'!$A$1:$KZ$3000,$C24,10+3*MIN(BD$3,$D$2-1)))))</f>
        <v/>
      </c>
      <c r="BE24" s="122">
        <f>IF(OR($C24="",$B$2="",$D$2=0),0,IF(BE$3&lt;0,0,N(INDEX('CURVA PREVISION'!$A$1:$KZ$3000,$C24,10+3*MIN(BE$3,$D$2-1)))))</f>
        <v/>
      </c>
      <c r="BF24" s="122">
        <f>IF(OR($C24="",$B$2="",$D$2=0),0,IF(BF$3&lt;0,0,N(INDEX('CURVA PREVISION'!$A$1:$KZ$3000,$C24,10+3*MIN(BF$3,$D$2-1)))))</f>
        <v/>
      </c>
      <c r="BG24" s="122">
        <f>IF(OR($C24="",$B$2="",$D$2=0),0,IF(BG$3&lt;0,0,N(INDEX('CURVA PREVISION'!$A$1:$KZ$3000,$C24,10+3*MIN(BG$3,$D$2-1)))))</f>
        <v/>
      </c>
      <c r="BH24" s="122">
        <f>IF(OR($C24="",$B$2="",$D$2=0),0,IF(BH$3&lt;0,0,N(INDEX('CURVA PREVISION'!$A$1:$KZ$3000,$C24,10+3*MIN(BH$3,$D$2-1)))))</f>
        <v/>
      </c>
      <c r="BI24" s="122">
        <f>IF(OR($C24="",$B$2="",$D$2=0),0,IF(BI$3&lt;0,0,N(INDEX('CURVA PREVISION'!$A$1:$KZ$3000,$C24,10+3*MIN(BI$3,$D$2-1)))))</f>
        <v/>
      </c>
      <c r="BJ24" s="122">
        <f>IF(OR($C24="",$B$2="",$D$2=0),0,IF(BJ$3&lt;0,0,N(INDEX('CURVA PREVISION'!$A$1:$KZ$3000,$C24,10+3*MIN(BJ$3,$D$2-1)))))</f>
        <v/>
      </c>
      <c r="BK24" s="122">
        <f>IF(OR($C24="",$B$2="",$D$2=0),0,IF(BK$3&lt;0,0,N(INDEX('CURVA PREVISION'!$A$1:$KZ$3000,$C24,10+3*MIN(BK$3,$D$2-1)))))</f>
        <v/>
      </c>
      <c r="BL24" s="122">
        <f>IF(OR($C24="",$B$2="",$D$2=0),0,IF(BL$3&lt;0,0,N(INDEX('CURVA PREVISION'!$A$1:$KZ$3000,$C24,10+3*MIN(BL$3,$D$2-1)))))</f>
        <v/>
      </c>
      <c r="BM24" s="122">
        <f>IF(OR($C24="",$B$2="",$D$2=0),0,IF(BM$3&lt;0,0,N(INDEX('CURVA PREVISION'!$A$1:$KZ$3000,$C24,10+3*MIN(BM$3,$D$2-1)))))</f>
        <v/>
      </c>
      <c r="BN24" s="122">
        <f>IF(OR($C24="",$B$2="",$D$2=0),0,IF(BN$3&lt;0,0,N(INDEX('CURVA PREVISION'!$A$1:$KZ$3000,$C24,10+3*MIN(BN$3,$D$2-1)))))</f>
        <v/>
      </c>
      <c r="BO24" s="122">
        <f>IF(OR($C24="",$B$2="",$D$2=0),0,IF(BO$3&lt;0,0,N(INDEX('CURVA PREVISION'!$A$1:$KZ$3000,$C24,10+3*MIN(BO$3,$D$2-1)))))</f>
        <v/>
      </c>
      <c r="BP24" s="122">
        <f>IF(OR($C24="",$B$2="",$D$2=0),0,IF(BP$3&lt;0,0,N(INDEX('CURVA PREVISION'!$A$1:$KZ$3000,$C24,10+3*MIN(BP$3,$D$2-1)))))</f>
        <v/>
      </c>
      <c r="BQ24" s="122">
        <f>IF(OR($C24="",$B$2="",$D$2=0),0,IF(BQ$3&lt;0,0,N(INDEX('CURVA PREVISION'!$A$1:$KZ$3000,$C24,10+3*MIN(BQ$3,$D$2-1)))))</f>
        <v/>
      </c>
      <c r="BR24" s="122">
        <f>IF(OR($C24="",$B$2="",$D$2=0),0,IF(BR$3&lt;0,0,N(INDEX('CURVA PREVISION'!$A$1:$KZ$3000,$C24,10+3*MIN(BR$3,$D$2-1)))))</f>
        <v/>
      </c>
      <c r="BS24" s="122">
        <f>IF(OR($C24="",$B$2="",$D$2=0),0,IF(BS$3&lt;0,0,N(INDEX('CURVA PREVISION'!$A$1:$KZ$3000,$C24,10+3*MIN(BS$3,$D$2-1)))))</f>
        <v/>
      </c>
      <c r="BT24" s="122">
        <f>IF(OR($C24="",$B$2="",$D$2=0),0,IF(BT$3&lt;0,0,N(INDEX('CURVA PREVISION'!$A$1:$KZ$3000,$C24,10+3*MIN(BT$3,$D$2-1)))))</f>
        <v/>
      </c>
      <c r="BU24" s="122">
        <f>IF(OR($C24="",$B$2="",$D$2=0),0,IF(BU$3&lt;0,0,N(INDEX('CURVA PREVISION'!$A$1:$KZ$3000,$C24,10+3*MIN(BU$3,$D$2-1)))))</f>
        <v/>
      </c>
      <c r="BV24" s="122">
        <f>IF(OR($C24="",$B$2="",$D$2=0),0,IF(BV$3&lt;0,0,N(INDEX('CURVA PREVISION'!$A$1:$KZ$3000,$C24,10+3*MIN(BV$3,$D$2-1)))))</f>
        <v/>
      </c>
      <c r="BW24" s="122">
        <f>IF(OR($C24="",$B$2="",$D$2=0),0,IF(BW$3&lt;0,0,N(INDEX('CURVA PREVISION'!$A$1:$KZ$3000,$C24,10+3*MIN(BW$3,$D$2-1)))))</f>
        <v/>
      </c>
    </row>
    <row r="25">
      <c r="A25" s="60">
        <f>IF('VALOR POR PL'!Q31="",'VALOR POR PL'!C31,'VALOR POR PL'!Q31)</f>
        <v/>
      </c>
      <c r="B25" s="60">
        <f>'VALOR POR PL'!D31</f>
        <v/>
      </c>
      <c r="C25" s="69">
        <f>IFERROR(MATCH(A25,'CURVA PREVISION'!$B$1:$B$3000,0),"")</f>
        <v/>
      </c>
      <c r="D25" s="122">
        <f>IF(OR($C25="",$B$2="",$D$2=0),0,IF(D$3&lt;0,0,N(INDEX('CURVA PREVISION'!$A$1:$KZ$3000,$C25,10+3*MIN(D$3,$D$2-1)))))</f>
        <v/>
      </c>
      <c r="E25" s="122">
        <f>IF(OR($C25="",$B$2="",$D$2=0),0,IF(E$3&lt;0,0,N(INDEX('CURVA PREVISION'!$A$1:$KZ$3000,$C25,10+3*MIN(E$3,$D$2-1)))))</f>
        <v/>
      </c>
      <c r="F25" s="122">
        <f>IF(OR($C25="",$B$2="",$D$2=0),0,IF(F$3&lt;0,0,N(INDEX('CURVA PREVISION'!$A$1:$KZ$3000,$C25,10+3*MIN(F$3,$D$2-1)))))</f>
        <v/>
      </c>
      <c r="G25" s="122">
        <f>IF(OR($C25="",$B$2="",$D$2=0),0,IF(G$3&lt;0,0,N(INDEX('CURVA PREVISION'!$A$1:$KZ$3000,$C25,10+3*MIN(G$3,$D$2-1)))))</f>
        <v/>
      </c>
      <c r="H25" s="122">
        <f>IF(OR($C25="",$B$2="",$D$2=0),0,IF(H$3&lt;0,0,N(INDEX('CURVA PREVISION'!$A$1:$KZ$3000,$C25,10+3*MIN(H$3,$D$2-1)))))</f>
        <v/>
      </c>
      <c r="I25" s="122">
        <f>IF(OR($C25="",$B$2="",$D$2=0),0,IF(I$3&lt;0,0,N(INDEX('CURVA PREVISION'!$A$1:$KZ$3000,$C25,10+3*MIN(I$3,$D$2-1)))))</f>
        <v/>
      </c>
      <c r="J25" s="122">
        <f>IF(OR($C25="",$B$2="",$D$2=0),0,IF(J$3&lt;0,0,N(INDEX('CURVA PREVISION'!$A$1:$KZ$3000,$C25,10+3*MIN(J$3,$D$2-1)))))</f>
        <v/>
      </c>
      <c r="K25" s="122">
        <f>IF(OR($C25="",$B$2="",$D$2=0),0,IF(K$3&lt;0,0,N(INDEX('CURVA PREVISION'!$A$1:$KZ$3000,$C25,10+3*MIN(K$3,$D$2-1)))))</f>
        <v/>
      </c>
      <c r="L25" s="122">
        <f>IF(OR($C25="",$B$2="",$D$2=0),0,IF(L$3&lt;0,0,N(INDEX('CURVA PREVISION'!$A$1:$KZ$3000,$C25,10+3*MIN(L$3,$D$2-1)))))</f>
        <v/>
      </c>
      <c r="M25" s="122">
        <f>IF(OR($C25="",$B$2="",$D$2=0),0,IF(M$3&lt;0,0,N(INDEX('CURVA PREVISION'!$A$1:$KZ$3000,$C25,10+3*MIN(M$3,$D$2-1)))))</f>
        <v/>
      </c>
      <c r="N25" s="122">
        <f>IF(OR($C25="",$B$2="",$D$2=0),0,IF(N$3&lt;0,0,N(INDEX('CURVA PREVISION'!$A$1:$KZ$3000,$C25,10+3*MIN(N$3,$D$2-1)))))</f>
        <v/>
      </c>
      <c r="O25" s="122">
        <f>IF(OR($C25="",$B$2="",$D$2=0),0,IF(O$3&lt;0,0,N(INDEX('CURVA PREVISION'!$A$1:$KZ$3000,$C25,10+3*MIN(O$3,$D$2-1)))))</f>
        <v/>
      </c>
      <c r="P25" s="122">
        <f>IF(OR($C25="",$B$2="",$D$2=0),0,IF(P$3&lt;0,0,N(INDEX('CURVA PREVISION'!$A$1:$KZ$3000,$C25,10+3*MIN(P$3,$D$2-1)))))</f>
        <v/>
      </c>
      <c r="Q25" s="122">
        <f>IF(OR($C25="",$B$2="",$D$2=0),0,IF(Q$3&lt;0,0,N(INDEX('CURVA PREVISION'!$A$1:$KZ$3000,$C25,10+3*MIN(Q$3,$D$2-1)))))</f>
        <v/>
      </c>
      <c r="R25" s="122">
        <f>IF(OR($C25="",$B$2="",$D$2=0),0,IF(R$3&lt;0,0,N(INDEX('CURVA PREVISION'!$A$1:$KZ$3000,$C25,10+3*MIN(R$3,$D$2-1)))))</f>
        <v/>
      </c>
      <c r="S25" s="122">
        <f>IF(OR($C25="",$B$2="",$D$2=0),0,IF(S$3&lt;0,0,N(INDEX('CURVA PREVISION'!$A$1:$KZ$3000,$C25,10+3*MIN(S$3,$D$2-1)))))</f>
        <v/>
      </c>
      <c r="T25" s="122">
        <f>IF(OR($C25="",$B$2="",$D$2=0),0,IF(T$3&lt;0,0,N(INDEX('CURVA PREVISION'!$A$1:$KZ$3000,$C25,10+3*MIN(T$3,$D$2-1)))))</f>
        <v/>
      </c>
      <c r="U25" s="122">
        <f>IF(OR($C25="",$B$2="",$D$2=0),0,IF(U$3&lt;0,0,N(INDEX('CURVA PREVISION'!$A$1:$KZ$3000,$C25,10+3*MIN(U$3,$D$2-1)))))</f>
        <v/>
      </c>
      <c r="V25" s="122">
        <f>IF(OR($C25="",$B$2="",$D$2=0),0,IF(V$3&lt;0,0,N(INDEX('CURVA PREVISION'!$A$1:$KZ$3000,$C25,10+3*MIN(V$3,$D$2-1)))))</f>
        <v/>
      </c>
      <c r="W25" s="122">
        <f>IF(OR($C25="",$B$2="",$D$2=0),0,IF(W$3&lt;0,0,N(INDEX('CURVA PREVISION'!$A$1:$KZ$3000,$C25,10+3*MIN(W$3,$D$2-1)))))</f>
        <v/>
      </c>
      <c r="X25" s="122">
        <f>IF(OR($C25="",$B$2="",$D$2=0),0,IF(X$3&lt;0,0,N(INDEX('CURVA PREVISION'!$A$1:$KZ$3000,$C25,10+3*MIN(X$3,$D$2-1)))))</f>
        <v/>
      </c>
      <c r="Y25" s="122">
        <f>IF(OR($C25="",$B$2="",$D$2=0),0,IF(Y$3&lt;0,0,N(INDEX('CURVA PREVISION'!$A$1:$KZ$3000,$C25,10+3*MIN(Y$3,$D$2-1)))))</f>
        <v/>
      </c>
      <c r="Z25" s="122">
        <f>IF(OR($C25="",$B$2="",$D$2=0),0,IF(Z$3&lt;0,0,N(INDEX('CURVA PREVISION'!$A$1:$KZ$3000,$C25,10+3*MIN(Z$3,$D$2-1)))))</f>
        <v/>
      </c>
      <c r="AA25" s="122">
        <f>IF(OR($C25="",$B$2="",$D$2=0),0,IF(AA$3&lt;0,0,N(INDEX('CURVA PREVISION'!$A$1:$KZ$3000,$C25,10+3*MIN(AA$3,$D$2-1)))))</f>
        <v/>
      </c>
      <c r="AB25" s="122">
        <f>IF(OR($C25="",$B$2="",$D$2=0),0,IF(AB$3&lt;0,0,N(INDEX('CURVA PREVISION'!$A$1:$KZ$3000,$C25,10+3*MIN(AB$3,$D$2-1)))))</f>
        <v/>
      </c>
      <c r="AC25" s="122">
        <f>IF(OR($C25="",$B$2="",$D$2=0),0,IF(AC$3&lt;0,0,N(INDEX('CURVA PREVISION'!$A$1:$KZ$3000,$C25,10+3*MIN(AC$3,$D$2-1)))))</f>
        <v/>
      </c>
      <c r="AD25" s="122">
        <f>IF(OR($C25="",$B$2="",$D$2=0),0,IF(AD$3&lt;0,0,N(INDEX('CURVA PREVISION'!$A$1:$KZ$3000,$C25,10+3*MIN(AD$3,$D$2-1)))))</f>
        <v/>
      </c>
      <c r="AE25" s="122">
        <f>IF(OR($C25="",$B$2="",$D$2=0),0,IF(AE$3&lt;0,0,N(INDEX('CURVA PREVISION'!$A$1:$KZ$3000,$C25,10+3*MIN(AE$3,$D$2-1)))))</f>
        <v/>
      </c>
      <c r="AF25" s="122">
        <f>IF(OR($C25="",$B$2="",$D$2=0),0,IF(AF$3&lt;0,0,N(INDEX('CURVA PREVISION'!$A$1:$KZ$3000,$C25,10+3*MIN(AF$3,$D$2-1)))))</f>
        <v/>
      </c>
      <c r="AG25" s="122">
        <f>IF(OR($C25="",$B$2="",$D$2=0),0,IF(AG$3&lt;0,0,N(INDEX('CURVA PREVISION'!$A$1:$KZ$3000,$C25,10+3*MIN(AG$3,$D$2-1)))))</f>
        <v/>
      </c>
      <c r="AH25" s="122">
        <f>IF(OR($C25="",$B$2="",$D$2=0),0,IF(AH$3&lt;0,0,N(INDEX('CURVA PREVISION'!$A$1:$KZ$3000,$C25,10+3*MIN(AH$3,$D$2-1)))))</f>
        <v/>
      </c>
      <c r="AI25" s="122">
        <f>IF(OR($C25="",$B$2="",$D$2=0),0,IF(AI$3&lt;0,0,N(INDEX('CURVA PREVISION'!$A$1:$KZ$3000,$C25,10+3*MIN(AI$3,$D$2-1)))))</f>
        <v/>
      </c>
      <c r="AJ25" s="122">
        <f>IF(OR($C25="",$B$2="",$D$2=0),0,IF(AJ$3&lt;0,0,N(INDEX('CURVA PREVISION'!$A$1:$KZ$3000,$C25,10+3*MIN(AJ$3,$D$2-1)))))</f>
        <v/>
      </c>
      <c r="AK25" s="122">
        <f>IF(OR($C25="",$B$2="",$D$2=0),0,IF(AK$3&lt;0,0,N(INDEX('CURVA PREVISION'!$A$1:$KZ$3000,$C25,10+3*MIN(AK$3,$D$2-1)))))</f>
        <v/>
      </c>
      <c r="AL25" s="122">
        <f>IF(OR($C25="",$B$2="",$D$2=0),0,IF(AL$3&lt;0,0,N(INDEX('CURVA PREVISION'!$A$1:$KZ$3000,$C25,10+3*MIN(AL$3,$D$2-1)))))</f>
        <v/>
      </c>
      <c r="AM25" s="122">
        <f>IF(OR($C25="",$B$2="",$D$2=0),0,IF(AM$3&lt;0,0,N(INDEX('CURVA PREVISION'!$A$1:$KZ$3000,$C25,10+3*MIN(AM$3,$D$2-1)))))</f>
        <v/>
      </c>
      <c r="AN25" s="122">
        <f>IF(OR($C25="",$B$2="",$D$2=0),0,IF(AN$3&lt;0,0,N(INDEX('CURVA PREVISION'!$A$1:$KZ$3000,$C25,10+3*MIN(AN$3,$D$2-1)))))</f>
        <v/>
      </c>
      <c r="AO25" s="122">
        <f>IF(OR($C25="",$B$2="",$D$2=0),0,IF(AO$3&lt;0,0,N(INDEX('CURVA PREVISION'!$A$1:$KZ$3000,$C25,10+3*MIN(AO$3,$D$2-1)))))</f>
        <v/>
      </c>
      <c r="AP25" s="122">
        <f>IF(OR($C25="",$B$2="",$D$2=0),0,IF(AP$3&lt;0,0,N(INDEX('CURVA PREVISION'!$A$1:$KZ$3000,$C25,10+3*MIN(AP$3,$D$2-1)))))</f>
        <v/>
      </c>
      <c r="AQ25" s="122">
        <f>IF(OR($C25="",$B$2="",$D$2=0),0,IF(AQ$3&lt;0,0,N(INDEX('CURVA PREVISION'!$A$1:$KZ$3000,$C25,10+3*MIN(AQ$3,$D$2-1)))))</f>
        <v/>
      </c>
      <c r="AR25" s="122">
        <f>IF(OR($C25="",$B$2="",$D$2=0),0,IF(AR$3&lt;0,0,N(INDEX('CURVA PREVISION'!$A$1:$KZ$3000,$C25,10+3*MIN(AR$3,$D$2-1)))))</f>
        <v/>
      </c>
      <c r="AS25" s="122">
        <f>IF(OR($C25="",$B$2="",$D$2=0),0,IF(AS$3&lt;0,0,N(INDEX('CURVA PREVISION'!$A$1:$KZ$3000,$C25,10+3*MIN(AS$3,$D$2-1)))))</f>
        <v/>
      </c>
      <c r="AT25" s="122">
        <f>IF(OR($C25="",$B$2="",$D$2=0),0,IF(AT$3&lt;0,0,N(INDEX('CURVA PREVISION'!$A$1:$KZ$3000,$C25,10+3*MIN(AT$3,$D$2-1)))))</f>
        <v/>
      </c>
      <c r="AU25" s="122">
        <f>IF(OR($C25="",$B$2="",$D$2=0),0,IF(AU$3&lt;0,0,N(INDEX('CURVA PREVISION'!$A$1:$KZ$3000,$C25,10+3*MIN(AU$3,$D$2-1)))))</f>
        <v/>
      </c>
      <c r="AV25" s="122">
        <f>IF(OR($C25="",$B$2="",$D$2=0),0,IF(AV$3&lt;0,0,N(INDEX('CURVA PREVISION'!$A$1:$KZ$3000,$C25,10+3*MIN(AV$3,$D$2-1)))))</f>
        <v/>
      </c>
      <c r="AW25" s="122">
        <f>IF(OR($C25="",$B$2="",$D$2=0),0,IF(AW$3&lt;0,0,N(INDEX('CURVA PREVISION'!$A$1:$KZ$3000,$C25,10+3*MIN(AW$3,$D$2-1)))))</f>
        <v/>
      </c>
      <c r="AX25" s="122">
        <f>IF(OR($C25="",$B$2="",$D$2=0),0,IF(AX$3&lt;0,0,N(INDEX('CURVA PREVISION'!$A$1:$KZ$3000,$C25,10+3*MIN(AX$3,$D$2-1)))))</f>
        <v/>
      </c>
      <c r="AY25" s="122">
        <f>IF(OR($C25="",$B$2="",$D$2=0),0,IF(AY$3&lt;0,0,N(INDEX('CURVA PREVISION'!$A$1:$KZ$3000,$C25,10+3*MIN(AY$3,$D$2-1)))))</f>
        <v/>
      </c>
      <c r="AZ25" s="122">
        <f>IF(OR($C25="",$B$2="",$D$2=0),0,IF(AZ$3&lt;0,0,N(INDEX('CURVA PREVISION'!$A$1:$KZ$3000,$C25,10+3*MIN(AZ$3,$D$2-1)))))</f>
        <v/>
      </c>
      <c r="BA25" s="122">
        <f>IF(OR($C25="",$B$2="",$D$2=0),0,IF(BA$3&lt;0,0,N(INDEX('CURVA PREVISION'!$A$1:$KZ$3000,$C25,10+3*MIN(BA$3,$D$2-1)))))</f>
        <v/>
      </c>
      <c r="BB25" s="122">
        <f>IF(OR($C25="",$B$2="",$D$2=0),0,IF(BB$3&lt;0,0,N(INDEX('CURVA PREVISION'!$A$1:$KZ$3000,$C25,10+3*MIN(BB$3,$D$2-1)))))</f>
        <v/>
      </c>
      <c r="BC25" s="122">
        <f>IF(OR($C25="",$B$2="",$D$2=0),0,IF(BC$3&lt;0,0,N(INDEX('CURVA PREVISION'!$A$1:$KZ$3000,$C25,10+3*MIN(BC$3,$D$2-1)))))</f>
        <v/>
      </c>
      <c r="BD25" s="122">
        <f>IF(OR($C25="",$B$2="",$D$2=0),0,IF(BD$3&lt;0,0,N(INDEX('CURVA PREVISION'!$A$1:$KZ$3000,$C25,10+3*MIN(BD$3,$D$2-1)))))</f>
        <v/>
      </c>
      <c r="BE25" s="122">
        <f>IF(OR($C25="",$B$2="",$D$2=0),0,IF(BE$3&lt;0,0,N(INDEX('CURVA PREVISION'!$A$1:$KZ$3000,$C25,10+3*MIN(BE$3,$D$2-1)))))</f>
        <v/>
      </c>
      <c r="BF25" s="122">
        <f>IF(OR($C25="",$B$2="",$D$2=0),0,IF(BF$3&lt;0,0,N(INDEX('CURVA PREVISION'!$A$1:$KZ$3000,$C25,10+3*MIN(BF$3,$D$2-1)))))</f>
        <v/>
      </c>
      <c r="BG25" s="122">
        <f>IF(OR($C25="",$B$2="",$D$2=0),0,IF(BG$3&lt;0,0,N(INDEX('CURVA PREVISION'!$A$1:$KZ$3000,$C25,10+3*MIN(BG$3,$D$2-1)))))</f>
        <v/>
      </c>
      <c r="BH25" s="122">
        <f>IF(OR($C25="",$B$2="",$D$2=0),0,IF(BH$3&lt;0,0,N(INDEX('CURVA PREVISION'!$A$1:$KZ$3000,$C25,10+3*MIN(BH$3,$D$2-1)))))</f>
        <v/>
      </c>
      <c r="BI25" s="122">
        <f>IF(OR($C25="",$B$2="",$D$2=0),0,IF(BI$3&lt;0,0,N(INDEX('CURVA PREVISION'!$A$1:$KZ$3000,$C25,10+3*MIN(BI$3,$D$2-1)))))</f>
        <v/>
      </c>
      <c r="BJ25" s="122">
        <f>IF(OR($C25="",$B$2="",$D$2=0),0,IF(BJ$3&lt;0,0,N(INDEX('CURVA PREVISION'!$A$1:$KZ$3000,$C25,10+3*MIN(BJ$3,$D$2-1)))))</f>
        <v/>
      </c>
      <c r="BK25" s="122">
        <f>IF(OR($C25="",$B$2="",$D$2=0),0,IF(BK$3&lt;0,0,N(INDEX('CURVA PREVISION'!$A$1:$KZ$3000,$C25,10+3*MIN(BK$3,$D$2-1)))))</f>
        <v/>
      </c>
      <c r="BL25" s="122">
        <f>IF(OR($C25="",$B$2="",$D$2=0),0,IF(BL$3&lt;0,0,N(INDEX('CURVA PREVISION'!$A$1:$KZ$3000,$C25,10+3*MIN(BL$3,$D$2-1)))))</f>
        <v/>
      </c>
      <c r="BM25" s="122">
        <f>IF(OR($C25="",$B$2="",$D$2=0),0,IF(BM$3&lt;0,0,N(INDEX('CURVA PREVISION'!$A$1:$KZ$3000,$C25,10+3*MIN(BM$3,$D$2-1)))))</f>
        <v/>
      </c>
      <c r="BN25" s="122">
        <f>IF(OR($C25="",$B$2="",$D$2=0),0,IF(BN$3&lt;0,0,N(INDEX('CURVA PREVISION'!$A$1:$KZ$3000,$C25,10+3*MIN(BN$3,$D$2-1)))))</f>
        <v/>
      </c>
      <c r="BO25" s="122">
        <f>IF(OR($C25="",$B$2="",$D$2=0),0,IF(BO$3&lt;0,0,N(INDEX('CURVA PREVISION'!$A$1:$KZ$3000,$C25,10+3*MIN(BO$3,$D$2-1)))))</f>
        <v/>
      </c>
      <c r="BP25" s="122">
        <f>IF(OR($C25="",$B$2="",$D$2=0),0,IF(BP$3&lt;0,0,N(INDEX('CURVA PREVISION'!$A$1:$KZ$3000,$C25,10+3*MIN(BP$3,$D$2-1)))))</f>
        <v/>
      </c>
      <c r="BQ25" s="122">
        <f>IF(OR($C25="",$B$2="",$D$2=0),0,IF(BQ$3&lt;0,0,N(INDEX('CURVA PREVISION'!$A$1:$KZ$3000,$C25,10+3*MIN(BQ$3,$D$2-1)))))</f>
        <v/>
      </c>
      <c r="BR25" s="122">
        <f>IF(OR($C25="",$B$2="",$D$2=0),0,IF(BR$3&lt;0,0,N(INDEX('CURVA PREVISION'!$A$1:$KZ$3000,$C25,10+3*MIN(BR$3,$D$2-1)))))</f>
        <v/>
      </c>
      <c r="BS25" s="122">
        <f>IF(OR($C25="",$B$2="",$D$2=0),0,IF(BS$3&lt;0,0,N(INDEX('CURVA PREVISION'!$A$1:$KZ$3000,$C25,10+3*MIN(BS$3,$D$2-1)))))</f>
        <v/>
      </c>
      <c r="BT25" s="122">
        <f>IF(OR($C25="",$B$2="",$D$2=0),0,IF(BT$3&lt;0,0,N(INDEX('CURVA PREVISION'!$A$1:$KZ$3000,$C25,10+3*MIN(BT$3,$D$2-1)))))</f>
        <v/>
      </c>
      <c r="BU25" s="122">
        <f>IF(OR($C25="",$B$2="",$D$2=0),0,IF(BU$3&lt;0,0,N(INDEX('CURVA PREVISION'!$A$1:$KZ$3000,$C25,10+3*MIN(BU$3,$D$2-1)))))</f>
        <v/>
      </c>
      <c r="BV25" s="122">
        <f>IF(OR($C25="",$B$2="",$D$2=0),0,IF(BV$3&lt;0,0,N(INDEX('CURVA PREVISION'!$A$1:$KZ$3000,$C25,10+3*MIN(BV$3,$D$2-1)))))</f>
        <v/>
      </c>
      <c r="BW25" s="122">
        <f>IF(OR($C25="",$B$2="",$D$2=0),0,IF(BW$3&lt;0,0,N(INDEX('CURVA PREVISION'!$A$1:$KZ$3000,$C25,10+3*MIN(BW$3,$D$2-1)))))</f>
        <v/>
      </c>
    </row>
    <row r="26">
      <c r="A26" s="60">
        <f>IF('VALOR POR PL'!Q32="",'VALOR POR PL'!C32,'VALOR POR PL'!Q32)</f>
        <v/>
      </c>
      <c r="B26" s="60">
        <f>'VALOR POR PL'!D32</f>
        <v/>
      </c>
      <c r="C26" s="69">
        <f>IFERROR(MATCH(A26,'CURVA PREVISION'!$B$1:$B$3000,0),"")</f>
        <v/>
      </c>
      <c r="D26" s="122">
        <f>IF(OR($C26="",$B$2="",$D$2=0),0,IF(D$3&lt;0,0,N(INDEX('CURVA PREVISION'!$A$1:$KZ$3000,$C26,10+3*MIN(D$3,$D$2-1)))))</f>
        <v/>
      </c>
      <c r="E26" s="122">
        <f>IF(OR($C26="",$B$2="",$D$2=0),0,IF(E$3&lt;0,0,N(INDEX('CURVA PREVISION'!$A$1:$KZ$3000,$C26,10+3*MIN(E$3,$D$2-1)))))</f>
        <v/>
      </c>
      <c r="F26" s="122">
        <f>IF(OR($C26="",$B$2="",$D$2=0),0,IF(F$3&lt;0,0,N(INDEX('CURVA PREVISION'!$A$1:$KZ$3000,$C26,10+3*MIN(F$3,$D$2-1)))))</f>
        <v/>
      </c>
      <c r="G26" s="122">
        <f>IF(OR($C26="",$B$2="",$D$2=0),0,IF(G$3&lt;0,0,N(INDEX('CURVA PREVISION'!$A$1:$KZ$3000,$C26,10+3*MIN(G$3,$D$2-1)))))</f>
        <v/>
      </c>
      <c r="H26" s="122">
        <f>IF(OR($C26="",$B$2="",$D$2=0),0,IF(H$3&lt;0,0,N(INDEX('CURVA PREVISION'!$A$1:$KZ$3000,$C26,10+3*MIN(H$3,$D$2-1)))))</f>
        <v/>
      </c>
      <c r="I26" s="122">
        <f>IF(OR($C26="",$B$2="",$D$2=0),0,IF(I$3&lt;0,0,N(INDEX('CURVA PREVISION'!$A$1:$KZ$3000,$C26,10+3*MIN(I$3,$D$2-1)))))</f>
        <v/>
      </c>
      <c r="J26" s="122">
        <f>IF(OR($C26="",$B$2="",$D$2=0),0,IF(J$3&lt;0,0,N(INDEX('CURVA PREVISION'!$A$1:$KZ$3000,$C26,10+3*MIN(J$3,$D$2-1)))))</f>
        <v/>
      </c>
      <c r="K26" s="122">
        <f>IF(OR($C26="",$B$2="",$D$2=0),0,IF(K$3&lt;0,0,N(INDEX('CURVA PREVISION'!$A$1:$KZ$3000,$C26,10+3*MIN(K$3,$D$2-1)))))</f>
        <v/>
      </c>
      <c r="L26" s="122">
        <f>IF(OR($C26="",$B$2="",$D$2=0),0,IF(L$3&lt;0,0,N(INDEX('CURVA PREVISION'!$A$1:$KZ$3000,$C26,10+3*MIN(L$3,$D$2-1)))))</f>
        <v/>
      </c>
      <c r="M26" s="122">
        <f>IF(OR($C26="",$B$2="",$D$2=0),0,IF(M$3&lt;0,0,N(INDEX('CURVA PREVISION'!$A$1:$KZ$3000,$C26,10+3*MIN(M$3,$D$2-1)))))</f>
        <v/>
      </c>
      <c r="N26" s="122">
        <f>IF(OR($C26="",$B$2="",$D$2=0),0,IF(N$3&lt;0,0,N(INDEX('CURVA PREVISION'!$A$1:$KZ$3000,$C26,10+3*MIN(N$3,$D$2-1)))))</f>
        <v/>
      </c>
      <c r="O26" s="122">
        <f>IF(OR($C26="",$B$2="",$D$2=0),0,IF(O$3&lt;0,0,N(INDEX('CURVA PREVISION'!$A$1:$KZ$3000,$C26,10+3*MIN(O$3,$D$2-1)))))</f>
        <v/>
      </c>
      <c r="P26" s="122">
        <f>IF(OR($C26="",$B$2="",$D$2=0),0,IF(P$3&lt;0,0,N(INDEX('CURVA PREVISION'!$A$1:$KZ$3000,$C26,10+3*MIN(P$3,$D$2-1)))))</f>
        <v/>
      </c>
      <c r="Q26" s="122">
        <f>IF(OR($C26="",$B$2="",$D$2=0),0,IF(Q$3&lt;0,0,N(INDEX('CURVA PREVISION'!$A$1:$KZ$3000,$C26,10+3*MIN(Q$3,$D$2-1)))))</f>
        <v/>
      </c>
      <c r="R26" s="122">
        <f>IF(OR($C26="",$B$2="",$D$2=0),0,IF(R$3&lt;0,0,N(INDEX('CURVA PREVISION'!$A$1:$KZ$3000,$C26,10+3*MIN(R$3,$D$2-1)))))</f>
        <v/>
      </c>
      <c r="S26" s="122">
        <f>IF(OR($C26="",$B$2="",$D$2=0),0,IF(S$3&lt;0,0,N(INDEX('CURVA PREVISION'!$A$1:$KZ$3000,$C26,10+3*MIN(S$3,$D$2-1)))))</f>
        <v/>
      </c>
      <c r="T26" s="122">
        <f>IF(OR($C26="",$B$2="",$D$2=0),0,IF(T$3&lt;0,0,N(INDEX('CURVA PREVISION'!$A$1:$KZ$3000,$C26,10+3*MIN(T$3,$D$2-1)))))</f>
        <v/>
      </c>
      <c r="U26" s="122">
        <f>IF(OR($C26="",$B$2="",$D$2=0),0,IF(U$3&lt;0,0,N(INDEX('CURVA PREVISION'!$A$1:$KZ$3000,$C26,10+3*MIN(U$3,$D$2-1)))))</f>
        <v/>
      </c>
      <c r="V26" s="122">
        <f>IF(OR($C26="",$B$2="",$D$2=0),0,IF(V$3&lt;0,0,N(INDEX('CURVA PREVISION'!$A$1:$KZ$3000,$C26,10+3*MIN(V$3,$D$2-1)))))</f>
        <v/>
      </c>
      <c r="W26" s="122">
        <f>IF(OR($C26="",$B$2="",$D$2=0),0,IF(W$3&lt;0,0,N(INDEX('CURVA PREVISION'!$A$1:$KZ$3000,$C26,10+3*MIN(W$3,$D$2-1)))))</f>
        <v/>
      </c>
      <c r="X26" s="122">
        <f>IF(OR($C26="",$B$2="",$D$2=0),0,IF(X$3&lt;0,0,N(INDEX('CURVA PREVISION'!$A$1:$KZ$3000,$C26,10+3*MIN(X$3,$D$2-1)))))</f>
        <v/>
      </c>
      <c r="Y26" s="122">
        <f>IF(OR($C26="",$B$2="",$D$2=0),0,IF(Y$3&lt;0,0,N(INDEX('CURVA PREVISION'!$A$1:$KZ$3000,$C26,10+3*MIN(Y$3,$D$2-1)))))</f>
        <v/>
      </c>
      <c r="Z26" s="122">
        <f>IF(OR($C26="",$B$2="",$D$2=0),0,IF(Z$3&lt;0,0,N(INDEX('CURVA PREVISION'!$A$1:$KZ$3000,$C26,10+3*MIN(Z$3,$D$2-1)))))</f>
        <v/>
      </c>
      <c r="AA26" s="122">
        <f>IF(OR($C26="",$B$2="",$D$2=0),0,IF(AA$3&lt;0,0,N(INDEX('CURVA PREVISION'!$A$1:$KZ$3000,$C26,10+3*MIN(AA$3,$D$2-1)))))</f>
        <v/>
      </c>
      <c r="AB26" s="122">
        <f>IF(OR($C26="",$B$2="",$D$2=0),0,IF(AB$3&lt;0,0,N(INDEX('CURVA PREVISION'!$A$1:$KZ$3000,$C26,10+3*MIN(AB$3,$D$2-1)))))</f>
        <v/>
      </c>
      <c r="AC26" s="122">
        <f>IF(OR($C26="",$B$2="",$D$2=0),0,IF(AC$3&lt;0,0,N(INDEX('CURVA PREVISION'!$A$1:$KZ$3000,$C26,10+3*MIN(AC$3,$D$2-1)))))</f>
        <v/>
      </c>
      <c r="AD26" s="122">
        <f>IF(OR($C26="",$B$2="",$D$2=0),0,IF(AD$3&lt;0,0,N(INDEX('CURVA PREVISION'!$A$1:$KZ$3000,$C26,10+3*MIN(AD$3,$D$2-1)))))</f>
        <v/>
      </c>
      <c r="AE26" s="122">
        <f>IF(OR($C26="",$B$2="",$D$2=0),0,IF(AE$3&lt;0,0,N(INDEX('CURVA PREVISION'!$A$1:$KZ$3000,$C26,10+3*MIN(AE$3,$D$2-1)))))</f>
        <v/>
      </c>
      <c r="AF26" s="122">
        <f>IF(OR($C26="",$B$2="",$D$2=0),0,IF(AF$3&lt;0,0,N(INDEX('CURVA PREVISION'!$A$1:$KZ$3000,$C26,10+3*MIN(AF$3,$D$2-1)))))</f>
        <v/>
      </c>
      <c r="AG26" s="122">
        <f>IF(OR($C26="",$B$2="",$D$2=0),0,IF(AG$3&lt;0,0,N(INDEX('CURVA PREVISION'!$A$1:$KZ$3000,$C26,10+3*MIN(AG$3,$D$2-1)))))</f>
        <v/>
      </c>
      <c r="AH26" s="122">
        <f>IF(OR($C26="",$B$2="",$D$2=0),0,IF(AH$3&lt;0,0,N(INDEX('CURVA PREVISION'!$A$1:$KZ$3000,$C26,10+3*MIN(AH$3,$D$2-1)))))</f>
        <v/>
      </c>
      <c r="AI26" s="122">
        <f>IF(OR($C26="",$B$2="",$D$2=0),0,IF(AI$3&lt;0,0,N(INDEX('CURVA PREVISION'!$A$1:$KZ$3000,$C26,10+3*MIN(AI$3,$D$2-1)))))</f>
        <v/>
      </c>
      <c r="AJ26" s="122">
        <f>IF(OR($C26="",$B$2="",$D$2=0),0,IF(AJ$3&lt;0,0,N(INDEX('CURVA PREVISION'!$A$1:$KZ$3000,$C26,10+3*MIN(AJ$3,$D$2-1)))))</f>
        <v/>
      </c>
      <c r="AK26" s="122">
        <f>IF(OR($C26="",$B$2="",$D$2=0),0,IF(AK$3&lt;0,0,N(INDEX('CURVA PREVISION'!$A$1:$KZ$3000,$C26,10+3*MIN(AK$3,$D$2-1)))))</f>
        <v/>
      </c>
      <c r="AL26" s="122">
        <f>IF(OR($C26="",$B$2="",$D$2=0),0,IF(AL$3&lt;0,0,N(INDEX('CURVA PREVISION'!$A$1:$KZ$3000,$C26,10+3*MIN(AL$3,$D$2-1)))))</f>
        <v/>
      </c>
      <c r="AM26" s="122">
        <f>IF(OR($C26="",$B$2="",$D$2=0),0,IF(AM$3&lt;0,0,N(INDEX('CURVA PREVISION'!$A$1:$KZ$3000,$C26,10+3*MIN(AM$3,$D$2-1)))))</f>
        <v/>
      </c>
      <c r="AN26" s="122">
        <f>IF(OR($C26="",$B$2="",$D$2=0),0,IF(AN$3&lt;0,0,N(INDEX('CURVA PREVISION'!$A$1:$KZ$3000,$C26,10+3*MIN(AN$3,$D$2-1)))))</f>
        <v/>
      </c>
      <c r="AO26" s="122">
        <f>IF(OR($C26="",$B$2="",$D$2=0),0,IF(AO$3&lt;0,0,N(INDEX('CURVA PREVISION'!$A$1:$KZ$3000,$C26,10+3*MIN(AO$3,$D$2-1)))))</f>
        <v/>
      </c>
      <c r="AP26" s="122">
        <f>IF(OR($C26="",$B$2="",$D$2=0),0,IF(AP$3&lt;0,0,N(INDEX('CURVA PREVISION'!$A$1:$KZ$3000,$C26,10+3*MIN(AP$3,$D$2-1)))))</f>
        <v/>
      </c>
      <c r="AQ26" s="122">
        <f>IF(OR($C26="",$B$2="",$D$2=0),0,IF(AQ$3&lt;0,0,N(INDEX('CURVA PREVISION'!$A$1:$KZ$3000,$C26,10+3*MIN(AQ$3,$D$2-1)))))</f>
        <v/>
      </c>
      <c r="AR26" s="122">
        <f>IF(OR($C26="",$B$2="",$D$2=0),0,IF(AR$3&lt;0,0,N(INDEX('CURVA PREVISION'!$A$1:$KZ$3000,$C26,10+3*MIN(AR$3,$D$2-1)))))</f>
        <v/>
      </c>
      <c r="AS26" s="122">
        <f>IF(OR($C26="",$B$2="",$D$2=0),0,IF(AS$3&lt;0,0,N(INDEX('CURVA PREVISION'!$A$1:$KZ$3000,$C26,10+3*MIN(AS$3,$D$2-1)))))</f>
        <v/>
      </c>
      <c r="AT26" s="122">
        <f>IF(OR($C26="",$B$2="",$D$2=0),0,IF(AT$3&lt;0,0,N(INDEX('CURVA PREVISION'!$A$1:$KZ$3000,$C26,10+3*MIN(AT$3,$D$2-1)))))</f>
        <v/>
      </c>
      <c r="AU26" s="122">
        <f>IF(OR($C26="",$B$2="",$D$2=0),0,IF(AU$3&lt;0,0,N(INDEX('CURVA PREVISION'!$A$1:$KZ$3000,$C26,10+3*MIN(AU$3,$D$2-1)))))</f>
        <v/>
      </c>
      <c r="AV26" s="122">
        <f>IF(OR($C26="",$B$2="",$D$2=0),0,IF(AV$3&lt;0,0,N(INDEX('CURVA PREVISION'!$A$1:$KZ$3000,$C26,10+3*MIN(AV$3,$D$2-1)))))</f>
        <v/>
      </c>
      <c r="AW26" s="122">
        <f>IF(OR($C26="",$B$2="",$D$2=0),0,IF(AW$3&lt;0,0,N(INDEX('CURVA PREVISION'!$A$1:$KZ$3000,$C26,10+3*MIN(AW$3,$D$2-1)))))</f>
        <v/>
      </c>
      <c r="AX26" s="122">
        <f>IF(OR($C26="",$B$2="",$D$2=0),0,IF(AX$3&lt;0,0,N(INDEX('CURVA PREVISION'!$A$1:$KZ$3000,$C26,10+3*MIN(AX$3,$D$2-1)))))</f>
        <v/>
      </c>
      <c r="AY26" s="122">
        <f>IF(OR($C26="",$B$2="",$D$2=0),0,IF(AY$3&lt;0,0,N(INDEX('CURVA PREVISION'!$A$1:$KZ$3000,$C26,10+3*MIN(AY$3,$D$2-1)))))</f>
        <v/>
      </c>
      <c r="AZ26" s="122">
        <f>IF(OR($C26="",$B$2="",$D$2=0),0,IF(AZ$3&lt;0,0,N(INDEX('CURVA PREVISION'!$A$1:$KZ$3000,$C26,10+3*MIN(AZ$3,$D$2-1)))))</f>
        <v/>
      </c>
      <c r="BA26" s="122">
        <f>IF(OR($C26="",$B$2="",$D$2=0),0,IF(BA$3&lt;0,0,N(INDEX('CURVA PREVISION'!$A$1:$KZ$3000,$C26,10+3*MIN(BA$3,$D$2-1)))))</f>
        <v/>
      </c>
      <c r="BB26" s="122">
        <f>IF(OR($C26="",$B$2="",$D$2=0),0,IF(BB$3&lt;0,0,N(INDEX('CURVA PREVISION'!$A$1:$KZ$3000,$C26,10+3*MIN(BB$3,$D$2-1)))))</f>
        <v/>
      </c>
      <c r="BC26" s="122">
        <f>IF(OR($C26="",$B$2="",$D$2=0),0,IF(BC$3&lt;0,0,N(INDEX('CURVA PREVISION'!$A$1:$KZ$3000,$C26,10+3*MIN(BC$3,$D$2-1)))))</f>
        <v/>
      </c>
      <c r="BD26" s="122">
        <f>IF(OR($C26="",$B$2="",$D$2=0),0,IF(BD$3&lt;0,0,N(INDEX('CURVA PREVISION'!$A$1:$KZ$3000,$C26,10+3*MIN(BD$3,$D$2-1)))))</f>
        <v/>
      </c>
      <c r="BE26" s="122">
        <f>IF(OR($C26="",$B$2="",$D$2=0),0,IF(BE$3&lt;0,0,N(INDEX('CURVA PREVISION'!$A$1:$KZ$3000,$C26,10+3*MIN(BE$3,$D$2-1)))))</f>
        <v/>
      </c>
      <c r="BF26" s="122">
        <f>IF(OR($C26="",$B$2="",$D$2=0),0,IF(BF$3&lt;0,0,N(INDEX('CURVA PREVISION'!$A$1:$KZ$3000,$C26,10+3*MIN(BF$3,$D$2-1)))))</f>
        <v/>
      </c>
      <c r="BG26" s="122">
        <f>IF(OR($C26="",$B$2="",$D$2=0),0,IF(BG$3&lt;0,0,N(INDEX('CURVA PREVISION'!$A$1:$KZ$3000,$C26,10+3*MIN(BG$3,$D$2-1)))))</f>
        <v/>
      </c>
      <c r="BH26" s="122">
        <f>IF(OR($C26="",$B$2="",$D$2=0),0,IF(BH$3&lt;0,0,N(INDEX('CURVA PREVISION'!$A$1:$KZ$3000,$C26,10+3*MIN(BH$3,$D$2-1)))))</f>
        <v/>
      </c>
      <c r="BI26" s="122">
        <f>IF(OR($C26="",$B$2="",$D$2=0),0,IF(BI$3&lt;0,0,N(INDEX('CURVA PREVISION'!$A$1:$KZ$3000,$C26,10+3*MIN(BI$3,$D$2-1)))))</f>
        <v/>
      </c>
      <c r="BJ26" s="122">
        <f>IF(OR($C26="",$B$2="",$D$2=0),0,IF(BJ$3&lt;0,0,N(INDEX('CURVA PREVISION'!$A$1:$KZ$3000,$C26,10+3*MIN(BJ$3,$D$2-1)))))</f>
        <v/>
      </c>
      <c r="BK26" s="122">
        <f>IF(OR($C26="",$B$2="",$D$2=0),0,IF(BK$3&lt;0,0,N(INDEX('CURVA PREVISION'!$A$1:$KZ$3000,$C26,10+3*MIN(BK$3,$D$2-1)))))</f>
        <v/>
      </c>
      <c r="BL26" s="122">
        <f>IF(OR($C26="",$B$2="",$D$2=0),0,IF(BL$3&lt;0,0,N(INDEX('CURVA PREVISION'!$A$1:$KZ$3000,$C26,10+3*MIN(BL$3,$D$2-1)))))</f>
        <v/>
      </c>
      <c r="BM26" s="122">
        <f>IF(OR($C26="",$B$2="",$D$2=0),0,IF(BM$3&lt;0,0,N(INDEX('CURVA PREVISION'!$A$1:$KZ$3000,$C26,10+3*MIN(BM$3,$D$2-1)))))</f>
        <v/>
      </c>
      <c r="BN26" s="122">
        <f>IF(OR($C26="",$B$2="",$D$2=0),0,IF(BN$3&lt;0,0,N(INDEX('CURVA PREVISION'!$A$1:$KZ$3000,$C26,10+3*MIN(BN$3,$D$2-1)))))</f>
        <v/>
      </c>
      <c r="BO26" s="122">
        <f>IF(OR($C26="",$B$2="",$D$2=0),0,IF(BO$3&lt;0,0,N(INDEX('CURVA PREVISION'!$A$1:$KZ$3000,$C26,10+3*MIN(BO$3,$D$2-1)))))</f>
        <v/>
      </c>
      <c r="BP26" s="122">
        <f>IF(OR($C26="",$B$2="",$D$2=0),0,IF(BP$3&lt;0,0,N(INDEX('CURVA PREVISION'!$A$1:$KZ$3000,$C26,10+3*MIN(BP$3,$D$2-1)))))</f>
        <v/>
      </c>
      <c r="BQ26" s="122">
        <f>IF(OR($C26="",$B$2="",$D$2=0),0,IF(BQ$3&lt;0,0,N(INDEX('CURVA PREVISION'!$A$1:$KZ$3000,$C26,10+3*MIN(BQ$3,$D$2-1)))))</f>
        <v/>
      </c>
      <c r="BR26" s="122">
        <f>IF(OR($C26="",$B$2="",$D$2=0),0,IF(BR$3&lt;0,0,N(INDEX('CURVA PREVISION'!$A$1:$KZ$3000,$C26,10+3*MIN(BR$3,$D$2-1)))))</f>
        <v/>
      </c>
      <c r="BS26" s="122">
        <f>IF(OR($C26="",$B$2="",$D$2=0),0,IF(BS$3&lt;0,0,N(INDEX('CURVA PREVISION'!$A$1:$KZ$3000,$C26,10+3*MIN(BS$3,$D$2-1)))))</f>
        <v/>
      </c>
      <c r="BT26" s="122">
        <f>IF(OR($C26="",$B$2="",$D$2=0),0,IF(BT$3&lt;0,0,N(INDEX('CURVA PREVISION'!$A$1:$KZ$3000,$C26,10+3*MIN(BT$3,$D$2-1)))))</f>
        <v/>
      </c>
      <c r="BU26" s="122">
        <f>IF(OR($C26="",$B$2="",$D$2=0),0,IF(BU$3&lt;0,0,N(INDEX('CURVA PREVISION'!$A$1:$KZ$3000,$C26,10+3*MIN(BU$3,$D$2-1)))))</f>
        <v/>
      </c>
      <c r="BV26" s="122">
        <f>IF(OR($C26="",$B$2="",$D$2=0),0,IF(BV$3&lt;0,0,N(INDEX('CURVA PREVISION'!$A$1:$KZ$3000,$C26,10+3*MIN(BV$3,$D$2-1)))))</f>
        <v/>
      </c>
      <c r="BW26" s="122">
        <f>IF(OR($C26="",$B$2="",$D$2=0),0,IF(BW$3&lt;0,0,N(INDEX('CURVA PREVISION'!$A$1:$KZ$3000,$C26,10+3*MIN(BW$3,$D$2-1)))))</f>
        <v/>
      </c>
    </row>
    <row r="27">
      <c r="A27" s="60">
        <f>IF('VALOR POR PL'!Q33="",'VALOR POR PL'!C33,'VALOR POR PL'!Q33)</f>
        <v/>
      </c>
      <c r="B27" s="60">
        <f>'VALOR POR PL'!D33</f>
        <v/>
      </c>
      <c r="C27" s="69">
        <f>IFERROR(MATCH(A27,'CURVA PREVISION'!$B$1:$B$3000,0),"")</f>
        <v/>
      </c>
      <c r="D27" s="122">
        <f>IF(OR($C27="",$B$2="",$D$2=0),0,IF(D$3&lt;0,0,N(INDEX('CURVA PREVISION'!$A$1:$KZ$3000,$C27,10+3*MIN(D$3,$D$2-1)))))</f>
        <v/>
      </c>
      <c r="E27" s="122">
        <f>IF(OR($C27="",$B$2="",$D$2=0),0,IF(E$3&lt;0,0,N(INDEX('CURVA PREVISION'!$A$1:$KZ$3000,$C27,10+3*MIN(E$3,$D$2-1)))))</f>
        <v/>
      </c>
      <c r="F27" s="122">
        <f>IF(OR($C27="",$B$2="",$D$2=0),0,IF(F$3&lt;0,0,N(INDEX('CURVA PREVISION'!$A$1:$KZ$3000,$C27,10+3*MIN(F$3,$D$2-1)))))</f>
        <v/>
      </c>
      <c r="G27" s="122">
        <f>IF(OR($C27="",$B$2="",$D$2=0),0,IF(G$3&lt;0,0,N(INDEX('CURVA PREVISION'!$A$1:$KZ$3000,$C27,10+3*MIN(G$3,$D$2-1)))))</f>
        <v/>
      </c>
      <c r="H27" s="122">
        <f>IF(OR($C27="",$B$2="",$D$2=0),0,IF(H$3&lt;0,0,N(INDEX('CURVA PREVISION'!$A$1:$KZ$3000,$C27,10+3*MIN(H$3,$D$2-1)))))</f>
        <v/>
      </c>
      <c r="I27" s="122">
        <f>IF(OR($C27="",$B$2="",$D$2=0),0,IF(I$3&lt;0,0,N(INDEX('CURVA PREVISION'!$A$1:$KZ$3000,$C27,10+3*MIN(I$3,$D$2-1)))))</f>
        <v/>
      </c>
      <c r="J27" s="122">
        <f>IF(OR($C27="",$B$2="",$D$2=0),0,IF(J$3&lt;0,0,N(INDEX('CURVA PREVISION'!$A$1:$KZ$3000,$C27,10+3*MIN(J$3,$D$2-1)))))</f>
        <v/>
      </c>
      <c r="K27" s="122">
        <f>IF(OR($C27="",$B$2="",$D$2=0),0,IF(K$3&lt;0,0,N(INDEX('CURVA PREVISION'!$A$1:$KZ$3000,$C27,10+3*MIN(K$3,$D$2-1)))))</f>
        <v/>
      </c>
      <c r="L27" s="122">
        <f>IF(OR($C27="",$B$2="",$D$2=0),0,IF(L$3&lt;0,0,N(INDEX('CURVA PREVISION'!$A$1:$KZ$3000,$C27,10+3*MIN(L$3,$D$2-1)))))</f>
        <v/>
      </c>
      <c r="M27" s="122">
        <f>IF(OR($C27="",$B$2="",$D$2=0),0,IF(M$3&lt;0,0,N(INDEX('CURVA PREVISION'!$A$1:$KZ$3000,$C27,10+3*MIN(M$3,$D$2-1)))))</f>
        <v/>
      </c>
      <c r="N27" s="122">
        <f>IF(OR($C27="",$B$2="",$D$2=0),0,IF(N$3&lt;0,0,N(INDEX('CURVA PREVISION'!$A$1:$KZ$3000,$C27,10+3*MIN(N$3,$D$2-1)))))</f>
        <v/>
      </c>
      <c r="O27" s="122">
        <f>IF(OR($C27="",$B$2="",$D$2=0),0,IF(O$3&lt;0,0,N(INDEX('CURVA PREVISION'!$A$1:$KZ$3000,$C27,10+3*MIN(O$3,$D$2-1)))))</f>
        <v/>
      </c>
      <c r="P27" s="122">
        <f>IF(OR($C27="",$B$2="",$D$2=0),0,IF(P$3&lt;0,0,N(INDEX('CURVA PREVISION'!$A$1:$KZ$3000,$C27,10+3*MIN(P$3,$D$2-1)))))</f>
        <v/>
      </c>
      <c r="Q27" s="122">
        <f>IF(OR($C27="",$B$2="",$D$2=0),0,IF(Q$3&lt;0,0,N(INDEX('CURVA PREVISION'!$A$1:$KZ$3000,$C27,10+3*MIN(Q$3,$D$2-1)))))</f>
        <v/>
      </c>
      <c r="R27" s="122">
        <f>IF(OR($C27="",$B$2="",$D$2=0),0,IF(R$3&lt;0,0,N(INDEX('CURVA PREVISION'!$A$1:$KZ$3000,$C27,10+3*MIN(R$3,$D$2-1)))))</f>
        <v/>
      </c>
      <c r="S27" s="122">
        <f>IF(OR($C27="",$B$2="",$D$2=0),0,IF(S$3&lt;0,0,N(INDEX('CURVA PREVISION'!$A$1:$KZ$3000,$C27,10+3*MIN(S$3,$D$2-1)))))</f>
        <v/>
      </c>
      <c r="T27" s="122">
        <f>IF(OR($C27="",$B$2="",$D$2=0),0,IF(T$3&lt;0,0,N(INDEX('CURVA PREVISION'!$A$1:$KZ$3000,$C27,10+3*MIN(T$3,$D$2-1)))))</f>
        <v/>
      </c>
      <c r="U27" s="122">
        <f>IF(OR($C27="",$B$2="",$D$2=0),0,IF(U$3&lt;0,0,N(INDEX('CURVA PREVISION'!$A$1:$KZ$3000,$C27,10+3*MIN(U$3,$D$2-1)))))</f>
        <v/>
      </c>
      <c r="V27" s="122">
        <f>IF(OR($C27="",$B$2="",$D$2=0),0,IF(V$3&lt;0,0,N(INDEX('CURVA PREVISION'!$A$1:$KZ$3000,$C27,10+3*MIN(V$3,$D$2-1)))))</f>
        <v/>
      </c>
      <c r="W27" s="122">
        <f>IF(OR($C27="",$B$2="",$D$2=0),0,IF(W$3&lt;0,0,N(INDEX('CURVA PREVISION'!$A$1:$KZ$3000,$C27,10+3*MIN(W$3,$D$2-1)))))</f>
        <v/>
      </c>
      <c r="X27" s="122">
        <f>IF(OR($C27="",$B$2="",$D$2=0),0,IF(X$3&lt;0,0,N(INDEX('CURVA PREVISION'!$A$1:$KZ$3000,$C27,10+3*MIN(X$3,$D$2-1)))))</f>
        <v/>
      </c>
      <c r="Y27" s="122">
        <f>IF(OR($C27="",$B$2="",$D$2=0),0,IF(Y$3&lt;0,0,N(INDEX('CURVA PREVISION'!$A$1:$KZ$3000,$C27,10+3*MIN(Y$3,$D$2-1)))))</f>
        <v/>
      </c>
      <c r="Z27" s="122">
        <f>IF(OR($C27="",$B$2="",$D$2=0),0,IF(Z$3&lt;0,0,N(INDEX('CURVA PREVISION'!$A$1:$KZ$3000,$C27,10+3*MIN(Z$3,$D$2-1)))))</f>
        <v/>
      </c>
      <c r="AA27" s="122">
        <f>IF(OR($C27="",$B$2="",$D$2=0),0,IF(AA$3&lt;0,0,N(INDEX('CURVA PREVISION'!$A$1:$KZ$3000,$C27,10+3*MIN(AA$3,$D$2-1)))))</f>
        <v/>
      </c>
      <c r="AB27" s="122">
        <f>IF(OR($C27="",$B$2="",$D$2=0),0,IF(AB$3&lt;0,0,N(INDEX('CURVA PREVISION'!$A$1:$KZ$3000,$C27,10+3*MIN(AB$3,$D$2-1)))))</f>
        <v/>
      </c>
      <c r="AC27" s="122">
        <f>IF(OR($C27="",$B$2="",$D$2=0),0,IF(AC$3&lt;0,0,N(INDEX('CURVA PREVISION'!$A$1:$KZ$3000,$C27,10+3*MIN(AC$3,$D$2-1)))))</f>
        <v/>
      </c>
      <c r="AD27" s="122">
        <f>IF(OR($C27="",$B$2="",$D$2=0),0,IF(AD$3&lt;0,0,N(INDEX('CURVA PREVISION'!$A$1:$KZ$3000,$C27,10+3*MIN(AD$3,$D$2-1)))))</f>
        <v/>
      </c>
      <c r="AE27" s="122">
        <f>IF(OR($C27="",$B$2="",$D$2=0),0,IF(AE$3&lt;0,0,N(INDEX('CURVA PREVISION'!$A$1:$KZ$3000,$C27,10+3*MIN(AE$3,$D$2-1)))))</f>
        <v/>
      </c>
      <c r="AF27" s="122">
        <f>IF(OR($C27="",$B$2="",$D$2=0),0,IF(AF$3&lt;0,0,N(INDEX('CURVA PREVISION'!$A$1:$KZ$3000,$C27,10+3*MIN(AF$3,$D$2-1)))))</f>
        <v/>
      </c>
      <c r="AG27" s="122">
        <f>IF(OR($C27="",$B$2="",$D$2=0),0,IF(AG$3&lt;0,0,N(INDEX('CURVA PREVISION'!$A$1:$KZ$3000,$C27,10+3*MIN(AG$3,$D$2-1)))))</f>
        <v/>
      </c>
      <c r="AH27" s="122">
        <f>IF(OR($C27="",$B$2="",$D$2=0),0,IF(AH$3&lt;0,0,N(INDEX('CURVA PREVISION'!$A$1:$KZ$3000,$C27,10+3*MIN(AH$3,$D$2-1)))))</f>
        <v/>
      </c>
      <c r="AI27" s="122">
        <f>IF(OR($C27="",$B$2="",$D$2=0),0,IF(AI$3&lt;0,0,N(INDEX('CURVA PREVISION'!$A$1:$KZ$3000,$C27,10+3*MIN(AI$3,$D$2-1)))))</f>
        <v/>
      </c>
      <c r="AJ27" s="122">
        <f>IF(OR($C27="",$B$2="",$D$2=0),0,IF(AJ$3&lt;0,0,N(INDEX('CURVA PREVISION'!$A$1:$KZ$3000,$C27,10+3*MIN(AJ$3,$D$2-1)))))</f>
        <v/>
      </c>
      <c r="AK27" s="122">
        <f>IF(OR($C27="",$B$2="",$D$2=0),0,IF(AK$3&lt;0,0,N(INDEX('CURVA PREVISION'!$A$1:$KZ$3000,$C27,10+3*MIN(AK$3,$D$2-1)))))</f>
        <v/>
      </c>
      <c r="AL27" s="122">
        <f>IF(OR($C27="",$B$2="",$D$2=0),0,IF(AL$3&lt;0,0,N(INDEX('CURVA PREVISION'!$A$1:$KZ$3000,$C27,10+3*MIN(AL$3,$D$2-1)))))</f>
        <v/>
      </c>
      <c r="AM27" s="122">
        <f>IF(OR($C27="",$B$2="",$D$2=0),0,IF(AM$3&lt;0,0,N(INDEX('CURVA PREVISION'!$A$1:$KZ$3000,$C27,10+3*MIN(AM$3,$D$2-1)))))</f>
        <v/>
      </c>
      <c r="AN27" s="122">
        <f>IF(OR($C27="",$B$2="",$D$2=0),0,IF(AN$3&lt;0,0,N(INDEX('CURVA PREVISION'!$A$1:$KZ$3000,$C27,10+3*MIN(AN$3,$D$2-1)))))</f>
        <v/>
      </c>
      <c r="AO27" s="122">
        <f>IF(OR($C27="",$B$2="",$D$2=0),0,IF(AO$3&lt;0,0,N(INDEX('CURVA PREVISION'!$A$1:$KZ$3000,$C27,10+3*MIN(AO$3,$D$2-1)))))</f>
        <v/>
      </c>
      <c r="AP27" s="122">
        <f>IF(OR($C27="",$B$2="",$D$2=0),0,IF(AP$3&lt;0,0,N(INDEX('CURVA PREVISION'!$A$1:$KZ$3000,$C27,10+3*MIN(AP$3,$D$2-1)))))</f>
        <v/>
      </c>
      <c r="AQ27" s="122">
        <f>IF(OR($C27="",$B$2="",$D$2=0),0,IF(AQ$3&lt;0,0,N(INDEX('CURVA PREVISION'!$A$1:$KZ$3000,$C27,10+3*MIN(AQ$3,$D$2-1)))))</f>
        <v/>
      </c>
      <c r="AR27" s="122">
        <f>IF(OR($C27="",$B$2="",$D$2=0),0,IF(AR$3&lt;0,0,N(INDEX('CURVA PREVISION'!$A$1:$KZ$3000,$C27,10+3*MIN(AR$3,$D$2-1)))))</f>
        <v/>
      </c>
      <c r="AS27" s="122">
        <f>IF(OR($C27="",$B$2="",$D$2=0),0,IF(AS$3&lt;0,0,N(INDEX('CURVA PREVISION'!$A$1:$KZ$3000,$C27,10+3*MIN(AS$3,$D$2-1)))))</f>
        <v/>
      </c>
      <c r="AT27" s="122">
        <f>IF(OR($C27="",$B$2="",$D$2=0),0,IF(AT$3&lt;0,0,N(INDEX('CURVA PREVISION'!$A$1:$KZ$3000,$C27,10+3*MIN(AT$3,$D$2-1)))))</f>
        <v/>
      </c>
      <c r="AU27" s="122">
        <f>IF(OR($C27="",$B$2="",$D$2=0),0,IF(AU$3&lt;0,0,N(INDEX('CURVA PREVISION'!$A$1:$KZ$3000,$C27,10+3*MIN(AU$3,$D$2-1)))))</f>
        <v/>
      </c>
      <c r="AV27" s="122">
        <f>IF(OR($C27="",$B$2="",$D$2=0),0,IF(AV$3&lt;0,0,N(INDEX('CURVA PREVISION'!$A$1:$KZ$3000,$C27,10+3*MIN(AV$3,$D$2-1)))))</f>
        <v/>
      </c>
      <c r="AW27" s="122">
        <f>IF(OR($C27="",$B$2="",$D$2=0),0,IF(AW$3&lt;0,0,N(INDEX('CURVA PREVISION'!$A$1:$KZ$3000,$C27,10+3*MIN(AW$3,$D$2-1)))))</f>
        <v/>
      </c>
      <c r="AX27" s="122">
        <f>IF(OR($C27="",$B$2="",$D$2=0),0,IF(AX$3&lt;0,0,N(INDEX('CURVA PREVISION'!$A$1:$KZ$3000,$C27,10+3*MIN(AX$3,$D$2-1)))))</f>
        <v/>
      </c>
      <c r="AY27" s="122">
        <f>IF(OR($C27="",$B$2="",$D$2=0),0,IF(AY$3&lt;0,0,N(INDEX('CURVA PREVISION'!$A$1:$KZ$3000,$C27,10+3*MIN(AY$3,$D$2-1)))))</f>
        <v/>
      </c>
      <c r="AZ27" s="122">
        <f>IF(OR($C27="",$B$2="",$D$2=0),0,IF(AZ$3&lt;0,0,N(INDEX('CURVA PREVISION'!$A$1:$KZ$3000,$C27,10+3*MIN(AZ$3,$D$2-1)))))</f>
        <v/>
      </c>
      <c r="BA27" s="122">
        <f>IF(OR($C27="",$B$2="",$D$2=0),0,IF(BA$3&lt;0,0,N(INDEX('CURVA PREVISION'!$A$1:$KZ$3000,$C27,10+3*MIN(BA$3,$D$2-1)))))</f>
        <v/>
      </c>
      <c r="BB27" s="122">
        <f>IF(OR($C27="",$B$2="",$D$2=0),0,IF(BB$3&lt;0,0,N(INDEX('CURVA PREVISION'!$A$1:$KZ$3000,$C27,10+3*MIN(BB$3,$D$2-1)))))</f>
        <v/>
      </c>
      <c r="BC27" s="122">
        <f>IF(OR($C27="",$B$2="",$D$2=0),0,IF(BC$3&lt;0,0,N(INDEX('CURVA PREVISION'!$A$1:$KZ$3000,$C27,10+3*MIN(BC$3,$D$2-1)))))</f>
        <v/>
      </c>
      <c r="BD27" s="122">
        <f>IF(OR($C27="",$B$2="",$D$2=0),0,IF(BD$3&lt;0,0,N(INDEX('CURVA PREVISION'!$A$1:$KZ$3000,$C27,10+3*MIN(BD$3,$D$2-1)))))</f>
        <v/>
      </c>
      <c r="BE27" s="122">
        <f>IF(OR($C27="",$B$2="",$D$2=0),0,IF(BE$3&lt;0,0,N(INDEX('CURVA PREVISION'!$A$1:$KZ$3000,$C27,10+3*MIN(BE$3,$D$2-1)))))</f>
        <v/>
      </c>
      <c r="BF27" s="122">
        <f>IF(OR($C27="",$B$2="",$D$2=0),0,IF(BF$3&lt;0,0,N(INDEX('CURVA PREVISION'!$A$1:$KZ$3000,$C27,10+3*MIN(BF$3,$D$2-1)))))</f>
        <v/>
      </c>
      <c r="BG27" s="122">
        <f>IF(OR($C27="",$B$2="",$D$2=0),0,IF(BG$3&lt;0,0,N(INDEX('CURVA PREVISION'!$A$1:$KZ$3000,$C27,10+3*MIN(BG$3,$D$2-1)))))</f>
        <v/>
      </c>
      <c r="BH27" s="122">
        <f>IF(OR($C27="",$B$2="",$D$2=0),0,IF(BH$3&lt;0,0,N(INDEX('CURVA PREVISION'!$A$1:$KZ$3000,$C27,10+3*MIN(BH$3,$D$2-1)))))</f>
        <v/>
      </c>
      <c r="BI27" s="122">
        <f>IF(OR($C27="",$B$2="",$D$2=0),0,IF(BI$3&lt;0,0,N(INDEX('CURVA PREVISION'!$A$1:$KZ$3000,$C27,10+3*MIN(BI$3,$D$2-1)))))</f>
        <v/>
      </c>
      <c r="BJ27" s="122">
        <f>IF(OR($C27="",$B$2="",$D$2=0),0,IF(BJ$3&lt;0,0,N(INDEX('CURVA PREVISION'!$A$1:$KZ$3000,$C27,10+3*MIN(BJ$3,$D$2-1)))))</f>
        <v/>
      </c>
      <c r="BK27" s="122">
        <f>IF(OR($C27="",$B$2="",$D$2=0),0,IF(BK$3&lt;0,0,N(INDEX('CURVA PREVISION'!$A$1:$KZ$3000,$C27,10+3*MIN(BK$3,$D$2-1)))))</f>
        <v/>
      </c>
      <c r="BL27" s="122">
        <f>IF(OR($C27="",$B$2="",$D$2=0),0,IF(BL$3&lt;0,0,N(INDEX('CURVA PREVISION'!$A$1:$KZ$3000,$C27,10+3*MIN(BL$3,$D$2-1)))))</f>
        <v/>
      </c>
      <c r="BM27" s="122">
        <f>IF(OR($C27="",$B$2="",$D$2=0),0,IF(BM$3&lt;0,0,N(INDEX('CURVA PREVISION'!$A$1:$KZ$3000,$C27,10+3*MIN(BM$3,$D$2-1)))))</f>
        <v/>
      </c>
      <c r="BN27" s="122">
        <f>IF(OR($C27="",$B$2="",$D$2=0),0,IF(BN$3&lt;0,0,N(INDEX('CURVA PREVISION'!$A$1:$KZ$3000,$C27,10+3*MIN(BN$3,$D$2-1)))))</f>
        <v/>
      </c>
      <c r="BO27" s="122">
        <f>IF(OR($C27="",$B$2="",$D$2=0),0,IF(BO$3&lt;0,0,N(INDEX('CURVA PREVISION'!$A$1:$KZ$3000,$C27,10+3*MIN(BO$3,$D$2-1)))))</f>
        <v/>
      </c>
      <c r="BP27" s="122">
        <f>IF(OR($C27="",$B$2="",$D$2=0),0,IF(BP$3&lt;0,0,N(INDEX('CURVA PREVISION'!$A$1:$KZ$3000,$C27,10+3*MIN(BP$3,$D$2-1)))))</f>
        <v/>
      </c>
      <c r="BQ27" s="122">
        <f>IF(OR($C27="",$B$2="",$D$2=0),0,IF(BQ$3&lt;0,0,N(INDEX('CURVA PREVISION'!$A$1:$KZ$3000,$C27,10+3*MIN(BQ$3,$D$2-1)))))</f>
        <v/>
      </c>
      <c r="BR27" s="122">
        <f>IF(OR($C27="",$B$2="",$D$2=0),0,IF(BR$3&lt;0,0,N(INDEX('CURVA PREVISION'!$A$1:$KZ$3000,$C27,10+3*MIN(BR$3,$D$2-1)))))</f>
        <v/>
      </c>
      <c r="BS27" s="122">
        <f>IF(OR($C27="",$B$2="",$D$2=0),0,IF(BS$3&lt;0,0,N(INDEX('CURVA PREVISION'!$A$1:$KZ$3000,$C27,10+3*MIN(BS$3,$D$2-1)))))</f>
        <v/>
      </c>
      <c r="BT27" s="122">
        <f>IF(OR($C27="",$B$2="",$D$2=0),0,IF(BT$3&lt;0,0,N(INDEX('CURVA PREVISION'!$A$1:$KZ$3000,$C27,10+3*MIN(BT$3,$D$2-1)))))</f>
        <v/>
      </c>
      <c r="BU27" s="122">
        <f>IF(OR($C27="",$B$2="",$D$2=0),0,IF(BU$3&lt;0,0,N(INDEX('CURVA PREVISION'!$A$1:$KZ$3000,$C27,10+3*MIN(BU$3,$D$2-1)))))</f>
        <v/>
      </c>
      <c r="BV27" s="122">
        <f>IF(OR($C27="",$B$2="",$D$2=0),0,IF(BV$3&lt;0,0,N(INDEX('CURVA PREVISION'!$A$1:$KZ$3000,$C27,10+3*MIN(BV$3,$D$2-1)))))</f>
        <v/>
      </c>
      <c r="BW27" s="122">
        <f>IF(OR($C27="",$B$2="",$D$2=0),0,IF(BW$3&lt;0,0,N(INDEX('CURVA PREVISION'!$A$1:$KZ$3000,$C27,10+3*MIN(BW$3,$D$2-1)))))</f>
        <v/>
      </c>
    </row>
    <row r="28">
      <c r="A28" s="60">
        <f>IF('VALOR POR PL'!Q34="",'VALOR POR PL'!C34,'VALOR POR PL'!Q34)</f>
        <v/>
      </c>
      <c r="B28" s="60">
        <f>'VALOR POR PL'!D34</f>
        <v/>
      </c>
      <c r="C28" s="69">
        <f>IFERROR(MATCH(A28,'CURVA PREVISION'!$B$1:$B$3000,0),"")</f>
        <v/>
      </c>
      <c r="D28" s="122">
        <f>IF(OR($C28="",$B$2="",$D$2=0),0,IF(D$3&lt;0,0,N(INDEX('CURVA PREVISION'!$A$1:$KZ$3000,$C28,10+3*MIN(D$3,$D$2-1)))))</f>
        <v/>
      </c>
      <c r="E28" s="122">
        <f>IF(OR($C28="",$B$2="",$D$2=0),0,IF(E$3&lt;0,0,N(INDEX('CURVA PREVISION'!$A$1:$KZ$3000,$C28,10+3*MIN(E$3,$D$2-1)))))</f>
        <v/>
      </c>
      <c r="F28" s="122">
        <f>IF(OR($C28="",$B$2="",$D$2=0),0,IF(F$3&lt;0,0,N(INDEX('CURVA PREVISION'!$A$1:$KZ$3000,$C28,10+3*MIN(F$3,$D$2-1)))))</f>
        <v/>
      </c>
      <c r="G28" s="122">
        <f>IF(OR($C28="",$B$2="",$D$2=0),0,IF(G$3&lt;0,0,N(INDEX('CURVA PREVISION'!$A$1:$KZ$3000,$C28,10+3*MIN(G$3,$D$2-1)))))</f>
        <v/>
      </c>
      <c r="H28" s="122">
        <f>IF(OR($C28="",$B$2="",$D$2=0),0,IF(H$3&lt;0,0,N(INDEX('CURVA PREVISION'!$A$1:$KZ$3000,$C28,10+3*MIN(H$3,$D$2-1)))))</f>
        <v/>
      </c>
      <c r="I28" s="122">
        <f>IF(OR($C28="",$B$2="",$D$2=0),0,IF(I$3&lt;0,0,N(INDEX('CURVA PREVISION'!$A$1:$KZ$3000,$C28,10+3*MIN(I$3,$D$2-1)))))</f>
        <v/>
      </c>
      <c r="J28" s="122">
        <f>IF(OR($C28="",$B$2="",$D$2=0),0,IF(J$3&lt;0,0,N(INDEX('CURVA PREVISION'!$A$1:$KZ$3000,$C28,10+3*MIN(J$3,$D$2-1)))))</f>
        <v/>
      </c>
      <c r="K28" s="122">
        <f>IF(OR($C28="",$B$2="",$D$2=0),0,IF(K$3&lt;0,0,N(INDEX('CURVA PREVISION'!$A$1:$KZ$3000,$C28,10+3*MIN(K$3,$D$2-1)))))</f>
        <v/>
      </c>
      <c r="L28" s="122">
        <f>IF(OR($C28="",$B$2="",$D$2=0),0,IF(L$3&lt;0,0,N(INDEX('CURVA PREVISION'!$A$1:$KZ$3000,$C28,10+3*MIN(L$3,$D$2-1)))))</f>
        <v/>
      </c>
      <c r="M28" s="122">
        <f>IF(OR($C28="",$B$2="",$D$2=0),0,IF(M$3&lt;0,0,N(INDEX('CURVA PREVISION'!$A$1:$KZ$3000,$C28,10+3*MIN(M$3,$D$2-1)))))</f>
        <v/>
      </c>
      <c r="N28" s="122">
        <f>IF(OR($C28="",$B$2="",$D$2=0),0,IF(N$3&lt;0,0,N(INDEX('CURVA PREVISION'!$A$1:$KZ$3000,$C28,10+3*MIN(N$3,$D$2-1)))))</f>
        <v/>
      </c>
      <c r="O28" s="122">
        <f>IF(OR($C28="",$B$2="",$D$2=0),0,IF(O$3&lt;0,0,N(INDEX('CURVA PREVISION'!$A$1:$KZ$3000,$C28,10+3*MIN(O$3,$D$2-1)))))</f>
        <v/>
      </c>
      <c r="P28" s="122">
        <f>IF(OR($C28="",$B$2="",$D$2=0),0,IF(P$3&lt;0,0,N(INDEX('CURVA PREVISION'!$A$1:$KZ$3000,$C28,10+3*MIN(P$3,$D$2-1)))))</f>
        <v/>
      </c>
      <c r="Q28" s="122">
        <f>IF(OR($C28="",$B$2="",$D$2=0),0,IF(Q$3&lt;0,0,N(INDEX('CURVA PREVISION'!$A$1:$KZ$3000,$C28,10+3*MIN(Q$3,$D$2-1)))))</f>
        <v/>
      </c>
      <c r="R28" s="122">
        <f>IF(OR($C28="",$B$2="",$D$2=0),0,IF(R$3&lt;0,0,N(INDEX('CURVA PREVISION'!$A$1:$KZ$3000,$C28,10+3*MIN(R$3,$D$2-1)))))</f>
        <v/>
      </c>
      <c r="S28" s="122">
        <f>IF(OR($C28="",$B$2="",$D$2=0),0,IF(S$3&lt;0,0,N(INDEX('CURVA PREVISION'!$A$1:$KZ$3000,$C28,10+3*MIN(S$3,$D$2-1)))))</f>
        <v/>
      </c>
      <c r="T28" s="122">
        <f>IF(OR($C28="",$B$2="",$D$2=0),0,IF(T$3&lt;0,0,N(INDEX('CURVA PREVISION'!$A$1:$KZ$3000,$C28,10+3*MIN(T$3,$D$2-1)))))</f>
        <v/>
      </c>
      <c r="U28" s="122">
        <f>IF(OR($C28="",$B$2="",$D$2=0),0,IF(U$3&lt;0,0,N(INDEX('CURVA PREVISION'!$A$1:$KZ$3000,$C28,10+3*MIN(U$3,$D$2-1)))))</f>
        <v/>
      </c>
      <c r="V28" s="122">
        <f>IF(OR($C28="",$B$2="",$D$2=0),0,IF(V$3&lt;0,0,N(INDEX('CURVA PREVISION'!$A$1:$KZ$3000,$C28,10+3*MIN(V$3,$D$2-1)))))</f>
        <v/>
      </c>
      <c r="W28" s="122">
        <f>IF(OR($C28="",$B$2="",$D$2=0),0,IF(W$3&lt;0,0,N(INDEX('CURVA PREVISION'!$A$1:$KZ$3000,$C28,10+3*MIN(W$3,$D$2-1)))))</f>
        <v/>
      </c>
      <c r="X28" s="122">
        <f>IF(OR($C28="",$B$2="",$D$2=0),0,IF(X$3&lt;0,0,N(INDEX('CURVA PREVISION'!$A$1:$KZ$3000,$C28,10+3*MIN(X$3,$D$2-1)))))</f>
        <v/>
      </c>
      <c r="Y28" s="122">
        <f>IF(OR($C28="",$B$2="",$D$2=0),0,IF(Y$3&lt;0,0,N(INDEX('CURVA PREVISION'!$A$1:$KZ$3000,$C28,10+3*MIN(Y$3,$D$2-1)))))</f>
        <v/>
      </c>
      <c r="Z28" s="122">
        <f>IF(OR($C28="",$B$2="",$D$2=0),0,IF(Z$3&lt;0,0,N(INDEX('CURVA PREVISION'!$A$1:$KZ$3000,$C28,10+3*MIN(Z$3,$D$2-1)))))</f>
        <v/>
      </c>
      <c r="AA28" s="122">
        <f>IF(OR($C28="",$B$2="",$D$2=0),0,IF(AA$3&lt;0,0,N(INDEX('CURVA PREVISION'!$A$1:$KZ$3000,$C28,10+3*MIN(AA$3,$D$2-1)))))</f>
        <v/>
      </c>
      <c r="AB28" s="122">
        <f>IF(OR($C28="",$B$2="",$D$2=0),0,IF(AB$3&lt;0,0,N(INDEX('CURVA PREVISION'!$A$1:$KZ$3000,$C28,10+3*MIN(AB$3,$D$2-1)))))</f>
        <v/>
      </c>
      <c r="AC28" s="122">
        <f>IF(OR($C28="",$B$2="",$D$2=0),0,IF(AC$3&lt;0,0,N(INDEX('CURVA PREVISION'!$A$1:$KZ$3000,$C28,10+3*MIN(AC$3,$D$2-1)))))</f>
        <v/>
      </c>
      <c r="AD28" s="122">
        <f>IF(OR($C28="",$B$2="",$D$2=0),0,IF(AD$3&lt;0,0,N(INDEX('CURVA PREVISION'!$A$1:$KZ$3000,$C28,10+3*MIN(AD$3,$D$2-1)))))</f>
        <v/>
      </c>
      <c r="AE28" s="122">
        <f>IF(OR($C28="",$B$2="",$D$2=0),0,IF(AE$3&lt;0,0,N(INDEX('CURVA PREVISION'!$A$1:$KZ$3000,$C28,10+3*MIN(AE$3,$D$2-1)))))</f>
        <v/>
      </c>
      <c r="AF28" s="122">
        <f>IF(OR($C28="",$B$2="",$D$2=0),0,IF(AF$3&lt;0,0,N(INDEX('CURVA PREVISION'!$A$1:$KZ$3000,$C28,10+3*MIN(AF$3,$D$2-1)))))</f>
        <v/>
      </c>
      <c r="AG28" s="122">
        <f>IF(OR($C28="",$B$2="",$D$2=0),0,IF(AG$3&lt;0,0,N(INDEX('CURVA PREVISION'!$A$1:$KZ$3000,$C28,10+3*MIN(AG$3,$D$2-1)))))</f>
        <v/>
      </c>
      <c r="AH28" s="122">
        <f>IF(OR($C28="",$B$2="",$D$2=0),0,IF(AH$3&lt;0,0,N(INDEX('CURVA PREVISION'!$A$1:$KZ$3000,$C28,10+3*MIN(AH$3,$D$2-1)))))</f>
        <v/>
      </c>
      <c r="AI28" s="122">
        <f>IF(OR($C28="",$B$2="",$D$2=0),0,IF(AI$3&lt;0,0,N(INDEX('CURVA PREVISION'!$A$1:$KZ$3000,$C28,10+3*MIN(AI$3,$D$2-1)))))</f>
        <v/>
      </c>
      <c r="AJ28" s="122">
        <f>IF(OR($C28="",$B$2="",$D$2=0),0,IF(AJ$3&lt;0,0,N(INDEX('CURVA PREVISION'!$A$1:$KZ$3000,$C28,10+3*MIN(AJ$3,$D$2-1)))))</f>
        <v/>
      </c>
      <c r="AK28" s="122">
        <f>IF(OR($C28="",$B$2="",$D$2=0),0,IF(AK$3&lt;0,0,N(INDEX('CURVA PREVISION'!$A$1:$KZ$3000,$C28,10+3*MIN(AK$3,$D$2-1)))))</f>
        <v/>
      </c>
      <c r="AL28" s="122">
        <f>IF(OR($C28="",$B$2="",$D$2=0),0,IF(AL$3&lt;0,0,N(INDEX('CURVA PREVISION'!$A$1:$KZ$3000,$C28,10+3*MIN(AL$3,$D$2-1)))))</f>
        <v/>
      </c>
      <c r="AM28" s="122">
        <f>IF(OR($C28="",$B$2="",$D$2=0),0,IF(AM$3&lt;0,0,N(INDEX('CURVA PREVISION'!$A$1:$KZ$3000,$C28,10+3*MIN(AM$3,$D$2-1)))))</f>
        <v/>
      </c>
      <c r="AN28" s="122">
        <f>IF(OR($C28="",$B$2="",$D$2=0),0,IF(AN$3&lt;0,0,N(INDEX('CURVA PREVISION'!$A$1:$KZ$3000,$C28,10+3*MIN(AN$3,$D$2-1)))))</f>
        <v/>
      </c>
      <c r="AO28" s="122">
        <f>IF(OR($C28="",$B$2="",$D$2=0),0,IF(AO$3&lt;0,0,N(INDEX('CURVA PREVISION'!$A$1:$KZ$3000,$C28,10+3*MIN(AO$3,$D$2-1)))))</f>
        <v/>
      </c>
      <c r="AP28" s="122">
        <f>IF(OR($C28="",$B$2="",$D$2=0),0,IF(AP$3&lt;0,0,N(INDEX('CURVA PREVISION'!$A$1:$KZ$3000,$C28,10+3*MIN(AP$3,$D$2-1)))))</f>
        <v/>
      </c>
      <c r="AQ28" s="122">
        <f>IF(OR($C28="",$B$2="",$D$2=0),0,IF(AQ$3&lt;0,0,N(INDEX('CURVA PREVISION'!$A$1:$KZ$3000,$C28,10+3*MIN(AQ$3,$D$2-1)))))</f>
        <v/>
      </c>
      <c r="AR28" s="122">
        <f>IF(OR($C28="",$B$2="",$D$2=0),0,IF(AR$3&lt;0,0,N(INDEX('CURVA PREVISION'!$A$1:$KZ$3000,$C28,10+3*MIN(AR$3,$D$2-1)))))</f>
        <v/>
      </c>
      <c r="AS28" s="122">
        <f>IF(OR($C28="",$B$2="",$D$2=0),0,IF(AS$3&lt;0,0,N(INDEX('CURVA PREVISION'!$A$1:$KZ$3000,$C28,10+3*MIN(AS$3,$D$2-1)))))</f>
        <v/>
      </c>
      <c r="AT28" s="122">
        <f>IF(OR($C28="",$B$2="",$D$2=0),0,IF(AT$3&lt;0,0,N(INDEX('CURVA PREVISION'!$A$1:$KZ$3000,$C28,10+3*MIN(AT$3,$D$2-1)))))</f>
        <v/>
      </c>
      <c r="AU28" s="122">
        <f>IF(OR($C28="",$B$2="",$D$2=0),0,IF(AU$3&lt;0,0,N(INDEX('CURVA PREVISION'!$A$1:$KZ$3000,$C28,10+3*MIN(AU$3,$D$2-1)))))</f>
        <v/>
      </c>
      <c r="AV28" s="122">
        <f>IF(OR($C28="",$B$2="",$D$2=0),0,IF(AV$3&lt;0,0,N(INDEX('CURVA PREVISION'!$A$1:$KZ$3000,$C28,10+3*MIN(AV$3,$D$2-1)))))</f>
        <v/>
      </c>
      <c r="AW28" s="122">
        <f>IF(OR($C28="",$B$2="",$D$2=0),0,IF(AW$3&lt;0,0,N(INDEX('CURVA PREVISION'!$A$1:$KZ$3000,$C28,10+3*MIN(AW$3,$D$2-1)))))</f>
        <v/>
      </c>
      <c r="AX28" s="122">
        <f>IF(OR($C28="",$B$2="",$D$2=0),0,IF(AX$3&lt;0,0,N(INDEX('CURVA PREVISION'!$A$1:$KZ$3000,$C28,10+3*MIN(AX$3,$D$2-1)))))</f>
        <v/>
      </c>
      <c r="AY28" s="122">
        <f>IF(OR($C28="",$B$2="",$D$2=0),0,IF(AY$3&lt;0,0,N(INDEX('CURVA PREVISION'!$A$1:$KZ$3000,$C28,10+3*MIN(AY$3,$D$2-1)))))</f>
        <v/>
      </c>
      <c r="AZ28" s="122">
        <f>IF(OR($C28="",$B$2="",$D$2=0),0,IF(AZ$3&lt;0,0,N(INDEX('CURVA PREVISION'!$A$1:$KZ$3000,$C28,10+3*MIN(AZ$3,$D$2-1)))))</f>
        <v/>
      </c>
      <c r="BA28" s="122">
        <f>IF(OR($C28="",$B$2="",$D$2=0),0,IF(BA$3&lt;0,0,N(INDEX('CURVA PREVISION'!$A$1:$KZ$3000,$C28,10+3*MIN(BA$3,$D$2-1)))))</f>
        <v/>
      </c>
      <c r="BB28" s="122">
        <f>IF(OR($C28="",$B$2="",$D$2=0),0,IF(BB$3&lt;0,0,N(INDEX('CURVA PREVISION'!$A$1:$KZ$3000,$C28,10+3*MIN(BB$3,$D$2-1)))))</f>
        <v/>
      </c>
      <c r="BC28" s="122">
        <f>IF(OR($C28="",$B$2="",$D$2=0),0,IF(BC$3&lt;0,0,N(INDEX('CURVA PREVISION'!$A$1:$KZ$3000,$C28,10+3*MIN(BC$3,$D$2-1)))))</f>
        <v/>
      </c>
      <c r="BD28" s="122">
        <f>IF(OR($C28="",$B$2="",$D$2=0),0,IF(BD$3&lt;0,0,N(INDEX('CURVA PREVISION'!$A$1:$KZ$3000,$C28,10+3*MIN(BD$3,$D$2-1)))))</f>
        <v/>
      </c>
      <c r="BE28" s="122">
        <f>IF(OR($C28="",$B$2="",$D$2=0),0,IF(BE$3&lt;0,0,N(INDEX('CURVA PREVISION'!$A$1:$KZ$3000,$C28,10+3*MIN(BE$3,$D$2-1)))))</f>
        <v/>
      </c>
      <c r="BF28" s="122">
        <f>IF(OR($C28="",$B$2="",$D$2=0),0,IF(BF$3&lt;0,0,N(INDEX('CURVA PREVISION'!$A$1:$KZ$3000,$C28,10+3*MIN(BF$3,$D$2-1)))))</f>
        <v/>
      </c>
      <c r="BG28" s="122">
        <f>IF(OR($C28="",$B$2="",$D$2=0),0,IF(BG$3&lt;0,0,N(INDEX('CURVA PREVISION'!$A$1:$KZ$3000,$C28,10+3*MIN(BG$3,$D$2-1)))))</f>
        <v/>
      </c>
      <c r="BH28" s="122">
        <f>IF(OR($C28="",$B$2="",$D$2=0),0,IF(BH$3&lt;0,0,N(INDEX('CURVA PREVISION'!$A$1:$KZ$3000,$C28,10+3*MIN(BH$3,$D$2-1)))))</f>
        <v/>
      </c>
      <c r="BI28" s="122">
        <f>IF(OR($C28="",$B$2="",$D$2=0),0,IF(BI$3&lt;0,0,N(INDEX('CURVA PREVISION'!$A$1:$KZ$3000,$C28,10+3*MIN(BI$3,$D$2-1)))))</f>
        <v/>
      </c>
      <c r="BJ28" s="122">
        <f>IF(OR($C28="",$B$2="",$D$2=0),0,IF(BJ$3&lt;0,0,N(INDEX('CURVA PREVISION'!$A$1:$KZ$3000,$C28,10+3*MIN(BJ$3,$D$2-1)))))</f>
        <v/>
      </c>
      <c r="BK28" s="122">
        <f>IF(OR($C28="",$B$2="",$D$2=0),0,IF(BK$3&lt;0,0,N(INDEX('CURVA PREVISION'!$A$1:$KZ$3000,$C28,10+3*MIN(BK$3,$D$2-1)))))</f>
        <v/>
      </c>
      <c r="BL28" s="122">
        <f>IF(OR($C28="",$B$2="",$D$2=0),0,IF(BL$3&lt;0,0,N(INDEX('CURVA PREVISION'!$A$1:$KZ$3000,$C28,10+3*MIN(BL$3,$D$2-1)))))</f>
        <v/>
      </c>
      <c r="BM28" s="122">
        <f>IF(OR($C28="",$B$2="",$D$2=0),0,IF(BM$3&lt;0,0,N(INDEX('CURVA PREVISION'!$A$1:$KZ$3000,$C28,10+3*MIN(BM$3,$D$2-1)))))</f>
        <v/>
      </c>
      <c r="BN28" s="122">
        <f>IF(OR($C28="",$B$2="",$D$2=0),0,IF(BN$3&lt;0,0,N(INDEX('CURVA PREVISION'!$A$1:$KZ$3000,$C28,10+3*MIN(BN$3,$D$2-1)))))</f>
        <v/>
      </c>
      <c r="BO28" s="122">
        <f>IF(OR($C28="",$B$2="",$D$2=0),0,IF(BO$3&lt;0,0,N(INDEX('CURVA PREVISION'!$A$1:$KZ$3000,$C28,10+3*MIN(BO$3,$D$2-1)))))</f>
        <v/>
      </c>
      <c r="BP28" s="122">
        <f>IF(OR($C28="",$B$2="",$D$2=0),0,IF(BP$3&lt;0,0,N(INDEX('CURVA PREVISION'!$A$1:$KZ$3000,$C28,10+3*MIN(BP$3,$D$2-1)))))</f>
        <v/>
      </c>
      <c r="BQ28" s="122">
        <f>IF(OR($C28="",$B$2="",$D$2=0),0,IF(BQ$3&lt;0,0,N(INDEX('CURVA PREVISION'!$A$1:$KZ$3000,$C28,10+3*MIN(BQ$3,$D$2-1)))))</f>
        <v/>
      </c>
      <c r="BR28" s="122">
        <f>IF(OR($C28="",$B$2="",$D$2=0),0,IF(BR$3&lt;0,0,N(INDEX('CURVA PREVISION'!$A$1:$KZ$3000,$C28,10+3*MIN(BR$3,$D$2-1)))))</f>
        <v/>
      </c>
      <c r="BS28" s="122">
        <f>IF(OR($C28="",$B$2="",$D$2=0),0,IF(BS$3&lt;0,0,N(INDEX('CURVA PREVISION'!$A$1:$KZ$3000,$C28,10+3*MIN(BS$3,$D$2-1)))))</f>
        <v/>
      </c>
      <c r="BT28" s="122">
        <f>IF(OR($C28="",$B$2="",$D$2=0),0,IF(BT$3&lt;0,0,N(INDEX('CURVA PREVISION'!$A$1:$KZ$3000,$C28,10+3*MIN(BT$3,$D$2-1)))))</f>
        <v/>
      </c>
      <c r="BU28" s="122">
        <f>IF(OR($C28="",$B$2="",$D$2=0),0,IF(BU$3&lt;0,0,N(INDEX('CURVA PREVISION'!$A$1:$KZ$3000,$C28,10+3*MIN(BU$3,$D$2-1)))))</f>
        <v/>
      </c>
      <c r="BV28" s="122">
        <f>IF(OR($C28="",$B$2="",$D$2=0),0,IF(BV$3&lt;0,0,N(INDEX('CURVA PREVISION'!$A$1:$KZ$3000,$C28,10+3*MIN(BV$3,$D$2-1)))))</f>
        <v/>
      </c>
      <c r="BW28" s="122">
        <f>IF(OR($C28="",$B$2="",$D$2=0),0,IF(BW$3&lt;0,0,N(INDEX('CURVA PREVISION'!$A$1:$KZ$3000,$C28,10+3*MIN(BW$3,$D$2-1)))))</f>
        <v/>
      </c>
    </row>
    <row r="29">
      <c r="A29" s="60">
        <f>IF('VALOR POR PL'!Q35="",'VALOR POR PL'!C35,'VALOR POR PL'!Q35)</f>
        <v/>
      </c>
      <c r="B29" s="60">
        <f>'VALOR POR PL'!D35</f>
        <v/>
      </c>
      <c r="C29" s="69">
        <f>IFERROR(MATCH(A29,'CURVA PREVISION'!$B$1:$B$3000,0),"")</f>
        <v/>
      </c>
      <c r="D29" s="122">
        <f>IF(OR($C29="",$B$2="",$D$2=0),0,IF(D$3&lt;0,0,N(INDEX('CURVA PREVISION'!$A$1:$KZ$3000,$C29,10+3*MIN(D$3,$D$2-1)))))</f>
        <v/>
      </c>
      <c r="E29" s="122">
        <f>IF(OR($C29="",$B$2="",$D$2=0),0,IF(E$3&lt;0,0,N(INDEX('CURVA PREVISION'!$A$1:$KZ$3000,$C29,10+3*MIN(E$3,$D$2-1)))))</f>
        <v/>
      </c>
      <c r="F29" s="122">
        <f>IF(OR($C29="",$B$2="",$D$2=0),0,IF(F$3&lt;0,0,N(INDEX('CURVA PREVISION'!$A$1:$KZ$3000,$C29,10+3*MIN(F$3,$D$2-1)))))</f>
        <v/>
      </c>
      <c r="G29" s="122">
        <f>IF(OR($C29="",$B$2="",$D$2=0),0,IF(G$3&lt;0,0,N(INDEX('CURVA PREVISION'!$A$1:$KZ$3000,$C29,10+3*MIN(G$3,$D$2-1)))))</f>
        <v/>
      </c>
      <c r="H29" s="122">
        <f>IF(OR($C29="",$B$2="",$D$2=0),0,IF(H$3&lt;0,0,N(INDEX('CURVA PREVISION'!$A$1:$KZ$3000,$C29,10+3*MIN(H$3,$D$2-1)))))</f>
        <v/>
      </c>
      <c r="I29" s="122">
        <f>IF(OR($C29="",$B$2="",$D$2=0),0,IF(I$3&lt;0,0,N(INDEX('CURVA PREVISION'!$A$1:$KZ$3000,$C29,10+3*MIN(I$3,$D$2-1)))))</f>
        <v/>
      </c>
      <c r="J29" s="122">
        <f>IF(OR($C29="",$B$2="",$D$2=0),0,IF(J$3&lt;0,0,N(INDEX('CURVA PREVISION'!$A$1:$KZ$3000,$C29,10+3*MIN(J$3,$D$2-1)))))</f>
        <v/>
      </c>
      <c r="K29" s="122">
        <f>IF(OR($C29="",$B$2="",$D$2=0),0,IF(K$3&lt;0,0,N(INDEX('CURVA PREVISION'!$A$1:$KZ$3000,$C29,10+3*MIN(K$3,$D$2-1)))))</f>
        <v/>
      </c>
      <c r="L29" s="122">
        <f>IF(OR($C29="",$B$2="",$D$2=0),0,IF(L$3&lt;0,0,N(INDEX('CURVA PREVISION'!$A$1:$KZ$3000,$C29,10+3*MIN(L$3,$D$2-1)))))</f>
        <v/>
      </c>
      <c r="M29" s="122">
        <f>IF(OR($C29="",$B$2="",$D$2=0),0,IF(M$3&lt;0,0,N(INDEX('CURVA PREVISION'!$A$1:$KZ$3000,$C29,10+3*MIN(M$3,$D$2-1)))))</f>
        <v/>
      </c>
      <c r="N29" s="122">
        <f>IF(OR($C29="",$B$2="",$D$2=0),0,IF(N$3&lt;0,0,N(INDEX('CURVA PREVISION'!$A$1:$KZ$3000,$C29,10+3*MIN(N$3,$D$2-1)))))</f>
        <v/>
      </c>
      <c r="O29" s="122">
        <f>IF(OR($C29="",$B$2="",$D$2=0),0,IF(O$3&lt;0,0,N(INDEX('CURVA PREVISION'!$A$1:$KZ$3000,$C29,10+3*MIN(O$3,$D$2-1)))))</f>
        <v/>
      </c>
      <c r="P29" s="122">
        <f>IF(OR($C29="",$B$2="",$D$2=0),0,IF(P$3&lt;0,0,N(INDEX('CURVA PREVISION'!$A$1:$KZ$3000,$C29,10+3*MIN(P$3,$D$2-1)))))</f>
        <v/>
      </c>
      <c r="Q29" s="122">
        <f>IF(OR($C29="",$B$2="",$D$2=0),0,IF(Q$3&lt;0,0,N(INDEX('CURVA PREVISION'!$A$1:$KZ$3000,$C29,10+3*MIN(Q$3,$D$2-1)))))</f>
        <v/>
      </c>
      <c r="R29" s="122">
        <f>IF(OR($C29="",$B$2="",$D$2=0),0,IF(R$3&lt;0,0,N(INDEX('CURVA PREVISION'!$A$1:$KZ$3000,$C29,10+3*MIN(R$3,$D$2-1)))))</f>
        <v/>
      </c>
      <c r="S29" s="122">
        <f>IF(OR($C29="",$B$2="",$D$2=0),0,IF(S$3&lt;0,0,N(INDEX('CURVA PREVISION'!$A$1:$KZ$3000,$C29,10+3*MIN(S$3,$D$2-1)))))</f>
        <v/>
      </c>
      <c r="T29" s="122">
        <f>IF(OR($C29="",$B$2="",$D$2=0),0,IF(T$3&lt;0,0,N(INDEX('CURVA PREVISION'!$A$1:$KZ$3000,$C29,10+3*MIN(T$3,$D$2-1)))))</f>
        <v/>
      </c>
      <c r="U29" s="122">
        <f>IF(OR($C29="",$B$2="",$D$2=0),0,IF(U$3&lt;0,0,N(INDEX('CURVA PREVISION'!$A$1:$KZ$3000,$C29,10+3*MIN(U$3,$D$2-1)))))</f>
        <v/>
      </c>
      <c r="V29" s="122">
        <f>IF(OR($C29="",$B$2="",$D$2=0),0,IF(V$3&lt;0,0,N(INDEX('CURVA PREVISION'!$A$1:$KZ$3000,$C29,10+3*MIN(V$3,$D$2-1)))))</f>
        <v/>
      </c>
      <c r="W29" s="122">
        <f>IF(OR($C29="",$B$2="",$D$2=0),0,IF(W$3&lt;0,0,N(INDEX('CURVA PREVISION'!$A$1:$KZ$3000,$C29,10+3*MIN(W$3,$D$2-1)))))</f>
        <v/>
      </c>
      <c r="X29" s="122">
        <f>IF(OR($C29="",$B$2="",$D$2=0),0,IF(X$3&lt;0,0,N(INDEX('CURVA PREVISION'!$A$1:$KZ$3000,$C29,10+3*MIN(X$3,$D$2-1)))))</f>
        <v/>
      </c>
      <c r="Y29" s="122">
        <f>IF(OR($C29="",$B$2="",$D$2=0),0,IF(Y$3&lt;0,0,N(INDEX('CURVA PREVISION'!$A$1:$KZ$3000,$C29,10+3*MIN(Y$3,$D$2-1)))))</f>
        <v/>
      </c>
      <c r="Z29" s="122">
        <f>IF(OR($C29="",$B$2="",$D$2=0),0,IF(Z$3&lt;0,0,N(INDEX('CURVA PREVISION'!$A$1:$KZ$3000,$C29,10+3*MIN(Z$3,$D$2-1)))))</f>
        <v/>
      </c>
      <c r="AA29" s="122">
        <f>IF(OR($C29="",$B$2="",$D$2=0),0,IF(AA$3&lt;0,0,N(INDEX('CURVA PREVISION'!$A$1:$KZ$3000,$C29,10+3*MIN(AA$3,$D$2-1)))))</f>
        <v/>
      </c>
      <c r="AB29" s="122">
        <f>IF(OR($C29="",$B$2="",$D$2=0),0,IF(AB$3&lt;0,0,N(INDEX('CURVA PREVISION'!$A$1:$KZ$3000,$C29,10+3*MIN(AB$3,$D$2-1)))))</f>
        <v/>
      </c>
      <c r="AC29" s="122">
        <f>IF(OR($C29="",$B$2="",$D$2=0),0,IF(AC$3&lt;0,0,N(INDEX('CURVA PREVISION'!$A$1:$KZ$3000,$C29,10+3*MIN(AC$3,$D$2-1)))))</f>
        <v/>
      </c>
      <c r="AD29" s="122">
        <f>IF(OR($C29="",$B$2="",$D$2=0),0,IF(AD$3&lt;0,0,N(INDEX('CURVA PREVISION'!$A$1:$KZ$3000,$C29,10+3*MIN(AD$3,$D$2-1)))))</f>
        <v/>
      </c>
      <c r="AE29" s="122">
        <f>IF(OR($C29="",$B$2="",$D$2=0),0,IF(AE$3&lt;0,0,N(INDEX('CURVA PREVISION'!$A$1:$KZ$3000,$C29,10+3*MIN(AE$3,$D$2-1)))))</f>
        <v/>
      </c>
      <c r="AF29" s="122">
        <f>IF(OR($C29="",$B$2="",$D$2=0),0,IF(AF$3&lt;0,0,N(INDEX('CURVA PREVISION'!$A$1:$KZ$3000,$C29,10+3*MIN(AF$3,$D$2-1)))))</f>
        <v/>
      </c>
      <c r="AG29" s="122">
        <f>IF(OR($C29="",$B$2="",$D$2=0),0,IF(AG$3&lt;0,0,N(INDEX('CURVA PREVISION'!$A$1:$KZ$3000,$C29,10+3*MIN(AG$3,$D$2-1)))))</f>
        <v/>
      </c>
      <c r="AH29" s="122">
        <f>IF(OR($C29="",$B$2="",$D$2=0),0,IF(AH$3&lt;0,0,N(INDEX('CURVA PREVISION'!$A$1:$KZ$3000,$C29,10+3*MIN(AH$3,$D$2-1)))))</f>
        <v/>
      </c>
      <c r="AI29" s="122">
        <f>IF(OR($C29="",$B$2="",$D$2=0),0,IF(AI$3&lt;0,0,N(INDEX('CURVA PREVISION'!$A$1:$KZ$3000,$C29,10+3*MIN(AI$3,$D$2-1)))))</f>
        <v/>
      </c>
      <c r="AJ29" s="122">
        <f>IF(OR($C29="",$B$2="",$D$2=0),0,IF(AJ$3&lt;0,0,N(INDEX('CURVA PREVISION'!$A$1:$KZ$3000,$C29,10+3*MIN(AJ$3,$D$2-1)))))</f>
        <v/>
      </c>
      <c r="AK29" s="122">
        <f>IF(OR($C29="",$B$2="",$D$2=0),0,IF(AK$3&lt;0,0,N(INDEX('CURVA PREVISION'!$A$1:$KZ$3000,$C29,10+3*MIN(AK$3,$D$2-1)))))</f>
        <v/>
      </c>
      <c r="AL29" s="122">
        <f>IF(OR($C29="",$B$2="",$D$2=0),0,IF(AL$3&lt;0,0,N(INDEX('CURVA PREVISION'!$A$1:$KZ$3000,$C29,10+3*MIN(AL$3,$D$2-1)))))</f>
        <v/>
      </c>
      <c r="AM29" s="122">
        <f>IF(OR($C29="",$B$2="",$D$2=0),0,IF(AM$3&lt;0,0,N(INDEX('CURVA PREVISION'!$A$1:$KZ$3000,$C29,10+3*MIN(AM$3,$D$2-1)))))</f>
        <v/>
      </c>
      <c r="AN29" s="122">
        <f>IF(OR($C29="",$B$2="",$D$2=0),0,IF(AN$3&lt;0,0,N(INDEX('CURVA PREVISION'!$A$1:$KZ$3000,$C29,10+3*MIN(AN$3,$D$2-1)))))</f>
        <v/>
      </c>
      <c r="AO29" s="122">
        <f>IF(OR($C29="",$B$2="",$D$2=0),0,IF(AO$3&lt;0,0,N(INDEX('CURVA PREVISION'!$A$1:$KZ$3000,$C29,10+3*MIN(AO$3,$D$2-1)))))</f>
        <v/>
      </c>
      <c r="AP29" s="122">
        <f>IF(OR($C29="",$B$2="",$D$2=0),0,IF(AP$3&lt;0,0,N(INDEX('CURVA PREVISION'!$A$1:$KZ$3000,$C29,10+3*MIN(AP$3,$D$2-1)))))</f>
        <v/>
      </c>
      <c r="AQ29" s="122">
        <f>IF(OR($C29="",$B$2="",$D$2=0),0,IF(AQ$3&lt;0,0,N(INDEX('CURVA PREVISION'!$A$1:$KZ$3000,$C29,10+3*MIN(AQ$3,$D$2-1)))))</f>
        <v/>
      </c>
      <c r="AR29" s="122">
        <f>IF(OR($C29="",$B$2="",$D$2=0),0,IF(AR$3&lt;0,0,N(INDEX('CURVA PREVISION'!$A$1:$KZ$3000,$C29,10+3*MIN(AR$3,$D$2-1)))))</f>
        <v/>
      </c>
      <c r="AS29" s="122">
        <f>IF(OR($C29="",$B$2="",$D$2=0),0,IF(AS$3&lt;0,0,N(INDEX('CURVA PREVISION'!$A$1:$KZ$3000,$C29,10+3*MIN(AS$3,$D$2-1)))))</f>
        <v/>
      </c>
      <c r="AT29" s="122">
        <f>IF(OR($C29="",$B$2="",$D$2=0),0,IF(AT$3&lt;0,0,N(INDEX('CURVA PREVISION'!$A$1:$KZ$3000,$C29,10+3*MIN(AT$3,$D$2-1)))))</f>
        <v/>
      </c>
      <c r="AU29" s="122">
        <f>IF(OR($C29="",$B$2="",$D$2=0),0,IF(AU$3&lt;0,0,N(INDEX('CURVA PREVISION'!$A$1:$KZ$3000,$C29,10+3*MIN(AU$3,$D$2-1)))))</f>
        <v/>
      </c>
      <c r="AV29" s="122">
        <f>IF(OR($C29="",$B$2="",$D$2=0),0,IF(AV$3&lt;0,0,N(INDEX('CURVA PREVISION'!$A$1:$KZ$3000,$C29,10+3*MIN(AV$3,$D$2-1)))))</f>
        <v/>
      </c>
      <c r="AW29" s="122">
        <f>IF(OR($C29="",$B$2="",$D$2=0),0,IF(AW$3&lt;0,0,N(INDEX('CURVA PREVISION'!$A$1:$KZ$3000,$C29,10+3*MIN(AW$3,$D$2-1)))))</f>
        <v/>
      </c>
      <c r="AX29" s="122">
        <f>IF(OR($C29="",$B$2="",$D$2=0),0,IF(AX$3&lt;0,0,N(INDEX('CURVA PREVISION'!$A$1:$KZ$3000,$C29,10+3*MIN(AX$3,$D$2-1)))))</f>
        <v/>
      </c>
      <c r="AY29" s="122">
        <f>IF(OR($C29="",$B$2="",$D$2=0),0,IF(AY$3&lt;0,0,N(INDEX('CURVA PREVISION'!$A$1:$KZ$3000,$C29,10+3*MIN(AY$3,$D$2-1)))))</f>
        <v/>
      </c>
      <c r="AZ29" s="122">
        <f>IF(OR($C29="",$B$2="",$D$2=0),0,IF(AZ$3&lt;0,0,N(INDEX('CURVA PREVISION'!$A$1:$KZ$3000,$C29,10+3*MIN(AZ$3,$D$2-1)))))</f>
        <v/>
      </c>
      <c r="BA29" s="122">
        <f>IF(OR($C29="",$B$2="",$D$2=0),0,IF(BA$3&lt;0,0,N(INDEX('CURVA PREVISION'!$A$1:$KZ$3000,$C29,10+3*MIN(BA$3,$D$2-1)))))</f>
        <v/>
      </c>
      <c r="BB29" s="122">
        <f>IF(OR($C29="",$B$2="",$D$2=0),0,IF(BB$3&lt;0,0,N(INDEX('CURVA PREVISION'!$A$1:$KZ$3000,$C29,10+3*MIN(BB$3,$D$2-1)))))</f>
        <v/>
      </c>
      <c r="BC29" s="122">
        <f>IF(OR($C29="",$B$2="",$D$2=0),0,IF(BC$3&lt;0,0,N(INDEX('CURVA PREVISION'!$A$1:$KZ$3000,$C29,10+3*MIN(BC$3,$D$2-1)))))</f>
        <v/>
      </c>
      <c r="BD29" s="122">
        <f>IF(OR($C29="",$B$2="",$D$2=0),0,IF(BD$3&lt;0,0,N(INDEX('CURVA PREVISION'!$A$1:$KZ$3000,$C29,10+3*MIN(BD$3,$D$2-1)))))</f>
        <v/>
      </c>
      <c r="BE29" s="122">
        <f>IF(OR($C29="",$B$2="",$D$2=0),0,IF(BE$3&lt;0,0,N(INDEX('CURVA PREVISION'!$A$1:$KZ$3000,$C29,10+3*MIN(BE$3,$D$2-1)))))</f>
        <v/>
      </c>
      <c r="BF29" s="122">
        <f>IF(OR($C29="",$B$2="",$D$2=0),0,IF(BF$3&lt;0,0,N(INDEX('CURVA PREVISION'!$A$1:$KZ$3000,$C29,10+3*MIN(BF$3,$D$2-1)))))</f>
        <v/>
      </c>
      <c r="BG29" s="122">
        <f>IF(OR($C29="",$B$2="",$D$2=0),0,IF(BG$3&lt;0,0,N(INDEX('CURVA PREVISION'!$A$1:$KZ$3000,$C29,10+3*MIN(BG$3,$D$2-1)))))</f>
        <v/>
      </c>
      <c r="BH29" s="122">
        <f>IF(OR($C29="",$B$2="",$D$2=0),0,IF(BH$3&lt;0,0,N(INDEX('CURVA PREVISION'!$A$1:$KZ$3000,$C29,10+3*MIN(BH$3,$D$2-1)))))</f>
        <v/>
      </c>
      <c r="BI29" s="122">
        <f>IF(OR($C29="",$B$2="",$D$2=0),0,IF(BI$3&lt;0,0,N(INDEX('CURVA PREVISION'!$A$1:$KZ$3000,$C29,10+3*MIN(BI$3,$D$2-1)))))</f>
        <v/>
      </c>
      <c r="BJ29" s="122">
        <f>IF(OR($C29="",$B$2="",$D$2=0),0,IF(BJ$3&lt;0,0,N(INDEX('CURVA PREVISION'!$A$1:$KZ$3000,$C29,10+3*MIN(BJ$3,$D$2-1)))))</f>
        <v/>
      </c>
      <c r="BK29" s="122">
        <f>IF(OR($C29="",$B$2="",$D$2=0),0,IF(BK$3&lt;0,0,N(INDEX('CURVA PREVISION'!$A$1:$KZ$3000,$C29,10+3*MIN(BK$3,$D$2-1)))))</f>
        <v/>
      </c>
      <c r="BL29" s="122">
        <f>IF(OR($C29="",$B$2="",$D$2=0),0,IF(BL$3&lt;0,0,N(INDEX('CURVA PREVISION'!$A$1:$KZ$3000,$C29,10+3*MIN(BL$3,$D$2-1)))))</f>
        <v/>
      </c>
      <c r="BM29" s="122">
        <f>IF(OR($C29="",$B$2="",$D$2=0),0,IF(BM$3&lt;0,0,N(INDEX('CURVA PREVISION'!$A$1:$KZ$3000,$C29,10+3*MIN(BM$3,$D$2-1)))))</f>
        <v/>
      </c>
      <c r="BN29" s="122">
        <f>IF(OR($C29="",$B$2="",$D$2=0),0,IF(BN$3&lt;0,0,N(INDEX('CURVA PREVISION'!$A$1:$KZ$3000,$C29,10+3*MIN(BN$3,$D$2-1)))))</f>
        <v/>
      </c>
      <c r="BO29" s="122">
        <f>IF(OR($C29="",$B$2="",$D$2=0),0,IF(BO$3&lt;0,0,N(INDEX('CURVA PREVISION'!$A$1:$KZ$3000,$C29,10+3*MIN(BO$3,$D$2-1)))))</f>
        <v/>
      </c>
      <c r="BP29" s="122">
        <f>IF(OR($C29="",$B$2="",$D$2=0),0,IF(BP$3&lt;0,0,N(INDEX('CURVA PREVISION'!$A$1:$KZ$3000,$C29,10+3*MIN(BP$3,$D$2-1)))))</f>
        <v/>
      </c>
      <c r="BQ29" s="122">
        <f>IF(OR($C29="",$B$2="",$D$2=0),0,IF(BQ$3&lt;0,0,N(INDEX('CURVA PREVISION'!$A$1:$KZ$3000,$C29,10+3*MIN(BQ$3,$D$2-1)))))</f>
        <v/>
      </c>
      <c r="BR29" s="122">
        <f>IF(OR($C29="",$B$2="",$D$2=0),0,IF(BR$3&lt;0,0,N(INDEX('CURVA PREVISION'!$A$1:$KZ$3000,$C29,10+3*MIN(BR$3,$D$2-1)))))</f>
        <v/>
      </c>
      <c r="BS29" s="122">
        <f>IF(OR($C29="",$B$2="",$D$2=0),0,IF(BS$3&lt;0,0,N(INDEX('CURVA PREVISION'!$A$1:$KZ$3000,$C29,10+3*MIN(BS$3,$D$2-1)))))</f>
        <v/>
      </c>
      <c r="BT29" s="122">
        <f>IF(OR($C29="",$B$2="",$D$2=0),0,IF(BT$3&lt;0,0,N(INDEX('CURVA PREVISION'!$A$1:$KZ$3000,$C29,10+3*MIN(BT$3,$D$2-1)))))</f>
        <v/>
      </c>
      <c r="BU29" s="122">
        <f>IF(OR($C29="",$B$2="",$D$2=0),0,IF(BU$3&lt;0,0,N(INDEX('CURVA PREVISION'!$A$1:$KZ$3000,$C29,10+3*MIN(BU$3,$D$2-1)))))</f>
        <v/>
      </c>
      <c r="BV29" s="122">
        <f>IF(OR($C29="",$B$2="",$D$2=0),0,IF(BV$3&lt;0,0,N(INDEX('CURVA PREVISION'!$A$1:$KZ$3000,$C29,10+3*MIN(BV$3,$D$2-1)))))</f>
        <v/>
      </c>
      <c r="BW29" s="122">
        <f>IF(OR($C29="",$B$2="",$D$2=0),0,IF(BW$3&lt;0,0,N(INDEX('CURVA PREVISION'!$A$1:$KZ$3000,$C29,10+3*MIN(BW$3,$D$2-1)))))</f>
        <v/>
      </c>
    </row>
    <row r="30">
      <c r="A30" s="60">
        <f>IF('VALOR POR PL'!Q36="",'VALOR POR PL'!C36,'VALOR POR PL'!Q36)</f>
        <v/>
      </c>
      <c r="B30" s="60">
        <f>'VALOR POR PL'!D36</f>
        <v/>
      </c>
      <c r="C30" s="69">
        <f>IFERROR(MATCH(A30,'CURVA PREVISION'!$B$1:$B$3000,0),"")</f>
        <v/>
      </c>
      <c r="D30" s="122">
        <f>IF(OR($C30="",$B$2="",$D$2=0),0,IF(D$3&lt;0,0,N(INDEX('CURVA PREVISION'!$A$1:$KZ$3000,$C30,10+3*MIN(D$3,$D$2-1)))))</f>
        <v/>
      </c>
      <c r="E30" s="122">
        <f>IF(OR($C30="",$B$2="",$D$2=0),0,IF(E$3&lt;0,0,N(INDEX('CURVA PREVISION'!$A$1:$KZ$3000,$C30,10+3*MIN(E$3,$D$2-1)))))</f>
        <v/>
      </c>
      <c r="F30" s="122">
        <f>IF(OR($C30="",$B$2="",$D$2=0),0,IF(F$3&lt;0,0,N(INDEX('CURVA PREVISION'!$A$1:$KZ$3000,$C30,10+3*MIN(F$3,$D$2-1)))))</f>
        <v/>
      </c>
      <c r="G30" s="122">
        <f>IF(OR($C30="",$B$2="",$D$2=0),0,IF(G$3&lt;0,0,N(INDEX('CURVA PREVISION'!$A$1:$KZ$3000,$C30,10+3*MIN(G$3,$D$2-1)))))</f>
        <v/>
      </c>
      <c r="H30" s="122">
        <f>IF(OR($C30="",$B$2="",$D$2=0),0,IF(H$3&lt;0,0,N(INDEX('CURVA PREVISION'!$A$1:$KZ$3000,$C30,10+3*MIN(H$3,$D$2-1)))))</f>
        <v/>
      </c>
      <c r="I30" s="122">
        <f>IF(OR($C30="",$B$2="",$D$2=0),0,IF(I$3&lt;0,0,N(INDEX('CURVA PREVISION'!$A$1:$KZ$3000,$C30,10+3*MIN(I$3,$D$2-1)))))</f>
        <v/>
      </c>
      <c r="J30" s="122">
        <f>IF(OR($C30="",$B$2="",$D$2=0),0,IF(J$3&lt;0,0,N(INDEX('CURVA PREVISION'!$A$1:$KZ$3000,$C30,10+3*MIN(J$3,$D$2-1)))))</f>
        <v/>
      </c>
      <c r="K30" s="122">
        <f>IF(OR($C30="",$B$2="",$D$2=0),0,IF(K$3&lt;0,0,N(INDEX('CURVA PREVISION'!$A$1:$KZ$3000,$C30,10+3*MIN(K$3,$D$2-1)))))</f>
        <v/>
      </c>
      <c r="L30" s="122">
        <f>IF(OR($C30="",$B$2="",$D$2=0),0,IF(L$3&lt;0,0,N(INDEX('CURVA PREVISION'!$A$1:$KZ$3000,$C30,10+3*MIN(L$3,$D$2-1)))))</f>
        <v/>
      </c>
      <c r="M30" s="122">
        <f>IF(OR($C30="",$B$2="",$D$2=0),0,IF(M$3&lt;0,0,N(INDEX('CURVA PREVISION'!$A$1:$KZ$3000,$C30,10+3*MIN(M$3,$D$2-1)))))</f>
        <v/>
      </c>
      <c r="N30" s="122">
        <f>IF(OR($C30="",$B$2="",$D$2=0),0,IF(N$3&lt;0,0,N(INDEX('CURVA PREVISION'!$A$1:$KZ$3000,$C30,10+3*MIN(N$3,$D$2-1)))))</f>
        <v/>
      </c>
      <c r="O30" s="122">
        <f>IF(OR($C30="",$B$2="",$D$2=0),0,IF(O$3&lt;0,0,N(INDEX('CURVA PREVISION'!$A$1:$KZ$3000,$C30,10+3*MIN(O$3,$D$2-1)))))</f>
        <v/>
      </c>
      <c r="P30" s="122">
        <f>IF(OR($C30="",$B$2="",$D$2=0),0,IF(P$3&lt;0,0,N(INDEX('CURVA PREVISION'!$A$1:$KZ$3000,$C30,10+3*MIN(P$3,$D$2-1)))))</f>
        <v/>
      </c>
      <c r="Q30" s="122">
        <f>IF(OR($C30="",$B$2="",$D$2=0),0,IF(Q$3&lt;0,0,N(INDEX('CURVA PREVISION'!$A$1:$KZ$3000,$C30,10+3*MIN(Q$3,$D$2-1)))))</f>
        <v/>
      </c>
      <c r="R30" s="122">
        <f>IF(OR($C30="",$B$2="",$D$2=0),0,IF(R$3&lt;0,0,N(INDEX('CURVA PREVISION'!$A$1:$KZ$3000,$C30,10+3*MIN(R$3,$D$2-1)))))</f>
        <v/>
      </c>
      <c r="S30" s="122">
        <f>IF(OR($C30="",$B$2="",$D$2=0),0,IF(S$3&lt;0,0,N(INDEX('CURVA PREVISION'!$A$1:$KZ$3000,$C30,10+3*MIN(S$3,$D$2-1)))))</f>
        <v/>
      </c>
      <c r="T30" s="122">
        <f>IF(OR($C30="",$B$2="",$D$2=0),0,IF(T$3&lt;0,0,N(INDEX('CURVA PREVISION'!$A$1:$KZ$3000,$C30,10+3*MIN(T$3,$D$2-1)))))</f>
        <v/>
      </c>
      <c r="U30" s="122">
        <f>IF(OR($C30="",$B$2="",$D$2=0),0,IF(U$3&lt;0,0,N(INDEX('CURVA PREVISION'!$A$1:$KZ$3000,$C30,10+3*MIN(U$3,$D$2-1)))))</f>
        <v/>
      </c>
      <c r="V30" s="122">
        <f>IF(OR($C30="",$B$2="",$D$2=0),0,IF(V$3&lt;0,0,N(INDEX('CURVA PREVISION'!$A$1:$KZ$3000,$C30,10+3*MIN(V$3,$D$2-1)))))</f>
        <v/>
      </c>
      <c r="W30" s="122">
        <f>IF(OR($C30="",$B$2="",$D$2=0),0,IF(W$3&lt;0,0,N(INDEX('CURVA PREVISION'!$A$1:$KZ$3000,$C30,10+3*MIN(W$3,$D$2-1)))))</f>
        <v/>
      </c>
      <c r="X30" s="122">
        <f>IF(OR($C30="",$B$2="",$D$2=0),0,IF(X$3&lt;0,0,N(INDEX('CURVA PREVISION'!$A$1:$KZ$3000,$C30,10+3*MIN(X$3,$D$2-1)))))</f>
        <v/>
      </c>
      <c r="Y30" s="122">
        <f>IF(OR($C30="",$B$2="",$D$2=0),0,IF(Y$3&lt;0,0,N(INDEX('CURVA PREVISION'!$A$1:$KZ$3000,$C30,10+3*MIN(Y$3,$D$2-1)))))</f>
        <v/>
      </c>
      <c r="Z30" s="122">
        <f>IF(OR($C30="",$B$2="",$D$2=0),0,IF(Z$3&lt;0,0,N(INDEX('CURVA PREVISION'!$A$1:$KZ$3000,$C30,10+3*MIN(Z$3,$D$2-1)))))</f>
        <v/>
      </c>
      <c r="AA30" s="122">
        <f>IF(OR($C30="",$B$2="",$D$2=0),0,IF(AA$3&lt;0,0,N(INDEX('CURVA PREVISION'!$A$1:$KZ$3000,$C30,10+3*MIN(AA$3,$D$2-1)))))</f>
        <v/>
      </c>
      <c r="AB30" s="122">
        <f>IF(OR($C30="",$B$2="",$D$2=0),0,IF(AB$3&lt;0,0,N(INDEX('CURVA PREVISION'!$A$1:$KZ$3000,$C30,10+3*MIN(AB$3,$D$2-1)))))</f>
        <v/>
      </c>
      <c r="AC30" s="122">
        <f>IF(OR($C30="",$B$2="",$D$2=0),0,IF(AC$3&lt;0,0,N(INDEX('CURVA PREVISION'!$A$1:$KZ$3000,$C30,10+3*MIN(AC$3,$D$2-1)))))</f>
        <v/>
      </c>
      <c r="AD30" s="122">
        <f>IF(OR($C30="",$B$2="",$D$2=0),0,IF(AD$3&lt;0,0,N(INDEX('CURVA PREVISION'!$A$1:$KZ$3000,$C30,10+3*MIN(AD$3,$D$2-1)))))</f>
        <v/>
      </c>
      <c r="AE30" s="122">
        <f>IF(OR($C30="",$B$2="",$D$2=0),0,IF(AE$3&lt;0,0,N(INDEX('CURVA PREVISION'!$A$1:$KZ$3000,$C30,10+3*MIN(AE$3,$D$2-1)))))</f>
        <v/>
      </c>
      <c r="AF30" s="122">
        <f>IF(OR($C30="",$B$2="",$D$2=0),0,IF(AF$3&lt;0,0,N(INDEX('CURVA PREVISION'!$A$1:$KZ$3000,$C30,10+3*MIN(AF$3,$D$2-1)))))</f>
        <v/>
      </c>
      <c r="AG30" s="122">
        <f>IF(OR($C30="",$B$2="",$D$2=0),0,IF(AG$3&lt;0,0,N(INDEX('CURVA PREVISION'!$A$1:$KZ$3000,$C30,10+3*MIN(AG$3,$D$2-1)))))</f>
        <v/>
      </c>
      <c r="AH30" s="122">
        <f>IF(OR($C30="",$B$2="",$D$2=0),0,IF(AH$3&lt;0,0,N(INDEX('CURVA PREVISION'!$A$1:$KZ$3000,$C30,10+3*MIN(AH$3,$D$2-1)))))</f>
        <v/>
      </c>
      <c r="AI30" s="122">
        <f>IF(OR($C30="",$B$2="",$D$2=0),0,IF(AI$3&lt;0,0,N(INDEX('CURVA PREVISION'!$A$1:$KZ$3000,$C30,10+3*MIN(AI$3,$D$2-1)))))</f>
        <v/>
      </c>
      <c r="AJ30" s="122">
        <f>IF(OR($C30="",$B$2="",$D$2=0),0,IF(AJ$3&lt;0,0,N(INDEX('CURVA PREVISION'!$A$1:$KZ$3000,$C30,10+3*MIN(AJ$3,$D$2-1)))))</f>
        <v/>
      </c>
      <c r="AK30" s="122">
        <f>IF(OR($C30="",$B$2="",$D$2=0),0,IF(AK$3&lt;0,0,N(INDEX('CURVA PREVISION'!$A$1:$KZ$3000,$C30,10+3*MIN(AK$3,$D$2-1)))))</f>
        <v/>
      </c>
      <c r="AL30" s="122">
        <f>IF(OR($C30="",$B$2="",$D$2=0),0,IF(AL$3&lt;0,0,N(INDEX('CURVA PREVISION'!$A$1:$KZ$3000,$C30,10+3*MIN(AL$3,$D$2-1)))))</f>
        <v/>
      </c>
      <c r="AM30" s="122">
        <f>IF(OR($C30="",$B$2="",$D$2=0),0,IF(AM$3&lt;0,0,N(INDEX('CURVA PREVISION'!$A$1:$KZ$3000,$C30,10+3*MIN(AM$3,$D$2-1)))))</f>
        <v/>
      </c>
      <c r="AN30" s="122">
        <f>IF(OR($C30="",$B$2="",$D$2=0),0,IF(AN$3&lt;0,0,N(INDEX('CURVA PREVISION'!$A$1:$KZ$3000,$C30,10+3*MIN(AN$3,$D$2-1)))))</f>
        <v/>
      </c>
      <c r="AO30" s="122">
        <f>IF(OR($C30="",$B$2="",$D$2=0),0,IF(AO$3&lt;0,0,N(INDEX('CURVA PREVISION'!$A$1:$KZ$3000,$C30,10+3*MIN(AO$3,$D$2-1)))))</f>
        <v/>
      </c>
      <c r="AP30" s="122">
        <f>IF(OR($C30="",$B$2="",$D$2=0),0,IF(AP$3&lt;0,0,N(INDEX('CURVA PREVISION'!$A$1:$KZ$3000,$C30,10+3*MIN(AP$3,$D$2-1)))))</f>
        <v/>
      </c>
      <c r="AQ30" s="122">
        <f>IF(OR($C30="",$B$2="",$D$2=0),0,IF(AQ$3&lt;0,0,N(INDEX('CURVA PREVISION'!$A$1:$KZ$3000,$C30,10+3*MIN(AQ$3,$D$2-1)))))</f>
        <v/>
      </c>
      <c r="AR30" s="122">
        <f>IF(OR($C30="",$B$2="",$D$2=0),0,IF(AR$3&lt;0,0,N(INDEX('CURVA PREVISION'!$A$1:$KZ$3000,$C30,10+3*MIN(AR$3,$D$2-1)))))</f>
        <v/>
      </c>
      <c r="AS30" s="122">
        <f>IF(OR($C30="",$B$2="",$D$2=0),0,IF(AS$3&lt;0,0,N(INDEX('CURVA PREVISION'!$A$1:$KZ$3000,$C30,10+3*MIN(AS$3,$D$2-1)))))</f>
        <v/>
      </c>
      <c r="AT30" s="122">
        <f>IF(OR($C30="",$B$2="",$D$2=0),0,IF(AT$3&lt;0,0,N(INDEX('CURVA PREVISION'!$A$1:$KZ$3000,$C30,10+3*MIN(AT$3,$D$2-1)))))</f>
        <v/>
      </c>
      <c r="AU30" s="122">
        <f>IF(OR($C30="",$B$2="",$D$2=0),0,IF(AU$3&lt;0,0,N(INDEX('CURVA PREVISION'!$A$1:$KZ$3000,$C30,10+3*MIN(AU$3,$D$2-1)))))</f>
        <v/>
      </c>
      <c r="AV30" s="122">
        <f>IF(OR($C30="",$B$2="",$D$2=0),0,IF(AV$3&lt;0,0,N(INDEX('CURVA PREVISION'!$A$1:$KZ$3000,$C30,10+3*MIN(AV$3,$D$2-1)))))</f>
        <v/>
      </c>
      <c r="AW30" s="122">
        <f>IF(OR($C30="",$B$2="",$D$2=0),0,IF(AW$3&lt;0,0,N(INDEX('CURVA PREVISION'!$A$1:$KZ$3000,$C30,10+3*MIN(AW$3,$D$2-1)))))</f>
        <v/>
      </c>
      <c r="AX30" s="122">
        <f>IF(OR($C30="",$B$2="",$D$2=0),0,IF(AX$3&lt;0,0,N(INDEX('CURVA PREVISION'!$A$1:$KZ$3000,$C30,10+3*MIN(AX$3,$D$2-1)))))</f>
        <v/>
      </c>
      <c r="AY30" s="122">
        <f>IF(OR($C30="",$B$2="",$D$2=0),0,IF(AY$3&lt;0,0,N(INDEX('CURVA PREVISION'!$A$1:$KZ$3000,$C30,10+3*MIN(AY$3,$D$2-1)))))</f>
        <v/>
      </c>
      <c r="AZ30" s="122">
        <f>IF(OR($C30="",$B$2="",$D$2=0),0,IF(AZ$3&lt;0,0,N(INDEX('CURVA PREVISION'!$A$1:$KZ$3000,$C30,10+3*MIN(AZ$3,$D$2-1)))))</f>
        <v/>
      </c>
      <c r="BA30" s="122">
        <f>IF(OR($C30="",$B$2="",$D$2=0),0,IF(BA$3&lt;0,0,N(INDEX('CURVA PREVISION'!$A$1:$KZ$3000,$C30,10+3*MIN(BA$3,$D$2-1)))))</f>
        <v/>
      </c>
      <c r="BB30" s="122">
        <f>IF(OR($C30="",$B$2="",$D$2=0),0,IF(BB$3&lt;0,0,N(INDEX('CURVA PREVISION'!$A$1:$KZ$3000,$C30,10+3*MIN(BB$3,$D$2-1)))))</f>
        <v/>
      </c>
      <c r="BC30" s="122">
        <f>IF(OR($C30="",$B$2="",$D$2=0),0,IF(BC$3&lt;0,0,N(INDEX('CURVA PREVISION'!$A$1:$KZ$3000,$C30,10+3*MIN(BC$3,$D$2-1)))))</f>
        <v/>
      </c>
      <c r="BD30" s="122">
        <f>IF(OR($C30="",$B$2="",$D$2=0),0,IF(BD$3&lt;0,0,N(INDEX('CURVA PREVISION'!$A$1:$KZ$3000,$C30,10+3*MIN(BD$3,$D$2-1)))))</f>
        <v/>
      </c>
      <c r="BE30" s="122">
        <f>IF(OR($C30="",$B$2="",$D$2=0),0,IF(BE$3&lt;0,0,N(INDEX('CURVA PREVISION'!$A$1:$KZ$3000,$C30,10+3*MIN(BE$3,$D$2-1)))))</f>
        <v/>
      </c>
      <c r="BF30" s="122">
        <f>IF(OR($C30="",$B$2="",$D$2=0),0,IF(BF$3&lt;0,0,N(INDEX('CURVA PREVISION'!$A$1:$KZ$3000,$C30,10+3*MIN(BF$3,$D$2-1)))))</f>
        <v/>
      </c>
      <c r="BG30" s="122">
        <f>IF(OR($C30="",$B$2="",$D$2=0),0,IF(BG$3&lt;0,0,N(INDEX('CURVA PREVISION'!$A$1:$KZ$3000,$C30,10+3*MIN(BG$3,$D$2-1)))))</f>
        <v/>
      </c>
      <c r="BH30" s="122">
        <f>IF(OR($C30="",$B$2="",$D$2=0),0,IF(BH$3&lt;0,0,N(INDEX('CURVA PREVISION'!$A$1:$KZ$3000,$C30,10+3*MIN(BH$3,$D$2-1)))))</f>
        <v/>
      </c>
      <c r="BI30" s="122">
        <f>IF(OR($C30="",$B$2="",$D$2=0),0,IF(BI$3&lt;0,0,N(INDEX('CURVA PREVISION'!$A$1:$KZ$3000,$C30,10+3*MIN(BI$3,$D$2-1)))))</f>
        <v/>
      </c>
      <c r="BJ30" s="122">
        <f>IF(OR($C30="",$B$2="",$D$2=0),0,IF(BJ$3&lt;0,0,N(INDEX('CURVA PREVISION'!$A$1:$KZ$3000,$C30,10+3*MIN(BJ$3,$D$2-1)))))</f>
        <v/>
      </c>
      <c r="BK30" s="122">
        <f>IF(OR($C30="",$B$2="",$D$2=0),0,IF(BK$3&lt;0,0,N(INDEX('CURVA PREVISION'!$A$1:$KZ$3000,$C30,10+3*MIN(BK$3,$D$2-1)))))</f>
        <v/>
      </c>
      <c r="BL30" s="122">
        <f>IF(OR($C30="",$B$2="",$D$2=0),0,IF(BL$3&lt;0,0,N(INDEX('CURVA PREVISION'!$A$1:$KZ$3000,$C30,10+3*MIN(BL$3,$D$2-1)))))</f>
        <v/>
      </c>
      <c r="BM30" s="122">
        <f>IF(OR($C30="",$B$2="",$D$2=0),0,IF(BM$3&lt;0,0,N(INDEX('CURVA PREVISION'!$A$1:$KZ$3000,$C30,10+3*MIN(BM$3,$D$2-1)))))</f>
        <v/>
      </c>
      <c r="BN30" s="122">
        <f>IF(OR($C30="",$B$2="",$D$2=0),0,IF(BN$3&lt;0,0,N(INDEX('CURVA PREVISION'!$A$1:$KZ$3000,$C30,10+3*MIN(BN$3,$D$2-1)))))</f>
        <v/>
      </c>
      <c r="BO30" s="122">
        <f>IF(OR($C30="",$B$2="",$D$2=0),0,IF(BO$3&lt;0,0,N(INDEX('CURVA PREVISION'!$A$1:$KZ$3000,$C30,10+3*MIN(BO$3,$D$2-1)))))</f>
        <v/>
      </c>
      <c r="BP30" s="122">
        <f>IF(OR($C30="",$B$2="",$D$2=0),0,IF(BP$3&lt;0,0,N(INDEX('CURVA PREVISION'!$A$1:$KZ$3000,$C30,10+3*MIN(BP$3,$D$2-1)))))</f>
        <v/>
      </c>
      <c r="BQ30" s="122">
        <f>IF(OR($C30="",$B$2="",$D$2=0),0,IF(BQ$3&lt;0,0,N(INDEX('CURVA PREVISION'!$A$1:$KZ$3000,$C30,10+3*MIN(BQ$3,$D$2-1)))))</f>
        <v/>
      </c>
      <c r="BR30" s="122">
        <f>IF(OR($C30="",$B$2="",$D$2=0),0,IF(BR$3&lt;0,0,N(INDEX('CURVA PREVISION'!$A$1:$KZ$3000,$C30,10+3*MIN(BR$3,$D$2-1)))))</f>
        <v/>
      </c>
      <c r="BS30" s="122">
        <f>IF(OR($C30="",$B$2="",$D$2=0),0,IF(BS$3&lt;0,0,N(INDEX('CURVA PREVISION'!$A$1:$KZ$3000,$C30,10+3*MIN(BS$3,$D$2-1)))))</f>
        <v/>
      </c>
      <c r="BT30" s="122">
        <f>IF(OR($C30="",$B$2="",$D$2=0),0,IF(BT$3&lt;0,0,N(INDEX('CURVA PREVISION'!$A$1:$KZ$3000,$C30,10+3*MIN(BT$3,$D$2-1)))))</f>
        <v/>
      </c>
      <c r="BU30" s="122">
        <f>IF(OR($C30="",$B$2="",$D$2=0),0,IF(BU$3&lt;0,0,N(INDEX('CURVA PREVISION'!$A$1:$KZ$3000,$C30,10+3*MIN(BU$3,$D$2-1)))))</f>
        <v/>
      </c>
      <c r="BV30" s="122">
        <f>IF(OR($C30="",$B$2="",$D$2=0),0,IF(BV$3&lt;0,0,N(INDEX('CURVA PREVISION'!$A$1:$KZ$3000,$C30,10+3*MIN(BV$3,$D$2-1)))))</f>
        <v/>
      </c>
      <c r="BW30" s="122">
        <f>IF(OR($C30="",$B$2="",$D$2=0),0,IF(BW$3&lt;0,0,N(INDEX('CURVA PREVISION'!$A$1:$KZ$3000,$C30,10+3*MIN(BW$3,$D$2-1)))))</f>
        <v/>
      </c>
    </row>
    <row r="31">
      <c r="A31" s="60">
        <f>IF('VALOR POR PL'!Q37="",'VALOR POR PL'!C37,'VALOR POR PL'!Q37)</f>
        <v/>
      </c>
      <c r="B31" s="60">
        <f>'VALOR POR PL'!D37</f>
        <v/>
      </c>
      <c r="C31" s="69">
        <f>IFERROR(MATCH(A31,'CURVA PREVISION'!$B$1:$B$3000,0),"")</f>
        <v/>
      </c>
      <c r="D31" s="122">
        <f>IF(OR($C31="",$B$2="",$D$2=0),0,IF(D$3&lt;0,0,N(INDEX('CURVA PREVISION'!$A$1:$KZ$3000,$C31,10+3*MIN(D$3,$D$2-1)))))</f>
        <v/>
      </c>
      <c r="E31" s="122">
        <f>IF(OR($C31="",$B$2="",$D$2=0),0,IF(E$3&lt;0,0,N(INDEX('CURVA PREVISION'!$A$1:$KZ$3000,$C31,10+3*MIN(E$3,$D$2-1)))))</f>
        <v/>
      </c>
      <c r="F31" s="122">
        <f>IF(OR($C31="",$B$2="",$D$2=0),0,IF(F$3&lt;0,0,N(INDEX('CURVA PREVISION'!$A$1:$KZ$3000,$C31,10+3*MIN(F$3,$D$2-1)))))</f>
        <v/>
      </c>
      <c r="G31" s="122">
        <f>IF(OR($C31="",$B$2="",$D$2=0),0,IF(G$3&lt;0,0,N(INDEX('CURVA PREVISION'!$A$1:$KZ$3000,$C31,10+3*MIN(G$3,$D$2-1)))))</f>
        <v/>
      </c>
      <c r="H31" s="122">
        <f>IF(OR($C31="",$B$2="",$D$2=0),0,IF(H$3&lt;0,0,N(INDEX('CURVA PREVISION'!$A$1:$KZ$3000,$C31,10+3*MIN(H$3,$D$2-1)))))</f>
        <v/>
      </c>
      <c r="I31" s="122">
        <f>IF(OR($C31="",$B$2="",$D$2=0),0,IF(I$3&lt;0,0,N(INDEX('CURVA PREVISION'!$A$1:$KZ$3000,$C31,10+3*MIN(I$3,$D$2-1)))))</f>
        <v/>
      </c>
      <c r="J31" s="122">
        <f>IF(OR($C31="",$B$2="",$D$2=0),0,IF(J$3&lt;0,0,N(INDEX('CURVA PREVISION'!$A$1:$KZ$3000,$C31,10+3*MIN(J$3,$D$2-1)))))</f>
        <v/>
      </c>
      <c r="K31" s="122">
        <f>IF(OR($C31="",$B$2="",$D$2=0),0,IF(K$3&lt;0,0,N(INDEX('CURVA PREVISION'!$A$1:$KZ$3000,$C31,10+3*MIN(K$3,$D$2-1)))))</f>
        <v/>
      </c>
      <c r="L31" s="122">
        <f>IF(OR($C31="",$B$2="",$D$2=0),0,IF(L$3&lt;0,0,N(INDEX('CURVA PREVISION'!$A$1:$KZ$3000,$C31,10+3*MIN(L$3,$D$2-1)))))</f>
        <v/>
      </c>
      <c r="M31" s="122">
        <f>IF(OR($C31="",$B$2="",$D$2=0),0,IF(M$3&lt;0,0,N(INDEX('CURVA PREVISION'!$A$1:$KZ$3000,$C31,10+3*MIN(M$3,$D$2-1)))))</f>
        <v/>
      </c>
      <c r="N31" s="122">
        <f>IF(OR($C31="",$B$2="",$D$2=0),0,IF(N$3&lt;0,0,N(INDEX('CURVA PREVISION'!$A$1:$KZ$3000,$C31,10+3*MIN(N$3,$D$2-1)))))</f>
        <v/>
      </c>
      <c r="O31" s="122">
        <f>IF(OR($C31="",$B$2="",$D$2=0),0,IF(O$3&lt;0,0,N(INDEX('CURVA PREVISION'!$A$1:$KZ$3000,$C31,10+3*MIN(O$3,$D$2-1)))))</f>
        <v/>
      </c>
      <c r="P31" s="122">
        <f>IF(OR($C31="",$B$2="",$D$2=0),0,IF(P$3&lt;0,0,N(INDEX('CURVA PREVISION'!$A$1:$KZ$3000,$C31,10+3*MIN(P$3,$D$2-1)))))</f>
        <v/>
      </c>
      <c r="Q31" s="122">
        <f>IF(OR($C31="",$B$2="",$D$2=0),0,IF(Q$3&lt;0,0,N(INDEX('CURVA PREVISION'!$A$1:$KZ$3000,$C31,10+3*MIN(Q$3,$D$2-1)))))</f>
        <v/>
      </c>
      <c r="R31" s="122">
        <f>IF(OR($C31="",$B$2="",$D$2=0),0,IF(R$3&lt;0,0,N(INDEX('CURVA PREVISION'!$A$1:$KZ$3000,$C31,10+3*MIN(R$3,$D$2-1)))))</f>
        <v/>
      </c>
      <c r="S31" s="122">
        <f>IF(OR($C31="",$B$2="",$D$2=0),0,IF(S$3&lt;0,0,N(INDEX('CURVA PREVISION'!$A$1:$KZ$3000,$C31,10+3*MIN(S$3,$D$2-1)))))</f>
        <v/>
      </c>
      <c r="T31" s="122">
        <f>IF(OR($C31="",$B$2="",$D$2=0),0,IF(T$3&lt;0,0,N(INDEX('CURVA PREVISION'!$A$1:$KZ$3000,$C31,10+3*MIN(T$3,$D$2-1)))))</f>
        <v/>
      </c>
      <c r="U31" s="122">
        <f>IF(OR($C31="",$B$2="",$D$2=0),0,IF(U$3&lt;0,0,N(INDEX('CURVA PREVISION'!$A$1:$KZ$3000,$C31,10+3*MIN(U$3,$D$2-1)))))</f>
        <v/>
      </c>
      <c r="V31" s="122">
        <f>IF(OR($C31="",$B$2="",$D$2=0),0,IF(V$3&lt;0,0,N(INDEX('CURVA PREVISION'!$A$1:$KZ$3000,$C31,10+3*MIN(V$3,$D$2-1)))))</f>
        <v/>
      </c>
      <c r="W31" s="122">
        <f>IF(OR($C31="",$B$2="",$D$2=0),0,IF(W$3&lt;0,0,N(INDEX('CURVA PREVISION'!$A$1:$KZ$3000,$C31,10+3*MIN(W$3,$D$2-1)))))</f>
        <v/>
      </c>
      <c r="X31" s="122">
        <f>IF(OR($C31="",$B$2="",$D$2=0),0,IF(X$3&lt;0,0,N(INDEX('CURVA PREVISION'!$A$1:$KZ$3000,$C31,10+3*MIN(X$3,$D$2-1)))))</f>
        <v/>
      </c>
      <c r="Y31" s="122">
        <f>IF(OR($C31="",$B$2="",$D$2=0),0,IF(Y$3&lt;0,0,N(INDEX('CURVA PREVISION'!$A$1:$KZ$3000,$C31,10+3*MIN(Y$3,$D$2-1)))))</f>
        <v/>
      </c>
      <c r="Z31" s="122">
        <f>IF(OR($C31="",$B$2="",$D$2=0),0,IF(Z$3&lt;0,0,N(INDEX('CURVA PREVISION'!$A$1:$KZ$3000,$C31,10+3*MIN(Z$3,$D$2-1)))))</f>
        <v/>
      </c>
      <c r="AA31" s="122">
        <f>IF(OR($C31="",$B$2="",$D$2=0),0,IF(AA$3&lt;0,0,N(INDEX('CURVA PREVISION'!$A$1:$KZ$3000,$C31,10+3*MIN(AA$3,$D$2-1)))))</f>
        <v/>
      </c>
      <c r="AB31" s="122">
        <f>IF(OR($C31="",$B$2="",$D$2=0),0,IF(AB$3&lt;0,0,N(INDEX('CURVA PREVISION'!$A$1:$KZ$3000,$C31,10+3*MIN(AB$3,$D$2-1)))))</f>
        <v/>
      </c>
      <c r="AC31" s="122">
        <f>IF(OR($C31="",$B$2="",$D$2=0),0,IF(AC$3&lt;0,0,N(INDEX('CURVA PREVISION'!$A$1:$KZ$3000,$C31,10+3*MIN(AC$3,$D$2-1)))))</f>
        <v/>
      </c>
      <c r="AD31" s="122">
        <f>IF(OR($C31="",$B$2="",$D$2=0),0,IF(AD$3&lt;0,0,N(INDEX('CURVA PREVISION'!$A$1:$KZ$3000,$C31,10+3*MIN(AD$3,$D$2-1)))))</f>
        <v/>
      </c>
      <c r="AE31" s="122">
        <f>IF(OR($C31="",$B$2="",$D$2=0),0,IF(AE$3&lt;0,0,N(INDEX('CURVA PREVISION'!$A$1:$KZ$3000,$C31,10+3*MIN(AE$3,$D$2-1)))))</f>
        <v/>
      </c>
      <c r="AF31" s="122">
        <f>IF(OR($C31="",$B$2="",$D$2=0),0,IF(AF$3&lt;0,0,N(INDEX('CURVA PREVISION'!$A$1:$KZ$3000,$C31,10+3*MIN(AF$3,$D$2-1)))))</f>
        <v/>
      </c>
      <c r="AG31" s="122">
        <f>IF(OR($C31="",$B$2="",$D$2=0),0,IF(AG$3&lt;0,0,N(INDEX('CURVA PREVISION'!$A$1:$KZ$3000,$C31,10+3*MIN(AG$3,$D$2-1)))))</f>
        <v/>
      </c>
      <c r="AH31" s="122">
        <f>IF(OR($C31="",$B$2="",$D$2=0),0,IF(AH$3&lt;0,0,N(INDEX('CURVA PREVISION'!$A$1:$KZ$3000,$C31,10+3*MIN(AH$3,$D$2-1)))))</f>
        <v/>
      </c>
      <c r="AI31" s="122">
        <f>IF(OR($C31="",$B$2="",$D$2=0),0,IF(AI$3&lt;0,0,N(INDEX('CURVA PREVISION'!$A$1:$KZ$3000,$C31,10+3*MIN(AI$3,$D$2-1)))))</f>
        <v/>
      </c>
      <c r="AJ31" s="122">
        <f>IF(OR($C31="",$B$2="",$D$2=0),0,IF(AJ$3&lt;0,0,N(INDEX('CURVA PREVISION'!$A$1:$KZ$3000,$C31,10+3*MIN(AJ$3,$D$2-1)))))</f>
        <v/>
      </c>
      <c r="AK31" s="122">
        <f>IF(OR($C31="",$B$2="",$D$2=0),0,IF(AK$3&lt;0,0,N(INDEX('CURVA PREVISION'!$A$1:$KZ$3000,$C31,10+3*MIN(AK$3,$D$2-1)))))</f>
        <v/>
      </c>
      <c r="AL31" s="122">
        <f>IF(OR($C31="",$B$2="",$D$2=0),0,IF(AL$3&lt;0,0,N(INDEX('CURVA PREVISION'!$A$1:$KZ$3000,$C31,10+3*MIN(AL$3,$D$2-1)))))</f>
        <v/>
      </c>
      <c r="AM31" s="122">
        <f>IF(OR($C31="",$B$2="",$D$2=0),0,IF(AM$3&lt;0,0,N(INDEX('CURVA PREVISION'!$A$1:$KZ$3000,$C31,10+3*MIN(AM$3,$D$2-1)))))</f>
        <v/>
      </c>
      <c r="AN31" s="122">
        <f>IF(OR($C31="",$B$2="",$D$2=0),0,IF(AN$3&lt;0,0,N(INDEX('CURVA PREVISION'!$A$1:$KZ$3000,$C31,10+3*MIN(AN$3,$D$2-1)))))</f>
        <v/>
      </c>
      <c r="AO31" s="122">
        <f>IF(OR($C31="",$B$2="",$D$2=0),0,IF(AO$3&lt;0,0,N(INDEX('CURVA PREVISION'!$A$1:$KZ$3000,$C31,10+3*MIN(AO$3,$D$2-1)))))</f>
        <v/>
      </c>
      <c r="AP31" s="122">
        <f>IF(OR($C31="",$B$2="",$D$2=0),0,IF(AP$3&lt;0,0,N(INDEX('CURVA PREVISION'!$A$1:$KZ$3000,$C31,10+3*MIN(AP$3,$D$2-1)))))</f>
        <v/>
      </c>
      <c r="AQ31" s="122">
        <f>IF(OR($C31="",$B$2="",$D$2=0),0,IF(AQ$3&lt;0,0,N(INDEX('CURVA PREVISION'!$A$1:$KZ$3000,$C31,10+3*MIN(AQ$3,$D$2-1)))))</f>
        <v/>
      </c>
      <c r="AR31" s="122">
        <f>IF(OR($C31="",$B$2="",$D$2=0),0,IF(AR$3&lt;0,0,N(INDEX('CURVA PREVISION'!$A$1:$KZ$3000,$C31,10+3*MIN(AR$3,$D$2-1)))))</f>
        <v/>
      </c>
      <c r="AS31" s="122">
        <f>IF(OR($C31="",$B$2="",$D$2=0),0,IF(AS$3&lt;0,0,N(INDEX('CURVA PREVISION'!$A$1:$KZ$3000,$C31,10+3*MIN(AS$3,$D$2-1)))))</f>
        <v/>
      </c>
      <c r="AT31" s="122">
        <f>IF(OR($C31="",$B$2="",$D$2=0),0,IF(AT$3&lt;0,0,N(INDEX('CURVA PREVISION'!$A$1:$KZ$3000,$C31,10+3*MIN(AT$3,$D$2-1)))))</f>
        <v/>
      </c>
      <c r="AU31" s="122">
        <f>IF(OR($C31="",$B$2="",$D$2=0),0,IF(AU$3&lt;0,0,N(INDEX('CURVA PREVISION'!$A$1:$KZ$3000,$C31,10+3*MIN(AU$3,$D$2-1)))))</f>
        <v/>
      </c>
      <c r="AV31" s="122">
        <f>IF(OR($C31="",$B$2="",$D$2=0),0,IF(AV$3&lt;0,0,N(INDEX('CURVA PREVISION'!$A$1:$KZ$3000,$C31,10+3*MIN(AV$3,$D$2-1)))))</f>
        <v/>
      </c>
      <c r="AW31" s="122">
        <f>IF(OR($C31="",$B$2="",$D$2=0),0,IF(AW$3&lt;0,0,N(INDEX('CURVA PREVISION'!$A$1:$KZ$3000,$C31,10+3*MIN(AW$3,$D$2-1)))))</f>
        <v/>
      </c>
      <c r="AX31" s="122">
        <f>IF(OR($C31="",$B$2="",$D$2=0),0,IF(AX$3&lt;0,0,N(INDEX('CURVA PREVISION'!$A$1:$KZ$3000,$C31,10+3*MIN(AX$3,$D$2-1)))))</f>
        <v/>
      </c>
      <c r="AY31" s="122">
        <f>IF(OR($C31="",$B$2="",$D$2=0),0,IF(AY$3&lt;0,0,N(INDEX('CURVA PREVISION'!$A$1:$KZ$3000,$C31,10+3*MIN(AY$3,$D$2-1)))))</f>
        <v/>
      </c>
      <c r="AZ31" s="122">
        <f>IF(OR($C31="",$B$2="",$D$2=0),0,IF(AZ$3&lt;0,0,N(INDEX('CURVA PREVISION'!$A$1:$KZ$3000,$C31,10+3*MIN(AZ$3,$D$2-1)))))</f>
        <v/>
      </c>
      <c r="BA31" s="122">
        <f>IF(OR($C31="",$B$2="",$D$2=0),0,IF(BA$3&lt;0,0,N(INDEX('CURVA PREVISION'!$A$1:$KZ$3000,$C31,10+3*MIN(BA$3,$D$2-1)))))</f>
        <v/>
      </c>
      <c r="BB31" s="122">
        <f>IF(OR($C31="",$B$2="",$D$2=0),0,IF(BB$3&lt;0,0,N(INDEX('CURVA PREVISION'!$A$1:$KZ$3000,$C31,10+3*MIN(BB$3,$D$2-1)))))</f>
        <v/>
      </c>
      <c r="BC31" s="122">
        <f>IF(OR($C31="",$B$2="",$D$2=0),0,IF(BC$3&lt;0,0,N(INDEX('CURVA PREVISION'!$A$1:$KZ$3000,$C31,10+3*MIN(BC$3,$D$2-1)))))</f>
        <v/>
      </c>
      <c r="BD31" s="122">
        <f>IF(OR($C31="",$B$2="",$D$2=0),0,IF(BD$3&lt;0,0,N(INDEX('CURVA PREVISION'!$A$1:$KZ$3000,$C31,10+3*MIN(BD$3,$D$2-1)))))</f>
        <v/>
      </c>
      <c r="BE31" s="122">
        <f>IF(OR($C31="",$B$2="",$D$2=0),0,IF(BE$3&lt;0,0,N(INDEX('CURVA PREVISION'!$A$1:$KZ$3000,$C31,10+3*MIN(BE$3,$D$2-1)))))</f>
        <v/>
      </c>
      <c r="BF31" s="122">
        <f>IF(OR($C31="",$B$2="",$D$2=0),0,IF(BF$3&lt;0,0,N(INDEX('CURVA PREVISION'!$A$1:$KZ$3000,$C31,10+3*MIN(BF$3,$D$2-1)))))</f>
        <v/>
      </c>
      <c r="BG31" s="122">
        <f>IF(OR($C31="",$B$2="",$D$2=0),0,IF(BG$3&lt;0,0,N(INDEX('CURVA PREVISION'!$A$1:$KZ$3000,$C31,10+3*MIN(BG$3,$D$2-1)))))</f>
        <v/>
      </c>
      <c r="BH31" s="122">
        <f>IF(OR($C31="",$B$2="",$D$2=0),0,IF(BH$3&lt;0,0,N(INDEX('CURVA PREVISION'!$A$1:$KZ$3000,$C31,10+3*MIN(BH$3,$D$2-1)))))</f>
        <v/>
      </c>
      <c r="BI31" s="122">
        <f>IF(OR($C31="",$B$2="",$D$2=0),0,IF(BI$3&lt;0,0,N(INDEX('CURVA PREVISION'!$A$1:$KZ$3000,$C31,10+3*MIN(BI$3,$D$2-1)))))</f>
        <v/>
      </c>
      <c r="BJ31" s="122">
        <f>IF(OR($C31="",$B$2="",$D$2=0),0,IF(BJ$3&lt;0,0,N(INDEX('CURVA PREVISION'!$A$1:$KZ$3000,$C31,10+3*MIN(BJ$3,$D$2-1)))))</f>
        <v/>
      </c>
      <c r="BK31" s="122">
        <f>IF(OR($C31="",$B$2="",$D$2=0),0,IF(BK$3&lt;0,0,N(INDEX('CURVA PREVISION'!$A$1:$KZ$3000,$C31,10+3*MIN(BK$3,$D$2-1)))))</f>
        <v/>
      </c>
      <c r="BL31" s="122">
        <f>IF(OR($C31="",$B$2="",$D$2=0),0,IF(BL$3&lt;0,0,N(INDEX('CURVA PREVISION'!$A$1:$KZ$3000,$C31,10+3*MIN(BL$3,$D$2-1)))))</f>
        <v/>
      </c>
      <c r="BM31" s="122">
        <f>IF(OR($C31="",$B$2="",$D$2=0),0,IF(BM$3&lt;0,0,N(INDEX('CURVA PREVISION'!$A$1:$KZ$3000,$C31,10+3*MIN(BM$3,$D$2-1)))))</f>
        <v/>
      </c>
      <c r="BN31" s="122">
        <f>IF(OR($C31="",$B$2="",$D$2=0),0,IF(BN$3&lt;0,0,N(INDEX('CURVA PREVISION'!$A$1:$KZ$3000,$C31,10+3*MIN(BN$3,$D$2-1)))))</f>
        <v/>
      </c>
      <c r="BO31" s="122">
        <f>IF(OR($C31="",$B$2="",$D$2=0),0,IF(BO$3&lt;0,0,N(INDEX('CURVA PREVISION'!$A$1:$KZ$3000,$C31,10+3*MIN(BO$3,$D$2-1)))))</f>
        <v/>
      </c>
      <c r="BP31" s="122">
        <f>IF(OR($C31="",$B$2="",$D$2=0),0,IF(BP$3&lt;0,0,N(INDEX('CURVA PREVISION'!$A$1:$KZ$3000,$C31,10+3*MIN(BP$3,$D$2-1)))))</f>
        <v/>
      </c>
      <c r="BQ31" s="122">
        <f>IF(OR($C31="",$B$2="",$D$2=0),0,IF(BQ$3&lt;0,0,N(INDEX('CURVA PREVISION'!$A$1:$KZ$3000,$C31,10+3*MIN(BQ$3,$D$2-1)))))</f>
        <v/>
      </c>
      <c r="BR31" s="122">
        <f>IF(OR($C31="",$B$2="",$D$2=0),0,IF(BR$3&lt;0,0,N(INDEX('CURVA PREVISION'!$A$1:$KZ$3000,$C31,10+3*MIN(BR$3,$D$2-1)))))</f>
        <v/>
      </c>
      <c r="BS31" s="122">
        <f>IF(OR($C31="",$B$2="",$D$2=0),0,IF(BS$3&lt;0,0,N(INDEX('CURVA PREVISION'!$A$1:$KZ$3000,$C31,10+3*MIN(BS$3,$D$2-1)))))</f>
        <v/>
      </c>
      <c r="BT31" s="122">
        <f>IF(OR($C31="",$B$2="",$D$2=0),0,IF(BT$3&lt;0,0,N(INDEX('CURVA PREVISION'!$A$1:$KZ$3000,$C31,10+3*MIN(BT$3,$D$2-1)))))</f>
        <v/>
      </c>
      <c r="BU31" s="122">
        <f>IF(OR($C31="",$B$2="",$D$2=0),0,IF(BU$3&lt;0,0,N(INDEX('CURVA PREVISION'!$A$1:$KZ$3000,$C31,10+3*MIN(BU$3,$D$2-1)))))</f>
        <v/>
      </c>
      <c r="BV31" s="122">
        <f>IF(OR($C31="",$B$2="",$D$2=0),0,IF(BV$3&lt;0,0,N(INDEX('CURVA PREVISION'!$A$1:$KZ$3000,$C31,10+3*MIN(BV$3,$D$2-1)))))</f>
        <v/>
      </c>
      <c r="BW31" s="122">
        <f>IF(OR($C31="",$B$2="",$D$2=0),0,IF(BW$3&lt;0,0,N(INDEX('CURVA PREVISION'!$A$1:$KZ$3000,$C31,10+3*MIN(BW$3,$D$2-1)))))</f>
        <v/>
      </c>
    </row>
    <row r="32">
      <c r="A32" s="60">
        <f>IF('VALOR POR PL'!Q38="",'VALOR POR PL'!C38,'VALOR POR PL'!Q38)</f>
        <v/>
      </c>
      <c r="B32" s="60">
        <f>'VALOR POR PL'!D38</f>
        <v/>
      </c>
      <c r="C32" s="69">
        <f>IFERROR(MATCH(A32,'CURVA PREVISION'!$B$1:$B$3000,0),"")</f>
        <v/>
      </c>
      <c r="D32" s="122">
        <f>IF(OR($C32="",$B$2="",$D$2=0),0,IF(D$3&lt;0,0,N(INDEX('CURVA PREVISION'!$A$1:$KZ$3000,$C32,10+3*MIN(D$3,$D$2-1)))))</f>
        <v/>
      </c>
      <c r="E32" s="122">
        <f>IF(OR($C32="",$B$2="",$D$2=0),0,IF(E$3&lt;0,0,N(INDEX('CURVA PREVISION'!$A$1:$KZ$3000,$C32,10+3*MIN(E$3,$D$2-1)))))</f>
        <v/>
      </c>
      <c r="F32" s="122">
        <f>IF(OR($C32="",$B$2="",$D$2=0),0,IF(F$3&lt;0,0,N(INDEX('CURVA PREVISION'!$A$1:$KZ$3000,$C32,10+3*MIN(F$3,$D$2-1)))))</f>
        <v/>
      </c>
      <c r="G32" s="122">
        <f>IF(OR($C32="",$B$2="",$D$2=0),0,IF(G$3&lt;0,0,N(INDEX('CURVA PREVISION'!$A$1:$KZ$3000,$C32,10+3*MIN(G$3,$D$2-1)))))</f>
        <v/>
      </c>
      <c r="H32" s="122">
        <f>IF(OR($C32="",$B$2="",$D$2=0),0,IF(H$3&lt;0,0,N(INDEX('CURVA PREVISION'!$A$1:$KZ$3000,$C32,10+3*MIN(H$3,$D$2-1)))))</f>
        <v/>
      </c>
      <c r="I32" s="122">
        <f>IF(OR($C32="",$B$2="",$D$2=0),0,IF(I$3&lt;0,0,N(INDEX('CURVA PREVISION'!$A$1:$KZ$3000,$C32,10+3*MIN(I$3,$D$2-1)))))</f>
        <v/>
      </c>
      <c r="J32" s="122">
        <f>IF(OR($C32="",$B$2="",$D$2=0),0,IF(J$3&lt;0,0,N(INDEX('CURVA PREVISION'!$A$1:$KZ$3000,$C32,10+3*MIN(J$3,$D$2-1)))))</f>
        <v/>
      </c>
      <c r="K32" s="122">
        <f>IF(OR($C32="",$B$2="",$D$2=0),0,IF(K$3&lt;0,0,N(INDEX('CURVA PREVISION'!$A$1:$KZ$3000,$C32,10+3*MIN(K$3,$D$2-1)))))</f>
        <v/>
      </c>
      <c r="L32" s="122">
        <f>IF(OR($C32="",$B$2="",$D$2=0),0,IF(L$3&lt;0,0,N(INDEX('CURVA PREVISION'!$A$1:$KZ$3000,$C32,10+3*MIN(L$3,$D$2-1)))))</f>
        <v/>
      </c>
      <c r="M32" s="122">
        <f>IF(OR($C32="",$B$2="",$D$2=0),0,IF(M$3&lt;0,0,N(INDEX('CURVA PREVISION'!$A$1:$KZ$3000,$C32,10+3*MIN(M$3,$D$2-1)))))</f>
        <v/>
      </c>
      <c r="N32" s="122">
        <f>IF(OR($C32="",$B$2="",$D$2=0),0,IF(N$3&lt;0,0,N(INDEX('CURVA PREVISION'!$A$1:$KZ$3000,$C32,10+3*MIN(N$3,$D$2-1)))))</f>
        <v/>
      </c>
      <c r="O32" s="122">
        <f>IF(OR($C32="",$B$2="",$D$2=0),0,IF(O$3&lt;0,0,N(INDEX('CURVA PREVISION'!$A$1:$KZ$3000,$C32,10+3*MIN(O$3,$D$2-1)))))</f>
        <v/>
      </c>
      <c r="P32" s="122">
        <f>IF(OR($C32="",$B$2="",$D$2=0),0,IF(P$3&lt;0,0,N(INDEX('CURVA PREVISION'!$A$1:$KZ$3000,$C32,10+3*MIN(P$3,$D$2-1)))))</f>
        <v/>
      </c>
      <c r="Q32" s="122">
        <f>IF(OR($C32="",$B$2="",$D$2=0),0,IF(Q$3&lt;0,0,N(INDEX('CURVA PREVISION'!$A$1:$KZ$3000,$C32,10+3*MIN(Q$3,$D$2-1)))))</f>
        <v/>
      </c>
      <c r="R32" s="122">
        <f>IF(OR($C32="",$B$2="",$D$2=0),0,IF(R$3&lt;0,0,N(INDEX('CURVA PREVISION'!$A$1:$KZ$3000,$C32,10+3*MIN(R$3,$D$2-1)))))</f>
        <v/>
      </c>
      <c r="S32" s="122">
        <f>IF(OR($C32="",$B$2="",$D$2=0),0,IF(S$3&lt;0,0,N(INDEX('CURVA PREVISION'!$A$1:$KZ$3000,$C32,10+3*MIN(S$3,$D$2-1)))))</f>
        <v/>
      </c>
      <c r="T32" s="122">
        <f>IF(OR($C32="",$B$2="",$D$2=0),0,IF(T$3&lt;0,0,N(INDEX('CURVA PREVISION'!$A$1:$KZ$3000,$C32,10+3*MIN(T$3,$D$2-1)))))</f>
        <v/>
      </c>
      <c r="U32" s="122">
        <f>IF(OR($C32="",$B$2="",$D$2=0),0,IF(U$3&lt;0,0,N(INDEX('CURVA PREVISION'!$A$1:$KZ$3000,$C32,10+3*MIN(U$3,$D$2-1)))))</f>
        <v/>
      </c>
      <c r="V32" s="122">
        <f>IF(OR($C32="",$B$2="",$D$2=0),0,IF(V$3&lt;0,0,N(INDEX('CURVA PREVISION'!$A$1:$KZ$3000,$C32,10+3*MIN(V$3,$D$2-1)))))</f>
        <v/>
      </c>
      <c r="W32" s="122">
        <f>IF(OR($C32="",$B$2="",$D$2=0),0,IF(W$3&lt;0,0,N(INDEX('CURVA PREVISION'!$A$1:$KZ$3000,$C32,10+3*MIN(W$3,$D$2-1)))))</f>
        <v/>
      </c>
      <c r="X32" s="122">
        <f>IF(OR($C32="",$B$2="",$D$2=0),0,IF(X$3&lt;0,0,N(INDEX('CURVA PREVISION'!$A$1:$KZ$3000,$C32,10+3*MIN(X$3,$D$2-1)))))</f>
        <v/>
      </c>
      <c r="Y32" s="122">
        <f>IF(OR($C32="",$B$2="",$D$2=0),0,IF(Y$3&lt;0,0,N(INDEX('CURVA PREVISION'!$A$1:$KZ$3000,$C32,10+3*MIN(Y$3,$D$2-1)))))</f>
        <v/>
      </c>
      <c r="Z32" s="122">
        <f>IF(OR($C32="",$B$2="",$D$2=0),0,IF(Z$3&lt;0,0,N(INDEX('CURVA PREVISION'!$A$1:$KZ$3000,$C32,10+3*MIN(Z$3,$D$2-1)))))</f>
        <v/>
      </c>
      <c r="AA32" s="122">
        <f>IF(OR($C32="",$B$2="",$D$2=0),0,IF(AA$3&lt;0,0,N(INDEX('CURVA PREVISION'!$A$1:$KZ$3000,$C32,10+3*MIN(AA$3,$D$2-1)))))</f>
        <v/>
      </c>
      <c r="AB32" s="122">
        <f>IF(OR($C32="",$B$2="",$D$2=0),0,IF(AB$3&lt;0,0,N(INDEX('CURVA PREVISION'!$A$1:$KZ$3000,$C32,10+3*MIN(AB$3,$D$2-1)))))</f>
        <v/>
      </c>
      <c r="AC32" s="122">
        <f>IF(OR($C32="",$B$2="",$D$2=0),0,IF(AC$3&lt;0,0,N(INDEX('CURVA PREVISION'!$A$1:$KZ$3000,$C32,10+3*MIN(AC$3,$D$2-1)))))</f>
        <v/>
      </c>
      <c r="AD32" s="122">
        <f>IF(OR($C32="",$B$2="",$D$2=0),0,IF(AD$3&lt;0,0,N(INDEX('CURVA PREVISION'!$A$1:$KZ$3000,$C32,10+3*MIN(AD$3,$D$2-1)))))</f>
        <v/>
      </c>
      <c r="AE32" s="122">
        <f>IF(OR($C32="",$B$2="",$D$2=0),0,IF(AE$3&lt;0,0,N(INDEX('CURVA PREVISION'!$A$1:$KZ$3000,$C32,10+3*MIN(AE$3,$D$2-1)))))</f>
        <v/>
      </c>
      <c r="AF32" s="122">
        <f>IF(OR($C32="",$B$2="",$D$2=0),0,IF(AF$3&lt;0,0,N(INDEX('CURVA PREVISION'!$A$1:$KZ$3000,$C32,10+3*MIN(AF$3,$D$2-1)))))</f>
        <v/>
      </c>
      <c r="AG32" s="122">
        <f>IF(OR($C32="",$B$2="",$D$2=0),0,IF(AG$3&lt;0,0,N(INDEX('CURVA PREVISION'!$A$1:$KZ$3000,$C32,10+3*MIN(AG$3,$D$2-1)))))</f>
        <v/>
      </c>
      <c r="AH32" s="122">
        <f>IF(OR($C32="",$B$2="",$D$2=0),0,IF(AH$3&lt;0,0,N(INDEX('CURVA PREVISION'!$A$1:$KZ$3000,$C32,10+3*MIN(AH$3,$D$2-1)))))</f>
        <v/>
      </c>
      <c r="AI32" s="122">
        <f>IF(OR($C32="",$B$2="",$D$2=0),0,IF(AI$3&lt;0,0,N(INDEX('CURVA PREVISION'!$A$1:$KZ$3000,$C32,10+3*MIN(AI$3,$D$2-1)))))</f>
        <v/>
      </c>
      <c r="AJ32" s="122">
        <f>IF(OR($C32="",$B$2="",$D$2=0),0,IF(AJ$3&lt;0,0,N(INDEX('CURVA PREVISION'!$A$1:$KZ$3000,$C32,10+3*MIN(AJ$3,$D$2-1)))))</f>
        <v/>
      </c>
      <c r="AK32" s="122">
        <f>IF(OR($C32="",$B$2="",$D$2=0),0,IF(AK$3&lt;0,0,N(INDEX('CURVA PREVISION'!$A$1:$KZ$3000,$C32,10+3*MIN(AK$3,$D$2-1)))))</f>
        <v/>
      </c>
      <c r="AL32" s="122">
        <f>IF(OR($C32="",$B$2="",$D$2=0),0,IF(AL$3&lt;0,0,N(INDEX('CURVA PREVISION'!$A$1:$KZ$3000,$C32,10+3*MIN(AL$3,$D$2-1)))))</f>
        <v/>
      </c>
      <c r="AM32" s="122">
        <f>IF(OR($C32="",$B$2="",$D$2=0),0,IF(AM$3&lt;0,0,N(INDEX('CURVA PREVISION'!$A$1:$KZ$3000,$C32,10+3*MIN(AM$3,$D$2-1)))))</f>
        <v/>
      </c>
      <c r="AN32" s="122">
        <f>IF(OR($C32="",$B$2="",$D$2=0),0,IF(AN$3&lt;0,0,N(INDEX('CURVA PREVISION'!$A$1:$KZ$3000,$C32,10+3*MIN(AN$3,$D$2-1)))))</f>
        <v/>
      </c>
      <c r="AO32" s="122">
        <f>IF(OR($C32="",$B$2="",$D$2=0),0,IF(AO$3&lt;0,0,N(INDEX('CURVA PREVISION'!$A$1:$KZ$3000,$C32,10+3*MIN(AO$3,$D$2-1)))))</f>
        <v/>
      </c>
      <c r="AP32" s="122">
        <f>IF(OR($C32="",$B$2="",$D$2=0),0,IF(AP$3&lt;0,0,N(INDEX('CURVA PREVISION'!$A$1:$KZ$3000,$C32,10+3*MIN(AP$3,$D$2-1)))))</f>
        <v/>
      </c>
      <c r="AQ32" s="122">
        <f>IF(OR($C32="",$B$2="",$D$2=0),0,IF(AQ$3&lt;0,0,N(INDEX('CURVA PREVISION'!$A$1:$KZ$3000,$C32,10+3*MIN(AQ$3,$D$2-1)))))</f>
        <v/>
      </c>
      <c r="AR32" s="122">
        <f>IF(OR($C32="",$B$2="",$D$2=0),0,IF(AR$3&lt;0,0,N(INDEX('CURVA PREVISION'!$A$1:$KZ$3000,$C32,10+3*MIN(AR$3,$D$2-1)))))</f>
        <v/>
      </c>
      <c r="AS32" s="122">
        <f>IF(OR($C32="",$B$2="",$D$2=0),0,IF(AS$3&lt;0,0,N(INDEX('CURVA PREVISION'!$A$1:$KZ$3000,$C32,10+3*MIN(AS$3,$D$2-1)))))</f>
        <v/>
      </c>
      <c r="AT32" s="122">
        <f>IF(OR($C32="",$B$2="",$D$2=0),0,IF(AT$3&lt;0,0,N(INDEX('CURVA PREVISION'!$A$1:$KZ$3000,$C32,10+3*MIN(AT$3,$D$2-1)))))</f>
        <v/>
      </c>
      <c r="AU32" s="122">
        <f>IF(OR($C32="",$B$2="",$D$2=0),0,IF(AU$3&lt;0,0,N(INDEX('CURVA PREVISION'!$A$1:$KZ$3000,$C32,10+3*MIN(AU$3,$D$2-1)))))</f>
        <v/>
      </c>
      <c r="AV32" s="122">
        <f>IF(OR($C32="",$B$2="",$D$2=0),0,IF(AV$3&lt;0,0,N(INDEX('CURVA PREVISION'!$A$1:$KZ$3000,$C32,10+3*MIN(AV$3,$D$2-1)))))</f>
        <v/>
      </c>
      <c r="AW32" s="122">
        <f>IF(OR($C32="",$B$2="",$D$2=0),0,IF(AW$3&lt;0,0,N(INDEX('CURVA PREVISION'!$A$1:$KZ$3000,$C32,10+3*MIN(AW$3,$D$2-1)))))</f>
        <v/>
      </c>
      <c r="AX32" s="122">
        <f>IF(OR($C32="",$B$2="",$D$2=0),0,IF(AX$3&lt;0,0,N(INDEX('CURVA PREVISION'!$A$1:$KZ$3000,$C32,10+3*MIN(AX$3,$D$2-1)))))</f>
        <v/>
      </c>
      <c r="AY32" s="122">
        <f>IF(OR($C32="",$B$2="",$D$2=0),0,IF(AY$3&lt;0,0,N(INDEX('CURVA PREVISION'!$A$1:$KZ$3000,$C32,10+3*MIN(AY$3,$D$2-1)))))</f>
        <v/>
      </c>
      <c r="AZ32" s="122">
        <f>IF(OR($C32="",$B$2="",$D$2=0),0,IF(AZ$3&lt;0,0,N(INDEX('CURVA PREVISION'!$A$1:$KZ$3000,$C32,10+3*MIN(AZ$3,$D$2-1)))))</f>
        <v/>
      </c>
      <c r="BA32" s="122">
        <f>IF(OR($C32="",$B$2="",$D$2=0),0,IF(BA$3&lt;0,0,N(INDEX('CURVA PREVISION'!$A$1:$KZ$3000,$C32,10+3*MIN(BA$3,$D$2-1)))))</f>
        <v/>
      </c>
      <c r="BB32" s="122">
        <f>IF(OR($C32="",$B$2="",$D$2=0),0,IF(BB$3&lt;0,0,N(INDEX('CURVA PREVISION'!$A$1:$KZ$3000,$C32,10+3*MIN(BB$3,$D$2-1)))))</f>
        <v/>
      </c>
      <c r="BC32" s="122">
        <f>IF(OR($C32="",$B$2="",$D$2=0),0,IF(BC$3&lt;0,0,N(INDEX('CURVA PREVISION'!$A$1:$KZ$3000,$C32,10+3*MIN(BC$3,$D$2-1)))))</f>
        <v/>
      </c>
      <c r="BD32" s="122">
        <f>IF(OR($C32="",$B$2="",$D$2=0),0,IF(BD$3&lt;0,0,N(INDEX('CURVA PREVISION'!$A$1:$KZ$3000,$C32,10+3*MIN(BD$3,$D$2-1)))))</f>
        <v/>
      </c>
      <c r="BE32" s="122">
        <f>IF(OR($C32="",$B$2="",$D$2=0),0,IF(BE$3&lt;0,0,N(INDEX('CURVA PREVISION'!$A$1:$KZ$3000,$C32,10+3*MIN(BE$3,$D$2-1)))))</f>
        <v/>
      </c>
      <c r="BF32" s="122">
        <f>IF(OR($C32="",$B$2="",$D$2=0),0,IF(BF$3&lt;0,0,N(INDEX('CURVA PREVISION'!$A$1:$KZ$3000,$C32,10+3*MIN(BF$3,$D$2-1)))))</f>
        <v/>
      </c>
      <c r="BG32" s="122">
        <f>IF(OR($C32="",$B$2="",$D$2=0),0,IF(BG$3&lt;0,0,N(INDEX('CURVA PREVISION'!$A$1:$KZ$3000,$C32,10+3*MIN(BG$3,$D$2-1)))))</f>
        <v/>
      </c>
      <c r="BH32" s="122">
        <f>IF(OR($C32="",$B$2="",$D$2=0),0,IF(BH$3&lt;0,0,N(INDEX('CURVA PREVISION'!$A$1:$KZ$3000,$C32,10+3*MIN(BH$3,$D$2-1)))))</f>
        <v/>
      </c>
      <c r="BI32" s="122">
        <f>IF(OR($C32="",$B$2="",$D$2=0),0,IF(BI$3&lt;0,0,N(INDEX('CURVA PREVISION'!$A$1:$KZ$3000,$C32,10+3*MIN(BI$3,$D$2-1)))))</f>
        <v/>
      </c>
      <c r="BJ32" s="122">
        <f>IF(OR($C32="",$B$2="",$D$2=0),0,IF(BJ$3&lt;0,0,N(INDEX('CURVA PREVISION'!$A$1:$KZ$3000,$C32,10+3*MIN(BJ$3,$D$2-1)))))</f>
        <v/>
      </c>
      <c r="BK32" s="122">
        <f>IF(OR($C32="",$B$2="",$D$2=0),0,IF(BK$3&lt;0,0,N(INDEX('CURVA PREVISION'!$A$1:$KZ$3000,$C32,10+3*MIN(BK$3,$D$2-1)))))</f>
        <v/>
      </c>
      <c r="BL32" s="122">
        <f>IF(OR($C32="",$B$2="",$D$2=0),0,IF(BL$3&lt;0,0,N(INDEX('CURVA PREVISION'!$A$1:$KZ$3000,$C32,10+3*MIN(BL$3,$D$2-1)))))</f>
        <v/>
      </c>
      <c r="BM32" s="122">
        <f>IF(OR($C32="",$B$2="",$D$2=0),0,IF(BM$3&lt;0,0,N(INDEX('CURVA PREVISION'!$A$1:$KZ$3000,$C32,10+3*MIN(BM$3,$D$2-1)))))</f>
        <v/>
      </c>
      <c r="BN32" s="122">
        <f>IF(OR($C32="",$B$2="",$D$2=0),0,IF(BN$3&lt;0,0,N(INDEX('CURVA PREVISION'!$A$1:$KZ$3000,$C32,10+3*MIN(BN$3,$D$2-1)))))</f>
        <v/>
      </c>
      <c r="BO32" s="122">
        <f>IF(OR($C32="",$B$2="",$D$2=0),0,IF(BO$3&lt;0,0,N(INDEX('CURVA PREVISION'!$A$1:$KZ$3000,$C32,10+3*MIN(BO$3,$D$2-1)))))</f>
        <v/>
      </c>
      <c r="BP32" s="122">
        <f>IF(OR($C32="",$B$2="",$D$2=0),0,IF(BP$3&lt;0,0,N(INDEX('CURVA PREVISION'!$A$1:$KZ$3000,$C32,10+3*MIN(BP$3,$D$2-1)))))</f>
        <v/>
      </c>
      <c r="BQ32" s="122">
        <f>IF(OR($C32="",$B$2="",$D$2=0),0,IF(BQ$3&lt;0,0,N(INDEX('CURVA PREVISION'!$A$1:$KZ$3000,$C32,10+3*MIN(BQ$3,$D$2-1)))))</f>
        <v/>
      </c>
      <c r="BR32" s="122">
        <f>IF(OR($C32="",$B$2="",$D$2=0),0,IF(BR$3&lt;0,0,N(INDEX('CURVA PREVISION'!$A$1:$KZ$3000,$C32,10+3*MIN(BR$3,$D$2-1)))))</f>
        <v/>
      </c>
      <c r="BS32" s="122">
        <f>IF(OR($C32="",$B$2="",$D$2=0),0,IF(BS$3&lt;0,0,N(INDEX('CURVA PREVISION'!$A$1:$KZ$3000,$C32,10+3*MIN(BS$3,$D$2-1)))))</f>
        <v/>
      </c>
      <c r="BT32" s="122">
        <f>IF(OR($C32="",$B$2="",$D$2=0),0,IF(BT$3&lt;0,0,N(INDEX('CURVA PREVISION'!$A$1:$KZ$3000,$C32,10+3*MIN(BT$3,$D$2-1)))))</f>
        <v/>
      </c>
      <c r="BU32" s="122">
        <f>IF(OR($C32="",$B$2="",$D$2=0),0,IF(BU$3&lt;0,0,N(INDEX('CURVA PREVISION'!$A$1:$KZ$3000,$C32,10+3*MIN(BU$3,$D$2-1)))))</f>
        <v/>
      </c>
      <c r="BV32" s="122">
        <f>IF(OR($C32="",$B$2="",$D$2=0),0,IF(BV$3&lt;0,0,N(INDEX('CURVA PREVISION'!$A$1:$KZ$3000,$C32,10+3*MIN(BV$3,$D$2-1)))))</f>
        <v/>
      </c>
      <c r="BW32" s="122">
        <f>IF(OR($C32="",$B$2="",$D$2=0),0,IF(BW$3&lt;0,0,N(INDEX('CURVA PREVISION'!$A$1:$KZ$3000,$C32,10+3*MIN(BW$3,$D$2-1)))))</f>
        <v/>
      </c>
    </row>
    <row r="33">
      <c r="A33" s="60">
        <f>IF('VALOR POR PL'!Q39="",'VALOR POR PL'!C39,'VALOR POR PL'!Q39)</f>
        <v/>
      </c>
      <c r="B33" s="60">
        <f>'VALOR POR PL'!D39</f>
        <v/>
      </c>
      <c r="C33" s="69">
        <f>IFERROR(MATCH(A33,'CURVA PREVISION'!$B$1:$B$3000,0),"")</f>
        <v/>
      </c>
      <c r="D33" s="122">
        <f>IF(OR($C33="",$B$2="",$D$2=0),0,IF(D$3&lt;0,0,N(INDEX('CURVA PREVISION'!$A$1:$KZ$3000,$C33,10+3*MIN(D$3,$D$2-1)))))</f>
        <v/>
      </c>
      <c r="E33" s="122">
        <f>IF(OR($C33="",$B$2="",$D$2=0),0,IF(E$3&lt;0,0,N(INDEX('CURVA PREVISION'!$A$1:$KZ$3000,$C33,10+3*MIN(E$3,$D$2-1)))))</f>
        <v/>
      </c>
      <c r="F33" s="122">
        <f>IF(OR($C33="",$B$2="",$D$2=0),0,IF(F$3&lt;0,0,N(INDEX('CURVA PREVISION'!$A$1:$KZ$3000,$C33,10+3*MIN(F$3,$D$2-1)))))</f>
        <v/>
      </c>
      <c r="G33" s="122">
        <f>IF(OR($C33="",$B$2="",$D$2=0),0,IF(G$3&lt;0,0,N(INDEX('CURVA PREVISION'!$A$1:$KZ$3000,$C33,10+3*MIN(G$3,$D$2-1)))))</f>
        <v/>
      </c>
      <c r="H33" s="122">
        <f>IF(OR($C33="",$B$2="",$D$2=0),0,IF(H$3&lt;0,0,N(INDEX('CURVA PREVISION'!$A$1:$KZ$3000,$C33,10+3*MIN(H$3,$D$2-1)))))</f>
        <v/>
      </c>
      <c r="I33" s="122">
        <f>IF(OR($C33="",$B$2="",$D$2=0),0,IF(I$3&lt;0,0,N(INDEX('CURVA PREVISION'!$A$1:$KZ$3000,$C33,10+3*MIN(I$3,$D$2-1)))))</f>
        <v/>
      </c>
      <c r="J33" s="122">
        <f>IF(OR($C33="",$B$2="",$D$2=0),0,IF(J$3&lt;0,0,N(INDEX('CURVA PREVISION'!$A$1:$KZ$3000,$C33,10+3*MIN(J$3,$D$2-1)))))</f>
        <v/>
      </c>
      <c r="K33" s="122">
        <f>IF(OR($C33="",$B$2="",$D$2=0),0,IF(K$3&lt;0,0,N(INDEX('CURVA PREVISION'!$A$1:$KZ$3000,$C33,10+3*MIN(K$3,$D$2-1)))))</f>
        <v/>
      </c>
      <c r="L33" s="122">
        <f>IF(OR($C33="",$B$2="",$D$2=0),0,IF(L$3&lt;0,0,N(INDEX('CURVA PREVISION'!$A$1:$KZ$3000,$C33,10+3*MIN(L$3,$D$2-1)))))</f>
        <v/>
      </c>
      <c r="M33" s="122">
        <f>IF(OR($C33="",$B$2="",$D$2=0),0,IF(M$3&lt;0,0,N(INDEX('CURVA PREVISION'!$A$1:$KZ$3000,$C33,10+3*MIN(M$3,$D$2-1)))))</f>
        <v/>
      </c>
      <c r="N33" s="122">
        <f>IF(OR($C33="",$B$2="",$D$2=0),0,IF(N$3&lt;0,0,N(INDEX('CURVA PREVISION'!$A$1:$KZ$3000,$C33,10+3*MIN(N$3,$D$2-1)))))</f>
        <v/>
      </c>
      <c r="O33" s="122">
        <f>IF(OR($C33="",$B$2="",$D$2=0),0,IF(O$3&lt;0,0,N(INDEX('CURVA PREVISION'!$A$1:$KZ$3000,$C33,10+3*MIN(O$3,$D$2-1)))))</f>
        <v/>
      </c>
      <c r="P33" s="122">
        <f>IF(OR($C33="",$B$2="",$D$2=0),0,IF(P$3&lt;0,0,N(INDEX('CURVA PREVISION'!$A$1:$KZ$3000,$C33,10+3*MIN(P$3,$D$2-1)))))</f>
        <v/>
      </c>
      <c r="Q33" s="122">
        <f>IF(OR($C33="",$B$2="",$D$2=0),0,IF(Q$3&lt;0,0,N(INDEX('CURVA PREVISION'!$A$1:$KZ$3000,$C33,10+3*MIN(Q$3,$D$2-1)))))</f>
        <v/>
      </c>
      <c r="R33" s="122">
        <f>IF(OR($C33="",$B$2="",$D$2=0),0,IF(R$3&lt;0,0,N(INDEX('CURVA PREVISION'!$A$1:$KZ$3000,$C33,10+3*MIN(R$3,$D$2-1)))))</f>
        <v/>
      </c>
      <c r="S33" s="122">
        <f>IF(OR($C33="",$B$2="",$D$2=0),0,IF(S$3&lt;0,0,N(INDEX('CURVA PREVISION'!$A$1:$KZ$3000,$C33,10+3*MIN(S$3,$D$2-1)))))</f>
        <v/>
      </c>
      <c r="T33" s="122">
        <f>IF(OR($C33="",$B$2="",$D$2=0),0,IF(T$3&lt;0,0,N(INDEX('CURVA PREVISION'!$A$1:$KZ$3000,$C33,10+3*MIN(T$3,$D$2-1)))))</f>
        <v/>
      </c>
      <c r="U33" s="122">
        <f>IF(OR($C33="",$B$2="",$D$2=0),0,IF(U$3&lt;0,0,N(INDEX('CURVA PREVISION'!$A$1:$KZ$3000,$C33,10+3*MIN(U$3,$D$2-1)))))</f>
        <v/>
      </c>
      <c r="V33" s="122">
        <f>IF(OR($C33="",$B$2="",$D$2=0),0,IF(V$3&lt;0,0,N(INDEX('CURVA PREVISION'!$A$1:$KZ$3000,$C33,10+3*MIN(V$3,$D$2-1)))))</f>
        <v/>
      </c>
      <c r="W33" s="122">
        <f>IF(OR($C33="",$B$2="",$D$2=0),0,IF(W$3&lt;0,0,N(INDEX('CURVA PREVISION'!$A$1:$KZ$3000,$C33,10+3*MIN(W$3,$D$2-1)))))</f>
        <v/>
      </c>
      <c r="X33" s="122">
        <f>IF(OR($C33="",$B$2="",$D$2=0),0,IF(X$3&lt;0,0,N(INDEX('CURVA PREVISION'!$A$1:$KZ$3000,$C33,10+3*MIN(X$3,$D$2-1)))))</f>
        <v/>
      </c>
      <c r="Y33" s="122">
        <f>IF(OR($C33="",$B$2="",$D$2=0),0,IF(Y$3&lt;0,0,N(INDEX('CURVA PREVISION'!$A$1:$KZ$3000,$C33,10+3*MIN(Y$3,$D$2-1)))))</f>
        <v/>
      </c>
      <c r="Z33" s="122">
        <f>IF(OR($C33="",$B$2="",$D$2=0),0,IF(Z$3&lt;0,0,N(INDEX('CURVA PREVISION'!$A$1:$KZ$3000,$C33,10+3*MIN(Z$3,$D$2-1)))))</f>
        <v/>
      </c>
      <c r="AA33" s="122">
        <f>IF(OR($C33="",$B$2="",$D$2=0),0,IF(AA$3&lt;0,0,N(INDEX('CURVA PREVISION'!$A$1:$KZ$3000,$C33,10+3*MIN(AA$3,$D$2-1)))))</f>
        <v/>
      </c>
      <c r="AB33" s="122">
        <f>IF(OR($C33="",$B$2="",$D$2=0),0,IF(AB$3&lt;0,0,N(INDEX('CURVA PREVISION'!$A$1:$KZ$3000,$C33,10+3*MIN(AB$3,$D$2-1)))))</f>
        <v/>
      </c>
      <c r="AC33" s="122">
        <f>IF(OR($C33="",$B$2="",$D$2=0),0,IF(AC$3&lt;0,0,N(INDEX('CURVA PREVISION'!$A$1:$KZ$3000,$C33,10+3*MIN(AC$3,$D$2-1)))))</f>
        <v/>
      </c>
      <c r="AD33" s="122">
        <f>IF(OR($C33="",$B$2="",$D$2=0),0,IF(AD$3&lt;0,0,N(INDEX('CURVA PREVISION'!$A$1:$KZ$3000,$C33,10+3*MIN(AD$3,$D$2-1)))))</f>
        <v/>
      </c>
      <c r="AE33" s="122">
        <f>IF(OR($C33="",$B$2="",$D$2=0),0,IF(AE$3&lt;0,0,N(INDEX('CURVA PREVISION'!$A$1:$KZ$3000,$C33,10+3*MIN(AE$3,$D$2-1)))))</f>
        <v/>
      </c>
      <c r="AF33" s="122">
        <f>IF(OR($C33="",$B$2="",$D$2=0),0,IF(AF$3&lt;0,0,N(INDEX('CURVA PREVISION'!$A$1:$KZ$3000,$C33,10+3*MIN(AF$3,$D$2-1)))))</f>
        <v/>
      </c>
      <c r="AG33" s="122">
        <f>IF(OR($C33="",$B$2="",$D$2=0),0,IF(AG$3&lt;0,0,N(INDEX('CURVA PREVISION'!$A$1:$KZ$3000,$C33,10+3*MIN(AG$3,$D$2-1)))))</f>
        <v/>
      </c>
      <c r="AH33" s="122">
        <f>IF(OR($C33="",$B$2="",$D$2=0),0,IF(AH$3&lt;0,0,N(INDEX('CURVA PREVISION'!$A$1:$KZ$3000,$C33,10+3*MIN(AH$3,$D$2-1)))))</f>
        <v/>
      </c>
      <c r="AI33" s="122">
        <f>IF(OR($C33="",$B$2="",$D$2=0),0,IF(AI$3&lt;0,0,N(INDEX('CURVA PREVISION'!$A$1:$KZ$3000,$C33,10+3*MIN(AI$3,$D$2-1)))))</f>
        <v/>
      </c>
      <c r="AJ33" s="122">
        <f>IF(OR($C33="",$B$2="",$D$2=0),0,IF(AJ$3&lt;0,0,N(INDEX('CURVA PREVISION'!$A$1:$KZ$3000,$C33,10+3*MIN(AJ$3,$D$2-1)))))</f>
        <v/>
      </c>
      <c r="AK33" s="122">
        <f>IF(OR($C33="",$B$2="",$D$2=0),0,IF(AK$3&lt;0,0,N(INDEX('CURVA PREVISION'!$A$1:$KZ$3000,$C33,10+3*MIN(AK$3,$D$2-1)))))</f>
        <v/>
      </c>
      <c r="AL33" s="122">
        <f>IF(OR($C33="",$B$2="",$D$2=0),0,IF(AL$3&lt;0,0,N(INDEX('CURVA PREVISION'!$A$1:$KZ$3000,$C33,10+3*MIN(AL$3,$D$2-1)))))</f>
        <v/>
      </c>
      <c r="AM33" s="122">
        <f>IF(OR($C33="",$B$2="",$D$2=0),0,IF(AM$3&lt;0,0,N(INDEX('CURVA PREVISION'!$A$1:$KZ$3000,$C33,10+3*MIN(AM$3,$D$2-1)))))</f>
        <v/>
      </c>
      <c r="AN33" s="122">
        <f>IF(OR($C33="",$B$2="",$D$2=0),0,IF(AN$3&lt;0,0,N(INDEX('CURVA PREVISION'!$A$1:$KZ$3000,$C33,10+3*MIN(AN$3,$D$2-1)))))</f>
        <v/>
      </c>
      <c r="AO33" s="122">
        <f>IF(OR($C33="",$B$2="",$D$2=0),0,IF(AO$3&lt;0,0,N(INDEX('CURVA PREVISION'!$A$1:$KZ$3000,$C33,10+3*MIN(AO$3,$D$2-1)))))</f>
        <v/>
      </c>
      <c r="AP33" s="122">
        <f>IF(OR($C33="",$B$2="",$D$2=0),0,IF(AP$3&lt;0,0,N(INDEX('CURVA PREVISION'!$A$1:$KZ$3000,$C33,10+3*MIN(AP$3,$D$2-1)))))</f>
        <v/>
      </c>
      <c r="AQ33" s="122">
        <f>IF(OR($C33="",$B$2="",$D$2=0),0,IF(AQ$3&lt;0,0,N(INDEX('CURVA PREVISION'!$A$1:$KZ$3000,$C33,10+3*MIN(AQ$3,$D$2-1)))))</f>
        <v/>
      </c>
      <c r="AR33" s="122">
        <f>IF(OR($C33="",$B$2="",$D$2=0),0,IF(AR$3&lt;0,0,N(INDEX('CURVA PREVISION'!$A$1:$KZ$3000,$C33,10+3*MIN(AR$3,$D$2-1)))))</f>
        <v/>
      </c>
      <c r="AS33" s="122">
        <f>IF(OR($C33="",$B$2="",$D$2=0),0,IF(AS$3&lt;0,0,N(INDEX('CURVA PREVISION'!$A$1:$KZ$3000,$C33,10+3*MIN(AS$3,$D$2-1)))))</f>
        <v/>
      </c>
      <c r="AT33" s="122">
        <f>IF(OR($C33="",$B$2="",$D$2=0),0,IF(AT$3&lt;0,0,N(INDEX('CURVA PREVISION'!$A$1:$KZ$3000,$C33,10+3*MIN(AT$3,$D$2-1)))))</f>
        <v/>
      </c>
      <c r="AU33" s="122">
        <f>IF(OR($C33="",$B$2="",$D$2=0),0,IF(AU$3&lt;0,0,N(INDEX('CURVA PREVISION'!$A$1:$KZ$3000,$C33,10+3*MIN(AU$3,$D$2-1)))))</f>
        <v/>
      </c>
      <c r="AV33" s="122">
        <f>IF(OR($C33="",$B$2="",$D$2=0),0,IF(AV$3&lt;0,0,N(INDEX('CURVA PREVISION'!$A$1:$KZ$3000,$C33,10+3*MIN(AV$3,$D$2-1)))))</f>
        <v/>
      </c>
      <c r="AW33" s="122">
        <f>IF(OR($C33="",$B$2="",$D$2=0),0,IF(AW$3&lt;0,0,N(INDEX('CURVA PREVISION'!$A$1:$KZ$3000,$C33,10+3*MIN(AW$3,$D$2-1)))))</f>
        <v/>
      </c>
      <c r="AX33" s="122">
        <f>IF(OR($C33="",$B$2="",$D$2=0),0,IF(AX$3&lt;0,0,N(INDEX('CURVA PREVISION'!$A$1:$KZ$3000,$C33,10+3*MIN(AX$3,$D$2-1)))))</f>
        <v/>
      </c>
      <c r="AY33" s="122">
        <f>IF(OR($C33="",$B$2="",$D$2=0),0,IF(AY$3&lt;0,0,N(INDEX('CURVA PREVISION'!$A$1:$KZ$3000,$C33,10+3*MIN(AY$3,$D$2-1)))))</f>
        <v/>
      </c>
      <c r="AZ33" s="122">
        <f>IF(OR($C33="",$B$2="",$D$2=0),0,IF(AZ$3&lt;0,0,N(INDEX('CURVA PREVISION'!$A$1:$KZ$3000,$C33,10+3*MIN(AZ$3,$D$2-1)))))</f>
        <v/>
      </c>
      <c r="BA33" s="122">
        <f>IF(OR($C33="",$B$2="",$D$2=0),0,IF(BA$3&lt;0,0,N(INDEX('CURVA PREVISION'!$A$1:$KZ$3000,$C33,10+3*MIN(BA$3,$D$2-1)))))</f>
        <v/>
      </c>
      <c r="BB33" s="122">
        <f>IF(OR($C33="",$B$2="",$D$2=0),0,IF(BB$3&lt;0,0,N(INDEX('CURVA PREVISION'!$A$1:$KZ$3000,$C33,10+3*MIN(BB$3,$D$2-1)))))</f>
        <v/>
      </c>
      <c r="BC33" s="122">
        <f>IF(OR($C33="",$B$2="",$D$2=0),0,IF(BC$3&lt;0,0,N(INDEX('CURVA PREVISION'!$A$1:$KZ$3000,$C33,10+3*MIN(BC$3,$D$2-1)))))</f>
        <v/>
      </c>
      <c r="BD33" s="122">
        <f>IF(OR($C33="",$B$2="",$D$2=0),0,IF(BD$3&lt;0,0,N(INDEX('CURVA PREVISION'!$A$1:$KZ$3000,$C33,10+3*MIN(BD$3,$D$2-1)))))</f>
        <v/>
      </c>
      <c r="BE33" s="122">
        <f>IF(OR($C33="",$B$2="",$D$2=0),0,IF(BE$3&lt;0,0,N(INDEX('CURVA PREVISION'!$A$1:$KZ$3000,$C33,10+3*MIN(BE$3,$D$2-1)))))</f>
        <v/>
      </c>
      <c r="BF33" s="122">
        <f>IF(OR($C33="",$B$2="",$D$2=0),0,IF(BF$3&lt;0,0,N(INDEX('CURVA PREVISION'!$A$1:$KZ$3000,$C33,10+3*MIN(BF$3,$D$2-1)))))</f>
        <v/>
      </c>
      <c r="BG33" s="122">
        <f>IF(OR($C33="",$B$2="",$D$2=0),0,IF(BG$3&lt;0,0,N(INDEX('CURVA PREVISION'!$A$1:$KZ$3000,$C33,10+3*MIN(BG$3,$D$2-1)))))</f>
        <v/>
      </c>
      <c r="BH33" s="122">
        <f>IF(OR($C33="",$B$2="",$D$2=0),0,IF(BH$3&lt;0,0,N(INDEX('CURVA PREVISION'!$A$1:$KZ$3000,$C33,10+3*MIN(BH$3,$D$2-1)))))</f>
        <v/>
      </c>
      <c r="BI33" s="122">
        <f>IF(OR($C33="",$B$2="",$D$2=0),0,IF(BI$3&lt;0,0,N(INDEX('CURVA PREVISION'!$A$1:$KZ$3000,$C33,10+3*MIN(BI$3,$D$2-1)))))</f>
        <v/>
      </c>
      <c r="BJ33" s="122">
        <f>IF(OR($C33="",$B$2="",$D$2=0),0,IF(BJ$3&lt;0,0,N(INDEX('CURVA PREVISION'!$A$1:$KZ$3000,$C33,10+3*MIN(BJ$3,$D$2-1)))))</f>
        <v/>
      </c>
      <c r="BK33" s="122">
        <f>IF(OR($C33="",$B$2="",$D$2=0),0,IF(BK$3&lt;0,0,N(INDEX('CURVA PREVISION'!$A$1:$KZ$3000,$C33,10+3*MIN(BK$3,$D$2-1)))))</f>
        <v/>
      </c>
      <c r="BL33" s="122">
        <f>IF(OR($C33="",$B$2="",$D$2=0),0,IF(BL$3&lt;0,0,N(INDEX('CURVA PREVISION'!$A$1:$KZ$3000,$C33,10+3*MIN(BL$3,$D$2-1)))))</f>
        <v/>
      </c>
      <c r="BM33" s="122">
        <f>IF(OR($C33="",$B$2="",$D$2=0),0,IF(BM$3&lt;0,0,N(INDEX('CURVA PREVISION'!$A$1:$KZ$3000,$C33,10+3*MIN(BM$3,$D$2-1)))))</f>
        <v/>
      </c>
      <c r="BN33" s="122">
        <f>IF(OR($C33="",$B$2="",$D$2=0),0,IF(BN$3&lt;0,0,N(INDEX('CURVA PREVISION'!$A$1:$KZ$3000,$C33,10+3*MIN(BN$3,$D$2-1)))))</f>
        <v/>
      </c>
      <c r="BO33" s="122">
        <f>IF(OR($C33="",$B$2="",$D$2=0),0,IF(BO$3&lt;0,0,N(INDEX('CURVA PREVISION'!$A$1:$KZ$3000,$C33,10+3*MIN(BO$3,$D$2-1)))))</f>
        <v/>
      </c>
      <c r="BP33" s="122">
        <f>IF(OR($C33="",$B$2="",$D$2=0),0,IF(BP$3&lt;0,0,N(INDEX('CURVA PREVISION'!$A$1:$KZ$3000,$C33,10+3*MIN(BP$3,$D$2-1)))))</f>
        <v/>
      </c>
      <c r="BQ33" s="122">
        <f>IF(OR($C33="",$B$2="",$D$2=0),0,IF(BQ$3&lt;0,0,N(INDEX('CURVA PREVISION'!$A$1:$KZ$3000,$C33,10+3*MIN(BQ$3,$D$2-1)))))</f>
        <v/>
      </c>
      <c r="BR33" s="122">
        <f>IF(OR($C33="",$B$2="",$D$2=0),0,IF(BR$3&lt;0,0,N(INDEX('CURVA PREVISION'!$A$1:$KZ$3000,$C33,10+3*MIN(BR$3,$D$2-1)))))</f>
        <v/>
      </c>
      <c r="BS33" s="122">
        <f>IF(OR($C33="",$B$2="",$D$2=0),0,IF(BS$3&lt;0,0,N(INDEX('CURVA PREVISION'!$A$1:$KZ$3000,$C33,10+3*MIN(BS$3,$D$2-1)))))</f>
        <v/>
      </c>
      <c r="BT33" s="122">
        <f>IF(OR($C33="",$B$2="",$D$2=0),0,IF(BT$3&lt;0,0,N(INDEX('CURVA PREVISION'!$A$1:$KZ$3000,$C33,10+3*MIN(BT$3,$D$2-1)))))</f>
        <v/>
      </c>
      <c r="BU33" s="122">
        <f>IF(OR($C33="",$B$2="",$D$2=0),0,IF(BU$3&lt;0,0,N(INDEX('CURVA PREVISION'!$A$1:$KZ$3000,$C33,10+3*MIN(BU$3,$D$2-1)))))</f>
        <v/>
      </c>
      <c r="BV33" s="122">
        <f>IF(OR($C33="",$B$2="",$D$2=0),0,IF(BV$3&lt;0,0,N(INDEX('CURVA PREVISION'!$A$1:$KZ$3000,$C33,10+3*MIN(BV$3,$D$2-1)))))</f>
        <v/>
      </c>
      <c r="BW33" s="122">
        <f>IF(OR($C33="",$B$2="",$D$2=0),0,IF(BW$3&lt;0,0,N(INDEX('CURVA PREVISION'!$A$1:$KZ$3000,$C33,10+3*MIN(BW$3,$D$2-1)))))</f>
        <v/>
      </c>
    </row>
    <row r="34">
      <c r="A34" s="60">
        <f>IF('VALOR POR PL'!Q40="",'VALOR POR PL'!C40,'VALOR POR PL'!Q40)</f>
        <v/>
      </c>
      <c r="B34" s="60">
        <f>'VALOR POR PL'!D40</f>
        <v/>
      </c>
      <c r="C34" s="69">
        <f>IFERROR(MATCH(A34,'CURVA PREVISION'!$B$1:$B$3000,0),"")</f>
        <v/>
      </c>
      <c r="D34" s="122">
        <f>IF(OR($C34="",$B$2="",$D$2=0),0,IF(D$3&lt;0,0,N(INDEX('CURVA PREVISION'!$A$1:$KZ$3000,$C34,10+3*MIN(D$3,$D$2-1)))))</f>
        <v/>
      </c>
      <c r="E34" s="122">
        <f>IF(OR($C34="",$B$2="",$D$2=0),0,IF(E$3&lt;0,0,N(INDEX('CURVA PREVISION'!$A$1:$KZ$3000,$C34,10+3*MIN(E$3,$D$2-1)))))</f>
        <v/>
      </c>
      <c r="F34" s="122">
        <f>IF(OR($C34="",$B$2="",$D$2=0),0,IF(F$3&lt;0,0,N(INDEX('CURVA PREVISION'!$A$1:$KZ$3000,$C34,10+3*MIN(F$3,$D$2-1)))))</f>
        <v/>
      </c>
      <c r="G34" s="122">
        <f>IF(OR($C34="",$B$2="",$D$2=0),0,IF(G$3&lt;0,0,N(INDEX('CURVA PREVISION'!$A$1:$KZ$3000,$C34,10+3*MIN(G$3,$D$2-1)))))</f>
        <v/>
      </c>
      <c r="H34" s="122">
        <f>IF(OR($C34="",$B$2="",$D$2=0),0,IF(H$3&lt;0,0,N(INDEX('CURVA PREVISION'!$A$1:$KZ$3000,$C34,10+3*MIN(H$3,$D$2-1)))))</f>
        <v/>
      </c>
      <c r="I34" s="122">
        <f>IF(OR($C34="",$B$2="",$D$2=0),0,IF(I$3&lt;0,0,N(INDEX('CURVA PREVISION'!$A$1:$KZ$3000,$C34,10+3*MIN(I$3,$D$2-1)))))</f>
        <v/>
      </c>
      <c r="J34" s="122">
        <f>IF(OR($C34="",$B$2="",$D$2=0),0,IF(J$3&lt;0,0,N(INDEX('CURVA PREVISION'!$A$1:$KZ$3000,$C34,10+3*MIN(J$3,$D$2-1)))))</f>
        <v/>
      </c>
      <c r="K34" s="122">
        <f>IF(OR($C34="",$B$2="",$D$2=0),0,IF(K$3&lt;0,0,N(INDEX('CURVA PREVISION'!$A$1:$KZ$3000,$C34,10+3*MIN(K$3,$D$2-1)))))</f>
        <v/>
      </c>
      <c r="L34" s="122">
        <f>IF(OR($C34="",$B$2="",$D$2=0),0,IF(L$3&lt;0,0,N(INDEX('CURVA PREVISION'!$A$1:$KZ$3000,$C34,10+3*MIN(L$3,$D$2-1)))))</f>
        <v/>
      </c>
      <c r="M34" s="122">
        <f>IF(OR($C34="",$B$2="",$D$2=0),0,IF(M$3&lt;0,0,N(INDEX('CURVA PREVISION'!$A$1:$KZ$3000,$C34,10+3*MIN(M$3,$D$2-1)))))</f>
        <v/>
      </c>
      <c r="N34" s="122">
        <f>IF(OR($C34="",$B$2="",$D$2=0),0,IF(N$3&lt;0,0,N(INDEX('CURVA PREVISION'!$A$1:$KZ$3000,$C34,10+3*MIN(N$3,$D$2-1)))))</f>
        <v/>
      </c>
      <c r="O34" s="122">
        <f>IF(OR($C34="",$B$2="",$D$2=0),0,IF(O$3&lt;0,0,N(INDEX('CURVA PREVISION'!$A$1:$KZ$3000,$C34,10+3*MIN(O$3,$D$2-1)))))</f>
        <v/>
      </c>
      <c r="P34" s="122">
        <f>IF(OR($C34="",$B$2="",$D$2=0),0,IF(P$3&lt;0,0,N(INDEX('CURVA PREVISION'!$A$1:$KZ$3000,$C34,10+3*MIN(P$3,$D$2-1)))))</f>
        <v/>
      </c>
      <c r="Q34" s="122">
        <f>IF(OR($C34="",$B$2="",$D$2=0),0,IF(Q$3&lt;0,0,N(INDEX('CURVA PREVISION'!$A$1:$KZ$3000,$C34,10+3*MIN(Q$3,$D$2-1)))))</f>
        <v/>
      </c>
      <c r="R34" s="122">
        <f>IF(OR($C34="",$B$2="",$D$2=0),0,IF(R$3&lt;0,0,N(INDEX('CURVA PREVISION'!$A$1:$KZ$3000,$C34,10+3*MIN(R$3,$D$2-1)))))</f>
        <v/>
      </c>
      <c r="S34" s="122">
        <f>IF(OR($C34="",$B$2="",$D$2=0),0,IF(S$3&lt;0,0,N(INDEX('CURVA PREVISION'!$A$1:$KZ$3000,$C34,10+3*MIN(S$3,$D$2-1)))))</f>
        <v/>
      </c>
      <c r="T34" s="122">
        <f>IF(OR($C34="",$B$2="",$D$2=0),0,IF(T$3&lt;0,0,N(INDEX('CURVA PREVISION'!$A$1:$KZ$3000,$C34,10+3*MIN(T$3,$D$2-1)))))</f>
        <v/>
      </c>
      <c r="U34" s="122">
        <f>IF(OR($C34="",$B$2="",$D$2=0),0,IF(U$3&lt;0,0,N(INDEX('CURVA PREVISION'!$A$1:$KZ$3000,$C34,10+3*MIN(U$3,$D$2-1)))))</f>
        <v/>
      </c>
      <c r="V34" s="122">
        <f>IF(OR($C34="",$B$2="",$D$2=0),0,IF(V$3&lt;0,0,N(INDEX('CURVA PREVISION'!$A$1:$KZ$3000,$C34,10+3*MIN(V$3,$D$2-1)))))</f>
        <v/>
      </c>
      <c r="W34" s="122">
        <f>IF(OR($C34="",$B$2="",$D$2=0),0,IF(W$3&lt;0,0,N(INDEX('CURVA PREVISION'!$A$1:$KZ$3000,$C34,10+3*MIN(W$3,$D$2-1)))))</f>
        <v/>
      </c>
      <c r="X34" s="122">
        <f>IF(OR($C34="",$B$2="",$D$2=0),0,IF(X$3&lt;0,0,N(INDEX('CURVA PREVISION'!$A$1:$KZ$3000,$C34,10+3*MIN(X$3,$D$2-1)))))</f>
        <v/>
      </c>
      <c r="Y34" s="122">
        <f>IF(OR($C34="",$B$2="",$D$2=0),0,IF(Y$3&lt;0,0,N(INDEX('CURVA PREVISION'!$A$1:$KZ$3000,$C34,10+3*MIN(Y$3,$D$2-1)))))</f>
        <v/>
      </c>
      <c r="Z34" s="122">
        <f>IF(OR($C34="",$B$2="",$D$2=0),0,IF(Z$3&lt;0,0,N(INDEX('CURVA PREVISION'!$A$1:$KZ$3000,$C34,10+3*MIN(Z$3,$D$2-1)))))</f>
        <v/>
      </c>
      <c r="AA34" s="122">
        <f>IF(OR($C34="",$B$2="",$D$2=0),0,IF(AA$3&lt;0,0,N(INDEX('CURVA PREVISION'!$A$1:$KZ$3000,$C34,10+3*MIN(AA$3,$D$2-1)))))</f>
        <v/>
      </c>
      <c r="AB34" s="122">
        <f>IF(OR($C34="",$B$2="",$D$2=0),0,IF(AB$3&lt;0,0,N(INDEX('CURVA PREVISION'!$A$1:$KZ$3000,$C34,10+3*MIN(AB$3,$D$2-1)))))</f>
        <v/>
      </c>
      <c r="AC34" s="122">
        <f>IF(OR($C34="",$B$2="",$D$2=0),0,IF(AC$3&lt;0,0,N(INDEX('CURVA PREVISION'!$A$1:$KZ$3000,$C34,10+3*MIN(AC$3,$D$2-1)))))</f>
        <v/>
      </c>
      <c r="AD34" s="122">
        <f>IF(OR($C34="",$B$2="",$D$2=0),0,IF(AD$3&lt;0,0,N(INDEX('CURVA PREVISION'!$A$1:$KZ$3000,$C34,10+3*MIN(AD$3,$D$2-1)))))</f>
        <v/>
      </c>
      <c r="AE34" s="122">
        <f>IF(OR($C34="",$B$2="",$D$2=0),0,IF(AE$3&lt;0,0,N(INDEX('CURVA PREVISION'!$A$1:$KZ$3000,$C34,10+3*MIN(AE$3,$D$2-1)))))</f>
        <v/>
      </c>
      <c r="AF34" s="122">
        <f>IF(OR($C34="",$B$2="",$D$2=0),0,IF(AF$3&lt;0,0,N(INDEX('CURVA PREVISION'!$A$1:$KZ$3000,$C34,10+3*MIN(AF$3,$D$2-1)))))</f>
        <v/>
      </c>
      <c r="AG34" s="122">
        <f>IF(OR($C34="",$B$2="",$D$2=0),0,IF(AG$3&lt;0,0,N(INDEX('CURVA PREVISION'!$A$1:$KZ$3000,$C34,10+3*MIN(AG$3,$D$2-1)))))</f>
        <v/>
      </c>
      <c r="AH34" s="122">
        <f>IF(OR($C34="",$B$2="",$D$2=0),0,IF(AH$3&lt;0,0,N(INDEX('CURVA PREVISION'!$A$1:$KZ$3000,$C34,10+3*MIN(AH$3,$D$2-1)))))</f>
        <v/>
      </c>
      <c r="AI34" s="122">
        <f>IF(OR($C34="",$B$2="",$D$2=0),0,IF(AI$3&lt;0,0,N(INDEX('CURVA PREVISION'!$A$1:$KZ$3000,$C34,10+3*MIN(AI$3,$D$2-1)))))</f>
        <v/>
      </c>
      <c r="AJ34" s="122">
        <f>IF(OR($C34="",$B$2="",$D$2=0),0,IF(AJ$3&lt;0,0,N(INDEX('CURVA PREVISION'!$A$1:$KZ$3000,$C34,10+3*MIN(AJ$3,$D$2-1)))))</f>
        <v/>
      </c>
      <c r="AK34" s="122">
        <f>IF(OR($C34="",$B$2="",$D$2=0),0,IF(AK$3&lt;0,0,N(INDEX('CURVA PREVISION'!$A$1:$KZ$3000,$C34,10+3*MIN(AK$3,$D$2-1)))))</f>
        <v/>
      </c>
      <c r="AL34" s="122">
        <f>IF(OR($C34="",$B$2="",$D$2=0),0,IF(AL$3&lt;0,0,N(INDEX('CURVA PREVISION'!$A$1:$KZ$3000,$C34,10+3*MIN(AL$3,$D$2-1)))))</f>
        <v/>
      </c>
      <c r="AM34" s="122">
        <f>IF(OR($C34="",$B$2="",$D$2=0),0,IF(AM$3&lt;0,0,N(INDEX('CURVA PREVISION'!$A$1:$KZ$3000,$C34,10+3*MIN(AM$3,$D$2-1)))))</f>
        <v/>
      </c>
      <c r="AN34" s="122">
        <f>IF(OR($C34="",$B$2="",$D$2=0),0,IF(AN$3&lt;0,0,N(INDEX('CURVA PREVISION'!$A$1:$KZ$3000,$C34,10+3*MIN(AN$3,$D$2-1)))))</f>
        <v/>
      </c>
      <c r="AO34" s="122">
        <f>IF(OR($C34="",$B$2="",$D$2=0),0,IF(AO$3&lt;0,0,N(INDEX('CURVA PREVISION'!$A$1:$KZ$3000,$C34,10+3*MIN(AO$3,$D$2-1)))))</f>
        <v/>
      </c>
      <c r="AP34" s="122">
        <f>IF(OR($C34="",$B$2="",$D$2=0),0,IF(AP$3&lt;0,0,N(INDEX('CURVA PREVISION'!$A$1:$KZ$3000,$C34,10+3*MIN(AP$3,$D$2-1)))))</f>
        <v/>
      </c>
      <c r="AQ34" s="122">
        <f>IF(OR($C34="",$B$2="",$D$2=0),0,IF(AQ$3&lt;0,0,N(INDEX('CURVA PREVISION'!$A$1:$KZ$3000,$C34,10+3*MIN(AQ$3,$D$2-1)))))</f>
        <v/>
      </c>
      <c r="AR34" s="122">
        <f>IF(OR($C34="",$B$2="",$D$2=0),0,IF(AR$3&lt;0,0,N(INDEX('CURVA PREVISION'!$A$1:$KZ$3000,$C34,10+3*MIN(AR$3,$D$2-1)))))</f>
        <v/>
      </c>
      <c r="AS34" s="122">
        <f>IF(OR($C34="",$B$2="",$D$2=0),0,IF(AS$3&lt;0,0,N(INDEX('CURVA PREVISION'!$A$1:$KZ$3000,$C34,10+3*MIN(AS$3,$D$2-1)))))</f>
        <v/>
      </c>
      <c r="AT34" s="122">
        <f>IF(OR($C34="",$B$2="",$D$2=0),0,IF(AT$3&lt;0,0,N(INDEX('CURVA PREVISION'!$A$1:$KZ$3000,$C34,10+3*MIN(AT$3,$D$2-1)))))</f>
        <v/>
      </c>
      <c r="AU34" s="122">
        <f>IF(OR($C34="",$B$2="",$D$2=0),0,IF(AU$3&lt;0,0,N(INDEX('CURVA PREVISION'!$A$1:$KZ$3000,$C34,10+3*MIN(AU$3,$D$2-1)))))</f>
        <v/>
      </c>
      <c r="AV34" s="122">
        <f>IF(OR($C34="",$B$2="",$D$2=0),0,IF(AV$3&lt;0,0,N(INDEX('CURVA PREVISION'!$A$1:$KZ$3000,$C34,10+3*MIN(AV$3,$D$2-1)))))</f>
        <v/>
      </c>
      <c r="AW34" s="122">
        <f>IF(OR($C34="",$B$2="",$D$2=0),0,IF(AW$3&lt;0,0,N(INDEX('CURVA PREVISION'!$A$1:$KZ$3000,$C34,10+3*MIN(AW$3,$D$2-1)))))</f>
        <v/>
      </c>
      <c r="AX34" s="122">
        <f>IF(OR($C34="",$B$2="",$D$2=0),0,IF(AX$3&lt;0,0,N(INDEX('CURVA PREVISION'!$A$1:$KZ$3000,$C34,10+3*MIN(AX$3,$D$2-1)))))</f>
        <v/>
      </c>
      <c r="AY34" s="122">
        <f>IF(OR($C34="",$B$2="",$D$2=0),0,IF(AY$3&lt;0,0,N(INDEX('CURVA PREVISION'!$A$1:$KZ$3000,$C34,10+3*MIN(AY$3,$D$2-1)))))</f>
        <v/>
      </c>
      <c r="AZ34" s="122">
        <f>IF(OR($C34="",$B$2="",$D$2=0),0,IF(AZ$3&lt;0,0,N(INDEX('CURVA PREVISION'!$A$1:$KZ$3000,$C34,10+3*MIN(AZ$3,$D$2-1)))))</f>
        <v/>
      </c>
      <c r="BA34" s="122">
        <f>IF(OR($C34="",$B$2="",$D$2=0),0,IF(BA$3&lt;0,0,N(INDEX('CURVA PREVISION'!$A$1:$KZ$3000,$C34,10+3*MIN(BA$3,$D$2-1)))))</f>
        <v/>
      </c>
      <c r="BB34" s="122">
        <f>IF(OR($C34="",$B$2="",$D$2=0),0,IF(BB$3&lt;0,0,N(INDEX('CURVA PREVISION'!$A$1:$KZ$3000,$C34,10+3*MIN(BB$3,$D$2-1)))))</f>
        <v/>
      </c>
      <c r="BC34" s="122">
        <f>IF(OR($C34="",$B$2="",$D$2=0),0,IF(BC$3&lt;0,0,N(INDEX('CURVA PREVISION'!$A$1:$KZ$3000,$C34,10+3*MIN(BC$3,$D$2-1)))))</f>
        <v/>
      </c>
      <c r="BD34" s="122">
        <f>IF(OR($C34="",$B$2="",$D$2=0),0,IF(BD$3&lt;0,0,N(INDEX('CURVA PREVISION'!$A$1:$KZ$3000,$C34,10+3*MIN(BD$3,$D$2-1)))))</f>
        <v/>
      </c>
      <c r="BE34" s="122">
        <f>IF(OR($C34="",$B$2="",$D$2=0),0,IF(BE$3&lt;0,0,N(INDEX('CURVA PREVISION'!$A$1:$KZ$3000,$C34,10+3*MIN(BE$3,$D$2-1)))))</f>
        <v/>
      </c>
      <c r="BF34" s="122">
        <f>IF(OR($C34="",$B$2="",$D$2=0),0,IF(BF$3&lt;0,0,N(INDEX('CURVA PREVISION'!$A$1:$KZ$3000,$C34,10+3*MIN(BF$3,$D$2-1)))))</f>
        <v/>
      </c>
      <c r="BG34" s="122">
        <f>IF(OR($C34="",$B$2="",$D$2=0),0,IF(BG$3&lt;0,0,N(INDEX('CURVA PREVISION'!$A$1:$KZ$3000,$C34,10+3*MIN(BG$3,$D$2-1)))))</f>
        <v/>
      </c>
      <c r="BH34" s="122">
        <f>IF(OR($C34="",$B$2="",$D$2=0),0,IF(BH$3&lt;0,0,N(INDEX('CURVA PREVISION'!$A$1:$KZ$3000,$C34,10+3*MIN(BH$3,$D$2-1)))))</f>
        <v/>
      </c>
      <c r="BI34" s="122">
        <f>IF(OR($C34="",$B$2="",$D$2=0),0,IF(BI$3&lt;0,0,N(INDEX('CURVA PREVISION'!$A$1:$KZ$3000,$C34,10+3*MIN(BI$3,$D$2-1)))))</f>
        <v/>
      </c>
      <c r="BJ34" s="122">
        <f>IF(OR($C34="",$B$2="",$D$2=0),0,IF(BJ$3&lt;0,0,N(INDEX('CURVA PREVISION'!$A$1:$KZ$3000,$C34,10+3*MIN(BJ$3,$D$2-1)))))</f>
        <v/>
      </c>
      <c r="BK34" s="122">
        <f>IF(OR($C34="",$B$2="",$D$2=0),0,IF(BK$3&lt;0,0,N(INDEX('CURVA PREVISION'!$A$1:$KZ$3000,$C34,10+3*MIN(BK$3,$D$2-1)))))</f>
        <v/>
      </c>
      <c r="BL34" s="122">
        <f>IF(OR($C34="",$B$2="",$D$2=0),0,IF(BL$3&lt;0,0,N(INDEX('CURVA PREVISION'!$A$1:$KZ$3000,$C34,10+3*MIN(BL$3,$D$2-1)))))</f>
        <v/>
      </c>
      <c r="BM34" s="122">
        <f>IF(OR($C34="",$B$2="",$D$2=0),0,IF(BM$3&lt;0,0,N(INDEX('CURVA PREVISION'!$A$1:$KZ$3000,$C34,10+3*MIN(BM$3,$D$2-1)))))</f>
        <v/>
      </c>
      <c r="BN34" s="122">
        <f>IF(OR($C34="",$B$2="",$D$2=0),0,IF(BN$3&lt;0,0,N(INDEX('CURVA PREVISION'!$A$1:$KZ$3000,$C34,10+3*MIN(BN$3,$D$2-1)))))</f>
        <v/>
      </c>
      <c r="BO34" s="122">
        <f>IF(OR($C34="",$B$2="",$D$2=0),0,IF(BO$3&lt;0,0,N(INDEX('CURVA PREVISION'!$A$1:$KZ$3000,$C34,10+3*MIN(BO$3,$D$2-1)))))</f>
        <v/>
      </c>
      <c r="BP34" s="122">
        <f>IF(OR($C34="",$B$2="",$D$2=0),0,IF(BP$3&lt;0,0,N(INDEX('CURVA PREVISION'!$A$1:$KZ$3000,$C34,10+3*MIN(BP$3,$D$2-1)))))</f>
        <v/>
      </c>
      <c r="BQ34" s="122">
        <f>IF(OR($C34="",$B$2="",$D$2=0),0,IF(BQ$3&lt;0,0,N(INDEX('CURVA PREVISION'!$A$1:$KZ$3000,$C34,10+3*MIN(BQ$3,$D$2-1)))))</f>
        <v/>
      </c>
      <c r="BR34" s="122">
        <f>IF(OR($C34="",$B$2="",$D$2=0),0,IF(BR$3&lt;0,0,N(INDEX('CURVA PREVISION'!$A$1:$KZ$3000,$C34,10+3*MIN(BR$3,$D$2-1)))))</f>
        <v/>
      </c>
      <c r="BS34" s="122">
        <f>IF(OR($C34="",$B$2="",$D$2=0),0,IF(BS$3&lt;0,0,N(INDEX('CURVA PREVISION'!$A$1:$KZ$3000,$C34,10+3*MIN(BS$3,$D$2-1)))))</f>
        <v/>
      </c>
      <c r="BT34" s="122">
        <f>IF(OR($C34="",$B$2="",$D$2=0),0,IF(BT$3&lt;0,0,N(INDEX('CURVA PREVISION'!$A$1:$KZ$3000,$C34,10+3*MIN(BT$3,$D$2-1)))))</f>
        <v/>
      </c>
      <c r="BU34" s="122">
        <f>IF(OR($C34="",$B$2="",$D$2=0),0,IF(BU$3&lt;0,0,N(INDEX('CURVA PREVISION'!$A$1:$KZ$3000,$C34,10+3*MIN(BU$3,$D$2-1)))))</f>
        <v/>
      </c>
      <c r="BV34" s="122">
        <f>IF(OR($C34="",$B$2="",$D$2=0),0,IF(BV$3&lt;0,0,N(INDEX('CURVA PREVISION'!$A$1:$KZ$3000,$C34,10+3*MIN(BV$3,$D$2-1)))))</f>
        <v/>
      </c>
      <c r="BW34" s="122">
        <f>IF(OR($C34="",$B$2="",$D$2=0),0,IF(BW$3&lt;0,0,N(INDEX('CURVA PREVISION'!$A$1:$KZ$3000,$C34,10+3*MIN(BW$3,$D$2-1)))))</f>
        <v/>
      </c>
    </row>
    <row r="35">
      <c r="A35" s="60">
        <f>IF('VALOR POR PL'!Q41="",'VALOR POR PL'!C41,'VALOR POR PL'!Q41)</f>
        <v/>
      </c>
      <c r="B35" s="60">
        <f>'VALOR POR PL'!D41</f>
        <v/>
      </c>
      <c r="C35" s="69">
        <f>IFERROR(MATCH(A35,'CURVA PREVISION'!$B$1:$B$3000,0),"")</f>
        <v/>
      </c>
      <c r="D35" s="122">
        <f>IF(OR($C35="",$B$2="",$D$2=0),0,IF(D$3&lt;0,0,N(INDEX('CURVA PREVISION'!$A$1:$KZ$3000,$C35,10+3*MIN(D$3,$D$2-1)))))</f>
        <v/>
      </c>
      <c r="E35" s="122">
        <f>IF(OR($C35="",$B$2="",$D$2=0),0,IF(E$3&lt;0,0,N(INDEX('CURVA PREVISION'!$A$1:$KZ$3000,$C35,10+3*MIN(E$3,$D$2-1)))))</f>
        <v/>
      </c>
      <c r="F35" s="122">
        <f>IF(OR($C35="",$B$2="",$D$2=0),0,IF(F$3&lt;0,0,N(INDEX('CURVA PREVISION'!$A$1:$KZ$3000,$C35,10+3*MIN(F$3,$D$2-1)))))</f>
        <v/>
      </c>
      <c r="G35" s="122">
        <f>IF(OR($C35="",$B$2="",$D$2=0),0,IF(G$3&lt;0,0,N(INDEX('CURVA PREVISION'!$A$1:$KZ$3000,$C35,10+3*MIN(G$3,$D$2-1)))))</f>
        <v/>
      </c>
      <c r="H35" s="122">
        <f>IF(OR($C35="",$B$2="",$D$2=0),0,IF(H$3&lt;0,0,N(INDEX('CURVA PREVISION'!$A$1:$KZ$3000,$C35,10+3*MIN(H$3,$D$2-1)))))</f>
        <v/>
      </c>
      <c r="I35" s="122">
        <f>IF(OR($C35="",$B$2="",$D$2=0),0,IF(I$3&lt;0,0,N(INDEX('CURVA PREVISION'!$A$1:$KZ$3000,$C35,10+3*MIN(I$3,$D$2-1)))))</f>
        <v/>
      </c>
      <c r="J35" s="122">
        <f>IF(OR($C35="",$B$2="",$D$2=0),0,IF(J$3&lt;0,0,N(INDEX('CURVA PREVISION'!$A$1:$KZ$3000,$C35,10+3*MIN(J$3,$D$2-1)))))</f>
        <v/>
      </c>
      <c r="K35" s="122">
        <f>IF(OR($C35="",$B$2="",$D$2=0),0,IF(K$3&lt;0,0,N(INDEX('CURVA PREVISION'!$A$1:$KZ$3000,$C35,10+3*MIN(K$3,$D$2-1)))))</f>
        <v/>
      </c>
      <c r="L35" s="122">
        <f>IF(OR($C35="",$B$2="",$D$2=0),0,IF(L$3&lt;0,0,N(INDEX('CURVA PREVISION'!$A$1:$KZ$3000,$C35,10+3*MIN(L$3,$D$2-1)))))</f>
        <v/>
      </c>
      <c r="M35" s="122">
        <f>IF(OR($C35="",$B$2="",$D$2=0),0,IF(M$3&lt;0,0,N(INDEX('CURVA PREVISION'!$A$1:$KZ$3000,$C35,10+3*MIN(M$3,$D$2-1)))))</f>
        <v/>
      </c>
      <c r="N35" s="122">
        <f>IF(OR($C35="",$B$2="",$D$2=0),0,IF(N$3&lt;0,0,N(INDEX('CURVA PREVISION'!$A$1:$KZ$3000,$C35,10+3*MIN(N$3,$D$2-1)))))</f>
        <v/>
      </c>
      <c r="O35" s="122">
        <f>IF(OR($C35="",$B$2="",$D$2=0),0,IF(O$3&lt;0,0,N(INDEX('CURVA PREVISION'!$A$1:$KZ$3000,$C35,10+3*MIN(O$3,$D$2-1)))))</f>
        <v/>
      </c>
      <c r="P35" s="122">
        <f>IF(OR($C35="",$B$2="",$D$2=0),0,IF(P$3&lt;0,0,N(INDEX('CURVA PREVISION'!$A$1:$KZ$3000,$C35,10+3*MIN(P$3,$D$2-1)))))</f>
        <v/>
      </c>
      <c r="Q35" s="122">
        <f>IF(OR($C35="",$B$2="",$D$2=0),0,IF(Q$3&lt;0,0,N(INDEX('CURVA PREVISION'!$A$1:$KZ$3000,$C35,10+3*MIN(Q$3,$D$2-1)))))</f>
        <v/>
      </c>
      <c r="R35" s="122">
        <f>IF(OR($C35="",$B$2="",$D$2=0),0,IF(R$3&lt;0,0,N(INDEX('CURVA PREVISION'!$A$1:$KZ$3000,$C35,10+3*MIN(R$3,$D$2-1)))))</f>
        <v/>
      </c>
      <c r="S35" s="122">
        <f>IF(OR($C35="",$B$2="",$D$2=0),0,IF(S$3&lt;0,0,N(INDEX('CURVA PREVISION'!$A$1:$KZ$3000,$C35,10+3*MIN(S$3,$D$2-1)))))</f>
        <v/>
      </c>
      <c r="T35" s="122">
        <f>IF(OR($C35="",$B$2="",$D$2=0),0,IF(T$3&lt;0,0,N(INDEX('CURVA PREVISION'!$A$1:$KZ$3000,$C35,10+3*MIN(T$3,$D$2-1)))))</f>
        <v/>
      </c>
      <c r="U35" s="122">
        <f>IF(OR($C35="",$B$2="",$D$2=0),0,IF(U$3&lt;0,0,N(INDEX('CURVA PREVISION'!$A$1:$KZ$3000,$C35,10+3*MIN(U$3,$D$2-1)))))</f>
        <v/>
      </c>
      <c r="V35" s="122">
        <f>IF(OR($C35="",$B$2="",$D$2=0),0,IF(V$3&lt;0,0,N(INDEX('CURVA PREVISION'!$A$1:$KZ$3000,$C35,10+3*MIN(V$3,$D$2-1)))))</f>
        <v/>
      </c>
      <c r="W35" s="122">
        <f>IF(OR($C35="",$B$2="",$D$2=0),0,IF(W$3&lt;0,0,N(INDEX('CURVA PREVISION'!$A$1:$KZ$3000,$C35,10+3*MIN(W$3,$D$2-1)))))</f>
        <v/>
      </c>
      <c r="X35" s="122">
        <f>IF(OR($C35="",$B$2="",$D$2=0),0,IF(X$3&lt;0,0,N(INDEX('CURVA PREVISION'!$A$1:$KZ$3000,$C35,10+3*MIN(X$3,$D$2-1)))))</f>
        <v/>
      </c>
      <c r="Y35" s="122">
        <f>IF(OR($C35="",$B$2="",$D$2=0),0,IF(Y$3&lt;0,0,N(INDEX('CURVA PREVISION'!$A$1:$KZ$3000,$C35,10+3*MIN(Y$3,$D$2-1)))))</f>
        <v/>
      </c>
      <c r="Z35" s="122">
        <f>IF(OR($C35="",$B$2="",$D$2=0),0,IF(Z$3&lt;0,0,N(INDEX('CURVA PREVISION'!$A$1:$KZ$3000,$C35,10+3*MIN(Z$3,$D$2-1)))))</f>
        <v/>
      </c>
      <c r="AA35" s="122">
        <f>IF(OR($C35="",$B$2="",$D$2=0),0,IF(AA$3&lt;0,0,N(INDEX('CURVA PREVISION'!$A$1:$KZ$3000,$C35,10+3*MIN(AA$3,$D$2-1)))))</f>
        <v/>
      </c>
      <c r="AB35" s="122">
        <f>IF(OR($C35="",$B$2="",$D$2=0),0,IF(AB$3&lt;0,0,N(INDEX('CURVA PREVISION'!$A$1:$KZ$3000,$C35,10+3*MIN(AB$3,$D$2-1)))))</f>
        <v/>
      </c>
      <c r="AC35" s="122">
        <f>IF(OR($C35="",$B$2="",$D$2=0),0,IF(AC$3&lt;0,0,N(INDEX('CURVA PREVISION'!$A$1:$KZ$3000,$C35,10+3*MIN(AC$3,$D$2-1)))))</f>
        <v/>
      </c>
      <c r="AD35" s="122">
        <f>IF(OR($C35="",$B$2="",$D$2=0),0,IF(AD$3&lt;0,0,N(INDEX('CURVA PREVISION'!$A$1:$KZ$3000,$C35,10+3*MIN(AD$3,$D$2-1)))))</f>
        <v/>
      </c>
      <c r="AE35" s="122">
        <f>IF(OR($C35="",$B$2="",$D$2=0),0,IF(AE$3&lt;0,0,N(INDEX('CURVA PREVISION'!$A$1:$KZ$3000,$C35,10+3*MIN(AE$3,$D$2-1)))))</f>
        <v/>
      </c>
      <c r="AF35" s="122">
        <f>IF(OR($C35="",$B$2="",$D$2=0),0,IF(AF$3&lt;0,0,N(INDEX('CURVA PREVISION'!$A$1:$KZ$3000,$C35,10+3*MIN(AF$3,$D$2-1)))))</f>
        <v/>
      </c>
      <c r="AG35" s="122">
        <f>IF(OR($C35="",$B$2="",$D$2=0),0,IF(AG$3&lt;0,0,N(INDEX('CURVA PREVISION'!$A$1:$KZ$3000,$C35,10+3*MIN(AG$3,$D$2-1)))))</f>
        <v/>
      </c>
      <c r="AH35" s="122">
        <f>IF(OR($C35="",$B$2="",$D$2=0),0,IF(AH$3&lt;0,0,N(INDEX('CURVA PREVISION'!$A$1:$KZ$3000,$C35,10+3*MIN(AH$3,$D$2-1)))))</f>
        <v/>
      </c>
      <c r="AI35" s="122">
        <f>IF(OR($C35="",$B$2="",$D$2=0),0,IF(AI$3&lt;0,0,N(INDEX('CURVA PREVISION'!$A$1:$KZ$3000,$C35,10+3*MIN(AI$3,$D$2-1)))))</f>
        <v/>
      </c>
      <c r="AJ35" s="122">
        <f>IF(OR($C35="",$B$2="",$D$2=0),0,IF(AJ$3&lt;0,0,N(INDEX('CURVA PREVISION'!$A$1:$KZ$3000,$C35,10+3*MIN(AJ$3,$D$2-1)))))</f>
        <v/>
      </c>
      <c r="AK35" s="122">
        <f>IF(OR($C35="",$B$2="",$D$2=0),0,IF(AK$3&lt;0,0,N(INDEX('CURVA PREVISION'!$A$1:$KZ$3000,$C35,10+3*MIN(AK$3,$D$2-1)))))</f>
        <v/>
      </c>
      <c r="AL35" s="122">
        <f>IF(OR($C35="",$B$2="",$D$2=0),0,IF(AL$3&lt;0,0,N(INDEX('CURVA PREVISION'!$A$1:$KZ$3000,$C35,10+3*MIN(AL$3,$D$2-1)))))</f>
        <v/>
      </c>
      <c r="AM35" s="122">
        <f>IF(OR($C35="",$B$2="",$D$2=0),0,IF(AM$3&lt;0,0,N(INDEX('CURVA PREVISION'!$A$1:$KZ$3000,$C35,10+3*MIN(AM$3,$D$2-1)))))</f>
        <v/>
      </c>
      <c r="AN35" s="122">
        <f>IF(OR($C35="",$B$2="",$D$2=0),0,IF(AN$3&lt;0,0,N(INDEX('CURVA PREVISION'!$A$1:$KZ$3000,$C35,10+3*MIN(AN$3,$D$2-1)))))</f>
        <v/>
      </c>
      <c r="AO35" s="122">
        <f>IF(OR($C35="",$B$2="",$D$2=0),0,IF(AO$3&lt;0,0,N(INDEX('CURVA PREVISION'!$A$1:$KZ$3000,$C35,10+3*MIN(AO$3,$D$2-1)))))</f>
        <v/>
      </c>
      <c r="AP35" s="122">
        <f>IF(OR($C35="",$B$2="",$D$2=0),0,IF(AP$3&lt;0,0,N(INDEX('CURVA PREVISION'!$A$1:$KZ$3000,$C35,10+3*MIN(AP$3,$D$2-1)))))</f>
        <v/>
      </c>
      <c r="AQ35" s="122">
        <f>IF(OR($C35="",$B$2="",$D$2=0),0,IF(AQ$3&lt;0,0,N(INDEX('CURVA PREVISION'!$A$1:$KZ$3000,$C35,10+3*MIN(AQ$3,$D$2-1)))))</f>
        <v/>
      </c>
      <c r="AR35" s="122">
        <f>IF(OR($C35="",$B$2="",$D$2=0),0,IF(AR$3&lt;0,0,N(INDEX('CURVA PREVISION'!$A$1:$KZ$3000,$C35,10+3*MIN(AR$3,$D$2-1)))))</f>
        <v/>
      </c>
      <c r="AS35" s="122">
        <f>IF(OR($C35="",$B$2="",$D$2=0),0,IF(AS$3&lt;0,0,N(INDEX('CURVA PREVISION'!$A$1:$KZ$3000,$C35,10+3*MIN(AS$3,$D$2-1)))))</f>
        <v/>
      </c>
      <c r="AT35" s="122">
        <f>IF(OR($C35="",$B$2="",$D$2=0),0,IF(AT$3&lt;0,0,N(INDEX('CURVA PREVISION'!$A$1:$KZ$3000,$C35,10+3*MIN(AT$3,$D$2-1)))))</f>
        <v/>
      </c>
      <c r="AU35" s="122">
        <f>IF(OR($C35="",$B$2="",$D$2=0),0,IF(AU$3&lt;0,0,N(INDEX('CURVA PREVISION'!$A$1:$KZ$3000,$C35,10+3*MIN(AU$3,$D$2-1)))))</f>
        <v/>
      </c>
      <c r="AV35" s="122">
        <f>IF(OR($C35="",$B$2="",$D$2=0),0,IF(AV$3&lt;0,0,N(INDEX('CURVA PREVISION'!$A$1:$KZ$3000,$C35,10+3*MIN(AV$3,$D$2-1)))))</f>
        <v/>
      </c>
      <c r="AW35" s="122">
        <f>IF(OR($C35="",$B$2="",$D$2=0),0,IF(AW$3&lt;0,0,N(INDEX('CURVA PREVISION'!$A$1:$KZ$3000,$C35,10+3*MIN(AW$3,$D$2-1)))))</f>
        <v/>
      </c>
      <c r="AX35" s="122">
        <f>IF(OR($C35="",$B$2="",$D$2=0),0,IF(AX$3&lt;0,0,N(INDEX('CURVA PREVISION'!$A$1:$KZ$3000,$C35,10+3*MIN(AX$3,$D$2-1)))))</f>
        <v/>
      </c>
      <c r="AY35" s="122">
        <f>IF(OR($C35="",$B$2="",$D$2=0),0,IF(AY$3&lt;0,0,N(INDEX('CURVA PREVISION'!$A$1:$KZ$3000,$C35,10+3*MIN(AY$3,$D$2-1)))))</f>
        <v/>
      </c>
      <c r="AZ35" s="122">
        <f>IF(OR($C35="",$B$2="",$D$2=0),0,IF(AZ$3&lt;0,0,N(INDEX('CURVA PREVISION'!$A$1:$KZ$3000,$C35,10+3*MIN(AZ$3,$D$2-1)))))</f>
        <v/>
      </c>
      <c r="BA35" s="122">
        <f>IF(OR($C35="",$B$2="",$D$2=0),0,IF(BA$3&lt;0,0,N(INDEX('CURVA PREVISION'!$A$1:$KZ$3000,$C35,10+3*MIN(BA$3,$D$2-1)))))</f>
        <v/>
      </c>
      <c r="BB35" s="122">
        <f>IF(OR($C35="",$B$2="",$D$2=0),0,IF(BB$3&lt;0,0,N(INDEX('CURVA PREVISION'!$A$1:$KZ$3000,$C35,10+3*MIN(BB$3,$D$2-1)))))</f>
        <v/>
      </c>
      <c r="BC35" s="122">
        <f>IF(OR($C35="",$B$2="",$D$2=0),0,IF(BC$3&lt;0,0,N(INDEX('CURVA PREVISION'!$A$1:$KZ$3000,$C35,10+3*MIN(BC$3,$D$2-1)))))</f>
        <v/>
      </c>
      <c r="BD35" s="122">
        <f>IF(OR($C35="",$B$2="",$D$2=0),0,IF(BD$3&lt;0,0,N(INDEX('CURVA PREVISION'!$A$1:$KZ$3000,$C35,10+3*MIN(BD$3,$D$2-1)))))</f>
        <v/>
      </c>
      <c r="BE35" s="122">
        <f>IF(OR($C35="",$B$2="",$D$2=0),0,IF(BE$3&lt;0,0,N(INDEX('CURVA PREVISION'!$A$1:$KZ$3000,$C35,10+3*MIN(BE$3,$D$2-1)))))</f>
        <v/>
      </c>
      <c r="BF35" s="122">
        <f>IF(OR($C35="",$B$2="",$D$2=0),0,IF(BF$3&lt;0,0,N(INDEX('CURVA PREVISION'!$A$1:$KZ$3000,$C35,10+3*MIN(BF$3,$D$2-1)))))</f>
        <v/>
      </c>
      <c r="BG35" s="122">
        <f>IF(OR($C35="",$B$2="",$D$2=0),0,IF(BG$3&lt;0,0,N(INDEX('CURVA PREVISION'!$A$1:$KZ$3000,$C35,10+3*MIN(BG$3,$D$2-1)))))</f>
        <v/>
      </c>
      <c r="BH35" s="122">
        <f>IF(OR($C35="",$B$2="",$D$2=0),0,IF(BH$3&lt;0,0,N(INDEX('CURVA PREVISION'!$A$1:$KZ$3000,$C35,10+3*MIN(BH$3,$D$2-1)))))</f>
        <v/>
      </c>
      <c r="BI35" s="122">
        <f>IF(OR($C35="",$B$2="",$D$2=0),0,IF(BI$3&lt;0,0,N(INDEX('CURVA PREVISION'!$A$1:$KZ$3000,$C35,10+3*MIN(BI$3,$D$2-1)))))</f>
        <v/>
      </c>
      <c r="BJ35" s="122">
        <f>IF(OR($C35="",$B$2="",$D$2=0),0,IF(BJ$3&lt;0,0,N(INDEX('CURVA PREVISION'!$A$1:$KZ$3000,$C35,10+3*MIN(BJ$3,$D$2-1)))))</f>
        <v/>
      </c>
      <c r="BK35" s="122">
        <f>IF(OR($C35="",$B$2="",$D$2=0),0,IF(BK$3&lt;0,0,N(INDEX('CURVA PREVISION'!$A$1:$KZ$3000,$C35,10+3*MIN(BK$3,$D$2-1)))))</f>
        <v/>
      </c>
      <c r="BL35" s="122">
        <f>IF(OR($C35="",$B$2="",$D$2=0),0,IF(BL$3&lt;0,0,N(INDEX('CURVA PREVISION'!$A$1:$KZ$3000,$C35,10+3*MIN(BL$3,$D$2-1)))))</f>
        <v/>
      </c>
      <c r="BM35" s="122">
        <f>IF(OR($C35="",$B$2="",$D$2=0),0,IF(BM$3&lt;0,0,N(INDEX('CURVA PREVISION'!$A$1:$KZ$3000,$C35,10+3*MIN(BM$3,$D$2-1)))))</f>
        <v/>
      </c>
      <c r="BN35" s="122">
        <f>IF(OR($C35="",$B$2="",$D$2=0),0,IF(BN$3&lt;0,0,N(INDEX('CURVA PREVISION'!$A$1:$KZ$3000,$C35,10+3*MIN(BN$3,$D$2-1)))))</f>
        <v/>
      </c>
      <c r="BO35" s="122">
        <f>IF(OR($C35="",$B$2="",$D$2=0),0,IF(BO$3&lt;0,0,N(INDEX('CURVA PREVISION'!$A$1:$KZ$3000,$C35,10+3*MIN(BO$3,$D$2-1)))))</f>
        <v/>
      </c>
      <c r="BP35" s="122">
        <f>IF(OR($C35="",$B$2="",$D$2=0),0,IF(BP$3&lt;0,0,N(INDEX('CURVA PREVISION'!$A$1:$KZ$3000,$C35,10+3*MIN(BP$3,$D$2-1)))))</f>
        <v/>
      </c>
      <c r="BQ35" s="122">
        <f>IF(OR($C35="",$B$2="",$D$2=0),0,IF(BQ$3&lt;0,0,N(INDEX('CURVA PREVISION'!$A$1:$KZ$3000,$C35,10+3*MIN(BQ$3,$D$2-1)))))</f>
        <v/>
      </c>
      <c r="BR35" s="122">
        <f>IF(OR($C35="",$B$2="",$D$2=0),0,IF(BR$3&lt;0,0,N(INDEX('CURVA PREVISION'!$A$1:$KZ$3000,$C35,10+3*MIN(BR$3,$D$2-1)))))</f>
        <v/>
      </c>
      <c r="BS35" s="122">
        <f>IF(OR($C35="",$B$2="",$D$2=0),0,IF(BS$3&lt;0,0,N(INDEX('CURVA PREVISION'!$A$1:$KZ$3000,$C35,10+3*MIN(BS$3,$D$2-1)))))</f>
        <v/>
      </c>
      <c r="BT35" s="122">
        <f>IF(OR($C35="",$B$2="",$D$2=0),0,IF(BT$3&lt;0,0,N(INDEX('CURVA PREVISION'!$A$1:$KZ$3000,$C35,10+3*MIN(BT$3,$D$2-1)))))</f>
        <v/>
      </c>
      <c r="BU35" s="122">
        <f>IF(OR($C35="",$B$2="",$D$2=0),0,IF(BU$3&lt;0,0,N(INDEX('CURVA PREVISION'!$A$1:$KZ$3000,$C35,10+3*MIN(BU$3,$D$2-1)))))</f>
        <v/>
      </c>
      <c r="BV35" s="122">
        <f>IF(OR($C35="",$B$2="",$D$2=0),0,IF(BV$3&lt;0,0,N(INDEX('CURVA PREVISION'!$A$1:$KZ$3000,$C35,10+3*MIN(BV$3,$D$2-1)))))</f>
        <v/>
      </c>
      <c r="BW35" s="122">
        <f>IF(OR($C35="",$B$2="",$D$2=0),0,IF(BW$3&lt;0,0,N(INDEX('CURVA PREVISION'!$A$1:$KZ$3000,$C35,10+3*MIN(BW$3,$D$2-1)))))</f>
        <v/>
      </c>
    </row>
    <row r="36">
      <c r="A36" s="60">
        <f>IF('VALOR POR PL'!Q42="",'VALOR POR PL'!C42,'VALOR POR PL'!Q42)</f>
        <v/>
      </c>
      <c r="B36" s="60">
        <f>'VALOR POR PL'!D42</f>
        <v/>
      </c>
      <c r="C36" s="69">
        <f>IFERROR(MATCH(A36,'CURVA PREVISION'!$B$1:$B$3000,0),"")</f>
        <v/>
      </c>
      <c r="D36" s="122">
        <f>IF(OR($C36="",$B$2="",$D$2=0),0,IF(D$3&lt;0,0,N(INDEX('CURVA PREVISION'!$A$1:$KZ$3000,$C36,10+3*MIN(D$3,$D$2-1)))))</f>
        <v/>
      </c>
      <c r="E36" s="122">
        <f>IF(OR($C36="",$B$2="",$D$2=0),0,IF(E$3&lt;0,0,N(INDEX('CURVA PREVISION'!$A$1:$KZ$3000,$C36,10+3*MIN(E$3,$D$2-1)))))</f>
        <v/>
      </c>
      <c r="F36" s="122">
        <f>IF(OR($C36="",$B$2="",$D$2=0),0,IF(F$3&lt;0,0,N(INDEX('CURVA PREVISION'!$A$1:$KZ$3000,$C36,10+3*MIN(F$3,$D$2-1)))))</f>
        <v/>
      </c>
      <c r="G36" s="122">
        <f>IF(OR($C36="",$B$2="",$D$2=0),0,IF(G$3&lt;0,0,N(INDEX('CURVA PREVISION'!$A$1:$KZ$3000,$C36,10+3*MIN(G$3,$D$2-1)))))</f>
        <v/>
      </c>
      <c r="H36" s="122">
        <f>IF(OR($C36="",$B$2="",$D$2=0),0,IF(H$3&lt;0,0,N(INDEX('CURVA PREVISION'!$A$1:$KZ$3000,$C36,10+3*MIN(H$3,$D$2-1)))))</f>
        <v/>
      </c>
      <c r="I36" s="122">
        <f>IF(OR($C36="",$B$2="",$D$2=0),0,IF(I$3&lt;0,0,N(INDEX('CURVA PREVISION'!$A$1:$KZ$3000,$C36,10+3*MIN(I$3,$D$2-1)))))</f>
        <v/>
      </c>
      <c r="J36" s="122">
        <f>IF(OR($C36="",$B$2="",$D$2=0),0,IF(J$3&lt;0,0,N(INDEX('CURVA PREVISION'!$A$1:$KZ$3000,$C36,10+3*MIN(J$3,$D$2-1)))))</f>
        <v/>
      </c>
      <c r="K36" s="122">
        <f>IF(OR($C36="",$B$2="",$D$2=0),0,IF(K$3&lt;0,0,N(INDEX('CURVA PREVISION'!$A$1:$KZ$3000,$C36,10+3*MIN(K$3,$D$2-1)))))</f>
        <v/>
      </c>
      <c r="L36" s="122">
        <f>IF(OR($C36="",$B$2="",$D$2=0),0,IF(L$3&lt;0,0,N(INDEX('CURVA PREVISION'!$A$1:$KZ$3000,$C36,10+3*MIN(L$3,$D$2-1)))))</f>
        <v/>
      </c>
      <c r="M36" s="122">
        <f>IF(OR($C36="",$B$2="",$D$2=0),0,IF(M$3&lt;0,0,N(INDEX('CURVA PREVISION'!$A$1:$KZ$3000,$C36,10+3*MIN(M$3,$D$2-1)))))</f>
        <v/>
      </c>
      <c r="N36" s="122">
        <f>IF(OR($C36="",$B$2="",$D$2=0),0,IF(N$3&lt;0,0,N(INDEX('CURVA PREVISION'!$A$1:$KZ$3000,$C36,10+3*MIN(N$3,$D$2-1)))))</f>
        <v/>
      </c>
      <c r="O36" s="122">
        <f>IF(OR($C36="",$B$2="",$D$2=0),0,IF(O$3&lt;0,0,N(INDEX('CURVA PREVISION'!$A$1:$KZ$3000,$C36,10+3*MIN(O$3,$D$2-1)))))</f>
        <v/>
      </c>
      <c r="P36" s="122">
        <f>IF(OR($C36="",$B$2="",$D$2=0),0,IF(P$3&lt;0,0,N(INDEX('CURVA PREVISION'!$A$1:$KZ$3000,$C36,10+3*MIN(P$3,$D$2-1)))))</f>
        <v/>
      </c>
      <c r="Q36" s="122">
        <f>IF(OR($C36="",$B$2="",$D$2=0),0,IF(Q$3&lt;0,0,N(INDEX('CURVA PREVISION'!$A$1:$KZ$3000,$C36,10+3*MIN(Q$3,$D$2-1)))))</f>
        <v/>
      </c>
      <c r="R36" s="122">
        <f>IF(OR($C36="",$B$2="",$D$2=0),0,IF(R$3&lt;0,0,N(INDEX('CURVA PREVISION'!$A$1:$KZ$3000,$C36,10+3*MIN(R$3,$D$2-1)))))</f>
        <v/>
      </c>
      <c r="S36" s="122">
        <f>IF(OR($C36="",$B$2="",$D$2=0),0,IF(S$3&lt;0,0,N(INDEX('CURVA PREVISION'!$A$1:$KZ$3000,$C36,10+3*MIN(S$3,$D$2-1)))))</f>
        <v/>
      </c>
      <c r="T36" s="122">
        <f>IF(OR($C36="",$B$2="",$D$2=0),0,IF(T$3&lt;0,0,N(INDEX('CURVA PREVISION'!$A$1:$KZ$3000,$C36,10+3*MIN(T$3,$D$2-1)))))</f>
        <v/>
      </c>
      <c r="U36" s="122">
        <f>IF(OR($C36="",$B$2="",$D$2=0),0,IF(U$3&lt;0,0,N(INDEX('CURVA PREVISION'!$A$1:$KZ$3000,$C36,10+3*MIN(U$3,$D$2-1)))))</f>
        <v/>
      </c>
      <c r="V36" s="122">
        <f>IF(OR($C36="",$B$2="",$D$2=0),0,IF(V$3&lt;0,0,N(INDEX('CURVA PREVISION'!$A$1:$KZ$3000,$C36,10+3*MIN(V$3,$D$2-1)))))</f>
        <v/>
      </c>
      <c r="W36" s="122">
        <f>IF(OR($C36="",$B$2="",$D$2=0),0,IF(W$3&lt;0,0,N(INDEX('CURVA PREVISION'!$A$1:$KZ$3000,$C36,10+3*MIN(W$3,$D$2-1)))))</f>
        <v/>
      </c>
      <c r="X36" s="122">
        <f>IF(OR($C36="",$B$2="",$D$2=0),0,IF(X$3&lt;0,0,N(INDEX('CURVA PREVISION'!$A$1:$KZ$3000,$C36,10+3*MIN(X$3,$D$2-1)))))</f>
        <v/>
      </c>
      <c r="Y36" s="122">
        <f>IF(OR($C36="",$B$2="",$D$2=0),0,IF(Y$3&lt;0,0,N(INDEX('CURVA PREVISION'!$A$1:$KZ$3000,$C36,10+3*MIN(Y$3,$D$2-1)))))</f>
        <v/>
      </c>
      <c r="Z36" s="122">
        <f>IF(OR($C36="",$B$2="",$D$2=0),0,IF(Z$3&lt;0,0,N(INDEX('CURVA PREVISION'!$A$1:$KZ$3000,$C36,10+3*MIN(Z$3,$D$2-1)))))</f>
        <v/>
      </c>
      <c r="AA36" s="122">
        <f>IF(OR($C36="",$B$2="",$D$2=0),0,IF(AA$3&lt;0,0,N(INDEX('CURVA PREVISION'!$A$1:$KZ$3000,$C36,10+3*MIN(AA$3,$D$2-1)))))</f>
        <v/>
      </c>
      <c r="AB36" s="122">
        <f>IF(OR($C36="",$B$2="",$D$2=0),0,IF(AB$3&lt;0,0,N(INDEX('CURVA PREVISION'!$A$1:$KZ$3000,$C36,10+3*MIN(AB$3,$D$2-1)))))</f>
        <v/>
      </c>
      <c r="AC36" s="122">
        <f>IF(OR($C36="",$B$2="",$D$2=0),0,IF(AC$3&lt;0,0,N(INDEX('CURVA PREVISION'!$A$1:$KZ$3000,$C36,10+3*MIN(AC$3,$D$2-1)))))</f>
        <v/>
      </c>
      <c r="AD36" s="122">
        <f>IF(OR($C36="",$B$2="",$D$2=0),0,IF(AD$3&lt;0,0,N(INDEX('CURVA PREVISION'!$A$1:$KZ$3000,$C36,10+3*MIN(AD$3,$D$2-1)))))</f>
        <v/>
      </c>
      <c r="AE36" s="122">
        <f>IF(OR($C36="",$B$2="",$D$2=0),0,IF(AE$3&lt;0,0,N(INDEX('CURVA PREVISION'!$A$1:$KZ$3000,$C36,10+3*MIN(AE$3,$D$2-1)))))</f>
        <v/>
      </c>
      <c r="AF36" s="122">
        <f>IF(OR($C36="",$B$2="",$D$2=0),0,IF(AF$3&lt;0,0,N(INDEX('CURVA PREVISION'!$A$1:$KZ$3000,$C36,10+3*MIN(AF$3,$D$2-1)))))</f>
        <v/>
      </c>
      <c r="AG36" s="122">
        <f>IF(OR($C36="",$B$2="",$D$2=0),0,IF(AG$3&lt;0,0,N(INDEX('CURVA PREVISION'!$A$1:$KZ$3000,$C36,10+3*MIN(AG$3,$D$2-1)))))</f>
        <v/>
      </c>
      <c r="AH36" s="122">
        <f>IF(OR($C36="",$B$2="",$D$2=0),0,IF(AH$3&lt;0,0,N(INDEX('CURVA PREVISION'!$A$1:$KZ$3000,$C36,10+3*MIN(AH$3,$D$2-1)))))</f>
        <v/>
      </c>
      <c r="AI36" s="122">
        <f>IF(OR($C36="",$B$2="",$D$2=0),0,IF(AI$3&lt;0,0,N(INDEX('CURVA PREVISION'!$A$1:$KZ$3000,$C36,10+3*MIN(AI$3,$D$2-1)))))</f>
        <v/>
      </c>
      <c r="AJ36" s="122">
        <f>IF(OR($C36="",$B$2="",$D$2=0),0,IF(AJ$3&lt;0,0,N(INDEX('CURVA PREVISION'!$A$1:$KZ$3000,$C36,10+3*MIN(AJ$3,$D$2-1)))))</f>
        <v/>
      </c>
      <c r="AK36" s="122">
        <f>IF(OR($C36="",$B$2="",$D$2=0),0,IF(AK$3&lt;0,0,N(INDEX('CURVA PREVISION'!$A$1:$KZ$3000,$C36,10+3*MIN(AK$3,$D$2-1)))))</f>
        <v/>
      </c>
      <c r="AL36" s="122">
        <f>IF(OR($C36="",$B$2="",$D$2=0),0,IF(AL$3&lt;0,0,N(INDEX('CURVA PREVISION'!$A$1:$KZ$3000,$C36,10+3*MIN(AL$3,$D$2-1)))))</f>
        <v/>
      </c>
      <c r="AM36" s="122">
        <f>IF(OR($C36="",$B$2="",$D$2=0),0,IF(AM$3&lt;0,0,N(INDEX('CURVA PREVISION'!$A$1:$KZ$3000,$C36,10+3*MIN(AM$3,$D$2-1)))))</f>
        <v/>
      </c>
      <c r="AN36" s="122">
        <f>IF(OR($C36="",$B$2="",$D$2=0),0,IF(AN$3&lt;0,0,N(INDEX('CURVA PREVISION'!$A$1:$KZ$3000,$C36,10+3*MIN(AN$3,$D$2-1)))))</f>
        <v/>
      </c>
      <c r="AO36" s="122">
        <f>IF(OR($C36="",$B$2="",$D$2=0),0,IF(AO$3&lt;0,0,N(INDEX('CURVA PREVISION'!$A$1:$KZ$3000,$C36,10+3*MIN(AO$3,$D$2-1)))))</f>
        <v/>
      </c>
      <c r="AP36" s="122">
        <f>IF(OR($C36="",$B$2="",$D$2=0),0,IF(AP$3&lt;0,0,N(INDEX('CURVA PREVISION'!$A$1:$KZ$3000,$C36,10+3*MIN(AP$3,$D$2-1)))))</f>
        <v/>
      </c>
      <c r="AQ36" s="122">
        <f>IF(OR($C36="",$B$2="",$D$2=0),0,IF(AQ$3&lt;0,0,N(INDEX('CURVA PREVISION'!$A$1:$KZ$3000,$C36,10+3*MIN(AQ$3,$D$2-1)))))</f>
        <v/>
      </c>
      <c r="AR36" s="122">
        <f>IF(OR($C36="",$B$2="",$D$2=0),0,IF(AR$3&lt;0,0,N(INDEX('CURVA PREVISION'!$A$1:$KZ$3000,$C36,10+3*MIN(AR$3,$D$2-1)))))</f>
        <v/>
      </c>
      <c r="AS36" s="122">
        <f>IF(OR($C36="",$B$2="",$D$2=0),0,IF(AS$3&lt;0,0,N(INDEX('CURVA PREVISION'!$A$1:$KZ$3000,$C36,10+3*MIN(AS$3,$D$2-1)))))</f>
        <v/>
      </c>
      <c r="AT36" s="122">
        <f>IF(OR($C36="",$B$2="",$D$2=0),0,IF(AT$3&lt;0,0,N(INDEX('CURVA PREVISION'!$A$1:$KZ$3000,$C36,10+3*MIN(AT$3,$D$2-1)))))</f>
        <v/>
      </c>
      <c r="AU36" s="122">
        <f>IF(OR($C36="",$B$2="",$D$2=0),0,IF(AU$3&lt;0,0,N(INDEX('CURVA PREVISION'!$A$1:$KZ$3000,$C36,10+3*MIN(AU$3,$D$2-1)))))</f>
        <v/>
      </c>
      <c r="AV36" s="122">
        <f>IF(OR($C36="",$B$2="",$D$2=0),0,IF(AV$3&lt;0,0,N(INDEX('CURVA PREVISION'!$A$1:$KZ$3000,$C36,10+3*MIN(AV$3,$D$2-1)))))</f>
        <v/>
      </c>
      <c r="AW36" s="122">
        <f>IF(OR($C36="",$B$2="",$D$2=0),0,IF(AW$3&lt;0,0,N(INDEX('CURVA PREVISION'!$A$1:$KZ$3000,$C36,10+3*MIN(AW$3,$D$2-1)))))</f>
        <v/>
      </c>
      <c r="AX36" s="122">
        <f>IF(OR($C36="",$B$2="",$D$2=0),0,IF(AX$3&lt;0,0,N(INDEX('CURVA PREVISION'!$A$1:$KZ$3000,$C36,10+3*MIN(AX$3,$D$2-1)))))</f>
        <v/>
      </c>
      <c r="AY36" s="122">
        <f>IF(OR($C36="",$B$2="",$D$2=0),0,IF(AY$3&lt;0,0,N(INDEX('CURVA PREVISION'!$A$1:$KZ$3000,$C36,10+3*MIN(AY$3,$D$2-1)))))</f>
        <v/>
      </c>
      <c r="AZ36" s="122">
        <f>IF(OR($C36="",$B$2="",$D$2=0),0,IF(AZ$3&lt;0,0,N(INDEX('CURVA PREVISION'!$A$1:$KZ$3000,$C36,10+3*MIN(AZ$3,$D$2-1)))))</f>
        <v/>
      </c>
      <c r="BA36" s="122">
        <f>IF(OR($C36="",$B$2="",$D$2=0),0,IF(BA$3&lt;0,0,N(INDEX('CURVA PREVISION'!$A$1:$KZ$3000,$C36,10+3*MIN(BA$3,$D$2-1)))))</f>
        <v/>
      </c>
      <c r="BB36" s="122">
        <f>IF(OR($C36="",$B$2="",$D$2=0),0,IF(BB$3&lt;0,0,N(INDEX('CURVA PREVISION'!$A$1:$KZ$3000,$C36,10+3*MIN(BB$3,$D$2-1)))))</f>
        <v/>
      </c>
      <c r="BC36" s="122">
        <f>IF(OR($C36="",$B$2="",$D$2=0),0,IF(BC$3&lt;0,0,N(INDEX('CURVA PREVISION'!$A$1:$KZ$3000,$C36,10+3*MIN(BC$3,$D$2-1)))))</f>
        <v/>
      </c>
      <c r="BD36" s="122">
        <f>IF(OR($C36="",$B$2="",$D$2=0),0,IF(BD$3&lt;0,0,N(INDEX('CURVA PREVISION'!$A$1:$KZ$3000,$C36,10+3*MIN(BD$3,$D$2-1)))))</f>
        <v/>
      </c>
      <c r="BE36" s="122">
        <f>IF(OR($C36="",$B$2="",$D$2=0),0,IF(BE$3&lt;0,0,N(INDEX('CURVA PREVISION'!$A$1:$KZ$3000,$C36,10+3*MIN(BE$3,$D$2-1)))))</f>
        <v/>
      </c>
      <c r="BF36" s="122">
        <f>IF(OR($C36="",$B$2="",$D$2=0),0,IF(BF$3&lt;0,0,N(INDEX('CURVA PREVISION'!$A$1:$KZ$3000,$C36,10+3*MIN(BF$3,$D$2-1)))))</f>
        <v/>
      </c>
      <c r="BG36" s="122">
        <f>IF(OR($C36="",$B$2="",$D$2=0),0,IF(BG$3&lt;0,0,N(INDEX('CURVA PREVISION'!$A$1:$KZ$3000,$C36,10+3*MIN(BG$3,$D$2-1)))))</f>
        <v/>
      </c>
      <c r="BH36" s="122">
        <f>IF(OR($C36="",$B$2="",$D$2=0),0,IF(BH$3&lt;0,0,N(INDEX('CURVA PREVISION'!$A$1:$KZ$3000,$C36,10+3*MIN(BH$3,$D$2-1)))))</f>
        <v/>
      </c>
      <c r="BI36" s="122">
        <f>IF(OR($C36="",$B$2="",$D$2=0),0,IF(BI$3&lt;0,0,N(INDEX('CURVA PREVISION'!$A$1:$KZ$3000,$C36,10+3*MIN(BI$3,$D$2-1)))))</f>
        <v/>
      </c>
      <c r="BJ36" s="122">
        <f>IF(OR($C36="",$B$2="",$D$2=0),0,IF(BJ$3&lt;0,0,N(INDEX('CURVA PREVISION'!$A$1:$KZ$3000,$C36,10+3*MIN(BJ$3,$D$2-1)))))</f>
        <v/>
      </c>
      <c r="BK36" s="122">
        <f>IF(OR($C36="",$B$2="",$D$2=0),0,IF(BK$3&lt;0,0,N(INDEX('CURVA PREVISION'!$A$1:$KZ$3000,$C36,10+3*MIN(BK$3,$D$2-1)))))</f>
        <v/>
      </c>
      <c r="BL36" s="122">
        <f>IF(OR($C36="",$B$2="",$D$2=0),0,IF(BL$3&lt;0,0,N(INDEX('CURVA PREVISION'!$A$1:$KZ$3000,$C36,10+3*MIN(BL$3,$D$2-1)))))</f>
        <v/>
      </c>
      <c r="BM36" s="122">
        <f>IF(OR($C36="",$B$2="",$D$2=0),0,IF(BM$3&lt;0,0,N(INDEX('CURVA PREVISION'!$A$1:$KZ$3000,$C36,10+3*MIN(BM$3,$D$2-1)))))</f>
        <v/>
      </c>
      <c r="BN36" s="122">
        <f>IF(OR($C36="",$B$2="",$D$2=0),0,IF(BN$3&lt;0,0,N(INDEX('CURVA PREVISION'!$A$1:$KZ$3000,$C36,10+3*MIN(BN$3,$D$2-1)))))</f>
        <v/>
      </c>
      <c r="BO36" s="122">
        <f>IF(OR($C36="",$B$2="",$D$2=0),0,IF(BO$3&lt;0,0,N(INDEX('CURVA PREVISION'!$A$1:$KZ$3000,$C36,10+3*MIN(BO$3,$D$2-1)))))</f>
        <v/>
      </c>
      <c r="BP36" s="122">
        <f>IF(OR($C36="",$B$2="",$D$2=0),0,IF(BP$3&lt;0,0,N(INDEX('CURVA PREVISION'!$A$1:$KZ$3000,$C36,10+3*MIN(BP$3,$D$2-1)))))</f>
        <v/>
      </c>
      <c r="BQ36" s="122">
        <f>IF(OR($C36="",$B$2="",$D$2=0),0,IF(BQ$3&lt;0,0,N(INDEX('CURVA PREVISION'!$A$1:$KZ$3000,$C36,10+3*MIN(BQ$3,$D$2-1)))))</f>
        <v/>
      </c>
      <c r="BR36" s="122">
        <f>IF(OR($C36="",$B$2="",$D$2=0),0,IF(BR$3&lt;0,0,N(INDEX('CURVA PREVISION'!$A$1:$KZ$3000,$C36,10+3*MIN(BR$3,$D$2-1)))))</f>
        <v/>
      </c>
      <c r="BS36" s="122">
        <f>IF(OR($C36="",$B$2="",$D$2=0),0,IF(BS$3&lt;0,0,N(INDEX('CURVA PREVISION'!$A$1:$KZ$3000,$C36,10+3*MIN(BS$3,$D$2-1)))))</f>
        <v/>
      </c>
      <c r="BT36" s="122">
        <f>IF(OR($C36="",$B$2="",$D$2=0),0,IF(BT$3&lt;0,0,N(INDEX('CURVA PREVISION'!$A$1:$KZ$3000,$C36,10+3*MIN(BT$3,$D$2-1)))))</f>
        <v/>
      </c>
      <c r="BU36" s="122">
        <f>IF(OR($C36="",$B$2="",$D$2=0),0,IF(BU$3&lt;0,0,N(INDEX('CURVA PREVISION'!$A$1:$KZ$3000,$C36,10+3*MIN(BU$3,$D$2-1)))))</f>
        <v/>
      </c>
      <c r="BV36" s="122">
        <f>IF(OR($C36="",$B$2="",$D$2=0),0,IF(BV$3&lt;0,0,N(INDEX('CURVA PREVISION'!$A$1:$KZ$3000,$C36,10+3*MIN(BV$3,$D$2-1)))))</f>
        <v/>
      </c>
      <c r="BW36" s="122">
        <f>IF(OR($C36="",$B$2="",$D$2=0),0,IF(BW$3&lt;0,0,N(INDEX('CURVA PREVISION'!$A$1:$KZ$3000,$C36,10+3*MIN(BW$3,$D$2-1)))))</f>
        <v/>
      </c>
    </row>
    <row r="37">
      <c r="A37" s="60">
        <f>IF('VALOR POR PL'!Q43="",'VALOR POR PL'!C43,'VALOR POR PL'!Q43)</f>
        <v/>
      </c>
      <c r="B37" s="60">
        <f>'VALOR POR PL'!D43</f>
        <v/>
      </c>
      <c r="C37" s="69">
        <f>IFERROR(MATCH(A37,'CURVA PREVISION'!$B$1:$B$3000,0),"")</f>
        <v/>
      </c>
      <c r="D37" s="122">
        <f>IF(OR($C37="",$B$2="",$D$2=0),0,IF(D$3&lt;0,0,N(INDEX('CURVA PREVISION'!$A$1:$KZ$3000,$C37,10+3*MIN(D$3,$D$2-1)))))</f>
        <v/>
      </c>
      <c r="E37" s="122">
        <f>IF(OR($C37="",$B$2="",$D$2=0),0,IF(E$3&lt;0,0,N(INDEX('CURVA PREVISION'!$A$1:$KZ$3000,$C37,10+3*MIN(E$3,$D$2-1)))))</f>
        <v/>
      </c>
      <c r="F37" s="122">
        <f>IF(OR($C37="",$B$2="",$D$2=0),0,IF(F$3&lt;0,0,N(INDEX('CURVA PREVISION'!$A$1:$KZ$3000,$C37,10+3*MIN(F$3,$D$2-1)))))</f>
        <v/>
      </c>
      <c r="G37" s="122">
        <f>IF(OR($C37="",$B$2="",$D$2=0),0,IF(G$3&lt;0,0,N(INDEX('CURVA PREVISION'!$A$1:$KZ$3000,$C37,10+3*MIN(G$3,$D$2-1)))))</f>
        <v/>
      </c>
      <c r="H37" s="122">
        <f>IF(OR($C37="",$B$2="",$D$2=0),0,IF(H$3&lt;0,0,N(INDEX('CURVA PREVISION'!$A$1:$KZ$3000,$C37,10+3*MIN(H$3,$D$2-1)))))</f>
        <v/>
      </c>
      <c r="I37" s="122">
        <f>IF(OR($C37="",$B$2="",$D$2=0),0,IF(I$3&lt;0,0,N(INDEX('CURVA PREVISION'!$A$1:$KZ$3000,$C37,10+3*MIN(I$3,$D$2-1)))))</f>
        <v/>
      </c>
      <c r="J37" s="122">
        <f>IF(OR($C37="",$B$2="",$D$2=0),0,IF(J$3&lt;0,0,N(INDEX('CURVA PREVISION'!$A$1:$KZ$3000,$C37,10+3*MIN(J$3,$D$2-1)))))</f>
        <v/>
      </c>
      <c r="K37" s="122">
        <f>IF(OR($C37="",$B$2="",$D$2=0),0,IF(K$3&lt;0,0,N(INDEX('CURVA PREVISION'!$A$1:$KZ$3000,$C37,10+3*MIN(K$3,$D$2-1)))))</f>
        <v/>
      </c>
      <c r="L37" s="122">
        <f>IF(OR($C37="",$B$2="",$D$2=0),0,IF(L$3&lt;0,0,N(INDEX('CURVA PREVISION'!$A$1:$KZ$3000,$C37,10+3*MIN(L$3,$D$2-1)))))</f>
        <v/>
      </c>
      <c r="M37" s="122">
        <f>IF(OR($C37="",$B$2="",$D$2=0),0,IF(M$3&lt;0,0,N(INDEX('CURVA PREVISION'!$A$1:$KZ$3000,$C37,10+3*MIN(M$3,$D$2-1)))))</f>
        <v/>
      </c>
      <c r="N37" s="122">
        <f>IF(OR($C37="",$B$2="",$D$2=0),0,IF(N$3&lt;0,0,N(INDEX('CURVA PREVISION'!$A$1:$KZ$3000,$C37,10+3*MIN(N$3,$D$2-1)))))</f>
        <v/>
      </c>
      <c r="O37" s="122">
        <f>IF(OR($C37="",$B$2="",$D$2=0),0,IF(O$3&lt;0,0,N(INDEX('CURVA PREVISION'!$A$1:$KZ$3000,$C37,10+3*MIN(O$3,$D$2-1)))))</f>
        <v/>
      </c>
      <c r="P37" s="122">
        <f>IF(OR($C37="",$B$2="",$D$2=0),0,IF(P$3&lt;0,0,N(INDEX('CURVA PREVISION'!$A$1:$KZ$3000,$C37,10+3*MIN(P$3,$D$2-1)))))</f>
        <v/>
      </c>
      <c r="Q37" s="122">
        <f>IF(OR($C37="",$B$2="",$D$2=0),0,IF(Q$3&lt;0,0,N(INDEX('CURVA PREVISION'!$A$1:$KZ$3000,$C37,10+3*MIN(Q$3,$D$2-1)))))</f>
        <v/>
      </c>
      <c r="R37" s="122">
        <f>IF(OR($C37="",$B$2="",$D$2=0),0,IF(R$3&lt;0,0,N(INDEX('CURVA PREVISION'!$A$1:$KZ$3000,$C37,10+3*MIN(R$3,$D$2-1)))))</f>
        <v/>
      </c>
      <c r="S37" s="122">
        <f>IF(OR($C37="",$B$2="",$D$2=0),0,IF(S$3&lt;0,0,N(INDEX('CURVA PREVISION'!$A$1:$KZ$3000,$C37,10+3*MIN(S$3,$D$2-1)))))</f>
        <v/>
      </c>
      <c r="T37" s="122">
        <f>IF(OR($C37="",$B$2="",$D$2=0),0,IF(T$3&lt;0,0,N(INDEX('CURVA PREVISION'!$A$1:$KZ$3000,$C37,10+3*MIN(T$3,$D$2-1)))))</f>
        <v/>
      </c>
      <c r="U37" s="122">
        <f>IF(OR($C37="",$B$2="",$D$2=0),0,IF(U$3&lt;0,0,N(INDEX('CURVA PREVISION'!$A$1:$KZ$3000,$C37,10+3*MIN(U$3,$D$2-1)))))</f>
        <v/>
      </c>
      <c r="V37" s="122">
        <f>IF(OR($C37="",$B$2="",$D$2=0),0,IF(V$3&lt;0,0,N(INDEX('CURVA PREVISION'!$A$1:$KZ$3000,$C37,10+3*MIN(V$3,$D$2-1)))))</f>
        <v/>
      </c>
      <c r="W37" s="122">
        <f>IF(OR($C37="",$B$2="",$D$2=0),0,IF(W$3&lt;0,0,N(INDEX('CURVA PREVISION'!$A$1:$KZ$3000,$C37,10+3*MIN(W$3,$D$2-1)))))</f>
        <v/>
      </c>
      <c r="X37" s="122">
        <f>IF(OR($C37="",$B$2="",$D$2=0),0,IF(X$3&lt;0,0,N(INDEX('CURVA PREVISION'!$A$1:$KZ$3000,$C37,10+3*MIN(X$3,$D$2-1)))))</f>
        <v/>
      </c>
      <c r="Y37" s="122">
        <f>IF(OR($C37="",$B$2="",$D$2=0),0,IF(Y$3&lt;0,0,N(INDEX('CURVA PREVISION'!$A$1:$KZ$3000,$C37,10+3*MIN(Y$3,$D$2-1)))))</f>
        <v/>
      </c>
      <c r="Z37" s="122">
        <f>IF(OR($C37="",$B$2="",$D$2=0),0,IF(Z$3&lt;0,0,N(INDEX('CURVA PREVISION'!$A$1:$KZ$3000,$C37,10+3*MIN(Z$3,$D$2-1)))))</f>
        <v/>
      </c>
      <c r="AA37" s="122">
        <f>IF(OR($C37="",$B$2="",$D$2=0),0,IF(AA$3&lt;0,0,N(INDEX('CURVA PREVISION'!$A$1:$KZ$3000,$C37,10+3*MIN(AA$3,$D$2-1)))))</f>
        <v/>
      </c>
      <c r="AB37" s="122">
        <f>IF(OR($C37="",$B$2="",$D$2=0),0,IF(AB$3&lt;0,0,N(INDEX('CURVA PREVISION'!$A$1:$KZ$3000,$C37,10+3*MIN(AB$3,$D$2-1)))))</f>
        <v/>
      </c>
      <c r="AC37" s="122">
        <f>IF(OR($C37="",$B$2="",$D$2=0),0,IF(AC$3&lt;0,0,N(INDEX('CURVA PREVISION'!$A$1:$KZ$3000,$C37,10+3*MIN(AC$3,$D$2-1)))))</f>
        <v/>
      </c>
      <c r="AD37" s="122">
        <f>IF(OR($C37="",$B$2="",$D$2=0),0,IF(AD$3&lt;0,0,N(INDEX('CURVA PREVISION'!$A$1:$KZ$3000,$C37,10+3*MIN(AD$3,$D$2-1)))))</f>
        <v/>
      </c>
      <c r="AE37" s="122">
        <f>IF(OR($C37="",$B$2="",$D$2=0),0,IF(AE$3&lt;0,0,N(INDEX('CURVA PREVISION'!$A$1:$KZ$3000,$C37,10+3*MIN(AE$3,$D$2-1)))))</f>
        <v/>
      </c>
      <c r="AF37" s="122">
        <f>IF(OR($C37="",$B$2="",$D$2=0),0,IF(AF$3&lt;0,0,N(INDEX('CURVA PREVISION'!$A$1:$KZ$3000,$C37,10+3*MIN(AF$3,$D$2-1)))))</f>
        <v/>
      </c>
      <c r="AG37" s="122">
        <f>IF(OR($C37="",$B$2="",$D$2=0),0,IF(AG$3&lt;0,0,N(INDEX('CURVA PREVISION'!$A$1:$KZ$3000,$C37,10+3*MIN(AG$3,$D$2-1)))))</f>
        <v/>
      </c>
      <c r="AH37" s="122">
        <f>IF(OR($C37="",$B$2="",$D$2=0),0,IF(AH$3&lt;0,0,N(INDEX('CURVA PREVISION'!$A$1:$KZ$3000,$C37,10+3*MIN(AH$3,$D$2-1)))))</f>
        <v/>
      </c>
      <c r="AI37" s="122">
        <f>IF(OR($C37="",$B$2="",$D$2=0),0,IF(AI$3&lt;0,0,N(INDEX('CURVA PREVISION'!$A$1:$KZ$3000,$C37,10+3*MIN(AI$3,$D$2-1)))))</f>
        <v/>
      </c>
      <c r="AJ37" s="122">
        <f>IF(OR($C37="",$B$2="",$D$2=0),0,IF(AJ$3&lt;0,0,N(INDEX('CURVA PREVISION'!$A$1:$KZ$3000,$C37,10+3*MIN(AJ$3,$D$2-1)))))</f>
        <v/>
      </c>
      <c r="AK37" s="122">
        <f>IF(OR($C37="",$B$2="",$D$2=0),0,IF(AK$3&lt;0,0,N(INDEX('CURVA PREVISION'!$A$1:$KZ$3000,$C37,10+3*MIN(AK$3,$D$2-1)))))</f>
        <v/>
      </c>
      <c r="AL37" s="122">
        <f>IF(OR($C37="",$B$2="",$D$2=0),0,IF(AL$3&lt;0,0,N(INDEX('CURVA PREVISION'!$A$1:$KZ$3000,$C37,10+3*MIN(AL$3,$D$2-1)))))</f>
        <v/>
      </c>
      <c r="AM37" s="122">
        <f>IF(OR($C37="",$B$2="",$D$2=0),0,IF(AM$3&lt;0,0,N(INDEX('CURVA PREVISION'!$A$1:$KZ$3000,$C37,10+3*MIN(AM$3,$D$2-1)))))</f>
        <v/>
      </c>
      <c r="AN37" s="122">
        <f>IF(OR($C37="",$B$2="",$D$2=0),0,IF(AN$3&lt;0,0,N(INDEX('CURVA PREVISION'!$A$1:$KZ$3000,$C37,10+3*MIN(AN$3,$D$2-1)))))</f>
        <v/>
      </c>
      <c r="AO37" s="122">
        <f>IF(OR($C37="",$B$2="",$D$2=0),0,IF(AO$3&lt;0,0,N(INDEX('CURVA PREVISION'!$A$1:$KZ$3000,$C37,10+3*MIN(AO$3,$D$2-1)))))</f>
        <v/>
      </c>
      <c r="AP37" s="122">
        <f>IF(OR($C37="",$B$2="",$D$2=0),0,IF(AP$3&lt;0,0,N(INDEX('CURVA PREVISION'!$A$1:$KZ$3000,$C37,10+3*MIN(AP$3,$D$2-1)))))</f>
        <v/>
      </c>
      <c r="AQ37" s="122">
        <f>IF(OR($C37="",$B$2="",$D$2=0),0,IF(AQ$3&lt;0,0,N(INDEX('CURVA PREVISION'!$A$1:$KZ$3000,$C37,10+3*MIN(AQ$3,$D$2-1)))))</f>
        <v/>
      </c>
      <c r="AR37" s="122">
        <f>IF(OR($C37="",$B$2="",$D$2=0),0,IF(AR$3&lt;0,0,N(INDEX('CURVA PREVISION'!$A$1:$KZ$3000,$C37,10+3*MIN(AR$3,$D$2-1)))))</f>
        <v/>
      </c>
      <c r="AS37" s="122">
        <f>IF(OR($C37="",$B$2="",$D$2=0),0,IF(AS$3&lt;0,0,N(INDEX('CURVA PREVISION'!$A$1:$KZ$3000,$C37,10+3*MIN(AS$3,$D$2-1)))))</f>
        <v/>
      </c>
      <c r="AT37" s="122">
        <f>IF(OR($C37="",$B$2="",$D$2=0),0,IF(AT$3&lt;0,0,N(INDEX('CURVA PREVISION'!$A$1:$KZ$3000,$C37,10+3*MIN(AT$3,$D$2-1)))))</f>
        <v/>
      </c>
      <c r="AU37" s="122">
        <f>IF(OR($C37="",$B$2="",$D$2=0),0,IF(AU$3&lt;0,0,N(INDEX('CURVA PREVISION'!$A$1:$KZ$3000,$C37,10+3*MIN(AU$3,$D$2-1)))))</f>
        <v/>
      </c>
      <c r="AV37" s="122">
        <f>IF(OR($C37="",$B$2="",$D$2=0),0,IF(AV$3&lt;0,0,N(INDEX('CURVA PREVISION'!$A$1:$KZ$3000,$C37,10+3*MIN(AV$3,$D$2-1)))))</f>
        <v/>
      </c>
      <c r="AW37" s="122">
        <f>IF(OR($C37="",$B$2="",$D$2=0),0,IF(AW$3&lt;0,0,N(INDEX('CURVA PREVISION'!$A$1:$KZ$3000,$C37,10+3*MIN(AW$3,$D$2-1)))))</f>
        <v/>
      </c>
      <c r="AX37" s="122">
        <f>IF(OR($C37="",$B$2="",$D$2=0),0,IF(AX$3&lt;0,0,N(INDEX('CURVA PREVISION'!$A$1:$KZ$3000,$C37,10+3*MIN(AX$3,$D$2-1)))))</f>
        <v/>
      </c>
      <c r="AY37" s="122">
        <f>IF(OR($C37="",$B$2="",$D$2=0),0,IF(AY$3&lt;0,0,N(INDEX('CURVA PREVISION'!$A$1:$KZ$3000,$C37,10+3*MIN(AY$3,$D$2-1)))))</f>
        <v/>
      </c>
      <c r="AZ37" s="122">
        <f>IF(OR($C37="",$B$2="",$D$2=0),0,IF(AZ$3&lt;0,0,N(INDEX('CURVA PREVISION'!$A$1:$KZ$3000,$C37,10+3*MIN(AZ$3,$D$2-1)))))</f>
        <v/>
      </c>
      <c r="BA37" s="122">
        <f>IF(OR($C37="",$B$2="",$D$2=0),0,IF(BA$3&lt;0,0,N(INDEX('CURVA PREVISION'!$A$1:$KZ$3000,$C37,10+3*MIN(BA$3,$D$2-1)))))</f>
        <v/>
      </c>
      <c r="BB37" s="122">
        <f>IF(OR($C37="",$B$2="",$D$2=0),0,IF(BB$3&lt;0,0,N(INDEX('CURVA PREVISION'!$A$1:$KZ$3000,$C37,10+3*MIN(BB$3,$D$2-1)))))</f>
        <v/>
      </c>
      <c r="BC37" s="122">
        <f>IF(OR($C37="",$B$2="",$D$2=0),0,IF(BC$3&lt;0,0,N(INDEX('CURVA PREVISION'!$A$1:$KZ$3000,$C37,10+3*MIN(BC$3,$D$2-1)))))</f>
        <v/>
      </c>
      <c r="BD37" s="122">
        <f>IF(OR($C37="",$B$2="",$D$2=0),0,IF(BD$3&lt;0,0,N(INDEX('CURVA PREVISION'!$A$1:$KZ$3000,$C37,10+3*MIN(BD$3,$D$2-1)))))</f>
        <v/>
      </c>
      <c r="BE37" s="122">
        <f>IF(OR($C37="",$B$2="",$D$2=0),0,IF(BE$3&lt;0,0,N(INDEX('CURVA PREVISION'!$A$1:$KZ$3000,$C37,10+3*MIN(BE$3,$D$2-1)))))</f>
        <v/>
      </c>
      <c r="BF37" s="122">
        <f>IF(OR($C37="",$B$2="",$D$2=0),0,IF(BF$3&lt;0,0,N(INDEX('CURVA PREVISION'!$A$1:$KZ$3000,$C37,10+3*MIN(BF$3,$D$2-1)))))</f>
        <v/>
      </c>
      <c r="BG37" s="122">
        <f>IF(OR($C37="",$B$2="",$D$2=0),0,IF(BG$3&lt;0,0,N(INDEX('CURVA PREVISION'!$A$1:$KZ$3000,$C37,10+3*MIN(BG$3,$D$2-1)))))</f>
        <v/>
      </c>
      <c r="BH37" s="122">
        <f>IF(OR($C37="",$B$2="",$D$2=0),0,IF(BH$3&lt;0,0,N(INDEX('CURVA PREVISION'!$A$1:$KZ$3000,$C37,10+3*MIN(BH$3,$D$2-1)))))</f>
        <v/>
      </c>
      <c r="BI37" s="122">
        <f>IF(OR($C37="",$B$2="",$D$2=0),0,IF(BI$3&lt;0,0,N(INDEX('CURVA PREVISION'!$A$1:$KZ$3000,$C37,10+3*MIN(BI$3,$D$2-1)))))</f>
        <v/>
      </c>
      <c r="BJ37" s="122">
        <f>IF(OR($C37="",$B$2="",$D$2=0),0,IF(BJ$3&lt;0,0,N(INDEX('CURVA PREVISION'!$A$1:$KZ$3000,$C37,10+3*MIN(BJ$3,$D$2-1)))))</f>
        <v/>
      </c>
      <c r="BK37" s="122">
        <f>IF(OR($C37="",$B$2="",$D$2=0),0,IF(BK$3&lt;0,0,N(INDEX('CURVA PREVISION'!$A$1:$KZ$3000,$C37,10+3*MIN(BK$3,$D$2-1)))))</f>
        <v/>
      </c>
      <c r="BL37" s="122">
        <f>IF(OR($C37="",$B$2="",$D$2=0),0,IF(BL$3&lt;0,0,N(INDEX('CURVA PREVISION'!$A$1:$KZ$3000,$C37,10+3*MIN(BL$3,$D$2-1)))))</f>
        <v/>
      </c>
      <c r="BM37" s="122">
        <f>IF(OR($C37="",$B$2="",$D$2=0),0,IF(BM$3&lt;0,0,N(INDEX('CURVA PREVISION'!$A$1:$KZ$3000,$C37,10+3*MIN(BM$3,$D$2-1)))))</f>
        <v/>
      </c>
      <c r="BN37" s="122">
        <f>IF(OR($C37="",$B$2="",$D$2=0),0,IF(BN$3&lt;0,0,N(INDEX('CURVA PREVISION'!$A$1:$KZ$3000,$C37,10+3*MIN(BN$3,$D$2-1)))))</f>
        <v/>
      </c>
      <c r="BO37" s="122">
        <f>IF(OR($C37="",$B$2="",$D$2=0),0,IF(BO$3&lt;0,0,N(INDEX('CURVA PREVISION'!$A$1:$KZ$3000,$C37,10+3*MIN(BO$3,$D$2-1)))))</f>
        <v/>
      </c>
      <c r="BP37" s="122">
        <f>IF(OR($C37="",$B$2="",$D$2=0),0,IF(BP$3&lt;0,0,N(INDEX('CURVA PREVISION'!$A$1:$KZ$3000,$C37,10+3*MIN(BP$3,$D$2-1)))))</f>
        <v/>
      </c>
      <c r="BQ37" s="122">
        <f>IF(OR($C37="",$B$2="",$D$2=0),0,IF(BQ$3&lt;0,0,N(INDEX('CURVA PREVISION'!$A$1:$KZ$3000,$C37,10+3*MIN(BQ$3,$D$2-1)))))</f>
        <v/>
      </c>
      <c r="BR37" s="122">
        <f>IF(OR($C37="",$B$2="",$D$2=0),0,IF(BR$3&lt;0,0,N(INDEX('CURVA PREVISION'!$A$1:$KZ$3000,$C37,10+3*MIN(BR$3,$D$2-1)))))</f>
        <v/>
      </c>
      <c r="BS37" s="122">
        <f>IF(OR($C37="",$B$2="",$D$2=0),0,IF(BS$3&lt;0,0,N(INDEX('CURVA PREVISION'!$A$1:$KZ$3000,$C37,10+3*MIN(BS$3,$D$2-1)))))</f>
        <v/>
      </c>
      <c r="BT37" s="122">
        <f>IF(OR($C37="",$B$2="",$D$2=0),0,IF(BT$3&lt;0,0,N(INDEX('CURVA PREVISION'!$A$1:$KZ$3000,$C37,10+3*MIN(BT$3,$D$2-1)))))</f>
        <v/>
      </c>
      <c r="BU37" s="122">
        <f>IF(OR($C37="",$B$2="",$D$2=0),0,IF(BU$3&lt;0,0,N(INDEX('CURVA PREVISION'!$A$1:$KZ$3000,$C37,10+3*MIN(BU$3,$D$2-1)))))</f>
        <v/>
      </c>
      <c r="BV37" s="122">
        <f>IF(OR($C37="",$B$2="",$D$2=0),0,IF(BV$3&lt;0,0,N(INDEX('CURVA PREVISION'!$A$1:$KZ$3000,$C37,10+3*MIN(BV$3,$D$2-1)))))</f>
        <v/>
      </c>
      <c r="BW37" s="122">
        <f>IF(OR($C37="",$B$2="",$D$2=0),0,IF(BW$3&lt;0,0,N(INDEX('CURVA PREVISION'!$A$1:$KZ$3000,$C37,10+3*MIN(BW$3,$D$2-1)))))</f>
        <v/>
      </c>
    </row>
    <row r="38">
      <c r="A38" s="60">
        <f>IF('VALOR POR PL'!Q44="",'VALOR POR PL'!C44,'VALOR POR PL'!Q44)</f>
        <v/>
      </c>
      <c r="B38" s="60">
        <f>'VALOR POR PL'!D44</f>
        <v/>
      </c>
      <c r="C38" s="69">
        <f>IFERROR(MATCH(A38,'CURVA PREVISION'!$B$1:$B$3000,0),"")</f>
        <v/>
      </c>
      <c r="D38" s="122">
        <f>IF(OR($C38="",$B$2="",$D$2=0),0,IF(D$3&lt;0,0,N(INDEX('CURVA PREVISION'!$A$1:$KZ$3000,$C38,10+3*MIN(D$3,$D$2-1)))))</f>
        <v/>
      </c>
      <c r="E38" s="122">
        <f>IF(OR($C38="",$B$2="",$D$2=0),0,IF(E$3&lt;0,0,N(INDEX('CURVA PREVISION'!$A$1:$KZ$3000,$C38,10+3*MIN(E$3,$D$2-1)))))</f>
        <v/>
      </c>
      <c r="F38" s="122">
        <f>IF(OR($C38="",$B$2="",$D$2=0),0,IF(F$3&lt;0,0,N(INDEX('CURVA PREVISION'!$A$1:$KZ$3000,$C38,10+3*MIN(F$3,$D$2-1)))))</f>
        <v/>
      </c>
      <c r="G38" s="122">
        <f>IF(OR($C38="",$B$2="",$D$2=0),0,IF(G$3&lt;0,0,N(INDEX('CURVA PREVISION'!$A$1:$KZ$3000,$C38,10+3*MIN(G$3,$D$2-1)))))</f>
        <v/>
      </c>
      <c r="H38" s="122">
        <f>IF(OR($C38="",$B$2="",$D$2=0),0,IF(H$3&lt;0,0,N(INDEX('CURVA PREVISION'!$A$1:$KZ$3000,$C38,10+3*MIN(H$3,$D$2-1)))))</f>
        <v/>
      </c>
      <c r="I38" s="122">
        <f>IF(OR($C38="",$B$2="",$D$2=0),0,IF(I$3&lt;0,0,N(INDEX('CURVA PREVISION'!$A$1:$KZ$3000,$C38,10+3*MIN(I$3,$D$2-1)))))</f>
        <v/>
      </c>
      <c r="J38" s="122">
        <f>IF(OR($C38="",$B$2="",$D$2=0),0,IF(J$3&lt;0,0,N(INDEX('CURVA PREVISION'!$A$1:$KZ$3000,$C38,10+3*MIN(J$3,$D$2-1)))))</f>
        <v/>
      </c>
      <c r="K38" s="122">
        <f>IF(OR($C38="",$B$2="",$D$2=0),0,IF(K$3&lt;0,0,N(INDEX('CURVA PREVISION'!$A$1:$KZ$3000,$C38,10+3*MIN(K$3,$D$2-1)))))</f>
        <v/>
      </c>
      <c r="L38" s="122">
        <f>IF(OR($C38="",$B$2="",$D$2=0),0,IF(L$3&lt;0,0,N(INDEX('CURVA PREVISION'!$A$1:$KZ$3000,$C38,10+3*MIN(L$3,$D$2-1)))))</f>
        <v/>
      </c>
      <c r="M38" s="122">
        <f>IF(OR($C38="",$B$2="",$D$2=0),0,IF(M$3&lt;0,0,N(INDEX('CURVA PREVISION'!$A$1:$KZ$3000,$C38,10+3*MIN(M$3,$D$2-1)))))</f>
        <v/>
      </c>
      <c r="N38" s="122">
        <f>IF(OR($C38="",$B$2="",$D$2=0),0,IF(N$3&lt;0,0,N(INDEX('CURVA PREVISION'!$A$1:$KZ$3000,$C38,10+3*MIN(N$3,$D$2-1)))))</f>
        <v/>
      </c>
      <c r="O38" s="122">
        <f>IF(OR($C38="",$B$2="",$D$2=0),0,IF(O$3&lt;0,0,N(INDEX('CURVA PREVISION'!$A$1:$KZ$3000,$C38,10+3*MIN(O$3,$D$2-1)))))</f>
        <v/>
      </c>
      <c r="P38" s="122">
        <f>IF(OR($C38="",$B$2="",$D$2=0),0,IF(P$3&lt;0,0,N(INDEX('CURVA PREVISION'!$A$1:$KZ$3000,$C38,10+3*MIN(P$3,$D$2-1)))))</f>
        <v/>
      </c>
      <c r="Q38" s="122">
        <f>IF(OR($C38="",$B$2="",$D$2=0),0,IF(Q$3&lt;0,0,N(INDEX('CURVA PREVISION'!$A$1:$KZ$3000,$C38,10+3*MIN(Q$3,$D$2-1)))))</f>
        <v/>
      </c>
      <c r="R38" s="122">
        <f>IF(OR($C38="",$B$2="",$D$2=0),0,IF(R$3&lt;0,0,N(INDEX('CURVA PREVISION'!$A$1:$KZ$3000,$C38,10+3*MIN(R$3,$D$2-1)))))</f>
        <v/>
      </c>
      <c r="S38" s="122">
        <f>IF(OR($C38="",$B$2="",$D$2=0),0,IF(S$3&lt;0,0,N(INDEX('CURVA PREVISION'!$A$1:$KZ$3000,$C38,10+3*MIN(S$3,$D$2-1)))))</f>
        <v/>
      </c>
      <c r="T38" s="122">
        <f>IF(OR($C38="",$B$2="",$D$2=0),0,IF(T$3&lt;0,0,N(INDEX('CURVA PREVISION'!$A$1:$KZ$3000,$C38,10+3*MIN(T$3,$D$2-1)))))</f>
        <v/>
      </c>
      <c r="U38" s="122">
        <f>IF(OR($C38="",$B$2="",$D$2=0),0,IF(U$3&lt;0,0,N(INDEX('CURVA PREVISION'!$A$1:$KZ$3000,$C38,10+3*MIN(U$3,$D$2-1)))))</f>
        <v/>
      </c>
      <c r="V38" s="122">
        <f>IF(OR($C38="",$B$2="",$D$2=0),0,IF(V$3&lt;0,0,N(INDEX('CURVA PREVISION'!$A$1:$KZ$3000,$C38,10+3*MIN(V$3,$D$2-1)))))</f>
        <v/>
      </c>
      <c r="W38" s="122">
        <f>IF(OR($C38="",$B$2="",$D$2=0),0,IF(W$3&lt;0,0,N(INDEX('CURVA PREVISION'!$A$1:$KZ$3000,$C38,10+3*MIN(W$3,$D$2-1)))))</f>
        <v/>
      </c>
      <c r="X38" s="122">
        <f>IF(OR($C38="",$B$2="",$D$2=0),0,IF(X$3&lt;0,0,N(INDEX('CURVA PREVISION'!$A$1:$KZ$3000,$C38,10+3*MIN(X$3,$D$2-1)))))</f>
        <v/>
      </c>
      <c r="Y38" s="122">
        <f>IF(OR($C38="",$B$2="",$D$2=0),0,IF(Y$3&lt;0,0,N(INDEX('CURVA PREVISION'!$A$1:$KZ$3000,$C38,10+3*MIN(Y$3,$D$2-1)))))</f>
        <v/>
      </c>
      <c r="Z38" s="122">
        <f>IF(OR($C38="",$B$2="",$D$2=0),0,IF(Z$3&lt;0,0,N(INDEX('CURVA PREVISION'!$A$1:$KZ$3000,$C38,10+3*MIN(Z$3,$D$2-1)))))</f>
        <v/>
      </c>
      <c r="AA38" s="122">
        <f>IF(OR($C38="",$B$2="",$D$2=0),0,IF(AA$3&lt;0,0,N(INDEX('CURVA PREVISION'!$A$1:$KZ$3000,$C38,10+3*MIN(AA$3,$D$2-1)))))</f>
        <v/>
      </c>
      <c r="AB38" s="122">
        <f>IF(OR($C38="",$B$2="",$D$2=0),0,IF(AB$3&lt;0,0,N(INDEX('CURVA PREVISION'!$A$1:$KZ$3000,$C38,10+3*MIN(AB$3,$D$2-1)))))</f>
        <v/>
      </c>
      <c r="AC38" s="122">
        <f>IF(OR($C38="",$B$2="",$D$2=0),0,IF(AC$3&lt;0,0,N(INDEX('CURVA PREVISION'!$A$1:$KZ$3000,$C38,10+3*MIN(AC$3,$D$2-1)))))</f>
        <v/>
      </c>
      <c r="AD38" s="122">
        <f>IF(OR($C38="",$B$2="",$D$2=0),0,IF(AD$3&lt;0,0,N(INDEX('CURVA PREVISION'!$A$1:$KZ$3000,$C38,10+3*MIN(AD$3,$D$2-1)))))</f>
        <v/>
      </c>
      <c r="AE38" s="122">
        <f>IF(OR($C38="",$B$2="",$D$2=0),0,IF(AE$3&lt;0,0,N(INDEX('CURVA PREVISION'!$A$1:$KZ$3000,$C38,10+3*MIN(AE$3,$D$2-1)))))</f>
        <v/>
      </c>
      <c r="AF38" s="122">
        <f>IF(OR($C38="",$B$2="",$D$2=0),0,IF(AF$3&lt;0,0,N(INDEX('CURVA PREVISION'!$A$1:$KZ$3000,$C38,10+3*MIN(AF$3,$D$2-1)))))</f>
        <v/>
      </c>
      <c r="AG38" s="122">
        <f>IF(OR($C38="",$B$2="",$D$2=0),0,IF(AG$3&lt;0,0,N(INDEX('CURVA PREVISION'!$A$1:$KZ$3000,$C38,10+3*MIN(AG$3,$D$2-1)))))</f>
        <v/>
      </c>
      <c r="AH38" s="122">
        <f>IF(OR($C38="",$B$2="",$D$2=0),0,IF(AH$3&lt;0,0,N(INDEX('CURVA PREVISION'!$A$1:$KZ$3000,$C38,10+3*MIN(AH$3,$D$2-1)))))</f>
        <v/>
      </c>
      <c r="AI38" s="122">
        <f>IF(OR($C38="",$B$2="",$D$2=0),0,IF(AI$3&lt;0,0,N(INDEX('CURVA PREVISION'!$A$1:$KZ$3000,$C38,10+3*MIN(AI$3,$D$2-1)))))</f>
        <v/>
      </c>
      <c r="AJ38" s="122">
        <f>IF(OR($C38="",$B$2="",$D$2=0),0,IF(AJ$3&lt;0,0,N(INDEX('CURVA PREVISION'!$A$1:$KZ$3000,$C38,10+3*MIN(AJ$3,$D$2-1)))))</f>
        <v/>
      </c>
      <c r="AK38" s="122">
        <f>IF(OR($C38="",$B$2="",$D$2=0),0,IF(AK$3&lt;0,0,N(INDEX('CURVA PREVISION'!$A$1:$KZ$3000,$C38,10+3*MIN(AK$3,$D$2-1)))))</f>
        <v/>
      </c>
      <c r="AL38" s="122">
        <f>IF(OR($C38="",$B$2="",$D$2=0),0,IF(AL$3&lt;0,0,N(INDEX('CURVA PREVISION'!$A$1:$KZ$3000,$C38,10+3*MIN(AL$3,$D$2-1)))))</f>
        <v/>
      </c>
      <c r="AM38" s="122">
        <f>IF(OR($C38="",$B$2="",$D$2=0),0,IF(AM$3&lt;0,0,N(INDEX('CURVA PREVISION'!$A$1:$KZ$3000,$C38,10+3*MIN(AM$3,$D$2-1)))))</f>
        <v/>
      </c>
      <c r="AN38" s="122">
        <f>IF(OR($C38="",$B$2="",$D$2=0),0,IF(AN$3&lt;0,0,N(INDEX('CURVA PREVISION'!$A$1:$KZ$3000,$C38,10+3*MIN(AN$3,$D$2-1)))))</f>
        <v/>
      </c>
      <c r="AO38" s="122">
        <f>IF(OR($C38="",$B$2="",$D$2=0),0,IF(AO$3&lt;0,0,N(INDEX('CURVA PREVISION'!$A$1:$KZ$3000,$C38,10+3*MIN(AO$3,$D$2-1)))))</f>
        <v/>
      </c>
      <c r="AP38" s="122">
        <f>IF(OR($C38="",$B$2="",$D$2=0),0,IF(AP$3&lt;0,0,N(INDEX('CURVA PREVISION'!$A$1:$KZ$3000,$C38,10+3*MIN(AP$3,$D$2-1)))))</f>
        <v/>
      </c>
      <c r="AQ38" s="122">
        <f>IF(OR($C38="",$B$2="",$D$2=0),0,IF(AQ$3&lt;0,0,N(INDEX('CURVA PREVISION'!$A$1:$KZ$3000,$C38,10+3*MIN(AQ$3,$D$2-1)))))</f>
        <v/>
      </c>
      <c r="AR38" s="122">
        <f>IF(OR($C38="",$B$2="",$D$2=0),0,IF(AR$3&lt;0,0,N(INDEX('CURVA PREVISION'!$A$1:$KZ$3000,$C38,10+3*MIN(AR$3,$D$2-1)))))</f>
        <v/>
      </c>
      <c r="AS38" s="122">
        <f>IF(OR($C38="",$B$2="",$D$2=0),0,IF(AS$3&lt;0,0,N(INDEX('CURVA PREVISION'!$A$1:$KZ$3000,$C38,10+3*MIN(AS$3,$D$2-1)))))</f>
        <v/>
      </c>
      <c r="AT38" s="122">
        <f>IF(OR($C38="",$B$2="",$D$2=0),0,IF(AT$3&lt;0,0,N(INDEX('CURVA PREVISION'!$A$1:$KZ$3000,$C38,10+3*MIN(AT$3,$D$2-1)))))</f>
        <v/>
      </c>
      <c r="AU38" s="122">
        <f>IF(OR($C38="",$B$2="",$D$2=0),0,IF(AU$3&lt;0,0,N(INDEX('CURVA PREVISION'!$A$1:$KZ$3000,$C38,10+3*MIN(AU$3,$D$2-1)))))</f>
        <v/>
      </c>
      <c r="AV38" s="122">
        <f>IF(OR($C38="",$B$2="",$D$2=0),0,IF(AV$3&lt;0,0,N(INDEX('CURVA PREVISION'!$A$1:$KZ$3000,$C38,10+3*MIN(AV$3,$D$2-1)))))</f>
        <v/>
      </c>
      <c r="AW38" s="122">
        <f>IF(OR($C38="",$B$2="",$D$2=0),0,IF(AW$3&lt;0,0,N(INDEX('CURVA PREVISION'!$A$1:$KZ$3000,$C38,10+3*MIN(AW$3,$D$2-1)))))</f>
        <v/>
      </c>
      <c r="AX38" s="122">
        <f>IF(OR($C38="",$B$2="",$D$2=0),0,IF(AX$3&lt;0,0,N(INDEX('CURVA PREVISION'!$A$1:$KZ$3000,$C38,10+3*MIN(AX$3,$D$2-1)))))</f>
        <v/>
      </c>
      <c r="AY38" s="122">
        <f>IF(OR($C38="",$B$2="",$D$2=0),0,IF(AY$3&lt;0,0,N(INDEX('CURVA PREVISION'!$A$1:$KZ$3000,$C38,10+3*MIN(AY$3,$D$2-1)))))</f>
        <v/>
      </c>
      <c r="AZ38" s="122">
        <f>IF(OR($C38="",$B$2="",$D$2=0),0,IF(AZ$3&lt;0,0,N(INDEX('CURVA PREVISION'!$A$1:$KZ$3000,$C38,10+3*MIN(AZ$3,$D$2-1)))))</f>
        <v/>
      </c>
      <c r="BA38" s="122">
        <f>IF(OR($C38="",$B$2="",$D$2=0),0,IF(BA$3&lt;0,0,N(INDEX('CURVA PREVISION'!$A$1:$KZ$3000,$C38,10+3*MIN(BA$3,$D$2-1)))))</f>
        <v/>
      </c>
      <c r="BB38" s="122">
        <f>IF(OR($C38="",$B$2="",$D$2=0),0,IF(BB$3&lt;0,0,N(INDEX('CURVA PREVISION'!$A$1:$KZ$3000,$C38,10+3*MIN(BB$3,$D$2-1)))))</f>
        <v/>
      </c>
      <c r="BC38" s="122">
        <f>IF(OR($C38="",$B$2="",$D$2=0),0,IF(BC$3&lt;0,0,N(INDEX('CURVA PREVISION'!$A$1:$KZ$3000,$C38,10+3*MIN(BC$3,$D$2-1)))))</f>
        <v/>
      </c>
      <c r="BD38" s="122">
        <f>IF(OR($C38="",$B$2="",$D$2=0),0,IF(BD$3&lt;0,0,N(INDEX('CURVA PREVISION'!$A$1:$KZ$3000,$C38,10+3*MIN(BD$3,$D$2-1)))))</f>
        <v/>
      </c>
      <c r="BE38" s="122">
        <f>IF(OR($C38="",$B$2="",$D$2=0),0,IF(BE$3&lt;0,0,N(INDEX('CURVA PREVISION'!$A$1:$KZ$3000,$C38,10+3*MIN(BE$3,$D$2-1)))))</f>
        <v/>
      </c>
      <c r="BF38" s="122">
        <f>IF(OR($C38="",$B$2="",$D$2=0),0,IF(BF$3&lt;0,0,N(INDEX('CURVA PREVISION'!$A$1:$KZ$3000,$C38,10+3*MIN(BF$3,$D$2-1)))))</f>
        <v/>
      </c>
      <c r="BG38" s="122">
        <f>IF(OR($C38="",$B$2="",$D$2=0),0,IF(BG$3&lt;0,0,N(INDEX('CURVA PREVISION'!$A$1:$KZ$3000,$C38,10+3*MIN(BG$3,$D$2-1)))))</f>
        <v/>
      </c>
      <c r="BH38" s="122">
        <f>IF(OR($C38="",$B$2="",$D$2=0),0,IF(BH$3&lt;0,0,N(INDEX('CURVA PREVISION'!$A$1:$KZ$3000,$C38,10+3*MIN(BH$3,$D$2-1)))))</f>
        <v/>
      </c>
      <c r="BI38" s="122">
        <f>IF(OR($C38="",$B$2="",$D$2=0),0,IF(BI$3&lt;0,0,N(INDEX('CURVA PREVISION'!$A$1:$KZ$3000,$C38,10+3*MIN(BI$3,$D$2-1)))))</f>
        <v/>
      </c>
      <c r="BJ38" s="122">
        <f>IF(OR($C38="",$B$2="",$D$2=0),0,IF(BJ$3&lt;0,0,N(INDEX('CURVA PREVISION'!$A$1:$KZ$3000,$C38,10+3*MIN(BJ$3,$D$2-1)))))</f>
        <v/>
      </c>
      <c r="BK38" s="122">
        <f>IF(OR($C38="",$B$2="",$D$2=0),0,IF(BK$3&lt;0,0,N(INDEX('CURVA PREVISION'!$A$1:$KZ$3000,$C38,10+3*MIN(BK$3,$D$2-1)))))</f>
        <v/>
      </c>
      <c r="BL38" s="122">
        <f>IF(OR($C38="",$B$2="",$D$2=0),0,IF(BL$3&lt;0,0,N(INDEX('CURVA PREVISION'!$A$1:$KZ$3000,$C38,10+3*MIN(BL$3,$D$2-1)))))</f>
        <v/>
      </c>
      <c r="BM38" s="122">
        <f>IF(OR($C38="",$B$2="",$D$2=0),0,IF(BM$3&lt;0,0,N(INDEX('CURVA PREVISION'!$A$1:$KZ$3000,$C38,10+3*MIN(BM$3,$D$2-1)))))</f>
        <v/>
      </c>
      <c r="BN38" s="122">
        <f>IF(OR($C38="",$B$2="",$D$2=0),0,IF(BN$3&lt;0,0,N(INDEX('CURVA PREVISION'!$A$1:$KZ$3000,$C38,10+3*MIN(BN$3,$D$2-1)))))</f>
        <v/>
      </c>
      <c r="BO38" s="122">
        <f>IF(OR($C38="",$B$2="",$D$2=0),0,IF(BO$3&lt;0,0,N(INDEX('CURVA PREVISION'!$A$1:$KZ$3000,$C38,10+3*MIN(BO$3,$D$2-1)))))</f>
        <v/>
      </c>
      <c r="BP38" s="122">
        <f>IF(OR($C38="",$B$2="",$D$2=0),0,IF(BP$3&lt;0,0,N(INDEX('CURVA PREVISION'!$A$1:$KZ$3000,$C38,10+3*MIN(BP$3,$D$2-1)))))</f>
        <v/>
      </c>
      <c r="BQ38" s="122">
        <f>IF(OR($C38="",$B$2="",$D$2=0),0,IF(BQ$3&lt;0,0,N(INDEX('CURVA PREVISION'!$A$1:$KZ$3000,$C38,10+3*MIN(BQ$3,$D$2-1)))))</f>
        <v/>
      </c>
      <c r="BR38" s="122">
        <f>IF(OR($C38="",$B$2="",$D$2=0),0,IF(BR$3&lt;0,0,N(INDEX('CURVA PREVISION'!$A$1:$KZ$3000,$C38,10+3*MIN(BR$3,$D$2-1)))))</f>
        <v/>
      </c>
      <c r="BS38" s="122">
        <f>IF(OR($C38="",$B$2="",$D$2=0),0,IF(BS$3&lt;0,0,N(INDEX('CURVA PREVISION'!$A$1:$KZ$3000,$C38,10+3*MIN(BS$3,$D$2-1)))))</f>
        <v/>
      </c>
      <c r="BT38" s="122">
        <f>IF(OR($C38="",$B$2="",$D$2=0),0,IF(BT$3&lt;0,0,N(INDEX('CURVA PREVISION'!$A$1:$KZ$3000,$C38,10+3*MIN(BT$3,$D$2-1)))))</f>
        <v/>
      </c>
      <c r="BU38" s="122">
        <f>IF(OR($C38="",$B$2="",$D$2=0),0,IF(BU$3&lt;0,0,N(INDEX('CURVA PREVISION'!$A$1:$KZ$3000,$C38,10+3*MIN(BU$3,$D$2-1)))))</f>
        <v/>
      </c>
      <c r="BV38" s="122">
        <f>IF(OR($C38="",$B$2="",$D$2=0),0,IF(BV$3&lt;0,0,N(INDEX('CURVA PREVISION'!$A$1:$KZ$3000,$C38,10+3*MIN(BV$3,$D$2-1)))))</f>
        <v/>
      </c>
      <c r="BW38" s="122">
        <f>IF(OR($C38="",$B$2="",$D$2=0),0,IF(BW$3&lt;0,0,N(INDEX('CURVA PREVISION'!$A$1:$KZ$3000,$C38,10+3*MIN(BW$3,$D$2-1)))))</f>
        <v/>
      </c>
    </row>
    <row r="39">
      <c r="A39" s="60">
        <f>IF('VALOR POR PL'!Q45="",'VALOR POR PL'!C45,'VALOR POR PL'!Q45)</f>
        <v/>
      </c>
      <c r="B39" s="60">
        <f>'VALOR POR PL'!D45</f>
        <v/>
      </c>
      <c r="C39" s="69">
        <f>IFERROR(MATCH(A39,'CURVA PREVISION'!$B$1:$B$3000,0),"")</f>
        <v/>
      </c>
      <c r="D39" s="122">
        <f>IF(OR($C39="",$B$2="",$D$2=0),0,IF(D$3&lt;0,0,N(INDEX('CURVA PREVISION'!$A$1:$KZ$3000,$C39,10+3*MIN(D$3,$D$2-1)))))</f>
        <v/>
      </c>
      <c r="E39" s="122">
        <f>IF(OR($C39="",$B$2="",$D$2=0),0,IF(E$3&lt;0,0,N(INDEX('CURVA PREVISION'!$A$1:$KZ$3000,$C39,10+3*MIN(E$3,$D$2-1)))))</f>
        <v/>
      </c>
      <c r="F39" s="122">
        <f>IF(OR($C39="",$B$2="",$D$2=0),0,IF(F$3&lt;0,0,N(INDEX('CURVA PREVISION'!$A$1:$KZ$3000,$C39,10+3*MIN(F$3,$D$2-1)))))</f>
        <v/>
      </c>
      <c r="G39" s="122">
        <f>IF(OR($C39="",$B$2="",$D$2=0),0,IF(G$3&lt;0,0,N(INDEX('CURVA PREVISION'!$A$1:$KZ$3000,$C39,10+3*MIN(G$3,$D$2-1)))))</f>
        <v/>
      </c>
      <c r="H39" s="122">
        <f>IF(OR($C39="",$B$2="",$D$2=0),0,IF(H$3&lt;0,0,N(INDEX('CURVA PREVISION'!$A$1:$KZ$3000,$C39,10+3*MIN(H$3,$D$2-1)))))</f>
        <v/>
      </c>
      <c r="I39" s="122">
        <f>IF(OR($C39="",$B$2="",$D$2=0),0,IF(I$3&lt;0,0,N(INDEX('CURVA PREVISION'!$A$1:$KZ$3000,$C39,10+3*MIN(I$3,$D$2-1)))))</f>
        <v/>
      </c>
      <c r="J39" s="122">
        <f>IF(OR($C39="",$B$2="",$D$2=0),0,IF(J$3&lt;0,0,N(INDEX('CURVA PREVISION'!$A$1:$KZ$3000,$C39,10+3*MIN(J$3,$D$2-1)))))</f>
        <v/>
      </c>
      <c r="K39" s="122">
        <f>IF(OR($C39="",$B$2="",$D$2=0),0,IF(K$3&lt;0,0,N(INDEX('CURVA PREVISION'!$A$1:$KZ$3000,$C39,10+3*MIN(K$3,$D$2-1)))))</f>
        <v/>
      </c>
      <c r="L39" s="122">
        <f>IF(OR($C39="",$B$2="",$D$2=0),0,IF(L$3&lt;0,0,N(INDEX('CURVA PREVISION'!$A$1:$KZ$3000,$C39,10+3*MIN(L$3,$D$2-1)))))</f>
        <v/>
      </c>
      <c r="M39" s="122">
        <f>IF(OR($C39="",$B$2="",$D$2=0),0,IF(M$3&lt;0,0,N(INDEX('CURVA PREVISION'!$A$1:$KZ$3000,$C39,10+3*MIN(M$3,$D$2-1)))))</f>
        <v/>
      </c>
      <c r="N39" s="122">
        <f>IF(OR($C39="",$B$2="",$D$2=0),0,IF(N$3&lt;0,0,N(INDEX('CURVA PREVISION'!$A$1:$KZ$3000,$C39,10+3*MIN(N$3,$D$2-1)))))</f>
        <v/>
      </c>
      <c r="O39" s="122">
        <f>IF(OR($C39="",$B$2="",$D$2=0),0,IF(O$3&lt;0,0,N(INDEX('CURVA PREVISION'!$A$1:$KZ$3000,$C39,10+3*MIN(O$3,$D$2-1)))))</f>
        <v/>
      </c>
      <c r="P39" s="122">
        <f>IF(OR($C39="",$B$2="",$D$2=0),0,IF(P$3&lt;0,0,N(INDEX('CURVA PREVISION'!$A$1:$KZ$3000,$C39,10+3*MIN(P$3,$D$2-1)))))</f>
        <v/>
      </c>
      <c r="Q39" s="122">
        <f>IF(OR($C39="",$B$2="",$D$2=0),0,IF(Q$3&lt;0,0,N(INDEX('CURVA PREVISION'!$A$1:$KZ$3000,$C39,10+3*MIN(Q$3,$D$2-1)))))</f>
        <v/>
      </c>
      <c r="R39" s="122">
        <f>IF(OR($C39="",$B$2="",$D$2=0),0,IF(R$3&lt;0,0,N(INDEX('CURVA PREVISION'!$A$1:$KZ$3000,$C39,10+3*MIN(R$3,$D$2-1)))))</f>
        <v/>
      </c>
      <c r="S39" s="122">
        <f>IF(OR($C39="",$B$2="",$D$2=0),0,IF(S$3&lt;0,0,N(INDEX('CURVA PREVISION'!$A$1:$KZ$3000,$C39,10+3*MIN(S$3,$D$2-1)))))</f>
        <v/>
      </c>
      <c r="T39" s="122">
        <f>IF(OR($C39="",$B$2="",$D$2=0),0,IF(T$3&lt;0,0,N(INDEX('CURVA PREVISION'!$A$1:$KZ$3000,$C39,10+3*MIN(T$3,$D$2-1)))))</f>
        <v/>
      </c>
      <c r="U39" s="122">
        <f>IF(OR($C39="",$B$2="",$D$2=0),0,IF(U$3&lt;0,0,N(INDEX('CURVA PREVISION'!$A$1:$KZ$3000,$C39,10+3*MIN(U$3,$D$2-1)))))</f>
        <v/>
      </c>
      <c r="V39" s="122">
        <f>IF(OR($C39="",$B$2="",$D$2=0),0,IF(V$3&lt;0,0,N(INDEX('CURVA PREVISION'!$A$1:$KZ$3000,$C39,10+3*MIN(V$3,$D$2-1)))))</f>
        <v/>
      </c>
      <c r="W39" s="122">
        <f>IF(OR($C39="",$B$2="",$D$2=0),0,IF(W$3&lt;0,0,N(INDEX('CURVA PREVISION'!$A$1:$KZ$3000,$C39,10+3*MIN(W$3,$D$2-1)))))</f>
        <v/>
      </c>
      <c r="X39" s="122">
        <f>IF(OR($C39="",$B$2="",$D$2=0),0,IF(X$3&lt;0,0,N(INDEX('CURVA PREVISION'!$A$1:$KZ$3000,$C39,10+3*MIN(X$3,$D$2-1)))))</f>
        <v/>
      </c>
      <c r="Y39" s="122">
        <f>IF(OR($C39="",$B$2="",$D$2=0),0,IF(Y$3&lt;0,0,N(INDEX('CURVA PREVISION'!$A$1:$KZ$3000,$C39,10+3*MIN(Y$3,$D$2-1)))))</f>
        <v/>
      </c>
      <c r="Z39" s="122">
        <f>IF(OR($C39="",$B$2="",$D$2=0),0,IF(Z$3&lt;0,0,N(INDEX('CURVA PREVISION'!$A$1:$KZ$3000,$C39,10+3*MIN(Z$3,$D$2-1)))))</f>
        <v/>
      </c>
      <c r="AA39" s="122">
        <f>IF(OR($C39="",$B$2="",$D$2=0),0,IF(AA$3&lt;0,0,N(INDEX('CURVA PREVISION'!$A$1:$KZ$3000,$C39,10+3*MIN(AA$3,$D$2-1)))))</f>
        <v/>
      </c>
      <c r="AB39" s="122">
        <f>IF(OR($C39="",$B$2="",$D$2=0),0,IF(AB$3&lt;0,0,N(INDEX('CURVA PREVISION'!$A$1:$KZ$3000,$C39,10+3*MIN(AB$3,$D$2-1)))))</f>
        <v/>
      </c>
      <c r="AC39" s="122">
        <f>IF(OR($C39="",$B$2="",$D$2=0),0,IF(AC$3&lt;0,0,N(INDEX('CURVA PREVISION'!$A$1:$KZ$3000,$C39,10+3*MIN(AC$3,$D$2-1)))))</f>
        <v/>
      </c>
      <c r="AD39" s="122">
        <f>IF(OR($C39="",$B$2="",$D$2=0),0,IF(AD$3&lt;0,0,N(INDEX('CURVA PREVISION'!$A$1:$KZ$3000,$C39,10+3*MIN(AD$3,$D$2-1)))))</f>
        <v/>
      </c>
      <c r="AE39" s="122">
        <f>IF(OR($C39="",$B$2="",$D$2=0),0,IF(AE$3&lt;0,0,N(INDEX('CURVA PREVISION'!$A$1:$KZ$3000,$C39,10+3*MIN(AE$3,$D$2-1)))))</f>
        <v/>
      </c>
      <c r="AF39" s="122">
        <f>IF(OR($C39="",$B$2="",$D$2=0),0,IF(AF$3&lt;0,0,N(INDEX('CURVA PREVISION'!$A$1:$KZ$3000,$C39,10+3*MIN(AF$3,$D$2-1)))))</f>
        <v/>
      </c>
      <c r="AG39" s="122">
        <f>IF(OR($C39="",$B$2="",$D$2=0),0,IF(AG$3&lt;0,0,N(INDEX('CURVA PREVISION'!$A$1:$KZ$3000,$C39,10+3*MIN(AG$3,$D$2-1)))))</f>
        <v/>
      </c>
      <c r="AH39" s="122">
        <f>IF(OR($C39="",$B$2="",$D$2=0),0,IF(AH$3&lt;0,0,N(INDEX('CURVA PREVISION'!$A$1:$KZ$3000,$C39,10+3*MIN(AH$3,$D$2-1)))))</f>
        <v/>
      </c>
      <c r="AI39" s="122">
        <f>IF(OR($C39="",$B$2="",$D$2=0),0,IF(AI$3&lt;0,0,N(INDEX('CURVA PREVISION'!$A$1:$KZ$3000,$C39,10+3*MIN(AI$3,$D$2-1)))))</f>
        <v/>
      </c>
      <c r="AJ39" s="122">
        <f>IF(OR($C39="",$B$2="",$D$2=0),0,IF(AJ$3&lt;0,0,N(INDEX('CURVA PREVISION'!$A$1:$KZ$3000,$C39,10+3*MIN(AJ$3,$D$2-1)))))</f>
        <v/>
      </c>
      <c r="AK39" s="122">
        <f>IF(OR($C39="",$B$2="",$D$2=0),0,IF(AK$3&lt;0,0,N(INDEX('CURVA PREVISION'!$A$1:$KZ$3000,$C39,10+3*MIN(AK$3,$D$2-1)))))</f>
        <v/>
      </c>
      <c r="AL39" s="122">
        <f>IF(OR($C39="",$B$2="",$D$2=0),0,IF(AL$3&lt;0,0,N(INDEX('CURVA PREVISION'!$A$1:$KZ$3000,$C39,10+3*MIN(AL$3,$D$2-1)))))</f>
        <v/>
      </c>
      <c r="AM39" s="122">
        <f>IF(OR($C39="",$B$2="",$D$2=0),0,IF(AM$3&lt;0,0,N(INDEX('CURVA PREVISION'!$A$1:$KZ$3000,$C39,10+3*MIN(AM$3,$D$2-1)))))</f>
        <v/>
      </c>
      <c r="AN39" s="122">
        <f>IF(OR($C39="",$B$2="",$D$2=0),0,IF(AN$3&lt;0,0,N(INDEX('CURVA PREVISION'!$A$1:$KZ$3000,$C39,10+3*MIN(AN$3,$D$2-1)))))</f>
        <v/>
      </c>
      <c r="AO39" s="122">
        <f>IF(OR($C39="",$B$2="",$D$2=0),0,IF(AO$3&lt;0,0,N(INDEX('CURVA PREVISION'!$A$1:$KZ$3000,$C39,10+3*MIN(AO$3,$D$2-1)))))</f>
        <v/>
      </c>
      <c r="AP39" s="122">
        <f>IF(OR($C39="",$B$2="",$D$2=0),0,IF(AP$3&lt;0,0,N(INDEX('CURVA PREVISION'!$A$1:$KZ$3000,$C39,10+3*MIN(AP$3,$D$2-1)))))</f>
        <v/>
      </c>
      <c r="AQ39" s="122">
        <f>IF(OR($C39="",$B$2="",$D$2=0),0,IF(AQ$3&lt;0,0,N(INDEX('CURVA PREVISION'!$A$1:$KZ$3000,$C39,10+3*MIN(AQ$3,$D$2-1)))))</f>
        <v/>
      </c>
      <c r="AR39" s="122">
        <f>IF(OR($C39="",$B$2="",$D$2=0),0,IF(AR$3&lt;0,0,N(INDEX('CURVA PREVISION'!$A$1:$KZ$3000,$C39,10+3*MIN(AR$3,$D$2-1)))))</f>
        <v/>
      </c>
      <c r="AS39" s="122">
        <f>IF(OR($C39="",$B$2="",$D$2=0),0,IF(AS$3&lt;0,0,N(INDEX('CURVA PREVISION'!$A$1:$KZ$3000,$C39,10+3*MIN(AS$3,$D$2-1)))))</f>
        <v/>
      </c>
      <c r="AT39" s="122">
        <f>IF(OR($C39="",$B$2="",$D$2=0),0,IF(AT$3&lt;0,0,N(INDEX('CURVA PREVISION'!$A$1:$KZ$3000,$C39,10+3*MIN(AT$3,$D$2-1)))))</f>
        <v/>
      </c>
      <c r="AU39" s="122">
        <f>IF(OR($C39="",$B$2="",$D$2=0),0,IF(AU$3&lt;0,0,N(INDEX('CURVA PREVISION'!$A$1:$KZ$3000,$C39,10+3*MIN(AU$3,$D$2-1)))))</f>
        <v/>
      </c>
      <c r="AV39" s="122">
        <f>IF(OR($C39="",$B$2="",$D$2=0),0,IF(AV$3&lt;0,0,N(INDEX('CURVA PREVISION'!$A$1:$KZ$3000,$C39,10+3*MIN(AV$3,$D$2-1)))))</f>
        <v/>
      </c>
      <c r="AW39" s="122">
        <f>IF(OR($C39="",$B$2="",$D$2=0),0,IF(AW$3&lt;0,0,N(INDEX('CURVA PREVISION'!$A$1:$KZ$3000,$C39,10+3*MIN(AW$3,$D$2-1)))))</f>
        <v/>
      </c>
      <c r="AX39" s="122">
        <f>IF(OR($C39="",$B$2="",$D$2=0),0,IF(AX$3&lt;0,0,N(INDEX('CURVA PREVISION'!$A$1:$KZ$3000,$C39,10+3*MIN(AX$3,$D$2-1)))))</f>
        <v/>
      </c>
      <c r="AY39" s="122">
        <f>IF(OR($C39="",$B$2="",$D$2=0),0,IF(AY$3&lt;0,0,N(INDEX('CURVA PREVISION'!$A$1:$KZ$3000,$C39,10+3*MIN(AY$3,$D$2-1)))))</f>
        <v/>
      </c>
      <c r="AZ39" s="122">
        <f>IF(OR($C39="",$B$2="",$D$2=0),0,IF(AZ$3&lt;0,0,N(INDEX('CURVA PREVISION'!$A$1:$KZ$3000,$C39,10+3*MIN(AZ$3,$D$2-1)))))</f>
        <v/>
      </c>
      <c r="BA39" s="122">
        <f>IF(OR($C39="",$B$2="",$D$2=0),0,IF(BA$3&lt;0,0,N(INDEX('CURVA PREVISION'!$A$1:$KZ$3000,$C39,10+3*MIN(BA$3,$D$2-1)))))</f>
        <v/>
      </c>
      <c r="BB39" s="122">
        <f>IF(OR($C39="",$B$2="",$D$2=0),0,IF(BB$3&lt;0,0,N(INDEX('CURVA PREVISION'!$A$1:$KZ$3000,$C39,10+3*MIN(BB$3,$D$2-1)))))</f>
        <v/>
      </c>
      <c r="BC39" s="122">
        <f>IF(OR($C39="",$B$2="",$D$2=0),0,IF(BC$3&lt;0,0,N(INDEX('CURVA PREVISION'!$A$1:$KZ$3000,$C39,10+3*MIN(BC$3,$D$2-1)))))</f>
        <v/>
      </c>
      <c r="BD39" s="122">
        <f>IF(OR($C39="",$B$2="",$D$2=0),0,IF(BD$3&lt;0,0,N(INDEX('CURVA PREVISION'!$A$1:$KZ$3000,$C39,10+3*MIN(BD$3,$D$2-1)))))</f>
        <v/>
      </c>
      <c r="BE39" s="122">
        <f>IF(OR($C39="",$B$2="",$D$2=0),0,IF(BE$3&lt;0,0,N(INDEX('CURVA PREVISION'!$A$1:$KZ$3000,$C39,10+3*MIN(BE$3,$D$2-1)))))</f>
        <v/>
      </c>
      <c r="BF39" s="122">
        <f>IF(OR($C39="",$B$2="",$D$2=0),0,IF(BF$3&lt;0,0,N(INDEX('CURVA PREVISION'!$A$1:$KZ$3000,$C39,10+3*MIN(BF$3,$D$2-1)))))</f>
        <v/>
      </c>
      <c r="BG39" s="122">
        <f>IF(OR($C39="",$B$2="",$D$2=0),0,IF(BG$3&lt;0,0,N(INDEX('CURVA PREVISION'!$A$1:$KZ$3000,$C39,10+3*MIN(BG$3,$D$2-1)))))</f>
        <v/>
      </c>
      <c r="BH39" s="122">
        <f>IF(OR($C39="",$B$2="",$D$2=0),0,IF(BH$3&lt;0,0,N(INDEX('CURVA PREVISION'!$A$1:$KZ$3000,$C39,10+3*MIN(BH$3,$D$2-1)))))</f>
        <v/>
      </c>
      <c r="BI39" s="122">
        <f>IF(OR($C39="",$B$2="",$D$2=0),0,IF(BI$3&lt;0,0,N(INDEX('CURVA PREVISION'!$A$1:$KZ$3000,$C39,10+3*MIN(BI$3,$D$2-1)))))</f>
        <v/>
      </c>
      <c r="BJ39" s="122">
        <f>IF(OR($C39="",$B$2="",$D$2=0),0,IF(BJ$3&lt;0,0,N(INDEX('CURVA PREVISION'!$A$1:$KZ$3000,$C39,10+3*MIN(BJ$3,$D$2-1)))))</f>
        <v/>
      </c>
      <c r="BK39" s="122">
        <f>IF(OR($C39="",$B$2="",$D$2=0),0,IF(BK$3&lt;0,0,N(INDEX('CURVA PREVISION'!$A$1:$KZ$3000,$C39,10+3*MIN(BK$3,$D$2-1)))))</f>
        <v/>
      </c>
      <c r="BL39" s="122">
        <f>IF(OR($C39="",$B$2="",$D$2=0),0,IF(BL$3&lt;0,0,N(INDEX('CURVA PREVISION'!$A$1:$KZ$3000,$C39,10+3*MIN(BL$3,$D$2-1)))))</f>
        <v/>
      </c>
      <c r="BM39" s="122">
        <f>IF(OR($C39="",$B$2="",$D$2=0),0,IF(BM$3&lt;0,0,N(INDEX('CURVA PREVISION'!$A$1:$KZ$3000,$C39,10+3*MIN(BM$3,$D$2-1)))))</f>
        <v/>
      </c>
      <c r="BN39" s="122">
        <f>IF(OR($C39="",$B$2="",$D$2=0),0,IF(BN$3&lt;0,0,N(INDEX('CURVA PREVISION'!$A$1:$KZ$3000,$C39,10+3*MIN(BN$3,$D$2-1)))))</f>
        <v/>
      </c>
      <c r="BO39" s="122">
        <f>IF(OR($C39="",$B$2="",$D$2=0),0,IF(BO$3&lt;0,0,N(INDEX('CURVA PREVISION'!$A$1:$KZ$3000,$C39,10+3*MIN(BO$3,$D$2-1)))))</f>
        <v/>
      </c>
      <c r="BP39" s="122">
        <f>IF(OR($C39="",$B$2="",$D$2=0),0,IF(BP$3&lt;0,0,N(INDEX('CURVA PREVISION'!$A$1:$KZ$3000,$C39,10+3*MIN(BP$3,$D$2-1)))))</f>
        <v/>
      </c>
      <c r="BQ39" s="122">
        <f>IF(OR($C39="",$B$2="",$D$2=0),0,IF(BQ$3&lt;0,0,N(INDEX('CURVA PREVISION'!$A$1:$KZ$3000,$C39,10+3*MIN(BQ$3,$D$2-1)))))</f>
        <v/>
      </c>
      <c r="BR39" s="122">
        <f>IF(OR($C39="",$B$2="",$D$2=0),0,IF(BR$3&lt;0,0,N(INDEX('CURVA PREVISION'!$A$1:$KZ$3000,$C39,10+3*MIN(BR$3,$D$2-1)))))</f>
        <v/>
      </c>
      <c r="BS39" s="122">
        <f>IF(OR($C39="",$B$2="",$D$2=0),0,IF(BS$3&lt;0,0,N(INDEX('CURVA PREVISION'!$A$1:$KZ$3000,$C39,10+3*MIN(BS$3,$D$2-1)))))</f>
        <v/>
      </c>
      <c r="BT39" s="122">
        <f>IF(OR($C39="",$B$2="",$D$2=0),0,IF(BT$3&lt;0,0,N(INDEX('CURVA PREVISION'!$A$1:$KZ$3000,$C39,10+3*MIN(BT$3,$D$2-1)))))</f>
        <v/>
      </c>
      <c r="BU39" s="122">
        <f>IF(OR($C39="",$B$2="",$D$2=0),0,IF(BU$3&lt;0,0,N(INDEX('CURVA PREVISION'!$A$1:$KZ$3000,$C39,10+3*MIN(BU$3,$D$2-1)))))</f>
        <v/>
      </c>
      <c r="BV39" s="122">
        <f>IF(OR($C39="",$B$2="",$D$2=0),0,IF(BV$3&lt;0,0,N(INDEX('CURVA PREVISION'!$A$1:$KZ$3000,$C39,10+3*MIN(BV$3,$D$2-1)))))</f>
        <v/>
      </c>
      <c r="BW39" s="122">
        <f>IF(OR($C39="",$B$2="",$D$2=0),0,IF(BW$3&lt;0,0,N(INDEX('CURVA PREVISION'!$A$1:$KZ$3000,$C39,10+3*MIN(BW$3,$D$2-1)))))</f>
        <v/>
      </c>
    </row>
    <row r="40">
      <c r="A40" s="60">
        <f>IF('VALOR POR PL'!Q46="",'VALOR POR PL'!C46,'VALOR POR PL'!Q46)</f>
        <v/>
      </c>
      <c r="B40" s="60">
        <f>'VALOR POR PL'!D46</f>
        <v/>
      </c>
      <c r="C40" s="69">
        <f>IFERROR(MATCH(A40,'CURVA PREVISION'!$B$1:$B$3000,0),"")</f>
        <v/>
      </c>
      <c r="D40" s="122">
        <f>IF(OR($C40="",$B$2="",$D$2=0),0,IF(D$3&lt;0,0,N(INDEX('CURVA PREVISION'!$A$1:$KZ$3000,$C40,10+3*MIN(D$3,$D$2-1)))))</f>
        <v/>
      </c>
      <c r="E40" s="122">
        <f>IF(OR($C40="",$B$2="",$D$2=0),0,IF(E$3&lt;0,0,N(INDEX('CURVA PREVISION'!$A$1:$KZ$3000,$C40,10+3*MIN(E$3,$D$2-1)))))</f>
        <v/>
      </c>
      <c r="F40" s="122">
        <f>IF(OR($C40="",$B$2="",$D$2=0),0,IF(F$3&lt;0,0,N(INDEX('CURVA PREVISION'!$A$1:$KZ$3000,$C40,10+3*MIN(F$3,$D$2-1)))))</f>
        <v/>
      </c>
      <c r="G40" s="122">
        <f>IF(OR($C40="",$B$2="",$D$2=0),0,IF(G$3&lt;0,0,N(INDEX('CURVA PREVISION'!$A$1:$KZ$3000,$C40,10+3*MIN(G$3,$D$2-1)))))</f>
        <v/>
      </c>
      <c r="H40" s="122">
        <f>IF(OR($C40="",$B$2="",$D$2=0),0,IF(H$3&lt;0,0,N(INDEX('CURVA PREVISION'!$A$1:$KZ$3000,$C40,10+3*MIN(H$3,$D$2-1)))))</f>
        <v/>
      </c>
      <c r="I40" s="122">
        <f>IF(OR($C40="",$B$2="",$D$2=0),0,IF(I$3&lt;0,0,N(INDEX('CURVA PREVISION'!$A$1:$KZ$3000,$C40,10+3*MIN(I$3,$D$2-1)))))</f>
        <v/>
      </c>
      <c r="J40" s="122">
        <f>IF(OR($C40="",$B$2="",$D$2=0),0,IF(J$3&lt;0,0,N(INDEX('CURVA PREVISION'!$A$1:$KZ$3000,$C40,10+3*MIN(J$3,$D$2-1)))))</f>
        <v/>
      </c>
      <c r="K40" s="122">
        <f>IF(OR($C40="",$B$2="",$D$2=0),0,IF(K$3&lt;0,0,N(INDEX('CURVA PREVISION'!$A$1:$KZ$3000,$C40,10+3*MIN(K$3,$D$2-1)))))</f>
        <v/>
      </c>
      <c r="L40" s="122">
        <f>IF(OR($C40="",$B$2="",$D$2=0),0,IF(L$3&lt;0,0,N(INDEX('CURVA PREVISION'!$A$1:$KZ$3000,$C40,10+3*MIN(L$3,$D$2-1)))))</f>
        <v/>
      </c>
      <c r="M40" s="122">
        <f>IF(OR($C40="",$B$2="",$D$2=0),0,IF(M$3&lt;0,0,N(INDEX('CURVA PREVISION'!$A$1:$KZ$3000,$C40,10+3*MIN(M$3,$D$2-1)))))</f>
        <v/>
      </c>
      <c r="N40" s="122">
        <f>IF(OR($C40="",$B$2="",$D$2=0),0,IF(N$3&lt;0,0,N(INDEX('CURVA PREVISION'!$A$1:$KZ$3000,$C40,10+3*MIN(N$3,$D$2-1)))))</f>
        <v/>
      </c>
      <c r="O40" s="122">
        <f>IF(OR($C40="",$B$2="",$D$2=0),0,IF(O$3&lt;0,0,N(INDEX('CURVA PREVISION'!$A$1:$KZ$3000,$C40,10+3*MIN(O$3,$D$2-1)))))</f>
        <v/>
      </c>
      <c r="P40" s="122">
        <f>IF(OR($C40="",$B$2="",$D$2=0),0,IF(P$3&lt;0,0,N(INDEX('CURVA PREVISION'!$A$1:$KZ$3000,$C40,10+3*MIN(P$3,$D$2-1)))))</f>
        <v/>
      </c>
      <c r="Q40" s="122">
        <f>IF(OR($C40="",$B$2="",$D$2=0),0,IF(Q$3&lt;0,0,N(INDEX('CURVA PREVISION'!$A$1:$KZ$3000,$C40,10+3*MIN(Q$3,$D$2-1)))))</f>
        <v/>
      </c>
      <c r="R40" s="122">
        <f>IF(OR($C40="",$B$2="",$D$2=0),0,IF(R$3&lt;0,0,N(INDEX('CURVA PREVISION'!$A$1:$KZ$3000,$C40,10+3*MIN(R$3,$D$2-1)))))</f>
        <v/>
      </c>
      <c r="S40" s="122">
        <f>IF(OR($C40="",$B$2="",$D$2=0),0,IF(S$3&lt;0,0,N(INDEX('CURVA PREVISION'!$A$1:$KZ$3000,$C40,10+3*MIN(S$3,$D$2-1)))))</f>
        <v/>
      </c>
      <c r="T40" s="122">
        <f>IF(OR($C40="",$B$2="",$D$2=0),0,IF(T$3&lt;0,0,N(INDEX('CURVA PREVISION'!$A$1:$KZ$3000,$C40,10+3*MIN(T$3,$D$2-1)))))</f>
        <v/>
      </c>
      <c r="U40" s="122">
        <f>IF(OR($C40="",$B$2="",$D$2=0),0,IF(U$3&lt;0,0,N(INDEX('CURVA PREVISION'!$A$1:$KZ$3000,$C40,10+3*MIN(U$3,$D$2-1)))))</f>
        <v/>
      </c>
      <c r="V40" s="122">
        <f>IF(OR($C40="",$B$2="",$D$2=0),0,IF(V$3&lt;0,0,N(INDEX('CURVA PREVISION'!$A$1:$KZ$3000,$C40,10+3*MIN(V$3,$D$2-1)))))</f>
        <v/>
      </c>
      <c r="W40" s="122">
        <f>IF(OR($C40="",$B$2="",$D$2=0),0,IF(W$3&lt;0,0,N(INDEX('CURVA PREVISION'!$A$1:$KZ$3000,$C40,10+3*MIN(W$3,$D$2-1)))))</f>
        <v/>
      </c>
      <c r="X40" s="122">
        <f>IF(OR($C40="",$B$2="",$D$2=0),0,IF(X$3&lt;0,0,N(INDEX('CURVA PREVISION'!$A$1:$KZ$3000,$C40,10+3*MIN(X$3,$D$2-1)))))</f>
        <v/>
      </c>
      <c r="Y40" s="122">
        <f>IF(OR($C40="",$B$2="",$D$2=0),0,IF(Y$3&lt;0,0,N(INDEX('CURVA PREVISION'!$A$1:$KZ$3000,$C40,10+3*MIN(Y$3,$D$2-1)))))</f>
        <v/>
      </c>
      <c r="Z40" s="122">
        <f>IF(OR($C40="",$B$2="",$D$2=0),0,IF(Z$3&lt;0,0,N(INDEX('CURVA PREVISION'!$A$1:$KZ$3000,$C40,10+3*MIN(Z$3,$D$2-1)))))</f>
        <v/>
      </c>
      <c r="AA40" s="122">
        <f>IF(OR($C40="",$B$2="",$D$2=0),0,IF(AA$3&lt;0,0,N(INDEX('CURVA PREVISION'!$A$1:$KZ$3000,$C40,10+3*MIN(AA$3,$D$2-1)))))</f>
        <v/>
      </c>
      <c r="AB40" s="122">
        <f>IF(OR($C40="",$B$2="",$D$2=0),0,IF(AB$3&lt;0,0,N(INDEX('CURVA PREVISION'!$A$1:$KZ$3000,$C40,10+3*MIN(AB$3,$D$2-1)))))</f>
        <v/>
      </c>
      <c r="AC40" s="122">
        <f>IF(OR($C40="",$B$2="",$D$2=0),0,IF(AC$3&lt;0,0,N(INDEX('CURVA PREVISION'!$A$1:$KZ$3000,$C40,10+3*MIN(AC$3,$D$2-1)))))</f>
        <v/>
      </c>
      <c r="AD40" s="122">
        <f>IF(OR($C40="",$B$2="",$D$2=0),0,IF(AD$3&lt;0,0,N(INDEX('CURVA PREVISION'!$A$1:$KZ$3000,$C40,10+3*MIN(AD$3,$D$2-1)))))</f>
        <v/>
      </c>
      <c r="AE40" s="122">
        <f>IF(OR($C40="",$B$2="",$D$2=0),0,IF(AE$3&lt;0,0,N(INDEX('CURVA PREVISION'!$A$1:$KZ$3000,$C40,10+3*MIN(AE$3,$D$2-1)))))</f>
        <v/>
      </c>
      <c r="AF40" s="122">
        <f>IF(OR($C40="",$B$2="",$D$2=0),0,IF(AF$3&lt;0,0,N(INDEX('CURVA PREVISION'!$A$1:$KZ$3000,$C40,10+3*MIN(AF$3,$D$2-1)))))</f>
        <v/>
      </c>
      <c r="AG40" s="122">
        <f>IF(OR($C40="",$B$2="",$D$2=0),0,IF(AG$3&lt;0,0,N(INDEX('CURVA PREVISION'!$A$1:$KZ$3000,$C40,10+3*MIN(AG$3,$D$2-1)))))</f>
        <v/>
      </c>
      <c r="AH40" s="122">
        <f>IF(OR($C40="",$B$2="",$D$2=0),0,IF(AH$3&lt;0,0,N(INDEX('CURVA PREVISION'!$A$1:$KZ$3000,$C40,10+3*MIN(AH$3,$D$2-1)))))</f>
        <v/>
      </c>
      <c r="AI40" s="122">
        <f>IF(OR($C40="",$B$2="",$D$2=0),0,IF(AI$3&lt;0,0,N(INDEX('CURVA PREVISION'!$A$1:$KZ$3000,$C40,10+3*MIN(AI$3,$D$2-1)))))</f>
        <v/>
      </c>
      <c r="AJ40" s="122">
        <f>IF(OR($C40="",$B$2="",$D$2=0),0,IF(AJ$3&lt;0,0,N(INDEX('CURVA PREVISION'!$A$1:$KZ$3000,$C40,10+3*MIN(AJ$3,$D$2-1)))))</f>
        <v/>
      </c>
      <c r="AK40" s="122">
        <f>IF(OR($C40="",$B$2="",$D$2=0),0,IF(AK$3&lt;0,0,N(INDEX('CURVA PREVISION'!$A$1:$KZ$3000,$C40,10+3*MIN(AK$3,$D$2-1)))))</f>
        <v/>
      </c>
      <c r="AL40" s="122">
        <f>IF(OR($C40="",$B$2="",$D$2=0),0,IF(AL$3&lt;0,0,N(INDEX('CURVA PREVISION'!$A$1:$KZ$3000,$C40,10+3*MIN(AL$3,$D$2-1)))))</f>
        <v/>
      </c>
      <c r="AM40" s="122">
        <f>IF(OR($C40="",$B$2="",$D$2=0),0,IF(AM$3&lt;0,0,N(INDEX('CURVA PREVISION'!$A$1:$KZ$3000,$C40,10+3*MIN(AM$3,$D$2-1)))))</f>
        <v/>
      </c>
      <c r="AN40" s="122">
        <f>IF(OR($C40="",$B$2="",$D$2=0),0,IF(AN$3&lt;0,0,N(INDEX('CURVA PREVISION'!$A$1:$KZ$3000,$C40,10+3*MIN(AN$3,$D$2-1)))))</f>
        <v/>
      </c>
      <c r="AO40" s="122">
        <f>IF(OR($C40="",$B$2="",$D$2=0),0,IF(AO$3&lt;0,0,N(INDEX('CURVA PREVISION'!$A$1:$KZ$3000,$C40,10+3*MIN(AO$3,$D$2-1)))))</f>
        <v/>
      </c>
      <c r="AP40" s="122">
        <f>IF(OR($C40="",$B$2="",$D$2=0),0,IF(AP$3&lt;0,0,N(INDEX('CURVA PREVISION'!$A$1:$KZ$3000,$C40,10+3*MIN(AP$3,$D$2-1)))))</f>
        <v/>
      </c>
      <c r="AQ40" s="122">
        <f>IF(OR($C40="",$B$2="",$D$2=0),0,IF(AQ$3&lt;0,0,N(INDEX('CURVA PREVISION'!$A$1:$KZ$3000,$C40,10+3*MIN(AQ$3,$D$2-1)))))</f>
        <v/>
      </c>
      <c r="AR40" s="122">
        <f>IF(OR($C40="",$B$2="",$D$2=0),0,IF(AR$3&lt;0,0,N(INDEX('CURVA PREVISION'!$A$1:$KZ$3000,$C40,10+3*MIN(AR$3,$D$2-1)))))</f>
        <v/>
      </c>
      <c r="AS40" s="122">
        <f>IF(OR($C40="",$B$2="",$D$2=0),0,IF(AS$3&lt;0,0,N(INDEX('CURVA PREVISION'!$A$1:$KZ$3000,$C40,10+3*MIN(AS$3,$D$2-1)))))</f>
        <v/>
      </c>
      <c r="AT40" s="122">
        <f>IF(OR($C40="",$B$2="",$D$2=0),0,IF(AT$3&lt;0,0,N(INDEX('CURVA PREVISION'!$A$1:$KZ$3000,$C40,10+3*MIN(AT$3,$D$2-1)))))</f>
        <v/>
      </c>
      <c r="AU40" s="122">
        <f>IF(OR($C40="",$B$2="",$D$2=0),0,IF(AU$3&lt;0,0,N(INDEX('CURVA PREVISION'!$A$1:$KZ$3000,$C40,10+3*MIN(AU$3,$D$2-1)))))</f>
        <v/>
      </c>
      <c r="AV40" s="122">
        <f>IF(OR($C40="",$B$2="",$D$2=0),0,IF(AV$3&lt;0,0,N(INDEX('CURVA PREVISION'!$A$1:$KZ$3000,$C40,10+3*MIN(AV$3,$D$2-1)))))</f>
        <v/>
      </c>
      <c r="AW40" s="122">
        <f>IF(OR($C40="",$B$2="",$D$2=0),0,IF(AW$3&lt;0,0,N(INDEX('CURVA PREVISION'!$A$1:$KZ$3000,$C40,10+3*MIN(AW$3,$D$2-1)))))</f>
        <v/>
      </c>
      <c r="AX40" s="122">
        <f>IF(OR($C40="",$B$2="",$D$2=0),0,IF(AX$3&lt;0,0,N(INDEX('CURVA PREVISION'!$A$1:$KZ$3000,$C40,10+3*MIN(AX$3,$D$2-1)))))</f>
        <v/>
      </c>
      <c r="AY40" s="122">
        <f>IF(OR($C40="",$B$2="",$D$2=0),0,IF(AY$3&lt;0,0,N(INDEX('CURVA PREVISION'!$A$1:$KZ$3000,$C40,10+3*MIN(AY$3,$D$2-1)))))</f>
        <v/>
      </c>
      <c r="AZ40" s="122">
        <f>IF(OR($C40="",$B$2="",$D$2=0),0,IF(AZ$3&lt;0,0,N(INDEX('CURVA PREVISION'!$A$1:$KZ$3000,$C40,10+3*MIN(AZ$3,$D$2-1)))))</f>
        <v/>
      </c>
      <c r="BA40" s="122">
        <f>IF(OR($C40="",$B$2="",$D$2=0),0,IF(BA$3&lt;0,0,N(INDEX('CURVA PREVISION'!$A$1:$KZ$3000,$C40,10+3*MIN(BA$3,$D$2-1)))))</f>
        <v/>
      </c>
      <c r="BB40" s="122">
        <f>IF(OR($C40="",$B$2="",$D$2=0),0,IF(BB$3&lt;0,0,N(INDEX('CURVA PREVISION'!$A$1:$KZ$3000,$C40,10+3*MIN(BB$3,$D$2-1)))))</f>
        <v/>
      </c>
      <c r="BC40" s="122">
        <f>IF(OR($C40="",$B$2="",$D$2=0),0,IF(BC$3&lt;0,0,N(INDEX('CURVA PREVISION'!$A$1:$KZ$3000,$C40,10+3*MIN(BC$3,$D$2-1)))))</f>
        <v/>
      </c>
      <c r="BD40" s="122">
        <f>IF(OR($C40="",$B$2="",$D$2=0),0,IF(BD$3&lt;0,0,N(INDEX('CURVA PREVISION'!$A$1:$KZ$3000,$C40,10+3*MIN(BD$3,$D$2-1)))))</f>
        <v/>
      </c>
      <c r="BE40" s="122">
        <f>IF(OR($C40="",$B$2="",$D$2=0),0,IF(BE$3&lt;0,0,N(INDEX('CURVA PREVISION'!$A$1:$KZ$3000,$C40,10+3*MIN(BE$3,$D$2-1)))))</f>
        <v/>
      </c>
      <c r="BF40" s="122">
        <f>IF(OR($C40="",$B$2="",$D$2=0),0,IF(BF$3&lt;0,0,N(INDEX('CURVA PREVISION'!$A$1:$KZ$3000,$C40,10+3*MIN(BF$3,$D$2-1)))))</f>
        <v/>
      </c>
      <c r="BG40" s="122">
        <f>IF(OR($C40="",$B$2="",$D$2=0),0,IF(BG$3&lt;0,0,N(INDEX('CURVA PREVISION'!$A$1:$KZ$3000,$C40,10+3*MIN(BG$3,$D$2-1)))))</f>
        <v/>
      </c>
      <c r="BH40" s="122">
        <f>IF(OR($C40="",$B$2="",$D$2=0),0,IF(BH$3&lt;0,0,N(INDEX('CURVA PREVISION'!$A$1:$KZ$3000,$C40,10+3*MIN(BH$3,$D$2-1)))))</f>
        <v/>
      </c>
      <c r="BI40" s="122">
        <f>IF(OR($C40="",$B$2="",$D$2=0),0,IF(BI$3&lt;0,0,N(INDEX('CURVA PREVISION'!$A$1:$KZ$3000,$C40,10+3*MIN(BI$3,$D$2-1)))))</f>
        <v/>
      </c>
      <c r="BJ40" s="122">
        <f>IF(OR($C40="",$B$2="",$D$2=0),0,IF(BJ$3&lt;0,0,N(INDEX('CURVA PREVISION'!$A$1:$KZ$3000,$C40,10+3*MIN(BJ$3,$D$2-1)))))</f>
        <v/>
      </c>
      <c r="BK40" s="122">
        <f>IF(OR($C40="",$B$2="",$D$2=0),0,IF(BK$3&lt;0,0,N(INDEX('CURVA PREVISION'!$A$1:$KZ$3000,$C40,10+3*MIN(BK$3,$D$2-1)))))</f>
        <v/>
      </c>
      <c r="BL40" s="122">
        <f>IF(OR($C40="",$B$2="",$D$2=0),0,IF(BL$3&lt;0,0,N(INDEX('CURVA PREVISION'!$A$1:$KZ$3000,$C40,10+3*MIN(BL$3,$D$2-1)))))</f>
        <v/>
      </c>
      <c r="BM40" s="122">
        <f>IF(OR($C40="",$B$2="",$D$2=0),0,IF(BM$3&lt;0,0,N(INDEX('CURVA PREVISION'!$A$1:$KZ$3000,$C40,10+3*MIN(BM$3,$D$2-1)))))</f>
        <v/>
      </c>
      <c r="BN40" s="122">
        <f>IF(OR($C40="",$B$2="",$D$2=0),0,IF(BN$3&lt;0,0,N(INDEX('CURVA PREVISION'!$A$1:$KZ$3000,$C40,10+3*MIN(BN$3,$D$2-1)))))</f>
        <v/>
      </c>
      <c r="BO40" s="122">
        <f>IF(OR($C40="",$B$2="",$D$2=0),0,IF(BO$3&lt;0,0,N(INDEX('CURVA PREVISION'!$A$1:$KZ$3000,$C40,10+3*MIN(BO$3,$D$2-1)))))</f>
        <v/>
      </c>
      <c r="BP40" s="122">
        <f>IF(OR($C40="",$B$2="",$D$2=0),0,IF(BP$3&lt;0,0,N(INDEX('CURVA PREVISION'!$A$1:$KZ$3000,$C40,10+3*MIN(BP$3,$D$2-1)))))</f>
        <v/>
      </c>
      <c r="BQ40" s="122">
        <f>IF(OR($C40="",$B$2="",$D$2=0),0,IF(BQ$3&lt;0,0,N(INDEX('CURVA PREVISION'!$A$1:$KZ$3000,$C40,10+3*MIN(BQ$3,$D$2-1)))))</f>
        <v/>
      </c>
      <c r="BR40" s="122">
        <f>IF(OR($C40="",$B$2="",$D$2=0),0,IF(BR$3&lt;0,0,N(INDEX('CURVA PREVISION'!$A$1:$KZ$3000,$C40,10+3*MIN(BR$3,$D$2-1)))))</f>
        <v/>
      </c>
      <c r="BS40" s="122">
        <f>IF(OR($C40="",$B$2="",$D$2=0),0,IF(BS$3&lt;0,0,N(INDEX('CURVA PREVISION'!$A$1:$KZ$3000,$C40,10+3*MIN(BS$3,$D$2-1)))))</f>
        <v/>
      </c>
      <c r="BT40" s="122">
        <f>IF(OR($C40="",$B$2="",$D$2=0),0,IF(BT$3&lt;0,0,N(INDEX('CURVA PREVISION'!$A$1:$KZ$3000,$C40,10+3*MIN(BT$3,$D$2-1)))))</f>
        <v/>
      </c>
      <c r="BU40" s="122">
        <f>IF(OR($C40="",$B$2="",$D$2=0),0,IF(BU$3&lt;0,0,N(INDEX('CURVA PREVISION'!$A$1:$KZ$3000,$C40,10+3*MIN(BU$3,$D$2-1)))))</f>
        <v/>
      </c>
      <c r="BV40" s="122">
        <f>IF(OR($C40="",$B$2="",$D$2=0),0,IF(BV$3&lt;0,0,N(INDEX('CURVA PREVISION'!$A$1:$KZ$3000,$C40,10+3*MIN(BV$3,$D$2-1)))))</f>
        <v/>
      </c>
      <c r="BW40" s="122">
        <f>IF(OR($C40="",$B$2="",$D$2=0),0,IF(BW$3&lt;0,0,N(INDEX('CURVA PREVISION'!$A$1:$KZ$3000,$C40,10+3*MIN(BW$3,$D$2-1)))))</f>
        <v/>
      </c>
    </row>
    <row r="41">
      <c r="A41" s="60">
        <f>IF('VALOR POR PL'!Q47="",'VALOR POR PL'!C47,'VALOR POR PL'!Q47)</f>
        <v/>
      </c>
      <c r="B41" s="60">
        <f>'VALOR POR PL'!D47</f>
        <v/>
      </c>
      <c r="C41" s="69">
        <f>IFERROR(MATCH(A41,'CURVA PREVISION'!$B$1:$B$3000,0),"")</f>
        <v/>
      </c>
      <c r="D41" s="122">
        <f>IF(OR($C41="",$B$2="",$D$2=0),0,IF(D$3&lt;0,0,N(INDEX('CURVA PREVISION'!$A$1:$KZ$3000,$C41,10+3*MIN(D$3,$D$2-1)))))</f>
        <v/>
      </c>
      <c r="E41" s="122">
        <f>IF(OR($C41="",$B$2="",$D$2=0),0,IF(E$3&lt;0,0,N(INDEX('CURVA PREVISION'!$A$1:$KZ$3000,$C41,10+3*MIN(E$3,$D$2-1)))))</f>
        <v/>
      </c>
      <c r="F41" s="122">
        <f>IF(OR($C41="",$B$2="",$D$2=0),0,IF(F$3&lt;0,0,N(INDEX('CURVA PREVISION'!$A$1:$KZ$3000,$C41,10+3*MIN(F$3,$D$2-1)))))</f>
        <v/>
      </c>
      <c r="G41" s="122">
        <f>IF(OR($C41="",$B$2="",$D$2=0),0,IF(G$3&lt;0,0,N(INDEX('CURVA PREVISION'!$A$1:$KZ$3000,$C41,10+3*MIN(G$3,$D$2-1)))))</f>
        <v/>
      </c>
      <c r="H41" s="122">
        <f>IF(OR($C41="",$B$2="",$D$2=0),0,IF(H$3&lt;0,0,N(INDEX('CURVA PREVISION'!$A$1:$KZ$3000,$C41,10+3*MIN(H$3,$D$2-1)))))</f>
        <v/>
      </c>
      <c r="I41" s="122">
        <f>IF(OR($C41="",$B$2="",$D$2=0),0,IF(I$3&lt;0,0,N(INDEX('CURVA PREVISION'!$A$1:$KZ$3000,$C41,10+3*MIN(I$3,$D$2-1)))))</f>
        <v/>
      </c>
      <c r="J41" s="122">
        <f>IF(OR($C41="",$B$2="",$D$2=0),0,IF(J$3&lt;0,0,N(INDEX('CURVA PREVISION'!$A$1:$KZ$3000,$C41,10+3*MIN(J$3,$D$2-1)))))</f>
        <v/>
      </c>
      <c r="K41" s="122">
        <f>IF(OR($C41="",$B$2="",$D$2=0),0,IF(K$3&lt;0,0,N(INDEX('CURVA PREVISION'!$A$1:$KZ$3000,$C41,10+3*MIN(K$3,$D$2-1)))))</f>
        <v/>
      </c>
      <c r="L41" s="122">
        <f>IF(OR($C41="",$B$2="",$D$2=0),0,IF(L$3&lt;0,0,N(INDEX('CURVA PREVISION'!$A$1:$KZ$3000,$C41,10+3*MIN(L$3,$D$2-1)))))</f>
        <v/>
      </c>
      <c r="M41" s="122">
        <f>IF(OR($C41="",$B$2="",$D$2=0),0,IF(M$3&lt;0,0,N(INDEX('CURVA PREVISION'!$A$1:$KZ$3000,$C41,10+3*MIN(M$3,$D$2-1)))))</f>
        <v/>
      </c>
      <c r="N41" s="122">
        <f>IF(OR($C41="",$B$2="",$D$2=0),0,IF(N$3&lt;0,0,N(INDEX('CURVA PREVISION'!$A$1:$KZ$3000,$C41,10+3*MIN(N$3,$D$2-1)))))</f>
        <v/>
      </c>
      <c r="O41" s="122">
        <f>IF(OR($C41="",$B$2="",$D$2=0),0,IF(O$3&lt;0,0,N(INDEX('CURVA PREVISION'!$A$1:$KZ$3000,$C41,10+3*MIN(O$3,$D$2-1)))))</f>
        <v/>
      </c>
      <c r="P41" s="122">
        <f>IF(OR($C41="",$B$2="",$D$2=0),0,IF(P$3&lt;0,0,N(INDEX('CURVA PREVISION'!$A$1:$KZ$3000,$C41,10+3*MIN(P$3,$D$2-1)))))</f>
        <v/>
      </c>
      <c r="Q41" s="122">
        <f>IF(OR($C41="",$B$2="",$D$2=0),0,IF(Q$3&lt;0,0,N(INDEX('CURVA PREVISION'!$A$1:$KZ$3000,$C41,10+3*MIN(Q$3,$D$2-1)))))</f>
        <v/>
      </c>
      <c r="R41" s="122">
        <f>IF(OR($C41="",$B$2="",$D$2=0),0,IF(R$3&lt;0,0,N(INDEX('CURVA PREVISION'!$A$1:$KZ$3000,$C41,10+3*MIN(R$3,$D$2-1)))))</f>
        <v/>
      </c>
      <c r="S41" s="122">
        <f>IF(OR($C41="",$B$2="",$D$2=0),0,IF(S$3&lt;0,0,N(INDEX('CURVA PREVISION'!$A$1:$KZ$3000,$C41,10+3*MIN(S$3,$D$2-1)))))</f>
        <v/>
      </c>
      <c r="T41" s="122">
        <f>IF(OR($C41="",$B$2="",$D$2=0),0,IF(T$3&lt;0,0,N(INDEX('CURVA PREVISION'!$A$1:$KZ$3000,$C41,10+3*MIN(T$3,$D$2-1)))))</f>
        <v/>
      </c>
      <c r="U41" s="122">
        <f>IF(OR($C41="",$B$2="",$D$2=0),0,IF(U$3&lt;0,0,N(INDEX('CURVA PREVISION'!$A$1:$KZ$3000,$C41,10+3*MIN(U$3,$D$2-1)))))</f>
        <v/>
      </c>
      <c r="V41" s="122">
        <f>IF(OR($C41="",$B$2="",$D$2=0),0,IF(V$3&lt;0,0,N(INDEX('CURVA PREVISION'!$A$1:$KZ$3000,$C41,10+3*MIN(V$3,$D$2-1)))))</f>
        <v/>
      </c>
      <c r="W41" s="122">
        <f>IF(OR($C41="",$B$2="",$D$2=0),0,IF(W$3&lt;0,0,N(INDEX('CURVA PREVISION'!$A$1:$KZ$3000,$C41,10+3*MIN(W$3,$D$2-1)))))</f>
        <v/>
      </c>
      <c r="X41" s="122">
        <f>IF(OR($C41="",$B$2="",$D$2=0),0,IF(X$3&lt;0,0,N(INDEX('CURVA PREVISION'!$A$1:$KZ$3000,$C41,10+3*MIN(X$3,$D$2-1)))))</f>
        <v/>
      </c>
      <c r="Y41" s="122">
        <f>IF(OR($C41="",$B$2="",$D$2=0),0,IF(Y$3&lt;0,0,N(INDEX('CURVA PREVISION'!$A$1:$KZ$3000,$C41,10+3*MIN(Y$3,$D$2-1)))))</f>
        <v/>
      </c>
      <c r="Z41" s="122">
        <f>IF(OR($C41="",$B$2="",$D$2=0),0,IF(Z$3&lt;0,0,N(INDEX('CURVA PREVISION'!$A$1:$KZ$3000,$C41,10+3*MIN(Z$3,$D$2-1)))))</f>
        <v/>
      </c>
      <c r="AA41" s="122">
        <f>IF(OR($C41="",$B$2="",$D$2=0),0,IF(AA$3&lt;0,0,N(INDEX('CURVA PREVISION'!$A$1:$KZ$3000,$C41,10+3*MIN(AA$3,$D$2-1)))))</f>
        <v/>
      </c>
      <c r="AB41" s="122">
        <f>IF(OR($C41="",$B$2="",$D$2=0),0,IF(AB$3&lt;0,0,N(INDEX('CURVA PREVISION'!$A$1:$KZ$3000,$C41,10+3*MIN(AB$3,$D$2-1)))))</f>
        <v/>
      </c>
      <c r="AC41" s="122">
        <f>IF(OR($C41="",$B$2="",$D$2=0),0,IF(AC$3&lt;0,0,N(INDEX('CURVA PREVISION'!$A$1:$KZ$3000,$C41,10+3*MIN(AC$3,$D$2-1)))))</f>
        <v/>
      </c>
      <c r="AD41" s="122">
        <f>IF(OR($C41="",$B$2="",$D$2=0),0,IF(AD$3&lt;0,0,N(INDEX('CURVA PREVISION'!$A$1:$KZ$3000,$C41,10+3*MIN(AD$3,$D$2-1)))))</f>
        <v/>
      </c>
      <c r="AE41" s="122">
        <f>IF(OR($C41="",$B$2="",$D$2=0),0,IF(AE$3&lt;0,0,N(INDEX('CURVA PREVISION'!$A$1:$KZ$3000,$C41,10+3*MIN(AE$3,$D$2-1)))))</f>
        <v/>
      </c>
      <c r="AF41" s="122">
        <f>IF(OR($C41="",$B$2="",$D$2=0),0,IF(AF$3&lt;0,0,N(INDEX('CURVA PREVISION'!$A$1:$KZ$3000,$C41,10+3*MIN(AF$3,$D$2-1)))))</f>
        <v/>
      </c>
      <c r="AG41" s="122">
        <f>IF(OR($C41="",$B$2="",$D$2=0),0,IF(AG$3&lt;0,0,N(INDEX('CURVA PREVISION'!$A$1:$KZ$3000,$C41,10+3*MIN(AG$3,$D$2-1)))))</f>
        <v/>
      </c>
      <c r="AH41" s="122">
        <f>IF(OR($C41="",$B$2="",$D$2=0),0,IF(AH$3&lt;0,0,N(INDEX('CURVA PREVISION'!$A$1:$KZ$3000,$C41,10+3*MIN(AH$3,$D$2-1)))))</f>
        <v/>
      </c>
      <c r="AI41" s="122">
        <f>IF(OR($C41="",$B$2="",$D$2=0),0,IF(AI$3&lt;0,0,N(INDEX('CURVA PREVISION'!$A$1:$KZ$3000,$C41,10+3*MIN(AI$3,$D$2-1)))))</f>
        <v/>
      </c>
      <c r="AJ41" s="122">
        <f>IF(OR($C41="",$B$2="",$D$2=0),0,IF(AJ$3&lt;0,0,N(INDEX('CURVA PREVISION'!$A$1:$KZ$3000,$C41,10+3*MIN(AJ$3,$D$2-1)))))</f>
        <v/>
      </c>
      <c r="AK41" s="122">
        <f>IF(OR($C41="",$B$2="",$D$2=0),0,IF(AK$3&lt;0,0,N(INDEX('CURVA PREVISION'!$A$1:$KZ$3000,$C41,10+3*MIN(AK$3,$D$2-1)))))</f>
        <v/>
      </c>
      <c r="AL41" s="122">
        <f>IF(OR($C41="",$B$2="",$D$2=0),0,IF(AL$3&lt;0,0,N(INDEX('CURVA PREVISION'!$A$1:$KZ$3000,$C41,10+3*MIN(AL$3,$D$2-1)))))</f>
        <v/>
      </c>
      <c r="AM41" s="122">
        <f>IF(OR($C41="",$B$2="",$D$2=0),0,IF(AM$3&lt;0,0,N(INDEX('CURVA PREVISION'!$A$1:$KZ$3000,$C41,10+3*MIN(AM$3,$D$2-1)))))</f>
        <v/>
      </c>
      <c r="AN41" s="122">
        <f>IF(OR($C41="",$B$2="",$D$2=0),0,IF(AN$3&lt;0,0,N(INDEX('CURVA PREVISION'!$A$1:$KZ$3000,$C41,10+3*MIN(AN$3,$D$2-1)))))</f>
        <v/>
      </c>
      <c r="AO41" s="122">
        <f>IF(OR($C41="",$B$2="",$D$2=0),0,IF(AO$3&lt;0,0,N(INDEX('CURVA PREVISION'!$A$1:$KZ$3000,$C41,10+3*MIN(AO$3,$D$2-1)))))</f>
        <v/>
      </c>
      <c r="AP41" s="122">
        <f>IF(OR($C41="",$B$2="",$D$2=0),0,IF(AP$3&lt;0,0,N(INDEX('CURVA PREVISION'!$A$1:$KZ$3000,$C41,10+3*MIN(AP$3,$D$2-1)))))</f>
        <v/>
      </c>
      <c r="AQ41" s="122">
        <f>IF(OR($C41="",$B$2="",$D$2=0),0,IF(AQ$3&lt;0,0,N(INDEX('CURVA PREVISION'!$A$1:$KZ$3000,$C41,10+3*MIN(AQ$3,$D$2-1)))))</f>
        <v/>
      </c>
      <c r="AR41" s="122">
        <f>IF(OR($C41="",$B$2="",$D$2=0),0,IF(AR$3&lt;0,0,N(INDEX('CURVA PREVISION'!$A$1:$KZ$3000,$C41,10+3*MIN(AR$3,$D$2-1)))))</f>
        <v/>
      </c>
      <c r="AS41" s="122">
        <f>IF(OR($C41="",$B$2="",$D$2=0),0,IF(AS$3&lt;0,0,N(INDEX('CURVA PREVISION'!$A$1:$KZ$3000,$C41,10+3*MIN(AS$3,$D$2-1)))))</f>
        <v/>
      </c>
      <c r="AT41" s="122">
        <f>IF(OR($C41="",$B$2="",$D$2=0),0,IF(AT$3&lt;0,0,N(INDEX('CURVA PREVISION'!$A$1:$KZ$3000,$C41,10+3*MIN(AT$3,$D$2-1)))))</f>
        <v/>
      </c>
      <c r="AU41" s="122">
        <f>IF(OR($C41="",$B$2="",$D$2=0),0,IF(AU$3&lt;0,0,N(INDEX('CURVA PREVISION'!$A$1:$KZ$3000,$C41,10+3*MIN(AU$3,$D$2-1)))))</f>
        <v/>
      </c>
      <c r="AV41" s="122">
        <f>IF(OR($C41="",$B$2="",$D$2=0),0,IF(AV$3&lt;0,0,N(INDEX('CURVA PREVISION'!$A$1:$KZ$3000,$C41,10+3*MIN(AV$3,$D$2-1)))))</f>
        <v/>
      </c>
      <c r="AW41" s="122">
        <f>IF(OR($C41="",$B$2="",$D$2=0),0,IF(AW$3&lt;0,0,N(INDEX('CURVA PREVISION'!$A$1:$KZ$3000,$C41,10+3*MIN(AW$3,$D$2-1)))))</f>
        <v/>
      </c>
      <c r="AX41" s="122">
        <f>IF(OR($C41="",$B$2="",$D$2=0),0,IF(AX$3&lt;0,0,N(INDEX('CURVA PREVISION'!$A$1:$KZ$3000,$C41,10+3*MIN(AX$3,$D$2-1)))))</f>
        <v/>
      </c>
      <c r="AY41" s="122">
        <f>IF(OR($C41="",$B$2="",$D$2=0),0,IF(AY$3&lt;0,0,N(INDEX('CURVA PREVISION'!$A$1:$KZ$3000,$C41,10+3*MIN(AY$3,$D$2-1)))))</f>
        <v/>
      </c>
      <c r="AZ41" s="122">
        <f>IF(OR($C41="",$B$2="",$D$2=0),0,IF(AZ$3&lt;0,0,N(INDEX('CURVA PREVISION'!$A$1:$KZ$3000,$C41,10+3*MIN(AZ$3,$D$2-1)))))</f>
        <v/>
      </c>
      <c r="BA41" s="122">
        <f>IF(OR($C41="",$B$2="",$D$2=0),0,IF(BA$3&lt;0,0,N(INDEX('CURVA PREVISION'!$A$1:$KZ$3000,$C41,10+3*MIN(BA$3,$D$2-1)))))</f>
        <v/>
      </c>
      <c r="BB41" s="122">
        <f>IF(OR($C41="",$B$2="",$D$2=0),0,IF(BB$3&lt;0,0,N(INDEX('CURVA PREVISION'!$A$1:$KZ$3000,$C41,10+3*MIN(BB$3,$D$2-1)))))</f>
        <v/>
      </c>
      <c r="BC41" s="122">
        <f>IF(OR($C41="",$B$2="",$D$2=0),0,IF(BC$3&lt;0,0,N(INDEX('CURVA PREVISION'!$A$1:$KZ$3000,$C41,10+3*MIN(BC$3,$D$2-1)))))</f>
        <v/>
      </c>
      <c r="BD41" s="122">
        <f>IF(OR($C41="",$B$2="",$D$2=0),0,IF(BD$3&lt;0,0,N(INDEX('CURVA PREVISION'!$A$1:$KZ$3000,$C41,10+3*MIN(BD$3,$D$2-1)))))</f>
        <v/>
      </c>
      <c r="BE41" s="122">
        <f>IF(OR($C41="",$B$2="",$D$2=0),0,IF(BE$3&lt;0,0,N(INDEX('CURVA PREVISION'!$A$1:$KZ$3000,$C41,10+3*MIN(BE$3,$D$2-1)))))</f>
        <v/>
      </c>
      <c r="BF41" s="122">
        <f>IF(OR($C41="",$B$2="",$D$2=0),0,IF(BF$3&lt;0,0,N(INDEX('CURVA PREVISION'!$A$1:$KZ$3000,$C41,10+3*MIN(BF$3,$D$2-1)))))</f>
        <v/>
      </c>
      <c r="BG41" s="122">
        <f>IF(OR($C41="",$B$2="",$D$2=0),0,IF(BG$3&lt;0,0,N(INDEX('CURVA PREVISION'!$A$1:$KZ$3000,$C41,10+3*MIN(BG$3,$D$2-1)))))</f>
        <v/>
      </c>
      <c r="BH41" s="122">
        <f>IF(OR($C41="",$B$2="",$D$2=0),0,IF(BH$3&lt;0,0,N(INDEX('CURVA PREVISION'!$A$1:$KZ$3000,$C41,10+3*MIN(BH$3,$D$2-1)))))</f>
        <v/>
      </c>
      <c r="BI41" s="122">
        <f>IF(OR($C41="",$B$2="",$D$2=0),0,IF(BI$3&lt;0,0,N(INDEX('CURVA PREVISION'!$A$1:$KZ$3000,$C41,10+3*MIN(BI$3,$D$2-1)))))</f>
        <v/>
      </c>
      <c r="BJ41" s="122">
        <f>IF(OR($C41="",$B$2="",$D$2=0),0,IF(BJ$3&lt;0,0,N(INDEX('CURVA PREVISION'!$A$1:$KZ$3000,$C41,10+3*MIN(BJ$3,$D$2-1)))))</f>
        <v/>
      </c>
      <c r="BK41" s="122">
        <f>IF(OR($C41="",$B$2="",$D$2=0),0,IF(BK$3&lt;0,0,N(INDEX('CURVA PREVISION'!$A$1:$KZ$3000,$C41,10+3*MIN(BK$3,$D$2-1)))))</f>
        <v/>
      </c>
      <c r="BL41" s="122">
        <f>IF(OR($C41="",$B$2="",$D$2=0),0,IF(BL$3&lt;0,0,N(INDEX('CURVA PREVISION'!$A$1:$KZ$3000,$C41,10+3*MIN(BL$3,$D$2-1)))))</f>
        <v/>
      </c>
      <c r="BM41" s="122">
        <f>IF(OR($C41="",$B$2="",$D$2=0),0,IF(BM$3&lt;0,0,N(INDEX('CURVA PREVISION'!$A$1:$KZ$3000,$C41,10+3*MIN(BM$3,$D$2-1)))))</f>
        <v/>
      </c>
      <c r="BN41" s="122">
        <f>IF(OR($C41="",$B$2="",$D$2=0),0,IF(BN$3&lt;0,0,N(INDEX('CURVA PREVISION'!$A$1:$KZ$3000,$C41,10+3*MIN(BN$3,$D$2-1)))))</f>
        <v/>
      </c>
      <c r="BO41" s="122">
        <f>IF(OR($C41="",$B$2="",$D$2=0),0,IF(BO$3&lt;0,0,N(INDEX('CURVA PREVISION'!$A$1:$KZ$3000,$C41,10+3*MIN(BO$3,$D$2-1)))))</f>
        <v/>
      </c>
      <c r="BP41" s="122">
        <f>IF(OR($C41="",$B$2="",$D$2=0),0,IF(BP$3&lt;0,0,N(INDEX('CURVA PREVISION'!$A$1:$KZ$3000,$C41,10+3*MIN(BP$3,$D$2-1)))))</f>
        <v/>
      </c>
      <c r="BQ41" s="122">
        <f>IF(OR($C41="",$B$2="",$D$2=0),0,IF(BQ$3&lt;0,0,N(INDEX('CURVA PREVISION'!$A$1:$KZ$3000,$C41,10+3*MIN(BQ$3,$D$2-1)))))</f>
        <v/>
      </c>
      <c r="BR41" s="122">
        <f>IF(OR($C41="",$B$2="",$D$2=0),0,IF(BR$3&lt;0,0,N(INDEX('CURVA PREVISION'!$A$1:$KZ$3000,$C41,10+3*MIN(BR$3,$D$2-1)))))</f>
        <v/>
      </c>
      <c r="BS41" s="122">
        <f>IF(OR($C41="",$B$2="",$D$2=0),0,IF(BS$3&lt;0,0,N(INDEX('CURVA PREVISION'!$A$1:$KZ$3000,$C41,10+3*MIN(BS$3,$D$2-1)))))</f>
        <v/>
      </c>
      <c r="BT41" s="122">
        <f>IF(OR($C41="",$B$2="",$D$2=0),0,IF(BT$3&lt;0,0,N(INDEX('CURVA PREVISION'!$A$1:$KZ$3000,$C41,10+3*MIN(BT$3,$D$2-1)))))</f>
        <v/>
      </c>
      <c r="BU41" s="122">
        <f>IF(OR($C41="",$B$2="",$D$2=0),0,IF(BU$3&lt;0,0,N(INDEX('CURVA PREVISION'!$A$1:$KZ$3000,$C41,10+3*MIN(BU$3,$D$2-1)))))</f>
        <v/>
      </c>
      <c r="BV41" s="122">
        <f>IF(OR($C41="",$B$2="",$D$2=0),0,IF(BV$3&lt;0,0,N(INDEX('CURVA PREVISION'!$A$1:$KZ$3000,$C41,10+3*MIN(BV$3,$D$2-1)))))</f>
        <v/>
      </c>
      <c r="BW41" s="122">
        <f>IF(OR($C41="",$B$2="",$D$2=0),0,IF(BW$3&lt;0,0,N(INDEX('CURVA PREVISION'!$A$1:$KZ$3000,$C41,10+3*MIN(BW$3,$D$2-1)))))</f>
        <v/>
      </c>
    </row>
    <row r="42">
      <c r="A42" s="60">
        <f>IF('VALOR POR PL'!Q48="",'VALOR POR PL'!C48,'VALOR POR PL'!Q48)</f>
        <v/>
      </c>
      <c r="B42" s="60">
        <f>'VALOR POR PL'!D48</f>
        <v/>
      </c>
      <c r="C42" s="69">
        <f>IFERROR(MATCH(A42,'CURVA PREVISION'!$B$1:$B$3000,0),"")</f>
        <v/>
      </c>
      <c r="D42" s="122">
        <f>IF(OR($C42="",$B$2="",$D$2=0),0,IF(D$3&lt;0,0,N(INDEX('CURVA PREVISION'!$A$1:$KZ$3000,$C42,10+3*MIN(D$3,$D$2-1)))))</f>
        <v/>
      </c>
      <c r="E42" s="122">
        <f>IF(OR($C42="",$B$2="",$D$2=0),0,IF(E$3&lt;0,0,N(INDEX('CURVA PREVISION'!$A$1:$KZ$3000,$C42,10+3*MIN(E$3,$D$2-1)))))</f>
        <v/>
      </c>
      <c r="F42" s="122">
        <f>IF(OR($C42="",$B$2="",$D$2=0),0,IF(F$3&lt;0,0,N(INDEX('CURVA PREVISION'!$A$1:$KZ$3000,$C42,10+3*MIN(F$3,$D$2-1)))))</f>
        <v/>
      </c>
      <c r="G42" s="122">
        <f>IF(OR($C42="",$B$2="",$D$2=0),0,IF(G$3&lt;0,0,N(INDEX('CURVA PREVISION'!$A$1:$KZ$3000,$C42,10+3*MIN(G$3,$D$2-1)))))</f>
        <v/>
      </c>
      <c r="H42" s="122">
        <f>IF(OR($C42="",$B$2="",$D$2=0),0,IF(H$3&lt;0,0,N(INDEX('CURVA PREVISION'!$A$1:$KZ$3000,$C42,10+3*MIN(H$3,$D$2-1)))))</f>
        <v/>
      </c>
      <c r="I42" s="122">
        <f>IF(OR($C42="",$B$2="",$D$2=0),0,IF(I$3&lt;0,0,N(INDEX('CURVA PREVISION'!$A$1:$KZ$3000,$C42,10+3*MIN(I$3,$D$2-1)))))</f>
        <v/>
      </c>
      <c r="J42" s="122">
        <f>IF(OR($C42="",$B$2="",$D$2=0),0,IF(J$3&lt;0,0,N(INDEX('CURVA PREVISION'!$A$1:$KZ$3000,$C42,10+3*MIN(J$3,$D$2-1)))))</f>
        <v/>
      </c>
      <c r="K42" s="122">
        <f>IF(OR($C42="",$B$2="",$D$2=0),0,IF(K$3&lt;0,0,N(INDEX('CURVA PREVISION'!$A$1:$KZ$3000,$C42,10+3*MIN(K$3,$D$2-1)))))</f>
        <v/>
      </c>
      <c r="L42" s="122">
        <f>IF(OR($C42="",$B$2="",$D$2=0),0,IF(L$3&lt;0,0,N(INDEX('CURVA PREVISION'!$A$1:$KZ$3000,$C42,10+3*MIN(L$3,$D$2-1)))))</f>
        <v/>
      </c>
      <c r="M42" s="122">
        <f>IF(OR($C42="",$B$2="",$D$2=0),0,IF(M$3&lt;0,0,N(INDEX('CURVA PREVISION'!$A$1:$KZ$3000,$C42,10+3*MIN(M$3,$D$2-1)))))</f>
        <v/>
      </c>
      <c r="N42" s="122">
        <f>IF(OR($C42="",$B$2="",$D$2=0),0,IF(N$3&lt;0,0,N(INDEX('CURVA PREVISION'!$A$1:$KZ$3000,$C42,10+3*MIN(N$3,$D$2-1)))))</f>
        <v/>
      </c>
      <c r="O42" s="122">
        <f>IF(OR($C42="",$B$2="",$D$2=0),0,IF(O$3&lt;0,0,N(INDEX('CURVA PREVISION'!$A$1:$KZ$3000,$C42,10+3*MIN(O$3,$D$2-1)))))</f>
        <v/>
      </c>
      <c r="P42" s="122">
        <f>IF(OR($C42="",$B$2="",$D$2=0),0,IF(P$3&lt;0,0,N(INDEX('CURVA PREVISION'!$A$1:$KZ$3000,$C42,10+3*MIN(P$3,$D$2-1)))))</f>
        <v/>
      </c>
      <c r="Q42" s="122">
        <f>IF(OR($C42="",$B$2="",$D$2=0),0,IF(Q$3&lt;0,0,N(INDEX('CURVA PREVISION'!$A$1:$KZ$3000,$C42,10+3*MIN(Q$3,$D$2-1)))))</f>
        <v/>
      </c>
      <c r="R42" s="122">
        <f>IF(OR($C42="",$B$2="",$D$2=0),0,IF(R$3&lt;0,0,N(INDEX('CURVA PREVISION'!$A$1:$KZ$3000,$C42,10+3*MIN(R$3,$D$2-1)))))</f>
        <v/>
      </c>
      <c r="S42" s="122">
        <f>IF(OR($C42="",$B$2="",$D$2=0),0,IF(S$3&lt;0,0,N(INDEX('CURVA PREVISION'!$A$1:$KZ$3000,$C42,10+3*MIN(S$3,$D$2-1)))))</f>
        <v/>
      </c>
      <c r="T42" s="122">
        <f>IF(OR($C42="",$B$2="",$D$2=0),0,IF(T$3&lt;0,0,N(INDEX('CURVA PREVISION'!$A$1:$KZ$3000,$C42,10+3*MIN(T$3,$D$2-1)))))</f>
        <v/>
      </c>
      <c r="U42" s="122">
        <f>IF(OR($C42="",$B$2="",$D$2=0),0,IF(U$3&lt;0,0,N(INDEX('CURVA PREVISION'!$A$1:$KZ$3000,$C42,10+3*MIN(U$3,$D$2-1)))))</f>
        <v/>
      </c>
      <c r="V42" s="122">
        <f>IF(OR($C42="",$B$2="",$D$2=0),0,IF(V$3&lt;0,0,N(INDEX('CURVA PREVISION'!$A$1:$KZ$3000,$C42,10+3*MIN(V$3,$D$2-1)))))</f>
        <v/>
      </c>
      <c r="W42" s="122">
        <f>IF(OR($C42="",$B$2="",$D$2=0),0,IF(W$3&lt;0,0,N(INDEX('CURVA PREVISION'!$A$1:$KZ$3000,$C42,10+3*MIN(W$3,$D$2-1)))))</f>
        <v/>
      </c>
      <c r="X42" s="122">
        <f>IF(OR($C42="",$B$2="",$D$2=0),0,IF(X$3&lt;0,0,N(INDEX('CURVA PREVISION'!$A$1:$KZ$3000,$C42,10+3*MIN(X$3,$D$2-1)))))</f>
        <v/>
      </c>
      <c r="Y42" s="122">
        <f>IF(OR($C42="",$B$2="",$D$2=0),0,IF(Y$3&lt;0,0,N(INDEX('CURVA PREVISION'!$A$1:$KZ$3000,$C42,10+3*MIN(Y$3,$D$2-1)))))</f>
        <v/>
      </c>
      <c r="Z42" s="122">
        <f>IF(OR($C42="",$B$2="",$D$2=0),0,IF(Z$3&lt;0,0,N(INDEX('CURVA PREVISION'!$A$1:$KZ$3000,$C42,10+3*MIN(Z$3,$D$2-1)))))</f>
        <v/>
      </c>
      <c r="AA42" s="122">
        <f>IF(OR($C42="",$B$2="",$D$2=0),0,IF(AA$3&lt;0,0,N(INDEX('CURVA PREVISION'!$A$1:$KZ$3000,$C42,10+3*MIN(AA$3,$D$2-1)))))</f>
        <v/>
      </c>
      <c r="AB42" s="122">
        <f>IF(OR($C42="",$B$2="",$D$2=0),0,IF(AB$3&lt;0,0,N(INDEX('CURVA PREVISION'!$A$1:$KZ$3000,$C42,10+3*MIN(AB$3,$D$2-1)))))</f>
        <v/>
      </c>
      <c r="AC42" s="122">
        <f>IF(OR($C42="",$B$2="",$D$2=0),0,IF(AC$3&lt;0,0,N(INDEX('CURVA PREVISION'!$A$1:$KZ$3000,$C42,10+3*MIN(AC$3,$D$2-1)))))</f>
        <v/>
      </c>
      <c r="AD42" s="122">
        <f>IF(OR($C42="",$B$2="",$D$2=0),0,IF(AD$3&lt;0,0,N(INDEX('CURVA PREVISION'!$A$1:$KZ$3000,$C42,10+3*MIN(AD$3,$D$2-1)))))</f>
        <v/>
      </c>
      <c r="AE42" s="122">
        <f>IF(OR($C42="",$B$2="",$D$2=0),0,IF(AE$3&lt;0,0,N(INDEX('CURVA PREVISION'!$A$1:$KZ$3000,$C42,10+3*MIN(AE$3,$D$2-1)))))</f>
        <v/>
      </c>
      <c r="AF42" s="122">
        <f>IF(OR($C42="",$B$2="",$D$2=0),0,IF(AF$3&lt;0,0,N(INDEX('CURVA PREVISION'!$A$1:$KZ$3000,$C42,10+3*MIN(AF$3,$D$2-1)))))</f>
        <v/>
      </c>
      <c r="AG42" s="122">
        <f>IF(OR($C42="",$B$2="",$D$2=0),0,IF(AG$3&lt;0,0,N(INDEX('CURVA PREVISION'!$A$1:$KZ$3000,$C42,10+3*MIN(AG$3,$D$2-1)))))</f>
        <v/>
      </c>
      <c r="AH42" s="122">
        <f>IF(OR($C42="",$B$2="",$D$2=0),0,IF(AH$3&lt;0,0,N(INDEX('CURVA PREVISION'!$A$1:$KZ$3000,$C42,10+3*MIN(AH$3,$D$2-1)))))</f>
        <v/>
      </c>
      <c r="AI42" s="122">
        <f>IF(OR($C42="",$B$2="",$D$2=0),0,IF(AI$3&lt;0,0,N(INDEX('CURVA PREVISION'!$A$1:$KZ$3000,$C42,10+3*MIN(AI$3,$D$2-1)))))</f>
        <v/>
      </c>
      <c r="AJ42" s="122">
        <f>IF(OR($C42="",$B$2="",$D$2=0),0,IF(AJ$3&lt;0,0,N(INDEX('CURVA PREVISION'!$A$1:$KZ$3000,$C42,10+3*MIN(AJ$3,$D$2-1)))))</f>
        <v/>
      </c>
      <c r="AK42" s="122">
        <f>IF(OR($C42="",$B$2="",$D$2=0),0,IF(AK$3&lt;0,0,N(INDEX('CURVA PREVISION'!$A$1:$KZ$3000,$C42,10+3*MIN(AK$3,$D$2-1)))))</f>
        <v/>
      </c>
      <c r="AL42" s="122">
        <f>IF(OR($C42="",$B$2="",$D$2=0),0,IF(AL$3&lt;0,0,N(INDEX('CURVA PREVISION'!$A$1:$KZ$3000,$C42,10+3*MIN(AL$3,$D$2-1)))))</f>
        <v/>
      </c>
      <c r="AM42" s="122">
        <f>IF(OR($C42="",$B$2="",$D$2=0),0,IF(AM$3&lt;0,0,N(INDEX('CURVA PREVISION'!$A$1:$KZ$3000,$C42,10+3*MIN(AM$3,$D$2-1)))))</f>
        <v/>
      </c>
      <c r="AN42" s="122">
        <f>IF(OR($C42="",$B$2="",$D$2=0),0,IF(AN$3&lt;0,0,N(INDEX('CURVA PREVISION'!$A$1:$KZ$3000,$C42,10+3*MIN(AN$3,$D$2-1)))))</f>
        <v/>
      </c>
      <c r="AO42" s="122">
        <f>IF(OR($C42="",$B$2="",$D$2=0),0,IF(AO$3&lt;0,0,N(INDEX('CURVA PREVISION'!$A$1:$KZ$3000,$C42,10+3*MIN(AO$3,$D$2-1)))))</f>
        <v/>
      </c>
      <c r="AP42" s="122">
        <f>IF(OR($C42="",$B$2="",$D$2=0),0,IF(AP$3&lt;0,0,N(INDEX('CURVA PREVISION'!$A$1:$KZ$3000,$C42,10+3*MIN(AP$3,$D$2-1)))))</f>
        <v/>
      </c>
      <c r="AQ42" s="122">
        <f>IF(OR($C42="",$B$2="",$D$2=0),0,IF(AQ$3&lt;0,0,N(INDEX('CURVA PREVISION'!$A$1:$KZ$3000,$C42,10+3*MIN(AQ$3,$D$2-1)))))</f>
        <v/>
      </c>
      <c r="AR42" s="122">
        <f>IF(OR($C42="",$B$2="",$D$2=0),0,IF(AR$3&lt;0,0,N(INDEX('CURVA PREVISION'!$A$1:$KZ$3000,$C42,10+3*MIN(AR$3,$D$2-1)))))</f>
        <v/>
      </c>
      <c r="AS42" s="122">
        <f>IF(OR($C42="",$B$2="",$D$2=0),0,IF(AS$3&lt;0,0,N(INDEX('CURVA PREVISION'!$A$1:$KZ$3000,$C42,10+3*MIN(AS$3,$D$2-1)))))</f>
        <v/>
      </c>
      <c r="AT42" s="122">
        <f>IF(OR($C42="",$B$2="",$D$2=0),0,IF(AT$3&lt;0,0,N(INDEX('CURVA PREVISION'!$A$1:$KZ$3000,$C42,10+3*MIN(AT$3,$D$2-1)))))</f>
        <v/>
      </c>
      <c r="AU42" s="122">
        <f>IF(OR($C42="",$B$2="",$D$2=0),0,IF(AU$3&lt;0,0,N(INDEX('CURVA PREVISION'!$A$1:$KZ$3000,$C42,10+3*MIN(AU$3,$D$2-1)))))</f>
        <v/>
      </c>
      <c r="AV42" s="122">
        <f>IF(OR($C42="",$B$2="",$D$2=0),0,IF(AV$3&lt;0,0,N(INDEX('CURVA PREVISION'!$A$1:$KZ$3000,$C42,10+3*MIN(AV$3,$D$2-1)))))</f>
        <v/>
      </c>
      <c r="AW42" s="122">
        <f>IF(OR($C42="",$B$2="",$D$2=0),0,IF(AW$3&lt;0,0,N(INDEX('CURVA PREVISION'!$A$1:$KZ$3000,$C42,10+3*MIN(AW$3,$D$2-1)))))</f>
        <v/>
      </c>
      <c r="AX42" s="122">
        <f>IF(OR($C42="",$B$2="",$D$2=0),0,IF(AX$3&lt;0,0,N(INDEX('CURVA PREVISION'!$A$1:$KZ$3000,$C42,10+3*MIN(AX$3,$D$2-1)))))</f>
        <v/>
      </c>
      <c r="AY42" s="122">
        <f>IF(OR($C42="",$B$2="",$D$2=0),0,IF(AY$3&lt;0,0,N(INDEX('CURVA PREVISION'!$A$1:$KZ$3000,$C42,10+3*MIN(AY$3,$D$2-1)))))</f>
        <v/>
      </c>
      <c r="AZ42" s="122">
        <f>IF(OR($C42="",$B$2="",$D$2=0),0,IF(AZ$3&lt;0,0,N(INDEX('CURVA PREVISION'!$A$1:$KZ$3000,$C42,10+3*MIN(AZ$3,$D$2-1)))))</f>
        <v/>
      </c>
      <c r="BA42" s="122">
        <f>IF(OR($C42="",$B$2="",$D$2=0),0,IF(BA$3&lt;0,0,N(INDEX('CURVA PREVISION'!$A$1:$KZ$3000,$C42,10+3*MIN(BA$3,$D$2-1)))))</f>
        <v/>
      </c>
      <c r="BB42" s="122">
        <f>IF(OR($C42="",$B$2="",$D$2=0),0,IF(BB$3&lt;0,0,N(INDEX('CURVA PREVISION'!$A$1:$KZ$3000,$C42,10+3*MIN(BB$3,$D$2-1)))))</f>
        <v/>
      </c>
      <c r="BC42" s="122">
        <f>IF(OR($C42="",$B$2="",$D$2=0),0,IF(BC$3&lt;0,0,N(INDEX('CURVA PREVISION'!$A$1:$KZ$3000,$C42,10+3*MIN(BC$3,$D$2-1)))))</f>
        <v/>
      </c>
      <c r="BD42" s="122">
        <f>IF(OR($C42="",$B$2="",$D$2=0),0,IF(BD$3&lt;0,0,N(INDEX('CURVA PREVISION'!$A$1:$KZ$3000,$C42,10+3*MIN(BD$3,$D$2-1)))))</f>
        <v/>
      </c>
      <c r="BE42" s="122">
        <f>IF(OR($C42="",$B$2="",$D$2=0),0,IF(BE$3&lt;0,0,N(INDEX('CURVA PREVISION'!$A$1:$KZ$3000,$C42,10+3*MIN(BE$3,$D$2-1)))))</f>
        <v/>
      </c>
      <c r="BF42" s="122">
        <f>IF(OR($C42="",$B$2="",$D$2=0),0,IF(BF$3&lt;0,0,N(INDEX('CURVA PREVISION'!$A$1:$KZ$3000,$C42,10+3*MIN(BF$3,$D$2-1)))))</f>
        <v/>
      </c>
      <c r="BG42" s="122">
        <f>IF(OR($C42="",$B$2="",$D$2=0),0,IF(BG$3&lt;0,0,N(INDEX('CURVA PREVISION'!$A$1:$KZ$3000,$C42,10+3*MIN(BG$3,$D$2-1)))))</f>
        <v/>
      </c>
      <c r="BH42" s="122">
        <f>IF(OR($C42="",$B$2="",$D$2=0),0,IF(BH$3&lt;0,0,N(INDEX('CURVA PREVISION'!$A$1:$KZ$3000,$C42,10+3*MIN(BH$3,$D$2-1)))))</f>
        <v/>
      </c>
      <c r="BI42" s="122">
        <f>IF(OR($C42="",$B$2="",$D$2=0),0,IF(BI$3&lt;0,0,N(INDEX('CURVA PREVISION'!$A$1:$KZ$3000,$C42,10+3*MIN(BI$3,$D$2-1)))))</f>
        <v/>
      </c>
      <c r="BJ42" s="122">
        <f>IF(OR($C42="",$B$2="",$D$2=0),0,IF(BJ$3&lt;0,0,N(INDEX('CURVA PREVISION'!$A$1:$KZ$3000,$C42,10+3*MIN(BJ$3,$D$2-1)))))</f>
        <v/>
      </c>
      <c r="BK42" s="122">
        <f>IF(OR($C42="",$B$2="",$D$2=0),0,IF(BK$3&lt;0,0,N(INDEX('CURVA PREVISION'!$A$1:$KZ$3000,$C42,10+3*MIN(BK$3,$D$2-1)))))</f>
        <v/>
      </c>
      <c r="BL42" s="122">
        <f>IF(OR($C42="",$B$2="",$D$2=0),0,IF(BL$3&lt;0,0,N(INDEX('CURVA PREVISION'!$A$1:$KZ$3000,$C42,10+3*MIN(BL$3,$D$2-1)))))</f>
        <v/>
      </c>
      <c r="BM42" s="122">
        <f>IF(OR($C42="",$B$2="",$D$2=0),0,IF(BM$3&lt;0,0,N(INDEX('CURVA PREVISION'!$A$1:$KZ$3000,$C42,10+3*MIN(BM$3,$D$2-1)))))</f>
        <v/>
      </c>
      <c r="BN42" s="122">
        <f>IF(OR($C42="",$B$2="",$D$2=0),0,IF(BN$3&lt;0,0,N(INDEX('CURVA PREVISION'!$A$1:$KZ$3000,$C42,10+3*MIN(BN$3,$D$2-1)))))</f>
        <v/>
      </c>
      <c r="BO42" s="122">
        <f>IF(OR($C42="",$B$2="",$D$2=0),0,IF(BO$3&lt;0,0,N(INDEX('CURVA PREVISION'!$A$1:$KZ$3000,$C42,10+3*MIN(BO$3,$D$2-1)))))</f>
        <v/>
      </c>
      <c r="BP42" s="122">
        <f>IF(OR($C42="",$B$2="",$D$2=0),0,IF(BP$3&lt;0,0,N(INDEX('CURVA PREVISION'!$A$1:$KZ$3000,$C42,10+3*MIN(BP$3,$D$2-1)))))</f>
        <v/>
      </c>
      <c r="BQ42" s="122">
        <f>IF(OR($C42="",$B$2="",$D$2=0),0,IF(BQ$3&lt;0,0,N(INDEX('CURVA PREVISION'!$A$1:$KZ$3000,$C42,10+3*MIN(BQ$3,$D$2-1)))))</f>
        <v/>
      </c>
      <c r="BR42" s="122">
        <f>IF(OR($C42="",$B$2="",$D$2=0),0,IF(BR$3&lt;0,0,N(INDEX('CURVA PREVISION'!$A$1:$KZ$3000,$C42,10+3*MIN(BR$3,$D$2-1)))))</f>
        <v/>
      </c>
      <c r="BS42" s="122">
        <f>IF(OR($C42="",$B$2="",$D$2=0),0,IF(BS$3&lt;0,0,N(INDEX('CURVA PREVISION'!$A$1:$KZ$3000,$C42,10+3*MIN(BS$3,$D$2-1)))))</f>
        <v/>
      </c>
      <c r="BT42" s="122">
        <f>IF(OR($C42="",$B$2="",$D$2=0),0,IF(BT$3&lt;0,0,N(INDEX('CURVA PREVISION'!$A$1:$KZ$3000,$C42,10+3*MIN(BT$3,$D$2-1)))))</f>
        <v/>
      </c>
      <c r="BU42" s="122">
        <f>IF(OR($C42="",$B$2="",$D$2=0),0,IF(BU$3&lt;0,0,N(INDEX('CURVA PREVISION'!$A$1:$KZ$3000,$C42,10+3*MIN(BU$3,$D$2-1)))))</f>
        <v/>
      </c>
      <c r="BV42" s="122">
        <f>IF(OR($C42="",$B$2="",$D$2=0),0,IF(BV$3&lt;0,0,N(INDEX('CURVA PREVISION'!$A$1:$KZ$3000,$C42,10+3*MIN(BV$3,$D$2-1)))))</f>
        <v/>
      </c>
      <c r="BW42" s="122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1">
        <f>D4</f>
        <v/>
      </c>
      <c r="E46" s="121">
        <f>E4</f>
        <v/>
      </c>
      <c r="F46" s="121">
        <f>F4</f>
        <v/>
      </c>
      <c r="G46" s="121">
        <f>G4</f>
        <v/>
      </c>
      <c r="H46" s="121">
        <f>H4</f>
        <v/>
      </c>
      <c r="I46" s="121">
        <f>I4</f>
        <v/>
      </c>
      <c r="J46" s="121">
        <f>J4</f>
        <v/>
      </c>
      <c r="K46" s="121">
        <f>K4</f>
        <v/>
      </c>
      <c r="L46" s="121">
        <f>L4</f>
        <v/>
      </c>
      <c r="M46" s="121">
        <f>M4</f>
        <v/>
      </c>
      <c r="N46" s="121">
        <f>N4</f>
        <v/>
      </c>
      <c r="O46" s="121">
        <f>O4</f>
        <v/>
      </c>
      <c r="P46" s="121">
        <f>P4</f>
        <v/>
      </c>
      <c r="Q46" s="121">
        <f>Q4</f>
        <v/>
      </c>
      <c r="R46" s="121">
        <f>R4</f>
        <v/>
      </c>
      <c r="S46" s="121">
        <f>S4</f>
        <v/>
      </c>
      <c r="T46" s="121">
        <f>T4</f>
        <v/>
      </c>
      <c r="U46" s="121">
        <f>U4</f>
        <v/>
      </c>
      <c r="V46" s="121">
        <f>V4</f>
        <v/>
      </c>
      <c r="W46" s="121">
        <f>W4</f>
        <v/>
      </c>
      <c r="X46" s="121">
        <f>X4</f>
        <v/>
      </c>
      <c r="Y46" s="121">
        <f>Y4</f>
        <v/>
      </c>
      <c r="Z46" s="121">
        <f>Z4</f>
        <v/>
      </c>
      <c r="AA46" s="121">
        <f>AA4</f>
        <v/>
      </c>
      <c r="AB46" s="121">
        <f>AB4</f>
        <v/>
      </c>
      <c r="AC46" s="121">
        <f>AC4</f>
        <v/>
      </c>
      <c r="AD46" s="121">
        <f>AD4</f>
        <v/>
      </c>
      <c r="AE46" s="121">
        <f>AE4</f>
        <v/>
      </c>
      <c r="AF46" s="121">
        <f>AF4</f>
        <v/>
      </c>
      <c r="AG46" s="121">
        <f>AG4</f>
        <v/>
      </c>
      <c r="AH46" s="121">
        <f>AH4</f>
        <v/>
      </c>
      <c r="AI46" s="121">
        <f>AI4</f>
        <v/>
      </c>
      <c r="AJ46" s="121">
        <f>AJ4</f>
        <v/>
      </c>
      <c r="AK46" s="121">
        <f>AK4</f>
        <v/>
      </c>
      <c r="AL46" s="121">
        <f>AL4</f>
        <v/>
      </c>
      <c r="AM46" s="121">
        <f>AM4</f>
        <v/>
      </c>
      <c r="AN46" s="121">
        <f>AN4</f>
        <v/>
      </c>
      <c r="AO46" s="121">
        <f>AO4</f>
        <v/>
      </c>
      <c r="AP46" s="121">
        <f>AP4</f>
        <v/>
      </c>
      <c r="AQ46" s="121">
        <f>AQ4</f>
        <v/>
      </c>
      <c r="AR46" s="121">
        <f>AR4</f>
        <v/>
      </c>
      <c r="AS46" s="121">
        <f>AS4</f>
        <v/>
      </c>
      <c r="AT46" s="121">
        <f>AT4</f>
        <v/>
      </c>
      <c r="AU46" s="121">
        <f>AU4</f>
        <v/>
      </c>
      <c r="AV46" s="121">
        <f>AV4</f>
        <v/>
      </c>
      <c r="AW46" s="121">
        <f>AW4</f>
        <v/>
      </c>
      <c r="AX46" s="121">
        <f>AX4</f>
        <v/>
      </c>
      <c r="AY46" s="121">
        <f>AY4</f>
        <v/>
      </c>
      <c r="AZ46" s="121">
        <f>AZ4</f>
        <v/>
      </c>
      <c r="BA46" s="121">
        <f>BA4</f>
        <v/>
      </c>
      <c r="BB46" s="121">
        <f>BB4</f>
        <v/>
      </c>
      <c r="BC46" s="121">
        <f>BC4</f>
        <v/>
      </c>
      <c r="BD46" s="121">
        <f>BD4</f>
        <v/>
      </c>
      <c r="BE46" s="121">
        <f>BE4</f>
        <v/>
      </c>
      <c r="BF46" s="121">
        <f>BF4</f>
        <v/>
      </c>
      <c r="BG46" s="121">
        <f>BG4</f>
        <v/>
      </c>
      <c r="BH46" s="121">
        <f>BH4</f>
        <v/>
      </c>
      <c r="BI46" s="121">
        <f>BI4</f>
        <v/>
      </c>
      <c r="BJ46" s="121">
        <f>BJ4</f>
        <v/>
      </c>
      <c r="BK46" s="121">
        <f>BK4</f>
        <v/>
      </c>
      <c r="BL46" s="121">
        <f>BL4</f>
        <v/>
      </c>
      <c r="BM46" s="121">
        <f>BM4</f>
        <v/>
      </c>
      <c r="BN46" s="121">
        <f>BN4</f>
        <v/>
      </c>
      <c r="BO46" s="121">
        <f>BO4</f>
        <v/>
      </c>
      <c r="BP46" s="121">
        <f>BP4</f>
        <v/>
      </c>
      <c r="BQ46" s="121">
        <f>BQ4</f>
        <v/>
      </c>
      <c r="BR46" s="121">
        <f>BR4</f>
        <v/>
      </c>
      <c r="BS46" s="121">
        <f>BS4</f>
        <v/>
      </c>
      <c r="BT46" s="121">
        <f>BT4</f>
        <v/>
      </c>
      <c r="BU46" s="121">
        <f>BU4</f>
        <v/>
      </c>
      <c r="BV46" s="121">
        <f>BV4</f>
        <v/>
      </c>
      <c r="BW46" s="121">
        <f>BW4</f>
        <v/>
      </c>
    </row>
    <row r="47">
      <c r="A47" s="51">
        <f>A5</f>
        <v/>
      </c>
      <c r="B47" s="51">
        <f>B5</f>
        <v/>
      </c>
      <c r="C47" s="68">
        <f>C5</f>
        <v/>
      </c>
      <c r="D47" s="122">
        <f>IF(OR($C47="",$B$2="",$D$2=0),0,IF(D$3&lt;0,0,N(INDEX('CURVA PREVISION'!$A$1:$KZ$3000,$C47,11+3*MIN(D$3,$D$2-1)))))</f>
        <v/>
      </c>
      <c r="E47" s="122">
        <f>IF(OR($C47="",$B$2="",$D$2=0),0,IF(E$3&lt;0,0,N(INDEX('CURVA PREVISION'!$A$1:$KZ$3000,$C47,11+3*MIN(E$3,$D$2-1)))))</f>
        <v/>
      </c>
      <c r="F47" s="122">
        <f>IF(OR($C47="",$B$2="",$D$2=0),0,IF(F$3&lt;0,0,N(INDEX('CURVA PREVISION'!$A$1:$KZ$3000,$C47,11+3*MIN(F$3,$D$2-1)))))</f>
        <v/>
      </c>
      <c r="G47" s="122">
        <f>IF(OR($C47="",$B$2="",$D$2=0),0,IF(G$3&lt;0,0,N(INDEX('CURVA PREVISION'!$A$1:$KZ$3000,$C47,11+3*MIN(G$3,$D$2-1)))))</f>
        <v/>
      </c>
      <c r="H47" s="122">
        <f>IF(OR($C47="",$B$2="",$D$2=0),0,IF(H$3&lt;0,0,N(INDEX('CURVA PREVISION'!$A$1:$KZ$3000,$C47,11+3*MIN(H$3,$D$2-1)))))</f>
        <v/>
      </c>
      <c r="I47" s="122">
        <f>IF(OR($C47="",$B$2="",$D$2=0),0,IF(I$3&lt;0,0,N(INDEX('CURVA PREVISION'!$A$1:$KZ$3000,$C47,11+3*MIN(I$3,$D$2-1)))))</f>
        <v/>
      </c>
      <c r="J47" s="122">
        <f>IF(OR($C47="",$B$2="",$D$2=0),0,IF(J$3&lt;0,0,N(INDEX('CURVA PREVISION'!$A$1:$KZ$3000,$C47,11+3*MIN(J$3,$D$2-1)))))</f>
        <v/>
      </c>
      <c r="K47" s="122">
        <f>IF(OR($C47="",$B$2="",$D$2=0),0,IF(K$3&lt;0,0,N(INDEX('CURVA PREVISION'!$A$1:$KZ$3000,$C47,11+3*MIN(K$3,$D$2-1)))))</f>
        <v/>
      </c>
      <c r="L47" s="122">
        <f>IF(OR($C47="",$B$2="",$D$2=0),0,IF(L$3&lt;0,0,N(INDEX('CURVA PREVISION'!$A$1:$KZ$3000,$C47,11+3*MIN(L$3,$D$2-1)))))</f>
        <v/>
      </c>
      <c r="M47" s="122">
        <f>IF(OR($C47="",$B$2="",$D$2=0),0,IF(M$3&lt;0,0,N(INDEX('CURVA PREVISION'!$A$1:$KZ$3000,$C47,11+3*MIN(M$3,$D$2-1)))))</f>
        <v/>
      </c>
      <c r="N47" s="122">
        <f>IF(OR($C47="",$B$2="",$D$2=0),0,IF(N$3&lt;0,0,N(INDEX('CURVA PREVISION'!$A$1:$KZ$3000,$C47,11+3*MIN(N$3,$D$2-1)))))</f>
        <v/>
      </c>
      <c r="O47" s="122">
        <f>IF(OR($C47="",$B$2="",$D$2=0),0,IF(O$3&lt;0,0,N(INDEX('CURVA PREVISION'!$A$1:$KZ$3000,$C47,11+3*MIN(O$3,$D$2-1)))))</f>
        <v/>
      </c>
      <c r="P47" s="122">
        <f>IF(OR($C47="",$B$2="",$D$2=0),0,IF(P$3&lt;0,0,N(INDEX('CURVA PREVISION'!$A$1:$KZ$3000,$C47,11+3*MIN(P$3,$D$2-1)))))</f>
        <v/>
      </c>
      <c r="Q47" s="122">
        <f>IF(OR($C47="",$B$2="",$D$2=0),0,IF(Q$3&lt;0,0,N(INDEX('CURVA PREVISION'!$A$1:$KZ$3000,$C47,11+3*MIN(Q$3,$D$2-1)))))</f>
        <v/>
      </c>
      <c r="R47" s="122">
        <f>IF(OR($C47="",$B$2="",$D$2=0),0,IF(R$3&lt;0,0,N(INDEX('CURVA PREVISION'!$A$1:$KZ$3000,$C47,11+3*MIN(R$3,$D$2-1)))))</f>
        <v/>
      </c>
      <c r="S47" s="122">
        <f>IF(OR($C47="",$B$2="",$D$2=0),0,IF(S$3&lt;0,0,N(INDEX('CURVA PREVISION'!$A$1:$KZ$3000,$C47,11+3*MIN(S$3,$D$2-1)))))</f>
        <v/>
      </c>
      <c r="T47" s="122">
        <f>IF(OR($C47="",$B$2="",$D$2=0),0,IF(T$3&lt;0,0,N(INDEX('CURVA PREVISION'!$A$1:$KZ$3000,$C47,11+3*MIN(T$3,$D$2-1)))))</f>
        <v/>
      </c>
      <c r="U47" s="122">
        <f>IF(OR($C47="",$B$2="",$D$2=0),0,IF(U$3&lt;0,0,N(INDEX('CURVA PREVISION'!$A$1:$KZ$3000,$C47,11+3*MIN(U$3,$D$2-1)))))</f>
        <v/>
      </c>
      <c r="V47" s="122">
        <f>IF(OR($C47="",$B$2="",$D$2=0),0,IF(V$3&lt;0,0,N(INDEX('CURVA PREVISION'!$A$1:$KZ$3000,$C47,11+3*MIN(V$3,$D$2-1)))))</f>
        <v/>
      </c>
      <c r="W47" s="122">
        <f>IF(OR($C47="",$B$2="",$D$2=0),0,IF(W$3&lt;0,0,N(INDEX('CURVA PREVISION'!$A$1:$KZ$3000,$C47,11+3*MIN(W$3,$D$2-1)))))</f>
        <v/>
      </c>
      <c r="X47" s="122">
        <f>IF(OR($C47="",$B$2="",$D$2=0),0,IF(X$3&lt;0,0,N(INDEX('CURVA PREVISION'!$A$1:$KZ$3000,$C47,11+3*MIN(X$3,$D$2-1)))))</f>
        <v/>
      </c>
      <c r="Y47" s="122">
        <f>IF(OR($C47="",$B$2="",$D$2=0),0,IF(Y$3&lt;0,0,N(INDEX('CURVA PREVISION'!$A$1:$KZ$3000,$C47,11+3*MIN(Y$3,$D$2-1)))))</f>
        <v/>
      </c>
      <c r="Z47" s="122">
        <f>IF(OR($C47="",$B$2="",$D$2=0),0,IF(Z$3&lt;0,0,N(INDEX('CURVA PREVISION'!$A$1:$KZ$3000,$C47,11+3*MIN(Z$3,$D$2-1)))))</f>
        <v/>
      </c>
      <c r="AA47" s="122">
        <f>IF(OR($C47="",$B$2="",$D$2=0),0,IF(AA$3&lt;0,0,N(INDEX('CURVA PREVISION'!$A$1:$KZ$3000,$C47,11+3*MIN(AA$3,$D$2-1)))))</f>
        <v/>
      </c>
      <c r="AB47" s="122">
        <f>IF(OR($C47="",$B$2="",$D$2=0),0,IF(AB$3&lt;0,0,N(INDEX('CURVA PREVISION'!$A$1:$KZ$3000,$C47,11+3*MIN(AB$3,$D$2-1)))))</f>
        <v/>
      </c>
      <c r="AC47" s="122">
        <f>IF(OR($C47="",$B$2="",$D$2=0),0,IF(AC$3&lt;0,0,N(INDEX('CURVA PREVISION'!$A$1:$KZ$3000,$C47,11+3*MIN(AC$3,$D$2-1)))))</f>
        <v/>
      </c>
      <c r="AD47" s="122">
        <f>IF(OR($C47="",$B$2="",$D$2=0),0,IF(AD$3&lt;0,0,N(INDEX('CURVA PREVISION'!$A$1:$KZ$3000,$C47,11+3*MIN(AD$3,$D$2-1)))))</f>
        <v/>
      </c>
      <c r="AE47" s="122">
        <f>IF(OR($C47="",$B$2="",$D$2=0),0,IF(AE$3&lt;0,0,N(INDEX('CURVA PREVISION'!$A$1:$KZ$3000,$C47,11+3*MIN(AE$3,$D$2-1)))))</f>
        <v/>
      </c>
      <c r="AF47" s="122">
        <f>IF(OR($C47="",$B$2="",$D$2=0),0,IF(AF$3&lt;0,0,N(INDEX('CURVA PREVISION'!$A$1:$KZ$3000,$C47,11+3*MIN(AF$3,$D$2-1)))))</f>
        <v/>
      </c>
      <c r="AG47" s="122">
        <f>IF(OR($C47="",$B$2="",$D$2=0),0,IF(AG$3&lt;0,0,N(INDEX('CURVA PREVISION'!$A$1:$KZ$3000,$C47,11+3*MIN(AG$3,$D$2-1)))))</f>
        <v/>
      </c>
      <c r="AH47" s="122">
        <f>IF(OR($C47="",$B$2="",$D$2=0),0,IF(AH$3&lt;0,0,N(INDEX('CURVA PREVISION'!$A$1:$KZ$3000,$C47,11+3*MIN(AH$3,$D$2-1)))))</f>
        <v/>
      </c>
      <c r="AI47" s="122">
        <f>IF(OR($C47="",$B$2="",$D$2=0),0,IF(AI$3&lt;0,0,N(INDEX('CURVA PREVISION'!$A$1:$KZ$3000,$C47,11+3*MIN(AI$3,$D$2-1)))))</f>
        <v/>
      </c>
      <c r="AJ47" s="122">
        <f>IF(OR($C47="",$B$2="",$D$2=0),0,IF(AJ$3&lt;0,0,N(INDEX('CURVA PREVISION'!$A$1:$KZ$3000,$C47,11+3*MIN(AJ$3,$D$2-1)))))</f>
        <v/>
      </c>
      <c r="AK47" s="122">
        <f>IF(OR($C47="",$B$2="",$D$2=0),0,IF(AK$3&lt;0,0,N(INDEX('CURVA PREVISION'!$A$1:$KZ$3000,$C47,11+3*MIN(AK$3,$D$2-1)))))</f>
        <v/>
      </c>
      <c r="AL47" s="122">
        <f>IF(OR($C47="",$B$2="",$D$2=0),0,IF(AL$3&lt;0,0,N(INDEX('CURVA PREVISION'!$A$1:$KZ$3000,$C47,11+3*MIN(AL$3,$D$2-1)))))</f>
        <v/>
      </c>
      <c r="AM47" s="122">
        <f>IF(OR($C47="",$B$2="",$D$2=0),0,IF(AM$3&lt;0,0,N(INDEX('CURVA PREVISION'!$A$1:$KZ$3000,$C47,11+3*MIN(AM$3,$D$2-1)))))</f>
        <v/>
      </c>
      <c r="AN47" s="122">
        <f>IF(OR($C47="",$B$2="",$D$2=0),0,IF(AN$3&lt;0,0,N(INDEX('CURVA PREVISION'!$A$1:$KZ$3000,$C47,11+3*MIN(AN$3,$D$2-1)))))</f>
        <v/>
      </c>
      <c r="AO47" s="122">
        <f>IF(OR($C47="",$B$2="",$D$2=0),0,IF(AO$3&lt;0,0,N(INDEX('CURVA PREVISION'!$A$1:$KZ$3000,$C47,11+3*MIN(AO$3,$D$2-1)))))</f>
        <v/>
      </c>
      <c r="AP47" s="122">
        <f>IF(OR($C47="",$B$2="",$D$2=0),0,IF(AP$3&lt;0,0,N(INDEX('CURVA PREVISION'!$A$1:$KZ$3000,$C47,11+3*MIN(AP$3,$D$2-1)))))</f>
        <v/>
      </c>
      <c r="AQ47" s="122">
        <f>IF(OR($C47="",$B$2="",$D$2=0),0,IF(AQ$3&lt;0,0,N(INDEX('CURVA PREVISION'!$A$1:$KZ$3000,$C47,11+3*MIN(AQ$3,$D$2-1)))))</f>
        <v/>
      </c>
      <c r="AR47" s="122">
        <f>IF(OR($C47="",$B$2="",$D$2=0),0,IF(AR$3&lt;0,0,N(INDEX('CURVA PREVISION'!$A$1:$KZ$3000,$C47,11+3*MIN(AR$3,$D$2-1)))))</f>
        <v/>
      </c>
      <c r="AS47" s="122">
        <f>IF(OR($C47="",$B$2="",$D$2=0),0,IF(AS$3&lt;0,0,N(INDEX('CURVA PREVISION'!$A$1:$KZ$3000,$C47,11+3*MIN(AS$3,$D$2-1)))))</f>
        <v/>
      </c>
      <c r="AT47" s="122">
        <f>IF(OR($C47="",$B$2="",$D$2=0),0,IF(AT$3&lt;0,0,N(INDEX('CURVA PREVISION'!$A$1:$KZ$3000,$C47,11+3*MIN(AT$3,$D$2-1)))))</f>
        <v/>
      </c>
      <c r="AU47" s="122">
        <f>IF(OR($C47="",$B$2="",$D$2=0),0,IF(AU$3&lt;0,0,N(INDEX('CURVA PREVISION'!$A$1:$KZ$3000,$C47,11+3*MIN(AU$3,$D$2-1)))))</f>
        <v/>
      </c>
      <c r="AV47" s="122">
        <f>IF(OR($C47="",$B$2="",$D$2=0),0,IF(AV$3&lt;0,0,N(INDEX('CURVA PREVISION'!$A$1:$KZ$3000,$C47,11+3*MIN(AV$3,$D$2-1)))))</f>
        <v/>
      </c>
      <c r="AW47" s="122">
        <f>IF(OR($C47="",$B$2="",$D$2=0),0,IF(AW$3&lt;0,0,N(INDEX('CURVA PREVISION'!$A$1:$KZ$3000,$C47,11+3*MIN(AW$3,$D$2-1)))))</f>
        <v/>
      </c>
      <c r="AX47" s="122">
        <f>IF(OR($C47="",$B$2="",$D$2=0),0,IF(AX$3&lt;0,0,N(INDEX('CURVA PREVISION'!$A$1:$KZ$3000,$C47,11+3*MIN(AX$3,$D$2-1)))))</f>
        <v/>
      </c>
      <c r="AY47" s="122">
        <f>IF(OR($C47="",$B$2="",$D$2=0),0,IF(AY$3&lt;0,0,N(INDEX('CURVA PREVISION'!$A$1:$KZ$3000,$C47,11+3*MIN(AY$3,$D$2-1)))))</f>
        <v/>
      </c>
      <c r="AZ47" s="122">
        <f>IF(OR($C47="",$B$2="",$D$2=0),0,IF(AZ$3&lt;0,0,N(INDEX('CURVA PREVISION'!$A$1:$KZ$3000,$C47,11+3*MIN(AZ$3,$D$2-1)))))</f>
        <v/>
      </c>
      <c r="BA47" s="122">
        <f>IF(OR($C47="",$B$2="",$D$2=0),0,IF(BA$3&lt;0,0,N(INDEX('CURVA PREVISION'!$A$1:$KZ$3000,$C47,11+3*MIN(BA$3,$D$2-1)))))</f>
        <v/>
      </c>
      <c r="BB47" s="122">
        <f>IF(OR($C47="",$B$2="",$D$2=0),0,IF(BB$3&lt;0,0,N(INDEX('CURVA PREVISION'!$A$1:$KZ$3000,$C47,11+3*MIN(BB$3,$D$2-1)))))</f>
        <v/>
      </c>
      <c r="BC47" s="122">
        <f>IF(OR($C47="",$B$2="",$D$2=0),0,IF(BC$3&lt;0,0,N(INDEX('CURVA PREVISION'!$A$1:$KZ$3000,$C47,11+3*MIN(BC$3,$D$2-1)))))</f>
        <v/>
      </c>
      <c r="BD47" s="122">
        <f>IF(OR($C47="",$B$2="",$D$2=0),0,IF(BD$3&lt;0,0,N(INDEX('CURVA PREVISION'!$A$1:$KZ$3000,$C47,11+3*MIN(BD$3,$D$2-1)))))</f>
        <v/>
      </c>
      <c r="BE47" s="122">
        <f>IF(OR($C47="",$B$2="",$D$2=0),0,IF(BE$3&lt;0,0,N(INDEX('CURVA PREVISION'!$A$1:$KZ$3000,$C47,11+3*MIN(BE$3,$D$2-1)))))</f>
        <v/>
      </c>
      <c r="BF47" s="122">
        <f>IF(OR($C47="",$B$2="",$D$2=0),0,IF(BF$3&lt;0,0,N(INDEX('CURVA PREVISION'!$A$1:$KZ$3000,$C47,11+3*MIN(BF$3,$D$2-1)))))</f>
        <v/>
      </c>
      <c r="BG47" s="122">
        <f>IF(OR($C47="",$B$2="",$D$2=0),0,IF(BG$3&lt;0,0,N(INDEX('CURVA PREVISION'!$A$1:$KZ$3000,$C47,11+3*MIN(BG$3,$D$2-1)))))</f>
        <v/>
      </c>
      <c r="BH47" s="122">
        <f>IF(OR($C47="",$B$2="",$D$2=0),0,IF(BH$3&lt;0,0,N(INDEX('CURVA PREVISION'!$A$1:$KZ$3000,$C47,11+3*MIN(BH$3,$D$2-1)))))</f>
        <v/>
      </c>
      <c r="BI47" s="122">
        <f>IF(OR($C47="",$B$2="",$D$2=0),0,IF(BI$3&lt;0,0,N(INDEX('CURVA PREVISION'!$A$1:$KZ$3000,$C47,11+3*MIN(BI$3,$D$2-1)))))</f>
        <v/>
      </c>
      <c r="BJ47" s="122">
        <f>IF(OR($C47="",$B$2="",$D$2=0),0,IF(BJ$3&lt;0,0,N(INDEX('CURVA PREVISION'!$A$1:$KZ$3000,$C47,11+3*MIN(BJ$3,$D$2-1)))))</f>
        <v/>
      </c>
      <c r="BK47" s="122">
        <f>IF(OR($C47="",$B$2="",$D$2=0),0,IF(BK$3&lt;0,0,N(INDEX('CURVA PREVISION'!$A$1:$KZ$3000,$C47,11+3*MIN(BK$3,$D$2-1)))))</f>
        <v/>
      </c>
      <c r="BL47" s="122">
        <f>IF(OR($C47="",$B$2="",$D$2=0),0,IF(BL$3&lt;0,0,N(INDEX('CURVA PREVISION'!$A$1:$KZ$3000,$C47,11+3*MIN(BL$3,$D$2-1)))))</f>
        <v/>
      </c>
      <c r="BM47" s="122">
        <f>IF(OR($C47="",$B$2="",$D$2=0),0,IF(BM$3&lt;0,0,N(INDEX('CURVA PREVISION'!$A$1:$KZ$3000,$C47,11+3*MIN(BM$3,$D$2-1)))))</f>
        <v/>
      </c>
      <c r="BN47" s="122">
        <f>IF(OR($C47="",$B$2="",$D$2=0),0,IF(BN$3&lt;0,0,N(INDEX('CURVA PREVISION'!$A$1:$KZ$3000,$C47,11+3*MIN(BN$3,$D$2-1)))))</f>
        <v/>
      </c>
      <c r="BO47" s="122">
        <f>IF(OR($C47="",$B$2="",$D$2=0),0,IF(BO$3&lt;0,0,N(INDEX('CURVA PREVISION'!$A$1:$KZ$3000,$C47,11+3*MIN(BO$3,$D$2-1)))))</f>
        <v/>
      </c>
      <c r="BP47" s="122">
        <f>IF(OR($C47="",$B$2="",$D$2=0),0,IF(BP$3&lt;0,0,N(INDEX('CURVA PREVISION'!$A$1:$KZ$3000,$C47,11+3*MIN(BP$3,$D$2-1)))))</f>
        <v/>
      </c>
      <c r="BQ47" s="122">
        <f>IF(OR($C47="",$B$2="",$D$2=0),0,IF(BQ$3&lt;0,0,N(INDEX('CURVA PREVISION'!$A$1:$KZ$3000,$C47,11+3*MIN(BQ$3,$D$2-1)))))</f>
        <v/>
      </c>
      <c r="BR47" s="122">
        <f>IF(OR($C47="",$B$2="",$D$2=0),0,IF(BR$3&lt;0,0,N(INDEX('CURVA PREVISION'!$A$1:$KZ$3000,$C47,11+3*MIN(BR$3,$D$2-1)))))</f>
        <v/>
      </c>
      <c r="BS47" s="122">
        <f>IF(OR($C47="",$B$2="",$D$2=0),0,IF(BS$3&lt;0,0,N(INDEX('CURVA PREVISION'!$A$1:$KZ$3000,$C47,11+3*MIN(BS$3,$D$2-1)))))</f>
        <v/>
      </c>
      <c r="BT47" s="122">
        <f>IF(OR($C47="",$B$2="",$D$2=0),0,IF(BT$3&lt;0,0,N(INDEX('CURVA PREVISION'!$A$1:$KZ$3000,$C47,11+3*MIN(BT$3,$D$2-1)))))</f>
        <v/>
      </c>
      <c r="BU47" s="122">
        <f>IF(OR($C47="",$B$2="",$D$2=0),0,IF(BU$3&lt;0,0,N(INDEX('CURVA PREVISION'!$A$1:$KZ$3000,$C47,11+3*MIN(BU$3,$D$2-1)))))</f>
        <v/>
      </c>
      <c r="BV47" s="122">
        <f>IF(OR($C47="",$B$2="",$D$2=0),0,IF(BV$3&lt;0,0,N(INDEX('CURVA PREVISION'!$A$1:$KZ$3000,$C47,11+3*MIN(BV$3,$D$2-1)))))</f>
        <v/>
      </c>
      <c r="BW47" s="122">
        <f>IF(OR($C47="",$B$2="",$D$2=0),0,IF(BW$3&lt;0,0,N(INDEX('CURVA PREVISION'!$A$1:$KZ$3000,$C47,11+3*MIN(BW$3,$D$2-1)))))</f>
        <v/>
      </c>
    </row>
    <row r="48">
      <c r="A48" s="51">
        <f>A6</f>
        <v/>
      </c>
      <c r="B48" s="51">
        <f>B6</f>
        <v/>
      </c>
      <c r="C48" s="68">
        <f>C6</f>
        <v/>
      </c>
      <c r="D48" s="122">
        <f>IF(OR($C48="",$B$2="",$D$2=0),0,IF(D$3&lt;0,0,N(INDEX('CURVA PREVISION'!$A$1:$KZ$3000,$C48,11+3*MIN(D$3,$D$2-1)))))</f>
        <v/>
      </c>
      <c r="E48" s="122">
        <f>IF(OR($C48="",$B$2="",$D$2=0),0,IF(E$3&lt;0,0,N(INDEX('CURVA PREVISION'!$A$1:$KZ$3000,$C48,11+3*MIN(E$3,$D$2-1)))))</f>
        <v/>
      </c>
      <c r="F48" s="122">
        <f>IF(OR($C48="",$B$2="",$D$2=0),0,IF(F$3&lt;0,0,N(INDEX('CURVA PREVISION'!$A$1:$KZ$3000,$C48,11+3*MIN(F$3,$D$2-1)))))</f>
        <v/>
      </c>
      <c r="G48" s="122">
        <f>IF(OR($C48="",$B$2="",$D$2=0),0,IF(G$3&lt;0,0,N(INDEX('CURVA PREVISION'!$A$1:$KZ$3000,$C48,11+3*MIN(G$3,$D$2-1)))))</f>
        <v/>
      </c>
      <c r="H48" s="122">
        <f>IF(OR($C48="",$B$2="",$D$2=0),0,IF(H$3&lt;0,0,N(INDEX('CURVA PREVISION'!$A$1:$KZ$3000,$C48,11+3*MIN(H$3,$D$2-1)))))</f>
        <v/>
      </c>
      <c r="I48" s="122">
        <f>IF(OR($C48="",$B$2="",$D$2=0),0,IF(I$3&lt;0,0,N(INDEX('CURVA PREVISION'!$A$1:$KZ$3000,$C48,11+3*MIN(I$3,$D$2-1)))))</f>
        <v/>
      </c>
      <c r="J48" s="122">
        <f>IF(OR($C48="",$B$2="",$D$2=0),0,IF(J$3&lt;0,0,N(INDEX('CURVA PREVISION'!$A$1:$KZ$3000,$C48,11+3*MIN(J$3,$D$2-1)))))</f>
        <v/>
      </c>
      <c r="K48" s="122">
        <f>IF(OR($C48="",$B$2="",$D$2=0),0,IF(K$3&lt;0,0,N(INDEX('CURVA PREVISION'!$A$1:$KZ$3000,$C48,11+3*MIN(K$3,$D$2-1)))))</f>
        <v/>
      </c>
      <c r="L48" s="122">
        <f>IF(OR($C48="",$B$2="",$D$2=0),0,IF(L$3&lt;0,0,N(INDEX('CURVA PREVISION'!$A$1:$KZ$3000,$C48,11+3*MIN(L$3,$D$2-1)))))</f>
        <v/>
      </c>
      <c r="M48" s="122">
        <f>IF(OR($C48="",$B$2="",$D$2=0),0,IF(M$3&lt;0,0,N(INDEX('CURVA PREVISION'!$A$1:$KZ$3000,$C48,11+3*MIN(M$3,$D$2-1)))))</f>
        <v/>
      </c>
      <c r="N48" s="122">
        <f>IF(OR($C48="",$B$2="",$D$2=0),0,IF(N$3&lt;0,0,N(INDEX('CURVA PREVISION'!$A$1:$KZ$3000,$C48,11+3*MIN(N$3,$D$2-1)))))</f>
        <v/>
      </c>
      <c r="O48" s="122">
        <f>IF(OR($C48="",$B$2="",$D$2=0),0,IF(O$3&lt;0,0,N(INDEX('CURVA PREVISION'!$A$1:$KZ$3000,$C48,11+3*MIN(O$3,$D$2-1)))))</f>
        <v/>
      </c>
      <c r="P48" s="122">
        <f>IF(OR($C48="",$B$2="",$D$2=0),0,IF(P$3&lt;0,0,N(INDEX('CURVA PREVISION'!$A$1:$KZ$3000,$C48,11+3*MIN(P$3,$D$2-1)))))</f>
        <v/>
      </c>
      <c r="Q48" s="122">
        <f>IF(OR($C48="",$B$2="",$D$2=0),0,IF(Q$3&lt;0,0,N(INDEX('CURVA PREVISION'!$A$1:$KZ$3000,$C48,11+3*MIN(Q$3,$D$2-1)))))</f>
        <v/>
      </c>
      <c r="R48" s="122">
        <f>IF(OR($C48="",$B$2="",$D$2=0),0,IF(R$3&lt;0,0,N(INDEX('CURVA PREVISION'!$A$1:$KZ$3000,$C48,11+3*MIN(R$3,$D$2-1)))))</f>
        <v/>
      </c>
      <c r="S48" s="122">
        <f>IF(OR($C48="",$B$2="",$D$2=0),0,IF(S$3&lt;0,0,N(INDEX('CURVA PREVISION'!$A$1:$KZ$3000,$C48,11+3*MIN(S$3,$D$2-1)))))</f>
        <v/>
      </c>
      <c r="T48" s="122">
        <f>IF(OR($C48="",$B$2="",$D$2=0),0,IF(T$3&lt;0,0,N(INDEX('CURVA PREVISION'!$A$1:$KZ$3000,$C48,11+3*MIN(T$3,$D$2-1)))))</f>
        <v/>
      </c>
      <c r="U48" s="122">
        <f>IF(OR($C48="",$B$2="",$D$2=0),0,IF(U$3&lt;0,0,N(INDEX('CURVA PREVISION'!$A$1:$KZ$3000,$C48,11+3*MIN(U$3,$D$2-1)))))</f>
        <v/>
      </c>
      <c r="V48" s="122">
        <f>IF(OR($C48="",$B$2="",$D$2=0),0,IF(V$3&lt;0,0,N(INDEX('CURVA PREVISION'!$A$1:$KZ$3000,$C48,11+3*MIN(V$3,$D$2-1)))))</f>
        <v/>
      </c>
      <c r="W48" s="122">
        <f>IF(OR($C48="",$B$2="",$D$2=0),0,IF(W$3&lt;0,0,N(INDEX('CURVA PREVISION'!$A$1:$KZ$3000,$C48,11+3*MIN(W$3,$D$2-1)))))</f>
        <v/>
      </c>
      <c r="X48" s="122">
        <f>IF(OR($C48="",$B$2="",$D$2=0),0,IF(X$3&lt;0,0,N(INDEX('CURVA PREVISION'!$A$1:$KZ$3000,$C48,11+3*MIN(X$3,$D$2-1)))))</f>
        <v/>
      </c>
      <c r="Y48" s="122">
        <f>IF(OR($C48="",$B$2="",$D$2=0),0,IF(Y$3&lt;0,0,N(INDEX('CURVA PREVISION'!$A$1:$KZ$3000,$C48,11+3*MIN(Y$3,$D$2-1)))))</f>
        <v/>
      </c>
      <c r="Z48" s="122">
        <f>IF(OR($C48="",$B$2="",$D$2=0),0,IF(Z$3&lt;0,0,N(INDEX('CURVA PREVISION'!$A$1:$KZ$3000,$C48,11+3*MIN(Z$3,$D$2-1)))))</f>
        <v/>
      </c>
      <c r="AA48" s="122">
        <f>IF(OR($C48="",$B$2="",$D$2=0),0,IF(AA$3&lt;0,0,N(INDEX('CURVA PREVISION'!$A$1:$KZ$3000,$C48,11+3*MIN(AA$3,$D$2-1)))))</f>
        <v/>
      </c>
      <c r="AB48" s="122">
        <f>IF(OR($C48="",$B$2="",$D$2=0),0,IF(AB$3&lt;0,0,N(INDEX('CURVA PREVISION'!$A$1:$KZ$3000,$C48,11+3*MIN(AB$3,$D$2-1)))))</f>
        <v/>
      </c>
      <c r="AC48" s="122">
        <f>IF(OR($C48="",$B$2="",$D$2=0),0,IF(AC$3&lt;0,0,N(INDEX('CURVA PREVISION'!$A$1:$KZ$3000,$C48,11+3*MIN(AC$3,$D$2-1)))))</f>
        <v/>
      </c>
      <c r="AD48" s="122">
        <f>IF(OR($C48="",$B$2="",$D$2=0),0,IF(AD$3&lt;0,0,N(INDEX('CURVA PREVISION'!$A$1:$KZ$3000,$C48,11+3*MIN(AD$3,$D$2-1)))))</f>
        <v/>
      </c>
      <c r="AE48" s="122">
        <f>IF(OR($C48="",$B$2="",$D$2=0),0,IF(AE$3&lt;0,0,N(INDEX('CURVA PREVISION'!$A$1:$KZ$3000,$C48,11+3*MIN(AE$3,$D$2-1)))))</f>
        <v/>
      </c>
      <c r="AF48" s="122">
        <f>IF(OR($C48="",$B$2="",$D$2=0),0,IF(AF$3&lt;0,0,N(INDEX('CURVA PREVISION'!$A$1:$KZ$3000,$C48,11+3*MIN(AF$3,$D$2-1)))))</f>
        <v/>
      </c>
      <c r="AG48" s="122">
        <f>IF(OR($C48="",$B$2="",$D$2=0),0,IF(AG$3&lt;0,0,N(INDEX('CURVA PREVISION'!$A$1:$KZ$3000,$C48,11+3*MIN(AG$3,$D$2-1)))))</f>
        <v/>
      </c>
      <c r="AH48" s="122">
        <f>IF(OR($C48="",$B$2="",$D$2=0),0,IF(AH$3&lt;0,0,N(INDEX('CURVA PREVISION'!$A$1:$KZ$3000,$C48,11+3*MIN(AH$3,$D$2-1)))))</f>
        <v/>
      </c>
      <c r="AI48" s="122">
        <f>IF(OR($C48="",$B$2="",$D$2=0),0,IF(AI$3&lt;0,0,N(INDEX('CURVA PREVISION'!$A$1:$KZ$3000,$C48,11+3*MIN(AI$3,$D$2-1)))))</f>
        <v/>
      </c>
      <c r="AJ48" s="122">
        <f>IF(OR($C48="",$B$2="",$D$2=0),0,IF(AJ$3&lt;0,0,N(INDEX('CURVA PREVISION'!$A$1:$KZ$3000,$C48,11+3*MIN(AJ$3,$D$2-1)))))</f>
        <v/>
      </c>
      <c r="AK48" s="122">
        <f>IF(OR($C48="",$B$2="",$D$2=0),0,IF(AK$3&lt;0,0,N(INDEX('CURVA PREVISION'!$A$1:$KZ$3000,$C48,11+3*MIN(AK$3,$D$2-1)))))</f>
        <v/>
      </c>
      <c r="AL48" s="122">
        <f>IF(OR($C48="",$B$2="",$D$2=0),0,IF(AL$3&lt;0,0,N(INDEX('CURVA PREVISION'!$A$1:$KZ$3000,$C48,11+3*MIN(AL$3,$D$2-1)))))</f>
        <v/>
      </c>
      <c r="AM48" s="122">
        <f>IF(OR($C48="",$B$2="",$D$2=0),0,IF(AM$3&lt;0,0,N(INDEX('CURVA PREVISION'!$A$1:$KZ$3000,$C48,11+3*MIN(AM$3,$D$2-1)))))</f>
        <v/>
      </c>
      <c r="AN48" s="122">
        <f>IF(OR($C48="",$B$2="",$D$2=0),0,IF(AN$3&lt;0,0,N(INDEX('CURVA PREVISION'!$A$1:$KZ$3000,$C48,11+3*MIN(AN$3,$D$2-1)))))</f>
        <v/>
      </c>
      <c r="AO48" s="122">
        <f>IF(OR($C48="",$B$2="",$D$2=0),0,IF(AO$3&lt;0,0,N(INDEX('CURVA PREVISION'!$A$1:$KZ$3000,$C48,11+3*MIN(AO$3,$D$2-1)))))</f>
        <v/>
      </c>
      <c r="AP48" s="122">
        <f>IF(OR($C48="",$B$2="",$D$2=0),0,IF(AP$3&lt;0,0,N(INDEX('CURVA PREVISION'!$A$1:$KZ$3000,$C48,11+3*MIN(AP$3,$D$2-1)))))</f>
        <v/>
      </c>
      <c r="AQ48" s="122">
        <f>IF(OR($C48="",$B$2="",$D$2=0),0,IF(AQ$3&lt;0,0,N(INDEX('CURVA PREVISION'!$A$1:$KZ$3000,$C48,11+3*MIN(AQ$3,$D$2-1)))))</f>
        <v/>
      </c>
      <c r="AR48" s="122">
        <f>IF(OR($C48="",$B$2="",$D$2=0),0,IF(AR$3&lt;0,0,N(INDEX('CURVA PREVISION'!$A$1:$KZ$3000,$C48,11+3*MIN(AR$3,$D$2-1)))))</f>
        <v/>
      </c>
      <c r="AS48" s="122">
        <f>IF(OR($C48="",$B$2="",$D$2=0),0,IF(AS$3&lt;0,0,N(INDEX('CURVA PREVISION'!$A$1:$KZ$3000,$C48,11+3*MIN(AS$3,$D$2-1)))))</f>
        <v/>
      </c>
      <c r="AT48" s="122">
        <f>IF(OR($C48="",$B$2="",$D$2=0),0,IF(AT$3&lt;0,0,N(INDEX('CURVA PREVISION'!$A$1:$KZ$3000,$C48,11+3*MIN(AT$3,$D$2-1)))))</f>
        <v/>
      </c>
      <c r="AU48" s="122">
        <f>IF(OR($C48="",$B$2="",$D$2=0),0,IF(AU$3&lt;0,0,N(INDEX('CURVA PREVISION'!$A$1:$KZ$3000,$C48,11+3*MIN(AU$3,$D$2-1)))))</f>
        <v/>
      </c>
      <c r="AV48" s="122">
        <f>IF(OR($C48="",$B$2="",$D$2=0),0,IF(AV$3&lt;0,0,N(INDEX('CURVA PREVISION'!$A$1:$KZ$3000,$C48,11+3*MIN(AV$3,$D$2-1)))))</f>
        <v/>
      </c>
      <c r="AW48" s="122">
        <f>IF(OR($C48="",$B$2="",$D$2=0),0,IF(AW$3&lt;0,0,N(INDEX('CURVA PREVISION'!$A$1:$KZ$3000,$C48,11+3*MIN(AW$3,$D$2-1)))))</f>
        <v/>
      </c>
      <c r="AX48" s="122">
        <f>IF(OR($C48="",$B$2="",$D$2=0),0,IF(AX$3&lt;0,0,N(INDEX('CURVA PREVISION'!$A$1:$KZ$3000,$C48,11+3*MIN(AX$3,$D$2-1)))))</f>
        <v/>
      </c>
      <c r="AY48" s="122">
        <f>IF(OR($C48="",$B$2="",$D$2=0),0,IF(AY$3&lt;0,0,N(INDEX('CURVA PREVISION'!$A$1:$KZ$3000,$C48,11+3*MIN(AY$3,$D$2-1)))))</f>
        <v/>
      </c>
      <c r="AZ48" s="122">
        <f>IF(OR($C48="",$B$2="",$D$2=0),0,IF(AZ$3&lt;0,0,N(INDEX('CURVA PREVISION'!$A$1:$KZ$3000,$C48,11+3*MIN(AZ$3,$D$2-1)))))</f>
        <v/>
      </c>
      <c r="BA48" s="122">
        <f>IF(OR($C48="",$B$2="",$D$2=0),0,IF(BA$3&lt;0,0,N(INDEX('CURVA PREVISION'!$A$1:$KZ$3000,$C48,11+3*MIN(BA$3,$D$2-1)))))</f>
        <v/>
      </c>
      <c r="BB48" s="122">
        <f>IF(OR($C48="",$B$2="",$D$2=0),0,IF(BB$3&lt;0,0,N(INDEX('CURVA PREVISION'!$A$1:$KZ$3000,$C48,11+3*MIN(BB$3,$D$2-1)))))</f>
        <v/>
      </c>
      <c r="BC48" s="122">
        <f>IF(OR($C48="",$B$2="",$D$2=0),0,IF(BC$3&lt;0,0,N(INDEX('CURVA PREVISION'!$A$1:$KZ$3000,$C48,11+3*MIN(BC$3,$D$2-1)))))</f>
        <v/>
      </c>
      <c r="BD48" s="122">
        <f>IF(OR($C48="",$B$2="",$D$2=0),0,IF(BD$3&lt;0,0,N(INDEX('CURVA PREVISION'!$A$1:$KZ$3000,$C48,11+3*MIN(BD$3,$D$2-1)))))</f>
        <v/>
      </c>
      <c r="BE48" s="122">
        <f>IF(OR($C48="",$B$2="",$D$2=0),0,IF(BE$3&lt;0,0,N(INDEX('CURVA PREVISION'!$A$1:$KZ$3000,$C48,11+3*MIN(BE$3,$D$2-1)))))</f>
        <v/>
      </c>
      <c r="BF48" s="122">
        <f>IF(OR($C48="",$B$2="",$D$2=0),0,IF(BF$3&lt;0,0,N(INDEX('CURVA PREVISION'!$A$1:$KZ$3000,$C48,11+3*MIN(BF$3,$D$2-1)))))</f>
        <v/>
      </c>
      <c r="BG48" s="122">
        <f>IF(OR($C48="",$B$2="",$D$2=0),0,IF(BG$3&lt;0,0,N(INDEX('CURVA PREVISION'!$A$1:$KZ$3000,$C48,11+3*MIN(BG$3,$D$2-1)))))</f>
        <v/>
      </c>
      <c r="BH48" s="122">
        <f>IF(OR($C48="",$B$2="",$D$2=0),0,IF(BH$3&lt;0,0,N(INDEX('CURVA PREVISION'!$A$1:$KZ$3000,$C48,11+3*MIN(BH$3,$D$2-1)))))</f>
        <v/>
      </c>
      <c r="BI48" s="122">
        <f>IF(OR($C48="",$B$2="",$D$2=0),0,IF(BI$3&lt;0,0,N(INDEX('CURVA PREVISION'!$A$1:$KZ$3000,$C48,11+3*MIN(BI$3,$D$2-1)))))</f>
        <v/>
      </c>
      <c r="BJ48" s="122">
        <f>IF(OR($C48="",$B$2="",$D$2=0),0,IF(BJ$3&lt;0,0,N(INDEX('CURVA PREVISION'!$A$1:$KZ$3000,$C48,11+3*MIN(BJ$3,$D$2-1)))))</f>
        <v/>
      </c>
      <c r="BK48" s="122">
        <f>IF(OR($C48="",$B$2="",$D$2=0),0,IF(BK$3&lt;0,0,N(INDEX('CURVA PREVISION'!$A$1:$KZ$3000,$C48,11+3*MIN(BK$3,$D$2-1)))))</f>
        <v/>
      </c>
      <c r="BL48" s="122">
        <f>IF(OR($C48="",$B$2="",$D$2=0),0,IF(BL$3&lt;0,0,N(INDEX('CURVA PREVISION'!$A$1:$KZ$3000,$C48,11+3*MIN(BL$3,$D$2-1)))))</f>
        <v/>
      </c>
      <c r="BM48" s="122">
        <f>IF(OR($C48="",$B$2="",$D$2=0),0,IF(BM$3&lt;0,0,N(INDEX('CURVA PREVISION'!$A$1:$KZ$3000,$C48,11+3*MIN(BM$3,$D$2-1)))))</f>
        <v/>
      </c>
      <c r="BN48" s="122">
        <f>IF(OR($C48="",$B$2="",$D$2=0),0,IF(BN$3&lt;0,0,N(INDEX('CURVA PREVISION'!$A$1:$KZ$3000,$C48,11+3*MIN(BN$3,$D$2-1)))))</f>
        <v/>
      </c>
      <c r="BO48" s="122">
        <f>IF(OR($C48="",$B$2="",$D$2=0),0,IF(BO$3&lt;0,0,N(INDEX('CURVA PREVISION'!$A$1:$KZ$3000,$C48,11+3*MIN(BO$3,$D$2-1)))))</f>
        <v/>
      </c>
      <c r="BP48" s="122">
        <f>IF(OR($C48="",$B$2="",$D$2=0),0,IF(BP$3&lt;0,0,N(INDEX('CURVA PREVISION'!$A$1:$KZ$3000,$C48,11+3*MIN(BP$3,$D$2-1)))))</f>
        <v/>
      </c>
      <c r="BQ48" s="122">
        <f>IF(OR($C48="",$B$2="",$D$2=0),0,IF(BQ$3&lt;0,0,N(INDEX('CURVA PREVISION'!$A$1:$KZ$3000,$C48,11+3*MIN(BQ$3,$D$2-1)))))</f>
        <v/>
      </c>
      <c r="BR48" s="122">
        <f>IF(OR($C48="",$B$2="",$D$2=0),0,IF(BR$3&lt;0,0,N(INDEX('CURVA PREVISION'!$A$1:$KZ$3000,$C48,11+3*MIN(BR$3,$D$2-1)))))</f>
        <v/>
      </c>
      <c r="BS48" s="122">
        <f>IF(OR($C48="",$B$2="",$D$2=0),0,IF(BS$3&lt;0,0,N(INDEX('CURVA PREVISION'!$A$1:$KZ$3000,$C48,11+3*MIN(BS$3,$D$2-1)))))</f>
        <v/>
      </c>
      <c r="BT48" s="122">
        <f>IF(OR($C48="",$B$2="",$D$2=0),0,IF(BT$3&lt;0,0,N(INDEX('CURVA PREVISION'!$A$1:$KZ$3000,$C48,11+3*MIN(BT$3,$D$2-1)))))</f>
        <v/>
      </c>
      <c r="BU48" s="122">
        <f>IF(OR($C48="",$B$2="",$D$2=0),0,IF(BU$3&lt;0,0,N(INDEX('CURVA PREVISION'!$A$1:$KZ$3000,$C48,11+3*MIN(BU$3,$D$2-1)))))</f>
        <v/>
      </c>
      <c r="BV48" s="122">
        <f>IF(OR($C48="",$B$2="",$D$2=0),0,IF(BV$3&lt;0,0,N(INDEX('CURVA PREVISION'!$A$1:$KZ$3000,$C48,11+3*MIN(BV$3,$D$2-1)))))</f>
        <v/>
      </c>
      <c r="BW48" s="122">
        <f>IF(OR($C48="",$B$2="",$D$2=0),0,IF(BW$3&lt;0,0,N(INDEX('CURVA PREVISION'!$A$1:$KZ$3000,$C48,11+3*MIN(BW$3,$D$2-1)))))</f>
        <v/>
      </c>
    </row>
    <row r="49">
      <c r="A49" s="51">
        <f>A7</f>
        <v/>
      </c>
      <c r="B49" s="51">
        <f>B7</f>
        <v/>
      </c>
      <c r="C49" s="68">
        <f>C7</f>
        <v/>
      </c>
      <c r="D49" s="122">
        <f>IF(OR($C49="",$B$2="",$D$2=0),0,IF(D$3&lt;0,0,N(INDEX('CURVA PREVISION'!$A$1:$KZ$3000,$C49,11+3*MIN(D$3,$D$2-1)))))</f>
        <v/>
      </c>
      <c r="E49" s="122">
        <f>IF(OR($C49="",$B$2="",$D$2=0),0,IF(E$3&lt;0,0,N(INDEX('CURVA PREVISION'!$A$1:$KZ$3000,$C49,11+3*MIN(E$3,$D$2-1)))))</f>
        <v/>
      </c>
      <c r="F49" s="122">
        <f>IF(OR($C49="",$B$2="",$D$2=0),0,IF(F$3&lt;0,0,N(INDEX('CURVA PREVISION'!$A$1:$KZ$3000,$C49,11+3*MIN(F$3,$D$2-1)))))</f>
        <v/>
      </c>
      <c r="G49" s="122">
        <f>IF(OR($C49="",$B$2="",$D$2=0),0,IF(G$3&lt;0,0,N(INDEX('CURVA PREVISION'!$A$1:$KZ$3000,$C49,11+3*MIN(G$3,$D$2-1)))))</f>
        <v/>
      </c>
      <c r="H49" s="122">
        <f>IF(OR($C49="",$B$2="",$D$2=0),0,IF(H$3&lt;0,0,N(INDEX('CURVA PREVISION'!$A$1:$KZ$3000,$C49,11+3*MIN(H$3,$D$2-1)))))</f>
        <v/>
      </c>
      <c r="I49" s="122">
        <f>IF(OR($C49="",$B$2="",$D$2=0),0,IF(I$3&lt;0,0,N(INDEX('CURVA PREVISION'!$A$1:$KZ$3000,$C49,11+3*MIN(I$3,$D$2-1)))))</f>
        <v/>
      </c>
      <c r="J49" s="122">
        <f>IF(OR($C49="",$B$2="",$D$2=0),0,IF(J$3&lt;0,0,N(INDEX('CURVA PREVISION'!$A$1:$KZ$3000,$C49,11+3*MIN(J$3,$D$2-1)))))</f>
        <v/>
      </c>
      <c r="K49" s="122">
        <f>IF(OR($C49="",$B$2="",$D$2=0),0,IF(K$3&lt;0,0,N(INDEX('CURVA PREVISION'!$A$1:$KZ$3000,$C49,11+3*MIN(K$3,$D$2-1)))))</f>
        <v/>
      </c>
      <c r="L49" s="122">
        <f>IF(OR($C49="",$B$2="",$D$2=0),0,IF(L$3&lt;0,0,N(INDEX('CURVA PREVISION'!$A$1:$KZ$3000,$C49,11+3*MIN(L$3,$D$2-1)))))</f>
        <v/>
      </c>
      <c r="M49" s="122">
        <f>IF(OR($C49="",$B$2="",$D$2=0),0,IF(M$3&lt;0,0,N(INDEX('CURVA PREVISION'!$A$1:$KZ$3000,$C49,11+3*MIN(M$3,$D$2-1)))))</f>
        <v/>
      </c>
      <c r="N49" s="122">
        <f>IF(OR($C49="",$B$2="",$D$2=0),0,IF(N$3&lt;0,0,N(INDEX('CURVA PREVISION'!$A$1:$KZ$3000,$C49,11+3*MIN(N$3,$D$2-1)))))</f>
        <v/>
      </c>
      <c r="O49" s="122">
        <f>IF(OR($C49="",$B$2="",$D$2=0),0,IF(O$3&lt;0,0,N(INDEX('CURVA PREVISION'!$A$1:$KZ$3000,$C49,11+3*MIN(O$3,$D$2-1)))))</f>
        <v/>
      </c>
      <c r="P49" s="122">
        <f>IF(OR($C49="",$B$2="",$D$2=0),0,IF(P$3&lt;0,0,N(INDEX('CURVA PREVISION'!$A$1:$KZ$3000,$C49,11+3*MIN(P$3,$D$2-1)))))</f>
        <v/>
      </c>
      <c r="Q49" s="122">
        <f>IF(OR($C49="",$B$2="",$D$2=0),0,IF(Q$3&lt;0,0,N(INDEX('CURVA PREVISION'!$A$1:$KZ$3000,$C49,11+3*MIN(Q$3,$D$2-1)))))</f>
        <v/>
      </c>
      <c r="R49" s="122">
        <f>IF(OR($C49="",$B$2="",$D$2=0),0,IF(R$3&lt;0,0,N(INDEX('CURVA PREVISION'!$A$1:$KZ$3000,$C49,11+3*MIN(R$3,$D$2-1)))))</f>
        <v/>
      </c>
      <c r="S49" s="122">
        <f>IF(OR($C49="",$B$2="",$D$2=0),0,IF(S$3&lt;0,0,N(INDEX('CURVA PREVISION'!$A$1:$KZ$3000,$C49,11+3*MIN(S$3,$D$2-1)))))</f>
        <v/>
      </c>
      <c r="T49" s="122">
        <f>IF(OR($C49="",$B$2="",$D$2=0),0,IF(T$3&lt;0,0,N(INDEX('CURVA PREVISION'!$A$1:$KZ$3000,$C49,11+3*MIN(T$3,$D$2-1)))))</f>
        <v/>
      </c>
      <c r="U49" s="122">
        <f>IF(OR($C49="",$B$2="",$D$2=0),0,IF(U$3&lt;0,0,N(INDEX('CURVA PREVISION'!$A$1:$KZ$3000,$C49,11+3*MIN(U$3,$D$2-1)))))</f>
        <v/>
      </c>
      <c r="V49" s="122">
        <f>IF(OR($C49="",$B$2="",$D$2=0),0,IF(V$3&lt;0,0,N(INDEX('CURVA PREVISION'!$A$1:$KZ$3000,$C49,11+3*MIN(V$3,$D$2-1)))))</f>
        <v/>
      </c>
      <c r="W49" s="122">
        <f>IF(OR($C49="",$B$2="",$D$2=0),0,IF(W$3&lt;0,0,N(INDEX('CURVA PREVISION'!$A$1:$KZ$3000,$C49,11+3*MIN(W$3,$D$2-1)))))</f>
        <v/>
      </c>
      <c r="X49" s="122">
        <f>IF(OR($C49="",$B$2="",$D$2=0),0,IF(X$3&lt;0,0,N(INDEX('CURVA PREVISION'!$A$1:$KZ$3000,$C49,11+3*MIN(X$3,$D$2-1)))))</f>
        <v/>
      </c>
      <c r="Y49" s="122">
        <f>IF(OR($C49="",$B$2="",$D$2=0),0,IF(Y$3&lt;0,0,N(INDEX('CURVA PREVISION'!$A$1:$KZ$3000,$C49,11+3*MIN(Y$3,$D$2-1)))))</f>
        <v/>
      </c>
      <c r="Z49" s="122">
        <f>IF(OR($C49="",$B$2="",$D$2=0),0,IF(Z$3&lt;0,0,N(INDEX('CURVA PREVISION'!$A$1:$KZ$3000,$C49,11+3*MIN(Z$3,$D$2-1)))))</f>
        <v/>
      </c>
      <c r="AA49" s="122">
        <f>IF(OR($C49="",$B$2="",$D$2=0),0,IF(AA$3&lt;0,0,N(INDEX('CURVA PREVISION'!$A$1:$KZ$3000,$C49,11+3*MIN(AA$3,$D$2-1)))))</f>
        <v/>
      </c>
      <c r="AB49" s="122">
        <f>IF(OR($C49="",$B$2="",$D$2=0),0,IF(AB$3&lt;0,0,N(INDEX('CURVA PREVISION'!$A$1:$KZ$3000,$C49,11+3*MIN(AB$3,$D$2-1)))))</f>
        <v/>
      </c>
      <c r="AC49" s="122">
        <f>IF(OR($C49="",$B$2="",$D$2=0),0,IF(AC$3&lt;0,0,N(INDEX('CURVA PREVISION'!$A$1:$KZ$3000,$C49,11+3*MIN(AC$3,$D$2-1)))))</f>
        <v/>
      </c>
      <c r="AD49" s="122">
        <f>IF(OR($C49="",$B$2="",$D$2=0),0,IF(AD$3&lt;0,0,N(INDEX('CURVA PREVISION'!$A$1:$KZ$3000,$C49,11+3*MIN(AD$3,$D$2-1)))))</f>
        <v/>
      </c>
      <c r="AE49" s="122">
        <f>IF(OR($C49="",$B$2="",$D$2=0),0,IF(AE$3&lt;0,0,N(INDEX('CURVA PREVISION'!$A$1:$KZ$3000,$C49,11+3*MIN(AE$3,$D$2-1)))))</f>
        <v/>
      </c>
      <c r="AF49" s="122">
        <f>IF(OR($C49="",$B$2="",$D$2=0),0,IF(AF$3&lt;0,0,N(INDEX('CURVA PREVISION'!$A$1:$KZ$3000,$C49,11+3*MIN(AF$3,$D$2-1)))))</f>
        <v/>
      </c>
      <c r="AG49" s="122">
        <f>IF(OR($C49="",$B$2="",$D$2=0),0,IF(AG$3&lt;0,0,N(INDEX('CURVA PREVISION'!$A$1:$KZ$3000,$C49,11+3*MIN(AG$3,$D$2-1)))))</f>
        <v/>
      </c>
      <c r="AH49" s="122">
        <f>IF(OR($C49="",$B$2="",$D$2=0),0,IF(AH$3&lt;0,0,N(INDEX('CURVA PREVISION'!$A$1:$KZ$3000,$C49,11+3*MIN(AH$3,$D$2-1)))))</f>
        <v/>
      </c>
      <c r="AI49" s="122">
        <f>IF(OR($C49="",$B$2="",$D$2=0),0,IF(AI$3&lt;0,0,N(INDEX('CURVA PREVISION'!$A$1:$KZ$3000,$C49,11+3*MIN(AI$3,$D$2-1)))))</f>
        <v/>
      </c>
      <c r="AJ49" s="122">
        <f>IF(OR($C49="",$B$2="",$D$2=0),0,IF(AJ$3&lt;0,0,N(INDEX('CURVA PREVISION'!$A$1:$KZ$3000,$C49,11+3*MIN(AJ$3,$D$2-1)))))</f>
        <v/>
      </c>
      <c r="AK49" s="122">
        <f>IF(OR($C49="",$B$2="",$D$2=0),0,IF(AK$3&lt;0,0,N(INDEX('CURVA PREVISION'!$A$1:$KZ$3000,$C49,11+3*MIN(AK$3,$D$2-1)))))</f>
        <v/>
      </c>
      <c r="AL49" s="122">
        <f>IF(OR($C49="",$B$2="",$D$2=0),0,IF(AL$3&lt;0,0,N(INDEX('CURVA PREVISION'!$A$1:$KZ$3000,$C49,11+3*MIN(AL$3,$D$2-1)))))</f>
        <v/>
      </c>
      <c r="AM49" s="122">
        <f>IF(OR($C49="",$B$2="",$D$2=0),0,IF(AM$3&lt;0,0,N(INDEX('CURVA PREVISION'!$A$1:$KZ$3000,$C49,11+3*MIN(AM$3,$D$2-1)))))</f>
        <v/>
      </c>
      <c r="AN49" s="122">
        <f>IF(OR($C49="",$B$2="",$D$2=0),0,IF(AN$3&lt;0,0,N(INDEX('CURVA PREVISION'!$A$1:$KZ$3000,$C49,11+3*MIN(AN$3,$D$2-1)))))</f>
        <v/>
      </c>
      <c r="AO49" s="122">
        <f>IF(OR($C49="",$B$2="",$D$2=0),0,IF(AO$3&lt;0,0,N(INDEX('CURVA PREVISION'!$A$1:$KZ$3000,$C49,11+3*MIN(AO$3,$D$2-1)))))</f>
        <v/>
      </c>
      <c r="AP49" s="122">
        <f>IF(OR($C49="",$B$2="",$D$2=0),0,IF(AP$3&lt;0,0,N(INDEX('CURVA PREVISION'!$A$1:$KZ$3000,$C49,11+3*MIN(AP$3,$D$2-1)))))</f>
        <v/>
      </c>
      <c r="AQ49" s="122">
        <f>IF(OR($C49="",$B$2="",$D$2=0),0,IF(AQ$3&lt;0,0,N(INDEX('CURVA PREVISION'!$A$1:$KZ$3000,$C49,11+3*MIN(AQ$3,$D$2-1)))))</f>
        <v/>
      </c>
      <c r="AR49" s="122">
        <f>IF(OR($C49="",$B$2="",$D$2=0),0,IF(AR$3&lt;0,0,N(INDEX('CURVA PREVISION'!$A$1:$KZ$3000,$C49,11+3*MIN(AR$3,$D$2-1)))))</f>
        <v/>
      </c>
      <c r="AS49" s="122">
        <f>IF(OR($C49="",$B$2="",$D$2=0),0,IF(AS$3&lt;0,0,N(INDEX('CURVA PREVISION'!$A$1:$KZ$3000,$C49,11+3*MIN(AS$3,$D$2-1)))))</f>
        <v/>
      </c>
      <c r="AT49" s="122">
        <f>IF(OR($C49="",$B$2="",$D$2=0),0,IF(AT$3&lt;0,0,N(INDEX('CURVA PREVISION'!$A$1:$KZ$3000,$C49,11+3*MIN(AT$3,$D$2-1)))))</f>
        <v/>
      </c>
      <c r="AU49" s="122">
        <f>IF(OR($C49="",$B$2="",$D$2=0),0,IF(AU$3&lt;0,0,N(INDEX('CURVA PREVISION'!$A$1:$KZ$3000,$C49,11+3*MIN(AU$3,$D$2-1)))))</f>
        <v/>
      </c>
      <c r="AV49" s="122">
        <f>IF(OR($C49="",$B$2="",$D$2=0),0,IF(AV$3&lt;0,0,N(INDEX('CURVA PREVISION'!$A$1:$KZ$3000,$C49,11+3*MIN(AV$3,$D$2-1)))))</f>
        <v/>
      </c>
      <c r="AW49" s="122">
        <f>IF(OR($C49="",$B$2="",$D$2=0),0,IF(AW$3&lt;0,0,N(INDEX('CURVA PREVISION'!$A$1:$KZ$3000,$C49,11+3*MIN(AW$3,$D$2-1)))))</f>
        <v/>
      </c>
      <c r="AX49" s="122">
        <f>IF(OR($C49="",$B$2="",$D$2=0),0,IF(AX$3&lt;0,0,N(INDEX('CURVA PREVISION'!$A$1:$KZ$3000,$C49,11+3*MIN(AX$3,$D$2-1)))))</f>
        <v/>
      </c>
      <c r="AY49" s="122">
        <f>IF(OR($C49="",$B$2="",$D$2=0),0,IF(AY$3&lt;0,0,N(INDEX('CURVA PREVISION'!$A$1:$KZ$3000,$C49,11+3*MIN(AY$3,$D$2-1)))))</f>
        <v/>
      </c>
      <c r="AZ49" s="122">
        <f>IF(OR($C49="",$B$2="",$D$2=0),0,IF(AZ$3&lt;0,0,N(INDEX('CURVA PREVISION'!$A$1:$KZ$3000,$C49,11+3*MIN(AZ$3,$D$2-1)))))</f>
        <v/>
      </c>
      <c r="BA49" s="122">
        <f>IF(OR($C49="",$B$2="",$D$2=0),0,IF(BA$3&lt;0,0,N(INDEX('CURVA PREVISION'!$A$1:$KZ$3000,$C49,11+3*MIN(BA$3,$D$2-1)))))</f>
        <v/>
      </c>
      <c r="BB49" s="122">
        <f>IF(OR($C49="",$B$2="",$D$2=0),0,IF(BB$3&lt;0,0,N(INDEX('CURVA PREVISION'!$A$1:$KZ$3000,$C49,11+3*MIN(BB$3,$D$2-1)))))</f>
        <v/>
      </c>
      <c r="BC49" s="122">
        <f>IF(OR($C49="",$B$2="",$D$2=0),0,IF(BC$3&lt;0,0,N(INDEX('CURVA PREVISION'!$A$1:$KZ$3000,$C49,11+3*MIN(BC$3,$D$2-1)))))</f>
        <v/>
      </c>
      <c r="BD49" s="122">
        <f>IF(OR($C49="",$B$2="",$D$2=0),0,IF(BD$3&lt;0,0,N(INDEX('CURVA PREVISION'!$A$1:$KZ$3000,$C49,11+3*MIN(BD$3,$D$2-1)))))</f>
        <v/>
      </c>
      <c r="BE49" s="122">
        <f>IF(OR($C49="",$B$2="",$D$2=0),0,IF(BE$3&lt;0,0,N(INDEX('CURVA PREVISION'!$A$1:$KZ$3000,$C49,11+3*MIN(BE$3,$D$2-1)))))</f>
        <v/>
      </c>
      <c r="BF49" s="122">
        <f>IF(OR($C49="",$B$2="",$D$2=0),0,IF(BF$3&lt;0,0,N(INDEX('CURVA PREVISION'!$A$1:$KZ$3000,$C49,11+3*MIN(BF$3,$D$2-1)))))</f>
        <v/>
      </c>
      <c r="BG49" s="122">
        <f>IF(OR($C49="",$B$2="",$D$2=0),0,IF(BG$3&lt;0,0,N(INDEX('CURVA PREVISION'!$A$1:$KZ$3000,$C49,11+3*MIN(BG$3,$D$2-1)))))</f>
        <v/>
      </c>
      <c r="BH49" s="122">
        <f>IF(OR($C49="",$B$2="",$D$2=0),0,IF(BH$3&lt;0,0,N(INDEX('CURVA PREVISION'!$A$1:$KZ$3000,$C49,11+3*MIN(BH$3,$D$2-1)))))</f>
        <v/>
      </c>
      <c r="BI49" s="122">
        <f>IF(OR($C49="",$B$2="",$D$2=0),0,IF(BI$3&lt;0,0,N(INDEX('CURVA PREVISION'!$A$1:$KZ$3000,$C49,11+3*MIN(BI$3,$D$2-1)))))</f>
        <v/>
      </c>
      <c r="BJ49" s="122">
        <f>IF(OR($C49="",$B$2="",$D$2=0),0,IF(BJ$3&lt;0,0,N(INDEX('CURVA PREVISION'!$A$1:$KZ$3000,$C49,11+3*MIN(BJ$3,$D$2-1)))))</f>
        <v/>
      </c>
      <c r="BK49" s="122">
        <f>IF(OR($C49="",$B$2="",$D$2=0),0,IF(BK$3&lt;0,0,N(INDEX('CURVA PREVISION'!$A$1:$KZ$3000,$C49,11+3*MIN(BK$3,$D$2-1)))))</f>
        <v/>
      </c>
      <c r="BL49" s="122">
        <f>IF(OR($C49="",$B$2="",$D$2=0),0,IF(BL$3&lt;0,0,N(INDEX('CURVA PREVISION'!$A$1:$KZ$3000,$C49,11+3*MIN(BL$3,$D$2-1)))))</f>
        <v/>
      </c>
      <c r="BM49" s="122">
        <f>IF(OR($C49="",$B$2="",$D$2=0),0,IF(BM$3&lt;0,0,N(INDEX('CURVA PREVISION'!$A$1:$KZ$3000,$C49,11+3*MIN(BM$3,$D$2-1)))))</f>
        <v/>
      </c>
      <c r="BN49" s="122">
        <f>IF(OR($C49="",$B$2="",$D$2=0),0,IF(BN$3&lt;0,0,N(INDEX('CURVA PREVISION'!$A$1:$KZ$3000,$C49,11+3*MIN(BN$3,$D$2-1)))))</f>
        <v/>
      </c>
      <c r="BO49" s="122">
        <f>IF(OR($C49="",$B$2="",$D$2=0),0,IF(BO$3&lt;0,0,N(INDEX('CURVA PREVISION'!$A$1:$KZ$3000,$C49,11+3*MIN(BO$3,$D$2-1)))))</f>
        <v/>
      </c>
      <c r="BP49" s="122">
        <f>IF(OR($C49="",$B$2="",$D$2=0),0,IF(BP$3&lt;0,0,N(INDEX('CURVA PREVISION'!$A$1:$KZ$3000,$C49,11+3*MIN(BP$3,$D$2-1)))))</f>
        <v/>
      </c>
      <c r="BQ49" s="122">
        <f>IF(OR($C49="",$B$2="",$D$2=0),0,IF(BQ$3&lt;0,0,N(INDEX('CURVA PREVISION'!$A$1:$KZ$3000,$C49,11+3*MIN(BQ$3,$D$2-1)))))</f>
        <v/>
      </c>
      <c r="BR49" s="122">
        <f>IF(OR($C49="",$B$2="",$D$2=0),0,IF(BR$3&lt;0,0,N(INDEX('CURVA PREVISION'!$A$1:$KZ$3000,$C49,11+3*MIN(BR$3,$D$2-1)))))</f>
        <v/>
      </c>
      <c r="BS49" s="122">
        <f>IF(OR($C49="",$B$2="",$D$2=0),0,IF(BS$3&lt;0,0,N(INDEX('CURVA PREVISION'!$A$1:$KZ$3000,$C49,11+3*MIN(BS$3,$D$2-1)))))</f>
        <v/>
      </c>
      <c r="BT49" s="122">
        <f>IF(OR($C49="",$B$2="",$D$2=0),0,IF(BT$3&lt;0,0,N(INDEX('CURVA PREVISION'!$A$1:$KZ$3000,$C49,11+3*MIN(BT$3,$D$2-1)))))</f>
        <v/>
      </c>
      <c r="BU49" s="122">
        <f>IF(OR($C49="",$B$2="",$D$2=0),0,IF(BU$3&lt;0,0,N(INDEX('CURVA PREVISION'!$A$1:$KZ$3000,$C49,11+3*MIN(BU$3,$D$2-1)))))</f>
        <v/>
      </c>
      <c r="BV49" s="122">
        <f>IF(OR($C49="",$B$2="",$D$2=0),0,IF(BV$3&lt;0,0,N(INDEX('CURVA PREVISION'!$A$1:$KZ$3000,$C49,11+3*MIN(BV$3,$D$2-1)))))</f>
        <v/>
      </c>
      <c r="BW49" s="122">
        <f>IF(OR($C49="",$B$2="",$D$2=0),0,IF(BW$3&lt;0,0,N(INDEX('CURVA PREVISION'!$A$1:$KZ$3000,$C49,11+3*MIN(BW$3,$D$2-1)))))</f>
        <v/>
      </c>
    </row>
    <row r="50">
      <c r="A50" s="51">
        <f>A8</f>
        <v/>
      </c>
      <c r="B50" s="51">
        <f>B8</f>
        <v/>
      </c>
      <c r="C50" s="68">
        <f>C8</f>
        <v/>
      </c>
      <c r="D50" s="122">
        <f>IF(OR($C50="",$B$2="",$D$2=0),0,IF(D$3&lt;0,0,N(INDEX('CURVA PREVISION'!$A$1:$KZ$3000,$C50,11+3*MIN(D$3,$D$2-1)))))</f>
        <v/>
      </c>
      <c r="E50" s="122">
        <f>IF(OR($C50="",$B$2="",$D$2=0),0,IF(E$3&lt;0,0,N(INDEX('CURVA PREVISION'!$A$1:$KZ$3000,$C50,11+3*MIN(E$3,$D$2-1)))))</f>
        <v/>
      </c>
      <c r="F50" s="122">
        <f>IF(OR($C50="",$B$2="",$D$2=0),0,IF(F$3&lt;0,0,N(INDEX('CURVA PREVISION'!$A$1:$KZ$3000,$C50,11+3*MIN(F$3,$D$2-1)))))</f>
        <v/>
      </c>
      <c r="G50" s="122">
        <f>IF(OR($C50="",$B$2="",$D$2=0),0,IF(G$3&lt;0,0,N(INDEX('CURVA PREVISION'!$A$1:$KZ$3000,$C50,11+3*MIN(G$3,$D$2-1)))))</f>
        <v/>
      </c>
      <c r="H50" s="122">
        <f>IF(OR($C50="",$B$2="",$D$2=0),0,IF(H$3&lt;0,0,N(INDEX('CURVA PREVISION'!$A$1:$KZ$3000,$C50,11+3*MIN(H$3,$D$2-1)))))</f>
        <v/>
      </c>
      <c r="I50" s="122">
        <f>IF(OR($C50="",$B$2="",$D$2=0),0,IF(I$3&lt;0,0,N(INDEX('CURVA PREVISION'!$A$1:$KZ$3000,$C50,11+3*MIN(I$3,$D$2-1)))))</f>
        <v/>
      </c>
      <c r="J50" s="122">
        <f>IF(OR($C50="",$B$2="",$D$2=0),0,IF(J$3&lt;0,0,N(INDEX('CURVA PREVISION'!$A$1:$KZ$3000,$C50,11+3*MIN(J$3,$D$2-1)))))</f>
        <v/>
      </c>
      <c r="K50" s="122">
        <f>IF(OR($C50="",$B$2="",$D$2=0),0,IF(K$3&lt;0,0,N(INDEX('CURVA PREVISION'!$A$1:$KZ$3000,$C50,11+3*MIN(K$3,$D$2-1)))))</f>
        <v/>
      </c>
      <c r="L50" s="122">
        <f>IF(OR($C50="",$B$2="",$D$2=0),0,IF(L$3&lt;0,0,N(INDEX('CURVA PREVISION'!$A$1:$KZ$3000,$C50,11+3*MIN(L$3,$D$2-1)))))</f>
        <v/>
      </c>
      <c r="M50" s="122">
        <f>IF(OR($C50="",$B$2="",$D$2=0),0,IF(M$3&lt;0,0,N(INDEX('CURVA PREVISION'!$A$1:$KZ$3000,$C50,11+3*MIN(M$3,$D$2-1)))))</f>
        <v/>
      </c>
      <c r="N50" s="122">
        <f>IF(OR($C50="",$B$2="",$D$2=0),0,IF(N$3&lt;0,0,N(INDEX('CURVA PREVISION'!$A$1:$KZ$3000,$C50,11+3*MIN(N$3,$D$2-1)))))</f>
        <v/>
      </c>
      <c r="O50" s="122">
        <f>IF(OR($C50="",$B$2="",$D$2=0),0,IF(O$3&lt;0,0,N(INDEX('CURVA PREVISION'!$A$1:$KZ$3000,$C50,11+3*MIN(O$3,$D$2-1)))))</f>
        <v/>
      </c>
      <c r="P50" s="122">
        <f>IF(OR($C50="",$B$2="",$D$2=0),0,IF(P$3&lt;0,0,N(INDEX('CURVA PREVISION'!$A$1:$KZ$3000,$C50,11+3*MIN(P$3,$D$2-1)))))</f>
        <v/>
      </c>
      <c r="Q50" s="122">
        <f>IF(OR($C50="",$B$2="",$D$2=0),0,IF(Q$3&lt;0,0,N(INDEX('CURVA PREVISION'!$A$1:$KZ$3000,$C50,11+3*MIN(Q$3,$D$2-1)))))</f>
        <v/>
      </c>
      <c r="R50" s="122">
        <f>IF(OR($C50="",$B$2="",$D$2=0),0,IF(R$3&lt;0,0,N(INDEX('CURVA PREVISION'!$A$1:$KZ$3000,$C50,11+3*MIN(R$3,$D$2-1)))))</f>
        <v/>
      </c>
      <c r="S50" s="122">
        <f>IF(OR($C50="",$B$2="",$D$2=0),0,IF(S$3&lt;0,0,N(INDEX('CURVA PREVISION'!$A$1:$KZ$3000,$C50,11+3*MIN(S$3,$D$2-1)))))</f>
        <v/>
      </c>
      <c r="T50" s="122">
        <f>IF(OR($C50="",$B$2="",$D$2=0),0,IF(T$3&lt;0,0,N(INDEX('CURVA PREVISION'!$A$1:$KZ$3000,$C50,11+3*MIN(T$3,$D$2-1)))))</f>
        <v/>
      </c>
      <c r="U50" s="122">
        <f>IF(OR($C50="",$B$2="",$D$2=0),0,IF(U$3&lt;0,0,N(INDEX('CURVA PREVISION'!$A$1:$KZ$3000,$C50,11+3*MIN(U$3,$D$2-1)))))</f>
        <v/>
      </c>
      <c r="V50" s="122">
        <f>IF(OR($C50="",$B$2="",$D$2=0),0,IF(V$3&lt;0,0,N(INDEX('CURVA PREVISION'!$A$1:$KZ$3000,$C50,11+3*MIN(V$3,$D$2-1)))))</f>
        <v/>
      </c>
      <c r="W50" s="122">
        <f>IF(OR($C50="",$B$2="",$D$2=0),0,IF(W$3&lt;0,0,N(INDEX('CURVA PREVISION'!$A$1:$KZ$3000,$C50,11+3*MIN(W$3,$D$2-1)))))</f>
        <v/>
      </c>
      <c r="X50" s="122">
        <f>IF(OR($C50="",$B$2="",$D$2=0),0,IF(X$3&lt;0,0,N(INDEX('CURVA PREVISION'!$A$1:$KZ$3000,$C50,11+3*MIN(X$3,$D$2-1)))))</f>
        <v/>
      </c>
      <c r="Y50" s="122">
        <f>IF(OR($C50="",$B$2="",$D$2=0),0,IF(Y$3&lt;0,0,N(INDEX('CURVA PREVISION'!$A$1:$KZ$3000,$C50,11+3*MIN(Y$3,$D$2-1)))))</f>
        <v/>
      </c>
      <c r="Z50" s="122">
        <f>IF(OR($C50="",$B$2="",$D$2=0),0,IF(Z$3&lt;0,0,N(INDEX('CURVA PREVISION'!$A$1:$KZ$3000,$C50,11+3*MIN(Z$3,$D$2-1)))))</f>
        <v/>
      </c>
      <c r="AA50" s="122">
        <f>IF(OR($C50="",$B$2="",$D$2=0),0,IF(AA$3&lt;0,0,N(INDEX('CURVA PREVISION'!$A$1:$KZ$3000,$C50,11+3*MIN(AA$3,$D$2-1)))))</f>
        <v/>
      </c>
      <c r="AB50" s="122">
        <f>IF(OR($C50="",$B$2="",$D$2=0),0,IF(AB$3&lt;0,0,N(INDEX('CURVA PREVISION'!$A$1:$KZ$3000,$C50,11+3*MIN(AB$3,$D$2-1)))))</f>
        <v/>
      </c>
      <c r="AC50" s="122">
        <f>IF(OR($C50="",$B$2="",$D$2=0),0,IF(AC$3&lt;0,0,N(INDEX('CURVA PREVISION'!$A$1:$KZ$3000,$C50,11+3*MIN(AC$3,$D$2-1)))))</f>
        <v/>
      </c>
      <c r="AD50" s="122">
        <f>IF(OR($C50="",$B$2="",$D$2=0),0,IF(AD$3&lt;0,0,N(INDEX('CURVA PREVISION'!$A$1:$KZ$3000,$C50,11+3*MIN(AD$3,$D$2-1)))))</f>
        <v/>
      </c>
      <c r="AE50" s="122">
        <f>IF(OR($C50="",$B$2="",$D$2=0),0,IF(AE$3&lt;0,0,N(INDEX('CURVA PREVISION'!$A$1:$KZ$3000,$C50,11+3*MIN(AE$3,$D$2-1)))))</f>
        <v/>
      </c>
      <c r="AF50" s="122">
        <f>IF(OR($C50="",$B$2="",$D$2=0),0,IF(AF$3&lt;0,0,N(INDEX('CURVA PREVISION'!$A$1:$KZ$3000,$C50,11+3*MIN(AF$3,$D$2-1)))))</f>
        <v/>
      </c>
      <c r="AG50" s="122">
        <f>IF(OR($C50="",$B$2="",$D$2=0),0,IF(AG$3&lt;0,0,N(INDEX('CURVA PREVISION'!$A$1:$KZ$3000,$C50,11+3*MIN(AG$3,$D$2-1)))))</f>
        <v/>
      </c>
      <c r="AH50" s="122">
        <f>IF(OR($C50="",$B$2="",$D$2=0),0,IF(AH$3&lt;0,0,N(INDEX('CURVA PREVISION'!$A$1:$KZ$3000,$C50,11+3*MIN(AH$3,$D$2-1)))))</f>
        <v/>
      </c>
      <c r="AI50" s="122">
        <f>IF(OR($C50="",$B$2="",$D$2=0),0,IF(AI$3&lt;0,0,N(INDEX('CURVA PREVISION'!$A$1:$KZ$3000,$C50,11+3*MIN(AI$3,$D$2-1)))))</f>
        <v/>
      </c>
      <c r="AJ50" s="122">
        <f>IF(OR($C50="",$B$2="",$D$2=0),0,IF(AJ$3&lt;0,0,N(INDEX('CURVA PREVISION'!$A$1:$KZ$3000,$C50,11+3*MIN(AJ$3,$D$2-1)))))</f>
        <v/>
      </c>
      <c r="AK50" s="122">
        <f>IF(OR($C50="",$B$2="",$D$2=0),0,IF(AK$3&lt;0,0,N(INDEX('CURVA PREVISION'!$A$1:$KZ$3000,$C50,11+3*MIN(AK$3,$D$2-1)))))</f>
        <v/>
      </c>
      <c r="AL50" s="122">
        <f>IF(OR($C50="",$B$2="",$D$2=0),0,IF(AL$3&lt;0,0,N(INDEX('CURVA PREVISION'!$A$1:$KZ$3000,$C50,11+3*MIN(AL$3,$D$2-1)))))</f>
        <v/>
      </c>
      <c r="AM50" s="122">
        <f>IF(OR($C50="",$B$2="",$D$2=0),0,IF(AM$3&lt;0,0,N(INDEX('CURVA PREVISION'!$A$1:$KZ$3000,$C50,11+3*MIN(AM$3,$D$2-1)))))</f>
        <v/>
      </c>
      <c r="AN50" s="122">
        <f>IF(OR($C50="",$B$2="",$D$2=0),0,IF(AN$3&lt;0,0,N(INDEX('CURVA PREVISION'!$A$1:$KZ$3000,$C50,11+3*MIN(AN$3,$D$2-1)))))</f>
        <v/>
      </c>
      <c r="AO50" s="122">
        <f>IF(OR($C50="",$B$2="",$D$2=0),0,IF(AO$3&lt;0,0,N(INDEX('CURVA PREVISION'!$A$1:$KZ$3000,$C50,11+3*MIN(AO$3,$D$2-1)))))</f>
        <v/>
      </c>
      <c r="AP50" s="122">
        <f>IF(OR($C50="",$B$2="",$D$2=0),0,IF(AP$3&lt;0,0,N(INDEX('CURVA PREVISION'!$A$1:$KZ$3000,$C50,11+3*MIN(AP$3,$D$2-1)))))</f>
        <v/>
      </c>
      <c r="AQ50" s="122">
        <f>IF(OR($C50="",$B$2="",$D$2=0),0,IF(AQ$3&lt;0,0,N(INDEX('CURVA PREVISION'!$A$1:$KZ$3000,$C50,11+3*MIN(AQ$3,$D$2-1)))))</f>
        <v/>
      </c>
      <c r="AR50" s="122">
        <f>IF(OR($C50="",$B$2="",$D$2=0),0,IF(AR$3&lt;0,0,N(INDEX('CURVA PREVISION'!$A$1:$KZ$3000,$C50,11+3*MIN(AR$3,$D$2-1)))))</f>
        <v/>
      </c>
      <c r="AS50" s="122">
        <f>IF(OR($C50="",$B$2="",$D$2=0),0,IF(AS$3&lt;0,0,N(INDEX('CURVA PREVISION'!$A$1:$KZ$3000,$C50,11+3*MIN(AS$3,$D$2-1)))))</f>
        <v/>
      </c>
      <c r="AT50" s="122">
        <f>IF(OR($C50="",$B$2="",$D$2=0),0,IF(AT$3&lt;0,0,N(INDEX('CURVA PREVISION'!$A$1:$KZ$3000,$C50,11+3*MIN(AT$3,$D$2-1)))))</f>
        <v/>
      </c>
      <c r="AU50" s="122">
        <f>IF(OR($C50="",$B$2="",$D$2=0),0,IF(AU$3&lt;0,0,N(INDEX('CURVA PREVISION'!$A$1:$KZ$3000,$C50,11+3*MIN(AU$3,$D$2-1)))))</f>
        <v/>
      </c>
      <c r="AV50" s="122">
        <f>IF(OR($C50="",$B$2="",$D$2=0),0,IF(AV$3&lt;0,0,N(INDEX('CURVA PREVISION'!$A$1:$KZ$3000,$C50,11+3*MIN(AV$3,$D$2-1)))))</f>
        <v/>
      </c>
      <c r="AW50" s="122">
        <f>IF(OR($C50="",$B$2="",$D$2=0),0,IF(AW$3&lt;0,0,N(INDEX('CURVA PREVISION'!$A$1:$KZ$3000,$C50,11+3*MIN(AW$3,$D$2-1)))))</f>
        <v/>
      </c>
      <c r="AX50" s="122">
        <f>IF(OR($C50="",$B$2="",$D$2=0),0,IF(AX$3&lt;0,0,N(INDEX('CURVA PREVISION'!$A$1:$KZ$3000,$C50,11+3*MIN(AX$3,$D$2-1)))))</f>
        <v/>
      </c>
      <c r="AY50" s="122">
        <f>IF(OR($C50="",$B$2="",$D$2=0),0,IF(AY$3&lt;0,0,N(INDEX('CURVA PREVISION'!$A$1:$KZ$3000,$C50,11+3*MIN(AY$3,$D$2-1)))))</f>
        <v/>
      </c>
      <c r="AZ50" s="122">
        <f>IF(OR($C50="",$B$2="",$D$2=0),0,IF(AZ$3&lt;0,0,N(INDEX('CURVA PREVISION'!$A$1:$KZ$3000,$C50,11+3*MIN(AZ$3,$D$2-1)))))</f>
        <v/>
      </c>
      <c r="BA50" s="122">
        <f>IF(OR($C50="",$B$2="",$D$2=0),0,IF(BA$3&lt;0,0,N(INDEX('CURVA PREVISION'!$A$1:$KZ$3000,$C50,11+3*MIN(BA$3,$D$2-1)))))</f>
        <v/>
      </c>
      <c r="BB50" s="122">
        <f>IF(OR($C50="",$B$2="",$D$2=0),0,IF(BB$3&lt;0,0,N(INDEX('CURVA PREVISION'!$A$1:$KZ$3000,$C50,11+3*MIN(BB$3,$D$2-1)))))</f>
        <v/>
      </c>
      <c r="BC50" s="122">
        <f>IF(OR($C50="",$B$2="",$D$2=0),0,IF(BC$3&lt;0,0,N(INDEX('CURVA PREVISION'!$A$1:$KZ$3000,$C50,11+3*MIN(BC$3,$D$2-1)))))</f>
        <v/>
      </c>
      <c r="BD50" s="122">
        <f>IF(OR($C50="",$B$2="",$D$2=0),0,IF(BD$3&lt;0,0,N(INDEX('CURVA PREVISION'!$A$1:$KZ$3000,$C50,11+3*MIN(BD$3,$D$2-1)))))</f>
        <v/>
      </c>
      <c r="BE50" s="122">
        <f>IF(OR($C50="",$B$2="",$D$2=0),0,IF(BE$3&lt;0,0,N(INDEX('CURVA PREVISION'!$A$1:$KZ$3000,$C50,11+3*MIN(BE$3,$D$2-1)))))</f>
        <v/>
      </c>
      <c r="BF50" s="122">
        <f>IF(OR($C50="",$B$2="",$D$2=0),0,IF(BF$3&lt;0,0,N(INDEX('CURVA PREVISION'!$A$1:$KZ$3000,$C50,11+3*MIN(BF$3,$D$2-1)))))</f>
        <v/>
      </c>
      <c r="BG50" s="122">
        <f>IF(OR($C50="",$B$2="",$D$2=0),0,IF(BG$3&lt;0,0,N(INDEX('CURVA PREVISION'!$A$1:$KZ$3000,$C50,11+3*MIN(BG$3,$D$2-1)))))</f>
        <v/>
      </c>
      <c r="BH50" s="122">
        <f>IF(OR($C50="",$B$2="",$D$2=0),0,IF(BH$3&lt;0,0,N(INDEX('CURVA PREVISION'!$A$1:$KZ$3000,$C50,11+3*MIN(BH$3,$D$2-1)))))</f>
        <v/>
      </c>
      <c r="BI50" s="122">
        <f>IF(OR($C50="",$B$2="",$D$2=0),0,IF(BI$3&lt;0,0,N(INDEX('CURVA PREVISION'!$A$1:$KZ$3000,$C50,11+3*MIN(BI$3,$D$2-1)))))</f>
        <v/>
      </c>
      <c r="BJ50" s="122">
        <f>IF(OR($C50="",$B$2="",$D$2=0),0,IF(BJ$3&lt;0,0,N(INDEX('CURVA PREVISION'!$A$1:$KZ$3000,$C50,11+3*MIN(BJ$3,$D$2-1)))))</f>
        <v/>
      </c>
      <c r="BK50" s="122">
        <f>IF(OR($C50="",$B$2="",$D$2=0),0,IF(BK$3&lt;0,0,N(INDEX('CURVA PREVISION'!$A$1:$KZ$3000,$C50,11+3*MIN(BK$3,$D$2-1)))))</f>
        <v/>
      </c>
      <c r="BL50" s="122">
        <f>IF(OR($C50="",$B$2="",$D$2=0),0,IF(BL$3&lt;0,0,N(INDEX('CURVA PREVISION'!$A$1:$KZ$3000,$C50,11+3*MIN(BL$3,$D$2-1)))))</f>
        <v/>
      </c>
      <c r="BM50" s="122">
        <f>IF(OR($C50="",$B$2="",$D$2=0),0,IF(BM$3&lt;0,0,N(INDEX('CURVA PREVISION'!$A$1:$KZ$3000,$C50,11+3*MIN(BM$3,$D$2-1)))))</f>
        <v/>
      </c>
      <c r="BN50" s="122">
        <f>IF(OR($C50="",$B$2="",$D$2=0),0,IF(BN$3&lt;0,0,N(INDEX('CURVA PREVISION'!$A$1:$KZ$3000,$C50,11+3*MIN(BN$3,$D$2-1)))))</f>
        <v/>
      </c>
      <c r="BO50" s="122">
        <f>IF(OR($C50="",$B$2="",$D$2=0),0,IF(BO$3&lt;0,0,N(INDEX('CURVA PREVISION'!$A$1:$KZ$3000,$C50,11+3*MIN(BO$3,$D$2-1)))))</f>
        <v/>
      </c>
      <c r="BP50" s="122">
        <f>IF(OR($C50="",$B$2="",$D$2=0),0,IF(BP$3&lt;0,0,N(INDEX('CURVA PREVISION'!$A$1:$KZ$3000,$C50,11+3*MIN(BP$3,$D$2-1)))))</f>
        <v/>
      </c>
      <c r="BQ50" s="122">
        <f>IF(OR($C50="",$B$2="",$D$2=0),0,IF(BQ$3&lt;0,0,N(INDEX('CURVA PREVISION'!$A$1:$KZ$3000,$C50,11+3*MIN(BQ$3,$D$2-1)))))</f>
        <v/>
      </c>
      <c r="BR50" s="122">
        <f>IF(OR($C50="",$B$2="",$D$2=0),0,IF(BR$3&lt;0,0,N(INDEX('CURVA PREVISION'!$A$1:$KZ$3000,$C50,11+3*MIN(BR$3,$D$2-1)))))</f>
        <v/>
      </c>
      <c r="BS50" s="122">
        <f>IF(OR($C50="",$B$2="",$D$2=0),0,IF(BS$3&lt;0,0,N(INDEX('CURVA PREVISION'!$A$1:$KZ$3000,$C50,11+3*MIN(BS$3,$D$2-1)))))</f>
        <v/>
      </c>
      <c r="BT50" s="122">
        <f>IF(OR($C50="",$B$2="",$D$2=0),0,IF(BT$3&lt;0,0,N(INDEX('CURVA PREVISION'!$A$1:$KZ$3000,$C50,11+3*MIN(BT$3,$D$2-1)))))</f>
        <v/>
      </c>
      <c r="BU50" s="122">
        <f>IF(OR($C50="",$B$2="",$D$2=0),0,IF(BU$3&lt;0,0,N(INDEX('CURVA PREVISION'!$A$1:$KZ$3000,$C50,11+3*MIN(BU$3,$D$2-1)))))</f>
        <v/>
      </c>
      <c r="BV50" s="122">
        <f>IF(OR($C50="",$B$2="",$D$2=0),0,IF(BV$3&lt;0,0,N(INDEX('CURVA PREVISION'!$A$1:$KZ$3000,$C50,11+3*MIN(BV$3,$D$2-1)))))</f>
        <v/>
      </c>
      <c r="BW50" s="122">
        <f>IF(OR($C50="",$B$2="",$D$2=0),0,IF(BW$3&lt;0,0,N(INDEX('CURVA PREVISION'!$A$1:$KZ$3000,$C50,11+3*MIN(BW$3,$D$2-1)))))</f>
        <v/>
      </c>
    </row>
    <row r="51">
      <c r="A51" s="51">
        <f>A9</f>
        <v/>
      </c>
      <c r="B51" s="51">
        <f>B9</f>
        <v/>
      </c>
      <c r="C51" s="68">
        <f>C9</f>
        <v/>
      </c>
      <c r="D51" s="122">
        <f>IF(OR($C51="",$B$2="",$D$2=0),0,IF(D$3&lt;0,0,N(INDEX('CURVA PREVISION'!$A$1:$KZ$3000,$C51,11+3*MIN(D$3,$D$2-1)))))</f>
        <v/>
      </c>
      <c r="E51" s="122">
        <f>IF(OR($C51="",$B$2="",$D$2=0),0,IF(E$3&lt;0,0,N(INDEX('CURVA PREVISION'!$A$1:$KZ$3000,$C51,11+3*MIN(E$3,$D$2-1)))))</f>
        <v/>
      </c>
      <c r="F51" s="122">
        <f>IF(OR($C51="",$B$2="",$D$2=0),0,IF(F$3&lt;0,0,N(INDEX('CURVA PREVISION'!$A$1:$KZ$3000,$C51,11+3*MIN(F$3,$D$2-1)))))</f>
        <v/>
      </c>
      <c r="G51" s="122">
        <f>IF(OR($C51="",$B$2="",$D$2=0),0,IF(G$3&lt;0,0,N(INDEX('CURVA PREVISION'!$A$1:$KZ$3000,$C51,11+3*MIN(G$3,$D$2-1)))))</f>
        <v/>
      </c>
      <c r="H51" s="122">
        <f>IF(OR($C51="",$B$2="",$D$2=0),0,IF(H$3&lt;0,0,N(INDEX('CURVA PREVISION'!$A$1:$KZ$3000,$C51,11+3*MIN(H$3,$D$2-1)))))</f>
        <v/>
      </c>
      <c r="I51" s="122">
        <f>IF(OR($C51="",$B$2="",$D$2=0),0,IF(I$3&lt;0,0,N(INDEX('CURVA PREVISION'!$A$1:$KZ$3000,$C51,11+3*MIN(I$3,$D$2-1)))))</f>
        <v/>
      </c>
      <c r="J51" s="122">
        <f>IF(OR($C51="",$B$2="",$D$2=0),0,IF(J$3&lt;0,0,N(INDEX('CURVA PREVISION'!$A$1:$KZ$3000,$C51,11+3*MIN(J$3,$D$2-1)))))</f>
        <v/>
      </c>
      <c r="K51" s="122">
        <f>IF(OR($C51="",$B$2="",$D$2=0),0,IF(K$3&lt;0,0,N(INDEX('CURVA PREVISION'!$A$1:$KZ$3000,$C51,11+3*MIN(K$3,$D$2-1)))))</f>
        <v/>
      </c>
      <c r="L51" s="122">
        <f>IF(OR($C51="",$B$2="",$D$2=0),0,IF(L$3&lt;0,0,N(INDEX('CURVA PREVISION'!$A$1:$KZ$3000,$C51,11+3*MIN(L$3,$D$2-1)))))</f>
        <v/>
      </c>
      <c r="M51" s="122">
        <f>IF(OR($C51="",$B$2="",$D$2=0),0,IF(M$3&lt;0,0,N(INDEX('CURVA PREVISION'!$A$1:$KZ$3000,$C51,11+3*MIN(M$3,$D$2-1)))))</f>
        <v/>
      </c>
      <c r="N51" s="122">
        <f>IF(OR($C51="",$B$2="",$D$2=0),0,IF(N$3&lt;0,0,N(INDEX('CURVA PREVISION'!$A$1:$KZ$3000,$C51,11+3*MIN(N$3,$D$2-1)))))</f>
        <v/>
      </c>
      <c r="O51" s="122">
        <f>IF(OR($C51="",$B$2="",$D$2=0),0,IF(O$3&lt;0,0,N(INDEX('CURVA PREVISION'!$A$1:$KZ$3000,$C51,11+3*MIN(O$3,$D$2-1)))))</f>
        <v/>
      </c>
      <c r="P51" s="122">
        <f>IF(OR($C51="",$B$2="",$D$2=0),0,IF(P$3&lt;0,0,N(INDEX('CURVA PREVISION'!$A$1:$KZ$3000,$C51,11+3*MIN(P$3,$D$2-1)))))</f>
        <v/>
      </c>
      <c r="Q51" s="122">
        <f>IF(OR($C51="",$B$2="",$D$2=0),0,IF(Q$3&lt;0,0,N(INDEX('CURVA PREVISION'!$A$1:$KZ$3000,$C51,11+3*MIN(Q$3,$D$2-1)))))</f>
        <v/>
      </c>
      <c r="R51" s="122">
        <f>IF(OR($C51="",$B$2="",$D$2=0),0,IF(R$3&lt;0,0,N(INDEX('CURVA PREVISION'!$A$1:$KZ$3000,$C51,11+3*MIN(R$3,$D$2-1)))))</f>
        <v/>
      </c>
      <c r="S51" s="122">
        <f>IF(OR($C51="",$B$2="",$D$2=0),0,IF(S$3&lt;0,0,N(INDEX('CURVA PREVISION'!$A$1:$KZ$3000,$C51,11+3*MIN(S$3,$D$2-1)))))</f>
        <v/>
      </c>
      <c r="T51" s="122">
        <f>IF(OR($C51="",$B$2="",$D$2=0),0,IF(T$3&lt;0,0,N(INDEX('CURVA PREVISION'!$A$1:$KZ$3000,$C51,11+3*MIN(T$3,$D$2-1)))))</f>
        <v/>
      </c>
      <c r="U51" s="122">
        <f>IF(OR($C51="",$B$2="",$D$2=0),0,IF(U$3&lt;0,0,N(INDEX('CURVA PREVISION'!$A$1:$KZ$3000,$C51,11+3*MIN(U$3,$D$2-1)))))</f>
        <v/>
      </c>
      <c r="V51" s="122">
        <f>IF(OR($C51="",$B$2="",$D$2=0),0,IF(V$3&lt;0,0,N(INDEX('CURVA PREVISION'!$A$1:$KZ$3000,$C51,11+3*MIN(V$3,$D$2-1)))))</f>
        <v/>
      </c>
      <c r="W51" s="122">
        <f>IF(OR($C51="",$B$2="",$D$2=0),0,IF(W$3&lt;0,0,N(INDEX('CURVA PREVISION'!$A$1:$KZ$3000,$C51,11+3*MIN(W$3,$D$2-1)))))</f>
        <v/>
      </c>
      <c r="X51" s="122">
        <f>IF(OR($C51="",$B$2="",$D$2=0),0,IF(X$3&lt;0,0,N(INDEX('CURVA PREVISION'!$A$1:$KZ$3000,$C51,11+3*MIN(X$3,$D$2-1)))))</f>
        <v/>
      </c>
      <c r="Y51" s="122">
        <f>IF(OR($C51="",$B$2="",$D$2=0),0,IF(Y$3&lt;0,0,N(INDEX('CURVA PREVISION'!$A$1:$KZ$3000,$C51,11+3*MIN(Y$3,$D$2-1)))))</f>
        <v/>
      </c>
      <c r="Z51" s="122">
        <f>IF(OR($C51="",$B$2="",$D$2=0),0,IF(Z$3&lt;0,0,N(INDEX('CURVA PREVISION'!$A$1:$KZ$3000,$C51,11+3*MIN(Z$3,$D$2-1)))))</f>
        <v/>
      </c>
      <c r="AA51" s="122">
        <f>IF(OR($C51="",$B$2="",$D$2=0),0,IF(AA$3&lt;0,0,N(INDEX('CURVA PREVISION'!$A$1:$KZ$3000,$C51,11+3*MIN(AA$3,$D$2-1)))))</f>
        <v/>
      </c>
      <c r="AB51" s="122">
        <f>IF(OR($C51="",$B$2="",$D$2=0),0,IF(AB$3&lt;0,0,N(INDEX('CURVA PREVISION'!$A$1:$KZ$3000,$C51,11+3*MIN(AB$3,$D$2-1)))))</f>
        <v/>
      </c>
      <c r="AC51" s="122">
        <f>IF(OR($C51="",$B$2="",$D$2=0),0,IF(AC$3&lt;0,0,N(INDEX('CURVA PREVISION'!$A$1:$KZ$3000,$C51,11+3*MIN(AC$3,$D$2-1)))))</f>
        <v/>
      </c>
      <c r="AD51" s="122">
        <f>IF(OR($C51="",$B$2="",$D$2=0),0,IF(AD$3&lt;0,0,N(INDEX('CURVA PREVISION'!$A$1:$KZ$3000,$C51,11+3*MIN(AD$3,$D$2-1)))))</f>
        <v/>
      </c>
      <c r="AE51" s="122">
        <f>IF(OR($C51="",$B$2="",$D$2=0),0,IF(AE$3&lt;0,0,N(INDEX('CURVA PREVISION'!$A$1:$KZ$3000,$C51,11+3*MIN(AE$3,$D$2-1)))))</f>
        <v/>
      </c>
      <c r="AF51" s="122">
        <f>IF(OR($C51="",$B$2="",$D$2=0),0,IF(AF$3&lt;0,0,N(INDEX('CURVA PREVISION'!$A$1:$KZ$3000,$C51,11+3*MIN(AF$3,$D$2-1)))))</f>
        <v/>
      </c>
      <c r="AG51" s="122">
        <f>IF(OR($C51="",$B$2="",$D$2=0),0,IF(AG$3&lt;0,0,N(INDEX('CURVA PREVISION'!$A$1:$KZ$3000,$C51,11+3*MIN(AG$3,$D$2-1)))))</f>
        <v/>
      </c>
      <c r="AH51" s="122">
        <f>IF(OR($C51="",$B$2="",$D$2=0),0,IF(AH$3&lt;0,0,N(INDEX('CURVA PREVISION'!$A$1:$KZ$3000,$C51,11+3*MIN(AH$3,$D$2-1)))))</f>
        <v/>
      </c>
      <c r="AI51" s="122">
        <f>IF(OR($C51="",$B$2="",$D$2=0),0,IF(AI$3&lt;0,0,N(INDEX('CURVA PREVISION'!$A$1:$KZ$3000,$C51,11+3*MIN(AI$3,$D$2-1)))))</f>
        <v/>
      </c>
      <c r="AJ51" s="122">
        <f>IF(OR($C51="",$B$2="",$D$2=0),0,IF(AJ$3&lt;0,0,N(INDEX('CURVA PREVISION'!$A$1:$KZ$3000,$C51,11+3*MIN(AJ$3,$D$2-1)))))</f>
        <v/>
      </c>
      <c r="AK51" s="122">
        <f>IF(OR($C51="",$B$2="",$D$2=0),0,IF(AK$3&lt;0,0,N(INDEX('CURVA PREVISION'!$A$1:$KZ$3000,$C51,11+3*MIN(AK$3,$D$2-1)))))</f>
        <v/>
      </c>
      <c r="AL51" s="122">
        <f>IF(OR($C51="",$B$2="",$D$2=0),0,IF(AL$3&lt;0,0,N(INDEX('CURVA PREVISION'!$A$1:$KZ$3000,$C51,11+3*MIN(AL$3,$D$2-1)))))</f>
        <v/>
      </c>
      <c r="AM51" s="122">
        <f>IF(OR($C51="",$B$2="",$D$2=0),0,IF(AM$3&lt;0,0,N(INDEX('CURVA PREVISION'!$A$1:$KZ$3000,$C51,11+3*MIN(AM$3,$D$2-1)))))</f>
        <v/>
      </c>
      <c r="AN51" s="122">
        <f>IF(OR($C51="",$B$2="",$D$2=0),0,IF(AN$3&lt;0,0,N(INDEX('CURVA PREVISION'!$A$1:$KZ$3000,$C51,11+3*MIN(AN$3,$D$2-1)))))</f>
        <v/>
      </c>
      <c r="AO51" s="122">
        <f>IF(OR($C51="",$B$2="",$D$2=0),0,IF(AO$3&lt;0,0,N(INDEX('CURVA PREVISION'!$A$1:$KZ$3000,$C51,11+3*MIN(AO$3,$D$2-1)))))</f>
        <v/>
      </c>
      <c r="AP51" s="122">
        <f>IF(OR($C51="",$B$2="",$D$2=0),0,IF(AP$3&lt;0,0,N(INDEX('CURVA PREVISION'!$A$1:$KZ$3000,$C51,11+3*MIN(AP$3,$D$2-1)))))</f>
        <v/>
      </c>
      <c r="AQ51" s="122">
        <f>IF(OR($C51="",$B$2="",$D$2=0),0,IF(AQ$3&lt;0,0,N(INDEX('CURVA PREVISION'!$A$1:$KZ$3000,$C51,11+3*MIN(AQ$3,$D$2-1)))))</f>
        <v/>
      </c>
      <c r="AR51" s="122">
        <f>IF(OR($C51="",$B$2="",$D$2=0),0,IF(AR$3&lt;0,0,N(INDEX('CURVA PREVISION'!$A$1:$KZ$3000,$C51,11+3*MIN(AR$3,$D$2-1)))))</f>
        <v/>
      </c>
      <c r="AS51" s="122">
        <f>IF(OR($C51="",$B$2="",$D$2=0),0,IF(AS$3&lt;0,0,N(INDEX('CURVA PREVISION'!$A$1:$KZ$3000,$C51,11+3*MIN(AS$3,$D$2-1)))))</f>
        <v/>
      </c>
      <c r="AT51" s="122">
        <f>IF(OR($C51="",$B$2="",$D$2=0),0,IF(AT$3&lt;0,0,N(INDEX('CURVA PREVISION'!$A$1:$KZ$3000,$C51,11+3*MIN(AT$3,$D$2-1)))))</f>
        <v/>
      </c>
      <c r="AU51" s="122">
        <f>IF(OR($C51="",$B$2="",$D$2=0),0,IF(AU$3&lt;0,0,N(INDEX('CURVA PREVISION'!$A$1:$KZ$3000,$C51,11+3*MIN(AU$3,$D$2-1)))))</f>
        <v/>
      </c>
      <c r="AV51" s="122">
        <f>IF(OR($C51="",$B$2="",$D$2=0),0,IF(AV$3&lt;0,0,N(INDEX('CURVA PREVISION'!$A$1:$KZ$3000,$C51,11+3*MIN(AV$3,$D$2-1)))))</f>
        <v/>
      </c>
      <c r="AW51" s="122">
        <f>IF(OR($C51="",$B$2="",$D$2=0),0,IF(AW$3&lt;0,0,N(INDEX('CURVA PREVISION'!$A$1:$KZ$3000,$C51,11+3*MIN(AW$3,$D$2-1)))))</f>
        <v/>
      </c>
      <c r="AX51" s="122">
        <f>IF(OR($C51="",$B$2="",$D$2=0),0,IF(AX$3&lt;0,0,N(INDEX('CURVA PREVISION'!$A$1:$KZ$3000,$C51,11+3*MIN(AX$3,$D$2-1)))))</f>
        <v/>
      </c>
      <c r="AY51" s="122">
        <f>IF(OR($C51="",$B$2="",$D$2=0),0,IF(AY$3&lt;0,0,N(INDEX('CURVA PREVISION'!$A$1:$KZ$3000,$C51,11+3*MIN(AY$3,$D$2-1)))))</f>
        <v/>
      </c>
      <c r="AZ51" s="122">
        <f>IF(OR($C51="",$B$2="",$D$2=0),0,IF(AZ$3&lt;0,0,N(INDEX('CURVA PREVISION'!$A$1:$KZ$3000,$C51,11+3*MIN(AZ$3,$D$2-1)))))</f>
        <v/>
      </c>
      <c r="BA51" s="122">
        <f>IF(OR($C51="",$B$2="",$D$2=0),0,IF(BA$3&lt;0,0,N(INDEX('CURVA PREVISION'!$A$1:$KZ$3000,$C51,11+3*MIN(BA$3,$D$2-1)))))</f>
        <v/>
      </c>
      <c r="BB51" s="122">
        <f>IF(OR($C51="",$B$2="",$D$2=0),0,IF(BB$3&lt;0,0,N(INDEX('CURVA PREVISION'!$A$1:$KZ$3000,$C51,11+3*MIN(BB$3,$D$2-1)))))</f>
        <v/>
      </c>
      <c r="BC51" s="122">
        <f>IF(OR($C51="",$B$2="",$D$2=0),0,IF(BC$3&lt;0,0,N(INDEX('CURVA PREVISION'!$A$1:$KZ$3000,$C51,11+3*MIN(BC$3,$D$2-1)))))</f>
        <v/>
      </c>
      <c r="BD51" s="122">
        <f>IF(OR($C51="",$B$2="",$D$2=0),0,IF(BD$3&lt;0,0,N(INDEX('CURVA PREVISION'!$A$1:$KZ$3000,$C51,11+3*MIN(BD$3,$D$2-1)))))</f>
        <v/>
      </c>
      <c r="BE51" s="122">
        <f>IF(OR($C51="",$B$2="",$D$2=0),0,IF(BE$3&lt;0,0,N(INDEX('CURVA PREVISION'!$A$1:$KZ$3000,$C51,11+3*MIN(BE$3,$D$2-1)))))</f>
        <v/>
      </c>
      <c r="BF51" s="122">
        <f>IF(OR($C51="",$B$2="",$D$2=0),0,IF(BF$3&lt;0,0,N(INDEX('CURVA PREVISION'!$A$1:$KZ$3000,$C51,11+3*MIN(BF$3,$D$2-1)))))</f>
        <v/>
      </c>
      <c r="BG51" s="122">
        <f>IF(OR($C51="",$B$2="",$D$2=0),0,IF(BG$3&lt;0,0,N(INDEX('CURVA PREVISION'!$A$1:$KZ$3000,$C51,11+3*MIN(BG$3,$D$2-1)))))</f>
        <v/>
      </c>
      <c r="BH51" s="122">
        <f>IF(OR($C51="",$B$2="",$D$2=0),0,IF(BH$3&lt;0,0,N(INDEX('CURVA PREVISION'!$A$1:$KZ$3000,$C51,11+3*MIN(BH$3,$D$2-1)))))</f>
        <v/>
      </c>
      <c r="BI51" s="122">
        <f>IF(OR($C51="",$B$2="",$D$2=0),0,IF(BI$3&lt;0,0,N(INDEX('CURVA PREVISION'!$A$1:$KZ$3000,$C51,11+3*MIN(BI$3,$D$2-1)))))</f>
        <v/>
      </c>
      <c r="BJ51" s="122">
        <f>IF(OR($C51="",$B$2="",$D$2=0),0,IF(BJ$3&lt;0,0,N(INDEX('CURVA PREVISION'!$A$1:$KZ$3000,$C51,11+3*MIN(BJ$3,$D$2-1)))))</f>
        <v/>
      </c>
      <c r="BK51" s="122">
        <f>IF(OR($C51="",$B$2="",$D$2=0),0,IF(BK$3&lt;0,0,N(INDEX('CURVA PREVISION'!$A$1:$KZ$3000,$C51,11+3*MIN(BK$3,$D$2-1)))))</f>
        <v/>
      </c>
      <c r="BL51" s="122">
        <f>IF(OR($C51="",$B$2="",$D$2=0),0,IF(BL$3&lt;0,0,N(INDEX('CURVA PREVISION'!$A$1:$KZ$3000,$C51,11+3*MIN(BL$3,$D$2-1)))))</f>
        <v/>
      </c>
      <c r="BM51" s="122">
        <f>IF(OR($C51="",$B$2="",$D$2=0),0,IF(BM$3&lt;0,0,N(INDEX('CURVA PREVISION'!$A$1:$KZ$3000,$C51,11+3*MIN(BM$3,$D$2-1)))))</f>
        <v/>
      </c>
      <c r="BN51" s="122">
        <f>IF(OR($C51="",$B$2="",$D$2=0),0,IF(BN$3&lt;0,0,N(INDEX('CURVA PREVISION'!$A$1:$KZ$3000,$C51,11+3*MIN(BN$3,$D$2-1)))))</f>
        <v/>
      </c>
      <c r="BO51" s="122">
        <f>IF(OR($C51="",$B$2="",$D$2=0),0,IF(BO$3&lt;0,0,N(INDEX('CURVA PREVISION'!$A$1:$KZ$3000,$C51,11+3*MIN(BO$3,$D$2-1)))))</f>
        <v/>
      </c>
      <c r="BP51" s="122">
        <f>IF(OR($C51="",$B$2="",$D$2=0),0,IF(BP$3&lt;0,0,N(INDEX('CURVA PREVISION'!$A$1:$KZ$3000,$C51,11+3*MIN(BP$3,$D$2-1)))))</f>
        <v/>
      </c>
      <c r="BQ51" s="122">
        <f>IF(OR($C51="",$B$2="",$D$2=0),0,IF(BQ$3&lt;0,0,N(INDEX('CURVA PREVISION'!$A$1:$KZ$3000,$C51,11+3*MIN(BQ$3,$D$2-1)))))</f>
        <v/>
      </c>
      <c r="BR51" s="122">
        <f>IF(OR($C51="",$B$2="",$D$2=0),0,IF(BR$3&lt;0,0,N(INDEX('CURVA PREVISION'!$A$1:$KZ$3000,$C51,11+3*MIN(BR$3,$D$2-1)))))</f>
        <v/>
      </c>
      <c r="BS51" s="122">
        <f>IF(OR($C51="",$B$2="",$D$2=0),0,IF(BS$3&lt;0,0,N(INDEX('CURVA PREVISION'!$A$1:$KZ$3000,$C51,11+3*MIN(BS$3,$D$2-1)))))</f>
        <v/>
      </c>
      <c r="BT51" s="122">
        <f>IF(OR($C51="",$B$2="",$D$2=0),0,IF(BT$3&lt;0,0,N(INDEX('CURVA PREVISION'!$A$1:$KZ$3000,$C51,11+3*MIN(BT$3,$D$2-1)))))</f>
        <v/>
      </c>
      <c r="BU51" s="122">
        <f>IF(OR($C51="",$B$2="",$D$2=0),0,IF(BU$3&lt;0,0,N(INDEX('CURVA PREVISION'!$A$1:$KZ$3000,$C51,11+3*MIN(BU$3,$D$2-1)))))</f>
        <v/>
      </c>
      <c r="BV51" s="122">
        <f>IF(OR($C51="",$B$2="",$D$2=0),0,IF(BV$3&lt;0,0,N(INDEX('CURVA PREVISION'!$A$1:$KZ$3000,$C51,11+3*MIN(BV$3,$D$2-1)))))</f>
        <v/>
      </c>
      <c r="BW51" s="122">
        <f>IF(OR($C51="",$B$2="",$D$2=0),0,IF(BW$3&lt;0,0,N(INDEX('CURVA PREVISION'!$A$1:$KZ$3000,$C51,11+3*MIN(BW$3,$D$2-1)))))</f>
        <v/>
      </c>
    </row>
    <row r="52">
      <c r="A52" s="51">
        <f>A10</f>
        <v/>
      </c>
      <c r="B52" s="51">
        <f>B10</f>
        <v/>
      </c>
      <c r="C52" s="68">
        <f>C10</f>
        <v/>
      </c>
      <c r="D52" s="122">
        <f>IF(OR($C52="",$B$2="",$D$2=0),0,IF(D$3&lt;0,0,N(INDEX('CURVA PREVISION'!$A$1:$KZ$3000,$C52,11+3*MIN(D$3,$D$2-1)))))</f>
        <v/>
      </c>
      <c r="E52" s="122">
        <f>IF(OR($C52="",$B$2="",$D$2=0),0,IF(E$3&lt;0,0,N(INDEX('CURVA PREVISION'!$A$1:$KZ$3000,$C52,11+3*MIN(E$3,$D$2-1)))))</f>
        <v/>
      </c>
      <c r="F52" s="122">
        <f>IF(OR($C52="",$B$2="",$D$2=0),0,IF(F$3&lt;0,0,N(INDEX('CURVA PREVISION'!$A$1:$KZ$3000,$C52,11+3*MIN(F$3,$D$2-1)))))</f>
        <v/>
      </c>
      <c r="G52" s="122">
        <f>IF(OR($C52="",$B$2="",$D$2=0),0,IF(G$3&lt;0,0,N(INDEX('CURVA PREVISION'!$A$1:$KZ$3000,$C52,11+3*MIN(G$3,$D$2-1)))))</f>
        <v/>
      </c>
      <c r="H52" s="122">
        <f>IF(OR($C52="",$B$2="",$D$2=0),0,IF(H$3&lt;0,0,N(INDEX('CURVA PREVISION'!$A$1:$KZ$3000,$C52,11+3*MIN(H$3,$D$2-1)))))</f>
        <v/>
      </c>
      <c r="I52" s="122">
        <f>IF(OR($C52="",$B$2="",$D$2=0),0,IF(I$3&lt;0,0,N(INDEX('CURVA PREVISION'!$A$1:$KZ$3000,$C52,11+3*MIN(I$3,$D$2-1)))))</f>
        <v/>
      </c>
      <c r="J52" s="122">
        <f>IF(OR($C52="",$B$2="",$D$2=0),0,IF(J$3&lt;0,0,N(INDEX('CURVA PREVISION'!$A$1:$KZ$3000,$C52,11+3*MIN(J$3,$D$2-1)))))</f>
        <v/>
      </c>
      <c r="K52" s="122">
        <f>IF(OR($C52="",$B$2="",$D$2=0),0,IF(K$3&lt;0,0,N(INDEX('CURVA PREVISION'!$A$1:$KZ$3000,$C52,11+3*MIN(K$3,$D$2-1)))))</f>
        <v/>
      </c>
      <c r="L52" s="122">
        <f>IF(OR($C52="",$B$2="",$D$2=0),0,IF(L$3&lt;0,0,N(INDEX('CURVA PREVISION'!$A$1:$KZ$3000,$C52,11+3*MIN(L$3,$D$2-1)))))</f>
        <v/>
      </c>
      <c r="M52" s="122">
        <f>IF(OR($C52="",$B$2="",$D$2=0),0,IF(M$3&lt;0,0,N(INDEX('CURVA PREVISION'!$A$1:$KZ$3000,$C52,11+3*MIN(M$3,$D$2-1)))))</f>
        <v/>
      </c>
      <c r="N52" s="122">
        <f>IF(OR($C52="",$B$2="",$D$2=0),0,IF(N$3&lt;0,0,N(INDEX('CURVA PREVISION'!$A$1:$KZ$3000,$C52,11+3*MIN(N$3,$D$2-1)))))</f>
        <v/>
      </c>
      <c r="O52" s="122">
        <f>IF(OR($C52="",$B$2="",$D$2=0),0,IF(O$3&lt;0,0,N(INDEX('CURVA PREVISION'!$A$1:$KZ$3000,$C52,11+3*MIN(O$3,$D$2-1)))))</f>
        <v/>
      </c>
      <c r="P52" s="122">
        <f>IF(OR($C52="",$B$2="",$D$2=0),0,IF(P$3&lt;0,0,N(INDEX('CURVA PREVISION'!$A$1:$KZ$3000,$C52,11+3*MIN(P$3,$D$2-1)))))</f>
        <v/>
      </c>
      <c r="Q52" s="122">
        <f>IF(OR($C52="",$B$2="",$D$2=0),0,IF(Q$3&lt;0,0,N(INDEX('CURVA PREVISION'!$A$1:$KZ$3000,$C52,11+3*MIN(Q$3,$D$2-1)))))</f>
        <v/>
      </c>
      <c r="R52" s="122">
        <f>IF(OR($C52="",$B$2="",$D$2=0),0,IF(R$3&lt;0,0,N(INDEX('CURVA PREVISION'!$A$1:$KZ$3000,$C52,11+3*MIN(R$3,$D$2-1)))))</f>
        <v/>
      </c>
      <c r="S52" s="122">
        <f>IF(OR($C52="",$B$2="",$D$2=0),0,IF(S$3&lt;0,0,N(INDEX('CURVA PREVISION'!$A$1:$KZ$3000,$C52,11+3*MIN(S$3,$D$2-1)))))</f>
        <v/>
      </c>
      <c r="T52" s="122">
        <f>IF(OR($C52="",$B$2="",$D$2=0),0,IF(T$3&lt;0,0,N(INDEX('CURVA PREVISION'!$A$1:$KZ$3000,$C52,11+3*MIN(T$3,$D$2-1)))))</f>
        <v/>
      </c>
      <c r="U52" s="122">
        <f>IF(OR($C52="",$B$2="",$D$2=0),0,IF(U$3&lt;0,0,N(INDEX('CURVA PREVISION'!$A$1:$KZ$3000,$C52,11+3*MIN(U$3,$D$2-1)))))</f>
        <v/>
      </c>
      <c r="V52" s="122">
        <f>IF(OR($C52="",$B$2="",$D$2=0),0,IF(V$3&lt;0,0,N(INDEX('CURVA PREVISION'!$A$1:$KZ$3000,$C52,11+3*MIN(V$3,$D$2-1)))))</f>
        <v/>
      </c>
      <c r="W52" s="122">
        <f>IF(OR($C52="",$B$2="",$D$2=0),0,IF(W$3&lt;0,0,N(INDEX('CURVA PREVISION'!$A$1:$KZ$3000,$C52,11+3*MIN(W$3,$D$2-1)))))</f>
        <v/>
      </c>
      <c r="X52" s="122">
        <f>IF(OR($C52="",$B$2="",$D$2=0),0,IF(X$3&lt;0,0,N(INDEX('CURVA PREVISION'!$A$1:$KZ$3000,$C52,11+3*MIN(X$3,$D$2-1)))))</f>
        <v/>
      </c>
      <c r="Y52" s="122">
        <f>IF(OR($C52="",$B$2="",$D$2=0),0,IF(Y$3&lt;0,0,N(INDEX('CURVA PREVISION'!$A$1:$KZ$3000,$C52,11+3*MIN(Y$3,$D$2-1)))))</f>
        <v/>
      </c>
      <c r="Z52" s="122">
        <f>IF(OR($C52="",$B$2="",$D$2=0),0,IF(Z$3&lt;0,0,N(INDEX('CURVA PREVISION'!$A$1:$KZ$3000,$C52,11+3*MIN(Z$3,$D$2-1)))))</f>
        <v/>
      </c>
      <c r="AA52" s="122">
        <f>IF(OR($C52="",$B$2="",$D$2=0),0,IF(AA$3&lt;0,0,N(INDEX('CURVA PREVISION'!$A$1:$KZ$3000,$C52,11+3*MIN(AA$3,$D$2-1)))))</f>
        <v/>
      </c>
      <c r="AB52" s="122">
        <f>IF(OR($C52="",$B$2="",$D$2=0),0,IF(AB$3&lt;0,0,N(INDEX('CURVA PREVISION'!$A$1:$KZ$3000,$C52,11+3*MIN(AB$3,$D$2-1)))))</f>
        <v/>
      </c>
      <c r="AC52" s="122">
        <f>IF(OR($C52="",$B$2="",$D$2=0),0,IF(AC$3&lt;0,0,N(INDEX('CURVA PREVISION'!$A$1:$KZ$3000,$C52,11+3*MIN(AC$3,$D$2-1)))))</f>
        <v/>
      </c>
      <c r="AD52" s="122">
        <f>IF(OR($C52="",$B$2="",$D$2=0),0,IF(AD$3&lt;0,0,N(INDEX('CURVA PREVISION'!$A$1:$KZ$3000,$C52,11+3*MIN(AD$3,$D$2-1)))))</f>
        <v/>
      </c>
      <c r="AE52" s="122">
        <f>IF(OR($C52="",$B$2="",$D$2=0),0,IF(AE$3&lt;0,0,N(INDEX('CURVA PREVISION'!$A$1:$KZ$3000,$C52,11+3*MIN(AE$3,$D$2-1)))))</f>
        <v/>
      </c>
      <c r="AF52" s="122">
        <f>IF(OR($C52="",$B$2="",$D$2=0),0,IF(AF$3&lt;0,0,N(INDEX('CURVA PREVISION'!$A$1:$KZ$3000,$C52,11+3*MIN(AF$3,$D$2-1)))))</f>
        <v/>
      </c>
      <c r="AG52" s="122">
        <f>IF(OR($C52="",$B$2="",$D$2=0),0,IF(AG$3&lt;0,0,N(INDEX('CURVA PREVISION'!$A$1:$KZ$3000,$C52,11+3*MIN(AG$3,$D$2-1)))))</f>
        <v/>
      </c>
      <c r="AH52" s="122">
        <f>IF(OR($C52="",$B$2="",$D$2=0),0,IF(AH$3&lt;0,0,N(INDEX('CURVA PREVISION'!$A$1:$KZ$3000,$C52,11+3*MIN(AH$3,$D$2-1)))))</f>
        <v/>
      </c>
      <c r="AI52" s="122">
        <f>IF(OR($C52="",$B$2="",$D$2=0),0,IF(AI$3&lt;0,0,N(INDEX('CURVA PREVISION'!$A$1:$KZ$3000,$C52,11+3*MIN(AI$3,$D$2-1)))))</f>
        <v/>
      </c>
      <c r="AJ52" s="122">
        <f>IF(OR($C52="",$B$2="",$D$2=0),0,IF(AJ$3&lt;0,0,N(INDEX('CURVA PREVISION'!$A$1:$KZ$3000,$C52,11+3*MIN(AJ$3,$D$2-1)))))</f>
        <v/>
      </c>
      <c r="AK52" s="122">
        <f>IF(OR($C52="",$B$2="",$D$2=0),0,IF(AK$3&lt;0,0,N(INDEX('CURVA PREVISION'!$A$1:$KZ$3000,$C52,11+3*MIN(AK$3,$D$2-1)))))</f>
        <v/>
      </c>
      <c r="AL52" s="122">
        <f>IF(OR($C52="",$B$2="",$D$2=0),0,IF(AL$3&lt;0,0,N(INDEX('CURVA PREVISION'!$A$1:$KZ$3000,$C52,11+3*MIN(AL$3,$D$2-1)))))</f>
        <v/>
      </c>
      <c r="AM52" s="122">
        <f>IF(OR($C52="",$B$2="",$D$2=0),0,IF(AM$3&lt;0,0,N(INDEX('CURVA PREVISION'!$A$1:$KZ$3000,$C52,11+3*MIN(AM$3,$D$2-1)))))</f>
        <v/>
      </c>
      <c r="AN52" s="122">
        <f>IF(OR($C52="",$B$2="",$D$2=0),0,IF(AN$3&lt;0,0,N(INDEX('CURVA PREVISION'!$A$1:$KZ$3000,$C52,11+3*MIN(AN$3,$D$2-1)))))</f>
        <v/>
      </c>
      <c r="AO52" s="122">
        <f>IF(OR($C52="",$B$2="",$D$2=0),0,IF(AO$3&lt;0,0,N(INDEX('CURVA PREVISION'!$A$1:$KZ$3000,$C52,11+3*MIN(AO$3,$D$2-1)))))</f>
        <v/>
      </c>
      <c r="AP52" s="122">
        <f>IF(OR($C52="",$B$2="",$D$2=0),0,IF(AP$3&lt;0,0,N(INDEX('CURVA PREVISION'!$A$1:$KZ$3000,$C52,11+3*MIN(AP$3,$D$2-1)))))</f>
        <v/>
      </c>
      <c r="AQ52" s="122">
        <f>IF(OR($C52="",$B$2="",$D$2=0),0,IF(AQ$3&lt;0,0,N(INDEX('CURVA PREVISION'!$A$1:$KZ$3000,$C52,11+3*MIN(AQ$3,$D$2-1)))))</f>
        <v/>
      </c>
      <c r="AR52" s="122">
        <f>IF(OR($C52="",$B$2="",$D$2=0),0,IF(AR$3&lt;0,0,N(INDEX('CURVA PREVISION'!$A$1:$KZ$3000,$C52,11+3*MIN(AR$3,$D$2-1)))))</f>
        <v/>
      </c>
      <c r="AS52" s="122">
        <f>IF(OR($C52="",$B$2="",$D$2=0),0,IF(AS$3&lt;0,0,N(INDEX('CURVA PREVISION'!$A$1:$KZ$3000,$C52,11+3*MIN(AS$3,$D$2-1)))))</f>
        <v/>
      </c>
      <c r="AT52" s="122">
        <f>IF(OR($C52="",$B$2="",$D$2=0),0,IF(AT$3&lt;0,0,N(INDEX('CURVA PREVISION'!$A$1:$KZ$3000,$C52,11+3*MIN(AT$3,$D$2-1)))))</f>
        <v/>
      </c>
      <c r="AU52" s="122">
        <f>IF(OR($C52="",$B$2="",$D$2=0),0,IF(AU$3&lt;0,0,N(INDEX('CURVA PREVISION'!$A$1:$KZ$3000,$C52,11+3*MIN(AU$3,$D$2-1)))))</f>
        <v/>
      </c>
      <c r="AV52" s="122">
        <f>IF(OR($C52="",$B$2="",$D$2=0),0,IF(AV$3&lt;0,0,N(INDEX('CURVA PREVISION'!$A$1:$KZ$3000,$C52,11+3*MIN(AV$3,$D$2-1)))))</f>
        <v/>
      </c>
      <c r="AW52" s="122">
        <f>IF(OR($C52="",$B$2="",$D$2=0),0,IF(AW$3&lt;0,0,N(INDEX('CURVA PREVISION'!$A$1:$KZ$3000,$C52,11+3*MIN(AW$3,$D$2-1)))))</f>
        <v/>
      </c>
      <c r="AX52" s="122">
        <f>IF(OR($C52="",$B$2="",$D$2=0),0,IF(AX$3&lt;0,0,N(INDEX('CURVA PREVISION'!$A$1:$KZ$3000,$C52,11+3*MIN(AX$3,$D$2-1)))))</f>
        <v/>
      </c>
      <c r="AY52" s="122">
        <f>IF(OR($C52="",$B$2="",$D$2=0),0,IF(AY$3&lt;0,0,N(INDEX('CURVA PREVISION'!$A$1:$KZ$3000,$C52,11+3*MIN(AY$3,$D$2-1)))))</f>
        <v/>
      </c>
      <c r="AZ52" s="122">
        <f>IF(OR($C52="",$B$2="",$D$2=0),0,IF(AZ$3&lt;0,0,N(INDEX('CURVA PREVISION'!$A$1:$KZ$3000,$C52,11+3*MIN(AZ$3,$D$2-1)))))</f>
        <v/>
      </c>
      <c r="BA52" s="122">
        <f>IF(OR($C52="",$B$2="",$D$2=0),0,IF(BA$3&lt;0,0,N(INDEX('CURVA PREVISION'!$A$1:$KZ$3000,$C52,11+3*MIN(BA$3,$D$2-1)))))</f>
        <v/>
      </c>
      <c r="BB52" s="122">
        <f>IF(OR($C52="",$B$2="",$D$2=0),0,IF(BB$3&lt;0,0,N(INDEX('CURVA PREVISION'!$A$1:$KZ$3000,$C52,11+3*MIN(BB$3,$D$2-1)))))</f>
        <v/>
      </c>
      <c r="BC52" s="122">
        <f>IF(OR($C52="",$B$2="",$D$2=0),0,IF(BC$3&lt;0,0,N(INDEX('CURVA PREVISION'!$A$1:$KZ$3000,$C52,11+3*MIN(BC$3,$D$2-1)))))</f>
        <v/>
      </c>
      <c r="BD52" s="122">
        <f>IF(OR($C52="",$B$2="",$D$2=0),0,IF(BD$3&lt;0,0,N(INDEX('CURVA PREVISION'!$A$1:$KZ$3000,$C52,11+3*MIN(BD$3,$D$2-1)))))</f>
        <v/>
      </c>
      <c r="BE52" s="122">
        <f>IF(OR($C52="",$B$2="",$D$2=0),0,IF(BE$3&lt;0,0,N(INDEX('CURVA PREVISION'!$A$1:$KZ$3000,$C52,11+3*MIN(BE$3,$D$2-1)))))</f>
        <v/>
      </c>
      <c r="BF52" s="122">
        <f>IF(OR($C52="",$B$2="",$D$2=0),0,IF(BF$3&lt;0,0,N(INDEX('CURVA PREVISION'!$A$1:$KZ$3000,$C52,11+3*MIN(BF$3,$D$2-1)))))</f>
        <v/>
      </c>
      <c r="BG52" s="122">
        <f>IF(OR($C52="",$B$2="",$D$2=0),0,IF(BG$3&lt;0,0,N(INDEX('CURVA PREVISION'!$A$1:$KZ$3000,$C52,11+3*MIN(BG$3,$D$2-1)))))</f>
        <v/>
      </c>
      <c r="BH52" s="122">
        <f>IF(OR($C52="",$B$2="",$D$2=0),0,IF(BH$3&lt;0,0,N(INDEX('CURVA PREVISION'!$A$1:$KZ$3000,$C52,11+3*MIN(BH$3,$D$2-1)))))</f>
        <v/>
      </c>
      <c r="BI52" s="122">
        <f>IF(OR($C52="",$B$2="",$D$2=0),0,IF(BI$3&lt;0,0,N(INDEX('CURVA PREVISION'!$A$1:$KZ$3000,$C52,11+3*MIN(BI$3,$D$2-1)))))</f>
        <v/>
      </c>
      <c r="BJ52" s="122">
        <f>IF(OR($C52="",$B$2="",$D$2=0),0,IF(BJ$3&lt;0,0,N(INDEX('CURVA PREVISION'!$A$1:$KZ$3000,$C52,11+3*MIN(BJ$3,$D$2-1)))))</f>
        <v/>
      </c>
      <c r="BK52" s="122">
        <f>IF(OR($C52="",$B$2="",$D$2=0),0,IF(BK$3&lt;0,0,N(INDEX('CURVA PREVISION'!$A$1:$KZ$3000,$C52,11+3*MIN(BK$3,$D$2-1)))))</f>
        <v/>
      </c>
      <c r="BL52" s="122">
        <f>IF(OR($C52="",$B$2="",$D$2=0),0,IF(BL$3&lt;0,0,N(INDEX('CURVA PREVISION'!$A$1:$KZ$3000,$C52,11+3*MIN(BL$3,$D$2-1)))))</f>
        <v/>
      </c>
      <c r="BM52" s="122">
        <f>IF(OR($C52="",$B$2="",$D$2=0),0,IF(BM$3&lt;0,0,N(INDEX('CURVA PREVISION'!$A$1:$KZ$3000,$C52,11+3*MIN(BM$3,$D$2-1)))))</f>
        <v/>
      </c>
      <c r="BN52" s="122">
        <f>IF(OR($C52="",$B$2="",$D$2=0),0,IF(BN$3&lt;0,0,N(INDEX('CURVA PREVISION'!$A$1:$KZ$3000,$C52,11+3*MIN(BN$3,$D$2-1)))))</f>
        <v/>
      </c>
      <c r="BO52" s="122">
        <f>IF(OR($C52="",$B$2="",$D$2=0),0,IF(BO$3&lt;0,0,N(INDEX('CURVA PREVISION'!$A$1:$KZ$3000,$C52,11+3*MIN(BO$3,$D$2-1)))))</f>
        <v/>
      </c>
      <c r="BP52" s="122">
        <f>IF(OR($C52="",$B$2="",$D$2=0),0,IF(BP$3&lt;0,0,N(INDEX('CURVA PREVISION'!$A$1:$KZ$3000,$C52,11+3*MIN(BP$3,$D$2-1)))))</f>
        <v/>
      </c>
      <c r="BQ52" s="122">
        <f>IF(OR($C52="",$B$2="",$D$2=0),0,IF(BQ$3&lt;0,0,N(INDEX('CURVA PREVISION'!$A$1:$KZ$3000,$C52,11+3*MIN(BQ$3,$D$2-1)))))</f>
        <v/>
      </c>
      <c r="BR52" s="122">
        <f>IF(OR($C52="",$B$2="",$D$2=0),0,IF(BR$3&lt;0,0,N(INDEX('CURVA PREVISION'!$A$1:$KZ$3000,$C52,11+3*MIN(BR$3,$D$2-1)))))</f>
        <v/>
      </c>
      <c r="BS52" s="122">
        <f>IF(OR($C52="",$B$2="",$D$2=0),0,IF(BS$3&lt;0,0,N(INDEX('CURVA PREVISION'!$A$1:$KZ$3000,$C52,11+3*MIN(BS$3,$D$2-1)))))</f>
        <v/>
      </c>
      <c r="BT52" s="122">
        <f>IF(OR($C52="",$B$2="",$D$2=0),0,IF(BT$3&lt;0,0,N(INDEX('CURVA PREVISION'!$A$1:$KZ$3000,$C52,11+3*MIN(BT$3,$D$2-1)))))</f>
        <v/>
      </c>
      <c r="BU52" s="122">
        <f>IF(OR($C52="",$B$2="",$D$2=0),0,IF(BU$3&lt;0,0,N(INDEX('CURVA PREVISION'!$A$1:$KZ$3000,$C52,11+3*MIN(BU$3,$D$2-1)))))</f>
        <v/>
      </c>
      <c r="BV52" s="122">
        <f>IF(OR($C52="",$B$2="",$D$2=0),0,IF(BV$3&lt;0,0,N(INDEX('CURVA PREVISION'!$A$1:$KZ$3000,$C52,11+3*MIN(BV$3,$D$2-1)))))</f>
        <v/>
      </c>
      <c r="BW52" s="122">
        <f>IF(OR($C52="",$B$2="",$D$2=0),0,IF(BW$3&lt;0,0,N(INDEX('CURVA PREVISION'!$A$1:$KZ$3000,$C52,11+3*MIN(BW$3,$D$2-1)))))</f>
        <v/>
      </c>
    </row>
    <row r="53">
      <c r="A53" s="51">
        <f>A11</f>
        <v/>
      </c>
      <c r="B53" s="51">
        <f>B11</f>
        <v/>
      </c>
      <c r="C53" s="68">
        <f>C11</f>
        <v/>
      </c>
      <c r="D53" s="122">
        <f>IF(OR($C53="",$B$2="",$D$2=0),0,IF(D$3&lt;0,0,N(INDEX('CURVA PREVISION'!$A$1:$KZ$3000,$C53,11+3*MIN(D$3,$D$2-1)))))</f>
        <v/>
      </c>
      <c r="E53" s="122">
        <f>IF(OR($C53="",$B$2="",$D$2=0),0,IF(E$3&lt;0,0,N(INDEX('CURVA PREVISION'!$A$1:$KZ$3000,$C53,11+3*MIN(E$3,$D$2-1)))))</f>
        <v/>
      </c>
      <c r="F53" s="122">
        <f>IF(OR($C53="",$B$2="",$D$2=0),0,IF(F$3&lt;0,0,N(INDEX('CURVA PREVISION'!$A$1:$KZ$3000,$C53,11+3*MIN(F$3,$D$2-1)))))</f>
        <v/>
      </c>
      <c r="G53" s="122">
        <f>IF(OR($C53="",$B$2="",$D$2=0),0,IF(G$3&lt;0,0,N(INDEX('CURVA PREVISION'!$A$1:$KZ$3000,$C53,11+3*MIN(G$3,$D$2-1)))))</f>
        <v/>
      </c>
      <c r="H53" s="122">
        <f>IF(OR($C53="",$B$2="",$D$2=0),0,IF(H$3&lt;0,0,N(INDEX('CURVA PREVISION'!$A$1:$KZ$3000,$C53,11+3*MIN(H$3,$D$2-1)))))</f>
        <v/>
      </c>
      <c r="I53" s="122">
        <f>IF(OR($C53="",$B$2="",$D$2=0),0,IF(I$3&lt;0,0,N(INDEX('CURVA PREVISION'!$A$1:$KZ$3000,$C53,11+3*MIN(I$3,$D$2-1)))))</f>
        <v/>
      </c>
      <c r="J53" s="122">
        <f>IF(OR($C53="",$B$2="",$D$2=0),0,IF(J$3&lt;0,0,N(INDEX('CURVA PREVISION'!$A$1:$KZ$3000,$C53,11+3*MIN(J$3,$D$2-1)))))</f>
        <v/>
      </c>
      <c r="K53" s="122">
        <f>IF(OR($C53="",$B$2="",$D$2=0),0,IF(K$3&lt;0,0,N(INDEX('CURVA PREVISION'!$A$1:$KZ$3000,$C53,11+3*MIN(K$3,$D$2-1)))))</f>
        <v/>
      </c>
      <c r="L53" s="122">
        <f>IF(OR($C53="",$B$2="",$D$2=0),0,IF(L$3&lt;0,0,N(INDEX('CURVA PREVISION'!$A$1:$KZ$3000,$C53,11+3*MIN(L$3,$D$2-1)))))</f>
        <v/>
      </c>
      <c r="M53" s="122">
        <f>IF(OR($C53="",$B$2="",$D$2=0),0,IF(M$3&lt;0,0,N(INDEX('CURVA PREVISION'!$A$1:$KZ$3000,$C53,11+3*MIN(M$3,$D$2-1)))))</f>
        <v/>
      </c>
      <c r="N53" s="122">
        <f>IF(OR($C53="",$B$2="",$D$2=0),0,IF(N$3&lt;0,0,N(INDEX('CURVA PREVISION'!$A$1:$KZ$3000,$C53,11+3*MIN(N$3,$D$2-1)))))</f>
        <v/>
      </c>
      <c r="O53" s="122">
        <f>IF(OR($C53="",$B$2="",$D$2=0),0,IF(O$3&lt;0,0,N(INDEX('CURVA PREVISION'!$A$1:$KZ$3000,$C53,11+3*MIN(O$3,$D$2-1)))))</f>
        <v/>
      </c>
      <c r="P53" s="122">
        <f>IF(OR($C53="",$B$2="",$D$2=0),0,IF(P$3&lt;0,0,N(INDEX('CURVA PREVISION'!$A$1:$KZ$3000,$C53,11+3*MIN(P$3,$D$2-1)))))</f>
        <v/>
      </c>
      <c r="Q53" s="122">
        <f>IF(OR($C53="",$B$2="",$D$2=0),0,IF(Q$3&lt;0,0,N(INDEX('CURVA PREVISION'!$A$1:$KZ$3000,$C53,11+3*MIN(Q$3,$D$2-1)))))</f>
        <v/>
      </c>
      <c r="R53" s="122">
        <f>IF(OR($C53="",$B$2="",$D$2=0),0,IF(R$3&lt;0,0,N(INDEX('CURVA PREVISION'!$A$1:$KZ$3000,$C53,11+3*MIN(R$3,$D$2-1)))))</f>
        <v/>
      </c>
      <c r="S53" s="122">
        <f>IF(OR($C53="",$B$2="",$D$2=0),0,IF(S$3&lt;0,0,N(INDEX('CURVA PREVISION'!$A$1:$KZ$3000,$C53,11+3*MIN(S$3,$D$2-1)))))</f>
        <v/>
      </c>
      <c r="T53" s="122">
        <f>IF(OR($C53="",$B$2="",$D$2=0),0,IF(T$3&lt;0,0,N(INDEX('CURVA PREVISION'!$A$1:$KZ$3000,$C53,11+3*MIN(T$3,$D$2-1)))))</f>
        <v/>
      </c>
      <c r="U53" s="122">
        <f>IF(OR($C53="",$B$2="",$D$2=0),0,IF(U$3&lt;0,0,N(INDEX('CURVA PREVISION'!$A$1:$KZ$3000,$C53,11+3*MIN(U$3,$D$2-1)))))</f>
        <v/>
      </c>
      <c r="V53" s="122">
        <f>IF(OR($C53="",$B$2="",$D$2=0),0,IF(V$3&lt;0,0,N(INDEX('CURVA PREVISION'!$A$1:$KZ$3000,$C53,11+3*MIN(V$3,$D$2-1)))))</f>
        <v/>
      </c>
      <c r="W53" s="122">
        <f>IF(OR($C53="",$B$2="",$D$2=0),0,IF(W$3&lt;0,0,N(INDEX('CURVA PREVISION'!$A$1:$KZ$3000,$C53,11+3*MIN(W$3,$D$2-1)))))</f>
        <v/>
      </c>
      <c r="X53" s="122">
        <f>IF(OR($C53="",$B$2="",$D$2=0),0,IF(X$3&lt;0,0,N(INDEX('CURVA PREVISION'!$A$1:$KZ$3000,$C53,11+3*MIN(X$3,$D$2-1)))))</f>
        <v/>
      </c>
      <c r="Y53" s="122">
        <f>IF(OR($C53="",$B$2="",$D$2=0),0,IF(Y$3&lt;0,0,N(INDEX('CURVA PREVISION'!$A$1:$KZ$3000,$C53,11+3*MIN(Y$3,$D$2-1)))))</f>
        <v/>
      </c>
      <c r="Z53" s="122">
        <f>IF(OR($C53="",$B$2="",$D$2=0),0,IF(Z$3&lt;0,0,N(INDEX('CURVA PREVISION'!$A$1:$KZ$3000,$C53,11+3*MIN(Z$3,$D$2-1)))))</f>
        <v/>
      </c>
      <c r="AA53" s="122">
        <f>IF(OR($C53="",$B$2="",$D$2=0),0,IF(AA$3&lt;0,0,N(INDEX('CURVA PREVISION'!$A$1:$KZ$3000,$C53,11+3*MIN(AA$3,$D$2-1)))))</f>
        <v/>
      </c>
      <c r="AB53" s="122">
        <f>IF(OR($C53="",$B$2="",$D$2=0),0,IF(AB$3&lt;0,0,N(INDEX('CURVA PREVISION'!$A$1:$KZ$3000,$C53,11+3*MIN(AB$3,$D$2-1)))))</f>
        <v/>
      </c>
      <c r="AC53" s="122">
        <f>IF(OR($C53="",$B$2="",$D$2=0),0,IF(AC$3&lt;0,0,N(INDEX('CURVA PREVISION'!$A$1:$KZ$3000,$C53,11+3*MIN(AC$3,$D$2-1)))))</f>
        <v/>
      </c>
      <c r="AD53" s="122">
        <f>IF(OR($C53="",$B$2="",$D$2=0),0,IF(AD$3&lt;0,0,N(INDEX('CURVA PREVISION'!$A$1:$KZ$3000,$C53,11+3*MIN(AD$3,$D$2-1)))))</f>
        <v/>
      </c>
      <c r="AE53" s="122">
        <f>IF(OR($C53="",$B$2="",$D$2=0),0,IF(AE$3&lt;0,0,N(INDEX('CURVA PREVISION'!$A$1:$KZ$3000,$C53,11+3*MIN(AE$3,$D$2-1)))))</f>
        <v/>
      </c>
      <c r="AF53" s="122">
        <f>IF(OR($C53="",$B$2="",$D$2=0),0,IF(AF$3&lt;0,0,N(INDEX('CURVA PREVISION'!$A$1:$KZ$3000,$C53,11+3*MIN(AF$3,$D$2-1)))))</f>
        <v/>
      </c>
      <c r="AG53" s="122">
        <f>IF(OR($C53="",$B$2="",$D$2=0),0,IF(AG$3&lt;0,0,N(INDEX('CURVA PREVISION'!$A$1:$KZ$3000,$C53,11+3*MIN(AG$3,$D$2-1)))))</f>
        <v/>
      </c>
      <c r="AH53" s="122">
        <f>IF(OR($C53="",$B$2="",$D$2=0),0,IF(AH$3&lt;0,0,N(INDEX('CURVA PREVISION'!$A$1:$KZ$3000,$C53,11+3*MIN(AH$3,$D$2-1)))))</f>
        <v/>
      </c>
      <c r="AI53" s="122">
        <f>IF(OR($C53="",$B$2="",$D$2=0),0,IF(AI$3&lt;0,0,N(INDEX('CURVA PREVISION'!$A$1:$KZ$3000,$C53,11+3*MIN(AI$3,$D$2-1)))))</f>
        <v/>
      </c>
      <c r="AJ53" s="122">
        <f>IF(OR($C53="",$B$2="",$D$2=0),0,IF(AJ$3&lt;0,0,N(INDEX('CURVA PREVISION'!$A$1:$KZ$3000,$C53,11+3*MIN(AJ$3,$D$2-1)))))</f>
        <v/>
      </c>
      <c r="AK53" s="122">
        <f>IF(OR($C53="",$B$2="",$D$2=0),0,IF(AK$3&lt;0,0,N(INDEX('CURVA PREVISION'!$A$1:$KZ$3000,$C53,11+3*MIN(AK$3,$D$2-1)))))</f>
        <v/>
      </c>
      <c r="AL53" s="122">
        <f>IF(OR($C53="",$B$2="",$D$2=0),0,IF(AL$3&lt;0,0,N(INDEX('CURVA PREVISION'!$A$1:$KZ$3000,$C53,11+3*MIN(AL$3,$D$2-1)))))</f>
        <v/>
      </c>
      <c r="AM53" s="122">
        <f>IF(OR($C53="",$B$2="",$D$2=0),0,IF(AM$3&lt;0,0,N(INDEX('CURVA PREVISION'!$A$1:$KZ$3000,$C53,11+3*MIN(AM$3,$D$2-1)))))</f>
        <v/>
      </c>
      <c r="AN53" s="122">
        <f>IF(OR($C53="",$B$2="",$D$2=0),0,IF(AN$3&lt;0,0,N(INDEX('CURVA PREVISION'!$A$1:$KZ$3000,$C53,11+3*MIN(AN$3,$D$2-1)))))</f>
        <v/>
      </c>
      <c r="AO53" s="122">
        <f>IF(OR($C53="",$B$2="",$D$2=0),0,IF(AO$3&lt;0,0,N(INDEX('CURVA PREVISION'!$A$1:$KZ$3000,$C53,11+3*MIN(AO$3,$D$2-1)))))</f>
        <v/>
      </c>
      <c r="AP53" s="122">
        <f>IF(OR($C53="",$B$2="",$D$2=0),0,IF(AP$3&lt;0,0,N(INDEX('CURVA PREVISION'!$A$1:$KZ$3000,$C53,11+3*MIN(AP$3,$D$2-1)))))</f>
        <v/>
      </c>
      <c r="AQ53" s="122">
        <f>IF(OR($C53="",$B$2="",$D$2=0),0,IF(AQ$3&lt;0,0,N(INDEX('CURVA PREVISION'!$A$1:$KZ$3000,$C53,11+3*MIN(AQ$3,$D$2-1)))))</f>
        <v/>
      </c>
      <c r="AR53" s="122">
        <f>IF(OR($C53="",$B$2="",$D$2=0),0,IF(AR$3&lt;0,0,N(INDEX('CURVA PREVISION'!$A$1:$KZ$3000,$C53,11+3*MIN(AR$3,$D$2-1)))))</f>
        <v/>
      </c>
      <c r="AS53" s="122">
        <f>IF(OR($C53="",$B$2="",$D$2=0),0,IF(AS$3&lt;0,0,N(INDEX('CURVA PREVISION'!$A$1:$KZ$3000,$C53,11+3*MIN(AS$3,$D$2-1)))))</f>
        <v/>
      </c>
      <c r="AT53" s="122">
        <f>IF(OR($C53="",$B$2="",$D$2=0),0,IF(AT$3&lt;0,0,N(INDEX('CURVA PREVISION'!$A$1:$KZ$3000,$C53,11+3*MIN(AT$3,$D$2-1)))))</f>
        <v/>
      </c>
      <c r="AU53" s="122">
        <f>IF(OR($C53="",$B$2="",$D$2=0),0,IF(AU$3&lt;0,0,N(INDEX('CURVA PREVISION'!$A$1:$KZ$3000,$C53,11+3*MIN(AU$3,$D$2-1)))))</f>
        <v/>
      </c>
      <c r="AV53" s="122">
        <f>IF(OR($C53="",$B$2="",$D$2=0),0,IF(AV$3&lt;0,0,N(INDEX('CURVA PREVISION'!$A$1:$KZ$3000,$C53,11+3*MIN(AV$3,$D$2-1)))))</f>
        <v/>
      </c>
      <c r="AW53" s="122">
        <f>IF(OR($C53="",$B$2="",$D$2=0),0,IF(AW$3&lt;0,0,N(INDEX('CURVA PREVISION'!$A$1:$KZ$3000,$C53,11+3*MIN(AW$3,$D$2-1)))))</f>
        <v/>
      </c>
      <c r="AX53" s="122">
        <f>IF(OR($C53="",$B$2="",$D$2=0),0,IF(AX$3&lt;0,0,N(INDEX('CURVA PREVISION'!$A$1:$KZ$3000,$C53,11+3*MIN(AX$3,$D$2-1)))))</f>
        <v/>
      </c>
      <c r="AY53" s="122">
        <f>IF(OR($C53="",$B$2="",$D$2=0),0,IF(AY$3&lt;0,0,N(INDEX('CURVA PREVISION'!$A$1:$KZ$3000,$C53,11+3*MIN(AY$3,$D$2-1)))))</f>
        <v/>
      </c>
      <c r="AZ53" s="122">
        <f>IF(OR($C53="",$B$2="",$D$2=0),0,IF(AZ$3&lt;0,0,N(INDEX('CURVA PREVISION'!$A$1:$KZ$3000,$C53,11+3*MIN(AZ$3,$D$2-1)))))</f>
        <v/>
      </c>
      <c r="BA53" s="122">
        <f>IF(OR($C53="",$B$2="",$D$2=0),0,IF(BA$3&lt;0,0,N(INDEX('CURVA PREVISION'!$A$1:$KZ$3000,$C53,11+3*MIN(BA$3,$D$2-1)))))</f>
        <v/>
      </c>
      <c r="BB53" s="122">
        <f>IF(OR($C53="",$B$2="",$D$2=0),0,IF(BB$3&lt;0,0,N(INDEX('CURVA PREVISION'!$A$1:$KZ$3000,$C53,11+3*MIN(BB$3,$D$2-1)))))</f>
        <v/>
      </c>
      <c r="BC53" s="122">
        <f>IF(OR($C53="",$B$2="",$D$2=0),0,IF(BC$3&lt;0,0,N(INDEX('CURVA PREVISION'!$A$1:$KZ$3000,$C53,11+3*MIN(BC$3,$D$2-1)))))</f>
        <v/>
      </c>
      <c r="BD53" s="122">
        <f>IF(OR($C53="",$B$2="",$D$2=0),0,IF(BD$3&lt;0,0,N(INDEX('CURVA PREVISION'!$A$1:$KZ$3000,$C53,11+3*MIN(BD$3,$D$2-1)))))</f>
        <v/>
      </c>
      <c r="BE53" s="122">
        <f>IF(OR($C53="",$B$2="",$D$2=0),0,IF(BE$3&lt;0,0,N(INDEX('CURVA PREVISION'!$A$1:$KZ$3000,$C53,11+3*MIN(BE$3,$D$2-1)))))</f>
        <v/>
      </c>
      <c r="BF53" s="122">
        <f>IF(OR($C53="",$B$2="",$D$2=0),0,IF(BF$3&lt;0,0,N(INDEX('CURVA PREVISION'!$A$1:$KZ$3000,$C53,11+3*MIN(BF$3,$D$2-1)))))</f>
        <v/>
      </c>
      <c r="BG53" s="122">
        <f>IF(OR($C53="",$B$2="",$D$2=0),0,IF(BG$3&lt;0,0,N(INDEX('CURVA PREVISION'!$A$1:$KZ$3000,$C53,11+3*MIN(BG$3,$D$2-1)))))</f>
        <v/>
      </c>
      <c r="BH53" s="122">
        <f>IF(OR($C53="",$B$2="",$D$2=0),0,IF(BH$3&lt;0,0,N(INDEX('CURVA PREVISION'!$A$1:$KZ$3000,$C53,11+3*MIN(BH$3,$D$2-1)))))</f>
        <v/>
      </c>
      <c r="BI53" s="122">
        <f>IF(OR($C53="",$B$2="",$D$2=0),0,IF(BI$3&lt;0,0,N(INDEX('CURVA PREVISION'!$A$1:$KZ$3000,$C53,11+3*MIN(BI$3,$D$2-1)))))</f>
        <v/>
      </c>
      <c r="BJ53" s="122">
        <f>IF(OR($C53="",$B$2="",$D$2=0),0,IF(BJ$3&lt;0,0,N(INDEX('CURVA PREVISION'!$A$1:$KZ$3000,$C53,11+3*MIN(BJ$3,$D$2-1)))))</f>
        <v/>
      </c>
      <c r="BK53" s="122">
        <f>IF(OR($C53="",$B$2="",$D$2=0),0,IF(BK$3&lt;0,0,N(INDEX('CURVA PREVISION'!$A$1:$KZ$3000,$C53,11+3*MIN(BK$3,$D$2-1)))))</f>
        <v/>
      </c>
      <c r="BL53" s="122">
        <f>IF(OR($C53="",$B$2="",$D$2=0),0,IF(BL$3&lt;0,0,N(INDEX('CURVA PREVISION'!$A$1:$KZ$3000,$C53,11+3*MIN(BL$3,$D$2-1)))))</f>
        <v/>
      </c>
      <c r="BM53" s="122">
        <f>IF(OR($C53="",$B$2="",$D$2=0),0,IF(BM$3&lt;0,0,N(INDEX('CURVA PREVISION'!$A$1:$KZ$3000,$C53,11+3*MIN(BM$3,$D$2-1)))))</f>
        <v/>
      </c>
      <c r="BN53" s="122">
        <f>IF(OR($C53="",$B$2="",$D$2=0),0,IF(BN$3&lt;0,0,N(INDEX('CURVA PREVISION'!$A$1:$KZ$3000,$C53,11+3*MIN(BN$3,$D$2-1)))))</f>
        <v/>
      </c>
      <c r="BO53" s="122">
        <f>IF(OR($C53="",$B$2="",$D$2=0),0,IF(BO$3&lt;0,0,N(INDEX('CURVA PREVISION'!$A$1:$KZ$3000,$C53,11+3*MIN(BO$3,$D$2-1)))))</f>
        <v/>
      </c>
      <c r="BP53" s="122">
        <f>IF(OR($C53="",$B$2="",$D$2=0),0,IF(BP$3&lt;0,0,N(INDEX('CURVA PREVISION'!$A$1:$KZ$3000,$C53,11+3*MIN(BP$3,$D$2-1)))))</f>
        <v/>
      </c>
      <c r="BQ53" s="122">
        <f>IF(OR($C53="",$B$2="",$D$2=0),0,IF(BQ$3&lt;0,0,N(INDEX('CURVA PREVISION'!$A$1:$KZ$3000,$C53,11+3*MIN(BQ$3,$D$2-1)))))</f>
        <v/>
      </c>
      <c r="BR53" s="122">
        <f>IF(OR($C53="",$B$2="",$D$2=0),0,IF(BR$3&lt;0,0,N(INDEX('CURVA PREVISION'!$A$1:$KZ$3000,$C53,11+3*MIN(BR$3,$D$2-1)))))</f>
        <v/>
      </c>
      <c r="BS53" s="122">
        <f>IF(OR($C53="",$B$2="",$D$2=0),0,IF(BS$3&lt;0,0,N(INDEX('CURVA PREVISION'!$A$1:$KZ$3000,$C53,11+3*MIN(BS$3,$D$2-1)))))</f>
        <v/>
      </c>
      <c r="BT53" s="122">
        <f>IF(OR($C53="",$B$2="",$D$2=0),0,IF(BT$3&lt;0,0,N(INDEX('CURVA PREVISION'!$A$1:$KZ$3000,$C53,11+3*MIN(BT$3,$D$2-1)))))</f>
        <v/>
      </c>
      <c r="BU53" s="122">
        <f>IF(OR($C53="",$B$2="",$D$2=0),0,IF(BU$3&lt;0,0,N(INDEX('CURVA PREVISION'!$A$1:$KZ$3000,$C53,11+3*MIN(BU$3,$D$2-1)))))</f>
        <v/>
      </c>
      <c r="BV53" s="122">
        <f>IF(OR($C53="",$B$2="",$D$2=0),0,IF(BV$3&lt;0,0,N(INDEX('CURVA PREVISION'!$A$1:$KZ$3000,$C53,11+3*MIN(BV$3,$D$2-1)))))</f>
        <v/>
      </c>
      <c r="BW53" s="122">
        <f>IF(OR($C53="",$B$2="",$D$2=0),0,IF(BW$3&lt;0,0,N(INDEX('CURVA PREVISION'!$A$1:$KZ$3000,$C53,11+3*MIN(BW$3,$D$2-1)))))</f>
        <v/>
      </c>
    </row>
    <row r="54">
      <c r="A54" s="51">
        <f>A12</f>
        <v/>
      </c>
      <c r="B54" s="51">
        <f>B12</f>
        <v/>
      </c>
      <c r="C54" s="68">
        <f>C12</f>
        <v/>
      </c>
      <c r="D54" s="122">
        <f>IF(OR($C54="",$B$2="",$D$2=0),0,IF(D$3&lt;0,0,N(INDEX('CURVA PREVISION'!$A$1:$KZ$3000,$C54,11+3*MIN(D$3,$D$2-1)))))</f>
        <v/>
      </c>
      <c r="E54" s="122">
        <f>IF(OR($C54="",$B$2="",$D$2=0),0,IF(E$3&lt;0,0,N(INDEX('CURVA PREVISION'!$A$1:$KZ$3000,$C54,11+3*MIN(E$3,$D$2-1)))))</f>
        <v/>
      </c>
      <c r="F54" s="122">
        <f>IF(OR($C54="",$B$2="",$D$2=0),0,IF(F$3&lt;0,0,N(INDEX('CURVA PREVISION'!$A$1:$KZ$3000,$C54,11+3*MIN(F$3,$D$2-1)))))</f>
        <v/>
      </c>
      <c r="G54" s="122">
        <f>IF(OR($C54="",$B$2="",$D$2=0),0,IF(G$3&lt;0,0,N(INDEX('CURVA PREVISION'!$A$1:$KZ$3000,$C54,11+3*MIN(G$3,$D$2-1)))))</f>
        <v/>
      </c>
      <c r="H54" s="122">
        <f>IF(OR($C54="",$B$2="",$D$2=0),0,IF(H$3&lt;0,0,N(INDEX('CURVA PREVISION'!$A$1:$KZ$3000,$C54,11+3*MIN(H$3,$D$2-1)))))</f>
        <v/>
      </c>
      <c r="I54" s="122">
        <f>IF(OR($C54="",$B$2="",$D$2=0),0,IF(I$3&lt;0,0,N(INDEX('CURVA PREVISION'!$A$1:$KZ$3000,$C54,11+3*MIN(I$3,$D$2-1)))))</f>
        <v/>
      </c>
      <c r="J54" s="122">
        <f>IF(OR($C54="",$B$2="",$D$2=0),0,IF(J$3&lt;0,0,N(INDEX('CURVA PREVISION'!$A$1:$KZ$3000,$C54,11+3*MIN(J$3,$D$2-1)))))</f>
        <v/>
      </c>
      <c r="K54" s="122">
        <f>IF(OR($C54="",$B$2="",$D$2=0),0,IF(K$3&lt;0,0,N(INDEX('CURVA PREVISION'!$A$1:$KZ$3000,$C54,11+3*MIN(K$3,$D$2-1)))))</f>
        <v/>
      </c>
      <c r="L54" s="122">
        <f>IF(OR($C54="",$B$2="",$D$2=0),0,IF(L$3&lt;0,0,N(INDEX('CURVA PREVISION'!$A$1:$KZ$3000,$C54,11+3*MIN(L$3,$D$2-1)))))</f>
        <v/>
      </c>
      <c r="M54" s="122">
        <f>IF(OR($C54="",$B$2="",$D$2=0),0,IF(M$3&lt;0,0,N(INDEX('CURVA PREVISION'!$A$1:$KZ$3000,$C54,11+3*MIN(M$3,$D$2-1)))))</f>
        <v/>
      </c>
      <c r="N54" s="122">
        <f>IF(OR($C54="",$B$2="",$D$2=0),0,IF(N$3&lt;0,0,N(INDEX('CURVA PREVISION'!$A$1:$KZ$3000,$C54,11+3*MIN(N$3,$D$2-1)))))</f>
        <v/>
      </c>
      <c r="O54" s="122">
        <f>IF(OR($C54="",$B$2="",$D$2=0),0,IF(O$3&lt;0,0,N(INDEX('CURVA PREVISION'!$A$1:$KZ$3000,$C54,11+3*MIN(O$3,$D$2-1)))))</f>
        <v/>
      </c>
      <c r="P54" s="122">
        <f>IF(OR($C54="",$B$2="",$D$2=0),0,IF(P$3&lt;0,0,N(INDEX('CURVA PREVISION'!$A$1:$KZ$3000,$C54,11+3*MIN(P$3,$D$2-1)))))</f>
        <v/>
      </c>
      <c r="Q54" s="122">
        <f>IF(OR($C54="",$B$2="",$D$2=0),0,IF(Q$3&lt;0,0,N(INDEX('CURVA PREVISION'!$A$1:$KZ$3000,$C54,11+3*MIN(Q$3,$D$2-1)))))</f>
        <v/>
      </c>
      <c r="R54" s="122">
        <f>IF(OR($C54="",$B$2="",$D$2=0),0,IF(R$3&lt;0,0,N(INDEX('CURVA PREVISION'!$A$1:$KZ$3000,$C54,11+3*MIN(R$3,$D$2-1)))))</f>
        <v/>
      </c>
      <c r="S54" s="122">
        <f>IF(OR($C54="",$B$2="",$D$2=0),0,IF(S$3&lt;0,0,N(INDEX('CURVA PREVISION'!$A$1:$KZ$3000,$C54,11+3*MIN(S$3,$D$2-1)))))</f>
        <v/>
      </c>
      <c r="T54" s="122">
        <f>IF(OR($C54="",$B$2="",$D$2=0),0,IF(T$3&lt;0,0,N(INDEX('CURVA PREVISION'!$A$1:$KZ$3000,$C54,11+3*MIN(T$3,$D$2-1)))))</f>
        <v/>
      </c>
      <c r="U54" s="122">
        <f>IF(OR($C54="",$B$2="",$D$2=0),0,IF(U$3&lt;0,0,N(INDEX('CURVA PREVISION'!$A$1:$KZ$3000,$C54,11+3*MIN(U$3,$D$2-1)))))</f>
        <v/>
      </c>
      <c r="V54" s="122">
        <f>IF(OR($C54="",$B$2="",$D$2=0),0,IF(V$3&lt;0,0,N(INDEX('CURVA PREVISION'!$A$1:$KZ$3000,$C54,11+3*MIN(V$3,$D$2-1)))))</f>
        <v/>
      </c>
      <c r="W54" s="122">
        <f>IF(OR($C54="",$B$2="",$D$2=0),0,IF(W$3&lt;0,0,N(INDEX('CURVA PREVISION'!$A$1:$KZ$3000,$C54,11+3*MIN(W$3,$D$2-1)))))</f>
        <v/>
      </c>
      <c r="X54" s="122">
        <f>IF(OR($C54="",$B$2="",$D$2=0),0,IF(X$3&lt;0,0,N(INDEX('CURVA PREVISION'!$A$1:$KZ$3000,$C54,11+3*MIN(X$3,$D$2-1)))))</f>
        <v/>
      </c>
      <c r="Y54" s="122">
        <f>IF(OR($C54="",$B$2="",$D$2=0),0,IF(Y$3&lt;0,0,N(INDEX('CURVA PREVISION'!$A$1:$KZ$3000,$C54,11+3*MIN(Y$3,$D$2-1)))))</f>
        <v/>
      </c>
      <c r="Z54" s="122">
        <f>IF(OR($C54="",$B$2="",$D$2=0),0,IF(Z$3&lt;0,0,N(INDEX('CURVA PREVISION'!$A$1:$KZ$3000,$C54,11+3*MIN(Z$3,$D$2-1)))))</f>
        <v/>
      </c>
      <c r="AA54" s="122">
        <f>IF(OR($C54="",$B$2="",$D$2=0),0,IF(AA$3&lt;0,0,N(INDEX('CURVA PREVISION'!$A$1:$KZ$3000,$C54,11+3*MIN(AA$3,$D$2-1)))))</f>
        <v/>
      </c>
      <c r="AB54" s="122">
        <f>IF(OR($C54="",$B$2="",$D$2=0),0,IF(AB$3&lt;0,0,N(INDEX('CURVA PREVISION'!$A$1:$KZ$3000,$C54,11+3*MIN(AB$3,$D$2-1)))))</f>
        <v/>
      </c>
      <c r="AC54" s="122">
        <f>IF(OR($C54="",$B$2="",$D$2=0),0,IF(AC$3&lt;0,0,N(INDEX('CURVA PREVISION'!$A$1:$KZ$3000,$C54,11+3*MIN(AC$3,$D$2-1)))))</f>
        <v/>
      </c>
      <c r="AD54" s="122">
        <f>IF(OR($C54="",$B$2="",$D$2=0),0,IF(AD$3&lt;0,0,N(INDEX('CURVA PREVISION'!$A$1:$KZ$3000,$C54,11+3*MIN(AD$3,$D$2-1)))))</f>
        <v/>
      </c>
      <c r="AE54" s="122">
        <f>IF(OR($C54="",$B$2="",$D$2=0),0,IF(AE$3&lt;0,0,N(INDEX('CURVA PREVISION'!$A$1:$KZ$3000,$C54,11+3*MIN(AE$3,$D$2-1)))))</f>
        <v/>
      </c>
      <c r="AF54" s="122">
        <f>IF(OR($C54="",$B$2="",$D$2=0),0,IF(AF$3&lt;0,0,N(INDEX('CURVA PREVISION'!$A$1:$KZ$3000,$C54,11+3*MIN(AF$3,$D$2-1)))))</f>
        <v/>
      </c>
      <c r="AG54" s="122">
        <f>IF(OR($C54="",$B$2="",$D$2=0),0,IF(AG$3&lt;0,0,N(INDEX('CURVA PREVISION'!$A$1:$KZ$3000,$C54,11+3*MIN(AG$3,$D$2-1)))))</f>
        <v/>
      </c>
      <c r="AH54" s="122">
        <f>IF(OR($C54="",$B$2="",$D$2=0),0,IF(AH$3&lt;0,0,N(INDEX('CURVA PREVISION'!$A$1:$KZ$3000,$C54,11+3*MIN(AH$3,$D$2-1)))))</f>
        <v/>
      </c>
      <c r="AI54" s="122">
        <f>IF(OR($C54="",$B$2="",$D$2=0),0,IF(AI$3&lt;0,0,N(INDEX('CURVA PREVISION'!$A$1:$KZ$3000,$C54,11+3*MIN(AI$3,$D$2-1)))))</f>
        <v/>
      </c>
      <c r="AJ54" s="122">
        <f>IF(OR($C54="",$B$2="",$D$2=0),0,IF(AJ$3&lt;0,0,N(INDEX('CURVA PREVISION'!$A$1:$KZ$3000,$C54,11+3*MIN(AJ$3,$D$2-1)))))</f>
        <v/>
      </c>
      <c r="AK54" s="122">
        <f>IF(OR($C54="",$B$2="",$D$2=0),0,IF(AK$3&lt;0,0,N(INDEX('CURVA PREVISION'!$A$1:$KZ$3000,$C54,11+3*MIN(AK$3,$D$2-1)))))</f>
        <v/>
      </c>
      <c r="AL54" s="122">
        <f>IF(OR($C54="",$B$2="",$D$2=0),0,IF(AL$3&lt;0,0,N(INDEX('CURVA PREVISION'!$A$1:$KZ$3000,$C54,11+3*MIN(AL$3,$D$2-1)))))</f>
        <v/>
      </c>
      <c r="AM54" s="122">
        <f>IF(OR($C54="",$B$2="",$D$2=0),0,IF(AM$3&lt;0,0,N(INDEX('CURVA PREVISION'!$A$1:$KZ$3000,$C54,11+3*MIN(AM$3,$D$2-1)))))</f>
        <v/>
      </c>
      <c r="AN54" s="122">
        <f>IF(OR($C54="",$B$2="",$D$2=0),0,IF(AN$3&lt;0,0,N(INDEX('CURVA PREVISION'!$A$1:$KZ$3000,$C54,11+3*MIN(AN$3,$D$2-1)))))</f>
        <v/>
      </c>
      <c r="AO54" s="122">
        <f>IF(OR($C54="",$B$2="",$D$2=0),0,IF(AO$3&lt;0,0,N(INDEX('CURVA PREVISION'!$A$1:$KZ$3000,$C54,11+3*MIN(AO$3,$D$2-1)))))</f>
        <v/>
      </c>
      <c r="AP54" s="122">
        <f>IF(OR($C54="",$B$2="",$D$2=0),0,IF(AP$3&lt;0,0,N(INDEX('CURVA PREVISION'!$A$1:$KZ$3000,$C54,11+3*MIN(AP$3,$D$2-1)))))</f>
        <v/>
      </c>
      <c r="AQ54" s="122">
        <f>IF(OR($C54="",$B$2="",$D$2=0),0,IF(AQ$3&lt;0,0,N(INDEX('CURVA PREVISION'!$A$1:$KZ$3000,$C54,11+3*MIN(AQ$3,$D$2-1)))))</f>
        <v/>
      </c>
      <c r="AR54" s="122">
        <f>IF(OR($C54="",$B$2="",$D$2=0),0,IF(AR$3&lt;0,0,N(INDEX('CURVA PREVISION'!$A$1:$KZ$3000,$C54,11+3*MIN(AR$3,$D$2-1)))))</f>
        <v/>
      </c>
      <c r="AS54" s="122">
        <f>IF(OR($C54="",$B$2="",$D$2=0),0,IF(AS$3&lt;0,0,N(INDEX('CURVA PREVISION'!$A$1:$KZ$3000,$C54,11+3*MIN(AS$3,$D$2-1)))))</f>
        <v/>
      </c>
      <c r="AT54" s="122">
        <f>IF(OR($C54="",$B$2="",$D$2=0),0,IF(AT$3&lt;0,0,N(INDEX('CURVA PREVISION'!$A$1:$KZ$3000,$C54,11+3*MIN(AT$3,$D$2-1)))))</f>
        <v/>
      </c>
      <c r="AU54" s="122">
        <f>IF(OR($C54="",$B$2="",$D$2=0),0,IF(AU$3&lt;0,0,N(INDEX('CURVA PREVISION'!$A$1:$KZ$3000,$C54,11+3*MIN(AU$3,$D$2-1)))))</f>
        <v/>
      </c>
      <c r="AV54" s="122">
        <f>IF(OR($C54="",$B$2="",$D$2=0),0,IF(AV$3&lt;0,0,N(INDEX('CURVA PREVISION'!$A$1:$KZ$3000,$C54,11+3*MIN(AV$3,$D$2-1)))))</f>
        <v/>
      </c>
      <c r="AW54" s="122">
        <f>IF(OR($C54="",$B$2="",$D$2=0),0,IF(AW$3&lt;0,0,N(INDEX('CURVA PREVISION'!$A$1:$KZ$3000,$C54,11+3*MIN(AW$3,$D$2-1)))))</f>
        <v/>
      </c>
      <c r="AX54" s="122">
        <f>IF(OR($C54="",$B$2="",$D$2=0),0,IF(AX$3&lt;0,0,N(INDEX('CURVA PREVISION'!$A$1:$KZ$3000,$C54,11+3*MIN(AX$3,$D$2-1)))))</f>
        <v/>
      </c>
      <c r="AY54" s="122">
        <f>IF(OR($C54="",$B$2="",$D$2=0),0,IF(AY$3&lt;0,0,N(INDEX('CURVA PREVISION'!$A$1:$KZ$3000,$C54,11+3*MIN(AY$3,$D$2-1)))))</f>
        <v/>
      </c>
      <c r="AZ54" s="122">
        <f>IF(OR($C54="",$B$2="",$D$2=0),0,IF(AZ$3&lt;0,0,N(INDEX('CURVA PREVISION'!$A$1:$KZ$3000,$C54,11+3*MIN(AZ$3,$D$2-1)))))</f>
        <v/>
      </c>
      <c r="BA54" s="122">
        <f>IF(OR($C54="",$B$2="",$D$2=0),0,IF(BA$3&lt;0,0,N(INDEX('CURVA PREVISION'!$A$1:$KZ$3000,$C54,11+3*MIN(BA$3,$D$2-1)))))</f>
        <v/>
      </c>
      <c r="BB54" s="122">
        <f>IF(OR($C54="",$B$2="",$D$2=0),0,IF(BB$3&lt;0,0,N(INDEX('CURVA PREVISION'!$A$1:$KZ$3000,$C54,11+3*MIN(BB$3,$D$2-1)))))</f>
        <v/>
      </c>
      <c r="BC54" s="122">
        <f>IF(OR($C54="",$B$2="",$D$2=0),0,IF(BC$3&lt;0,0,N(INDEX('CURVA PREVISION'!$A$1:$KZ$3000,$C54,11+3*MIN(BC$3,$D$2-1)))))</f>
        <v/>
      </c>
      <c r="BD54" s="122">
        <f>IF(OR($C54="",$B$2="",$D$2=0),0,IF(BD$3&lt;0,0,N(INDEX('CURVA PREVISION'!$A$1:$KZ$3000,$C54,11+3*MIN(BD$3,$D$2-1)))))</f>
        <v/>
      </c>
      <c r="BE54" s="122">
        <f>IF(OR($C54="",$B$2="",$D$2=0),0,IF(BE$3&lt;0,0,N(INDEX('CURVA PREVISION'!$A$1:$KZ$3000,$C54,11+3*MIN(BE$3,$D$2-1)))))</f>
        <v/>
      </c>
      <c r="BF54" s="122">
        <f>IF(OR($C54="",$B$2="",$D$2=0),0,IF(BF$3&lt;0,0,N(INDEX('CURVA PREVISION'!$A$1:$KZ$3000,$C54,11+3*MIN(BF$3,$D$2-1)))))</f>
        <v/>
      </c>
      <c r="BG54" s="122">
        <f>IF(OR($C54="",$B$2="",$D$2=0),0,IF(BG$3&lt;0,0,N(INDEX('CURVA PREVISION'!$A$1:$KZ$3000,$C54,11+3*MIN(BG$3,$D$2-1)))))</f>
        <v/>
      </c>
      <c r="BH54" s="122">
        <f>IF(OR($C54="",$B$2="",$D$2=0),0,IF(BH$3&lt;0,0,N(INDEX('CURVA PREVISION'!$A$1:$KZ$3000,$C54,11+3*MIN(BH$3,$D$2-1)))))</f>
        <v/>
      </c>
      <c r="BI54" s="122">
        <f>IF(OR($C54="",$B$2="",$D$2=0),0,IF(BI$3&lt;0,0,N(INDEX('CURVA PREVISION'!$A$1:$KZ$3000,$C54,11+3*MIN(BI$3,$D$2-1)))))</f>
        <v/>
      </c>
      <c r="BJ54" s="122">
        <f>IF(OR($C54="",$B$2="",$D$2=0),0,IF(BJ$3&lt;0,0,N(INDEX('CURVA PREVISION'!$A$1:$KZ$3000,$C54,11+3*MIN(BJ$3,$D$2-1)))))</f>
        <v/>
      </c>
      <c r="BK54" s="122">
        <f>IF(OR($C54="",$B$2="",$D$2=0),0,IF(BK$3&lt;0,0,N(INDEX('CURVA PREVISION'!$A$1:$KZ$3000,$C54,11+3*MIN(BK$3,$D$2-1)))))</f>
        <v/>
      </c>
      <c r="BL54" s="122">
        <f>IF(OR($C54="",$B$2="",$D$2=0),0,IF(BL$3&lt;0,0,N(INDEX('CURVA PREVISION'!$A$1:$KZ$3000,$C54,11+3*MIN(BL$3,$D$2-1)))))</f>
        <v/>
      </c>
      <c r="BM54" s="122">
        <f>IF(OR($C54="",$B$2="",$D$2=0),0,IF(BM$3&lt;0,0,N(INDEX('CURVA PREVISION'!$A$1:$KZ$3000,$C54,11+3*MIN(BM$3,$D$2-1)))))</f>
        <v/>
      </c>
      <c r="BN54" s="122">
        <f>IF(OR($C54="",$B$2="",$D$2=0),0,IF(BN$3&lt;0,0,N(INDEX('CURVA PREVISION'!$A$1:$KZ$3000,$C54,11+3*MIN(BN$3,$D$2-1)))))</f>
        <v/>
      </c>
      <c r="BO54" s="122">
        <f>IF(OR($C54="",$B$2="",$D$2=0),0,IF(BO$3&lt;0,0,N(INDEX('CURVA PREVISION'!$A$1:$KZ$3000,$C54,11+3*MIN(BO$3,$D$2-1)))))</f>
        <v/>
      </c>
      <c r="BP54" s="122">
        <f>IF(OR($C54="",$B$2="",$D$2=0),0,IF(BP$3&lt;0,0,N(INDEX('CURVA PREVISION'!$A$1:$KZ$3000,$C54,11+3*MIN(BP$3,$D$2-1)))))</f>
        <v/>
      </c>
      <c r="BQ54" s="122">
        <f>IF(OR($C54="",$B$2="",$D$2=0),0,IF(BQ$3&lt;0,0,N(INDEX('CURVA PREVISION'!$A$1:$KZ$3000,$C54,11+3*MIN(BQ$3,$D$2-1)))))</f>
        <v/>
      </c>
      <c r="BR54" s="122">
        <f>IF(OR($C54="",$B$2="",$D$2=0),0,IF(BR$3&lt;0,0,N(INDEX('CURVA PREVISION'!$A$1:$KZ$3000,$C54,11+3*MIN(BR$3,$D$2-1)))))</f>
        <v/>
      </c>
      <c r="BS54" s="122">
        <f>IF(OR($C54="",$B$2="",$D$2=0),0,IF(BS$3&lt;0,0,N(INDEX('CURVA PREVISION'!$A$1:$KZ$3000,$C54,11+3*MIN(BS$3,$D$2-1)))))</f>
        <v/>
      </c>
      <c r="BT54" s="122">
        <f>IF(OR($C54="",$B$2="",$D$2=0),0,IF(BT$3&lt;0,0,N(INDEX('CURVA PREVISION'!$A$1:$KZ$3000,$C54,11+3*MIN(BT$3,$D$2-1)))))</f>
        <v/>
      </c>
      <c r="BU54" s="122">
        <f>IF(OR($C54="",$B$2="",$D$2=0),0,IF(BU$3&lt;0,0,N(INDEX('CURVA PREVISION'!$A$1:$KZ$3000,$C54,11+3*MIN(BU$3,$D$2-1)))))</f>
        <v/>
      </c>
      <c r="BV54" s="122">
        <f>IF(OR($C54="",$B$2="",$D$2=0),0,IF(BV$3&lt;0,0,N(INDEX('CURVA PREVISION'!$A$1:$KZ$3000,$C54,11+3*MIN(BV$3,$D$2-1)))))</f>
        <v/>
      </c>
      <c r="BW54" s="122">
        <f>IF(OR($C54="",$B$2="",$D$2=0),0,IF(BW$3&lt;0,0,N(INDEX('CURVA PREVISION'!$A$1:$KZ$3000,$C54,11+3*MIN(BW$3,$D$2-1)))))</f>
        <v/>
      </c>
    </row>
    <row r="55">
      <c r="A55" s="51">
        <f>A13</f>
        <v/>
      </c>
      <c r="B55" s="51">
        <f>B13</f>
        <v/>
      </c>
      <c r="C55" s="68">
        <f>C13</f>
        <v/>
      </c>
      <c r="D55" s="122">
        <f>IF(OR($C55="",$B$2="",$D$2=0),0,IF(D$3&lt;0,0,N(INDEX('CURVA PREVISION'!$A$1:$KZ$3000,$C55,11+3*MIN(D$3,$D$2-1)))))</f>
        <v/>
      </c>
      <c r="E55" s="122">
        <f>IF(OR($C55="",$B$2="",$D$2=0),0,IF(E$3&lt;0,0,N(INDEX('CURVA PREVISION'!$A$1:$KZ$3000,$C55,11+3*MIN(E$3,$D$2-1)))))</f>
        <v/>
      </c>
      <c r="F55" s="122">
        <f>IF(OR($C55="",$B$2="",$D$2=0),0,IF(F$3&lt;0,0,N(INDEX('CURVA PREVISION'!$A$1:$KZ$3000,$C55,11+3*MIN(F$3,$D$2-1)))))</f>
        <v/>
      </c>
      <c r="G55" s="122">
        <f>IF(OR($C55="",$B$2="",$D$2=0),0,IF(G$3&lt;0,0,N(INDEX('CURVA PREVISION'!$A$1:$KZ$3000,$C55,11+3*MIN(G$3,$D$2-1)))))</f>
        <v/>
      </c>
      <c r="H55" s="122">
        <f>IF(OR($C55="",$B$2="",$D$2=0),0,IF(H$3&lt;0,0,N(INDEX('CURVA PREVISION'!$A$1:$KZ$3000,$C55,11+3*MIN(H$3,$D$2-1)))))</f>
        <v/>
      </c>
      <c r="I55" s="122">
        <f>IF(OR($C55="",$B$2="",$D$2=0),0,IF(I$3&lt;0,0,N(INDEX('CURVA PREVISION'!$A$1:$KZ$3000,$C55,11+3*MIN(I$3,$D$2-1)))))</f>
        <v/>
      </c>
      <c r="J55" s="122">
        <f>IF(OR($C55="",$B$2="",$D$2=0),0,IF(J$3&lt;0,0,N(INDEX('CURVA PREVISION'!$A$1:$KZ$3000,$C55,11+3*MIN(J$3,$D$2-1)))))</f>
        <v/>
      </c>
      <c r="K55" s="122">
        <f>IF(OR($C55="",$B$2="",$D$2=0),0,IF(K$3&lt;0,0,N(INDEX('CURVA PREVISION'!$A$1:$KZ$3000,$C55,11+3*MIN(K$3,$D$2-1)))))</f>
        <v/>
      </c>
      <c r="L55" s="122">
        <f>IF(OR($C55="",$B$2="",$D$2=0),0,IF(L$3&lt;0,0,N(INDEX('CURVA PREVISION'!$A$1:$KZ$3000,$C55,11+3*MIN(L$3,$D$2-1)))))</f>
        <v/>
      </c>
      <c r="M55" s="122">
        <f>IF(OR($C55="",$B$2="",$D$2=0),0,IF(M$3&lt;0,0,N(INDEX('CURVA PREVISION'!$A$1:$KZ$3000,$C55,11+3*MIN(M$3,$D$2-1)))))</f>
        <v/>
      </c>
      <c r="N55" s="122">
        <f>IF(OR($C55="",$B$2="",$D$2=0),0,IF(N$3&lt;0,0,N(INDEX('CURVA PREVISION'!$A$1:$KZ$3000,$C55,11+3*MIN(N$3,$D$2-1)))))</f>
        <v/>
      </c>
      <c r="O55" s="122">
        <f>IF(OR($C55="",$B$2="",$D$2=0),0,IF(O$3&lt;0,0,N(INDEX('CURVA PREVISION'!$A$1:$KZ$3000,$C55,11+3*MIN(O$3,$D$2-1)))))</f>
        <v/>
      </c>
      <c r="P55" s="122">
        <f>IF(OR($C55="",$B$2="",$D$2=0),0,IF(P$3&lt;0,0,N(INDEX('CURVA PREVISION'!$A$1:$KZ$3000,$C55,11+3*MIN(P$3,$D$2-1)))))</f>
        <v/>
      </c>
      <c r="Q55" s="122">
        <f>IF(OR($C55="",$B$2="",$D$2=0),0,IF(Q$3&lt;0,0,N(INDEX('CURVA PREVISION'!$A$1:$KZ$3000,$C55,11+3*MIN(Q$3,$D$2-1)))))</f>
        <v/>
      </c>
      <c r="R55" s="122">
        <f>IF(OR($C55="",$B$2="",$D$2=0),0,IF(R$3&lt;0,0,N(INDEX('CURVA PREVISION'!$A$1:$KZ$3000,$C55,11+3*MIN(R$3,$D$2-1)))))</f>
        <v/>
      </c>
      <c r="S55" s="122">
        <f>IF(OR($C55="",$B$2="",$D$2=0),0,IF(S$3&lt;0,0,N(INDEX('CURVA PREVISION'!$A$1:$KZ$3000,$C55,11+3*MIN(S$3,$D$2-1)))))</f>
        <v/>
      </c>
      <c r="T55" s="122">
        <f>IF(OR($C55="",$B$2="",$D$2=0),0,IF(T$3&lt;0,0,N(INDEX('CURVA PREVISION'!$A$1:$KZ$3000,$C55,11+3*MIN(T$3,$D$2-1)))))</f>
        <v/>
      </c>
      <c r="U55" s="122">
        <f>IF(OR($C55="",$B$2="",$D$2=0),0,IF(U$3&lt;0,0,N(INDEX('CURVA PREVISION'!$A$1:$KZ$3000,$C55,11+3*MIN(U$3,$D$2-1)))))</f>
        <v/>
      </c>
      <c r="V55" s="122">
        <f>IF(OR($C55="",$B$2="",$D$2=0),0,IF(V$3&lt;0,0,N(INDEX('CURVA PREVISION'!$A$1:$KZ$3000,$C55,11+3*MIN(V$3,$D$2-1)))))</f>
        <v/>
      </c>
      <c r="W55" s="122">
        <f>IF(OR($C55="",$B$2="",$D$2=0),0,IF(W$3&lt;0,0,N(INDEX('CURVA PREVISION'!$A$1:$KZ$3000,$C55,11+3*MIN(W$3,$D$2-1)))))</f>
        <v/>
      </c>
      <c r="X55" s="122">
        <f>IF(OR($C55="",$B$2="",$D$2=0),0,IF(X$3&lt;0,0,N(INDEX('CURVA PREVISION'!$A$1:$KZ$3000,$C55,11+3*MIN(X$3,$D$2-1)))))</f>
        <v/>
      </c>
      <c r="Y55" s="122">
        <f>IF(OR($C55="",$B$2="",$D$2=0),0,IF(Y$3&lt;0,0,N(INDEX('CURVA PREVISION'!$A$1:$KZ$3000,$C55,11+3*MIN(Y$3,$D$2-1)))))</f>
        <v/>
      </c>
      <c r="Z55" s="122">
        <f>IF(OR($C55="",$B$2="",$D$2=0),0,IF(Z$3&lt;0,0,N(INDEX('CURVA PREVISION'!$A$1:$KZ$3000,$C55,11+3*MIN(Z$3,$D$2-1)))))</f>
        <v/>
      </c>
      <c r="AA55" s="122">
        <f>IF(OR($C55="",$B$2="",$D$2=0),0,IF(AA$3&lt;0,0,N(INDEX('CURVA PREVISION'!$A$1:$KZ$3000,$C55,11+3*MIN(AA$3,$D$2-1)))))</f>
        <v/>
      </c>
      <c r="AB55" s="122">
        <f>IF(OR($C55="",$B$2="",$D$2=0),0,IF(AB$3&lt;0,0,N(INDEX('CURVA PREVISION'!$A$1:$KZ$3000,$C55,11+3*MIN(AB$3,$D$2-1)))))</f>
        <v/>
      </c>
      <c r="AC55" s="122">
        <f>IF(OR($C55="",$B$2="",$D$2=0),0,IF(AC$3&lt;0,0,N(INDEX('CURVA PREVISION'!$A$1:$KZ$3000,$C55,11+3*MIN(AC$3,$D$2-1)))))</f>
        <v/>
      </c>
      <c r="AD55" s="122">
        <f>IF(OR($C55="",$B$2="",$D$2=0),0,IF(AD$3&lt;0,0,N(INDEX('CURVA PREVISION'!$A$1:$KZ$3000,$C55,11+3*MIN(AD$3,$D$2-1)))))</f>
        <v/>
      </c>
      <c r="AE55" s="122">
        <f>IF(OR($C55="",$B$2="",$D$2=0),0,IF(AE$3&lt;0,0,N(INDEX('CURVA PREVISION'!$A$1:$KZ$3000,$C55,11+3*MIN(AE$3,$D$2-1)))))</f>
        <v/>
      </c>
      <c r="AF55" s="122">
        <f>IF(OR($C55="",$B$2="",$D$2=0),0,IF(AF$3&lt;0,0,N(INDEX('CURVA PREVISION'!$A$1:$KZ$3000,$C55,11+3*MIN(AF$3,$D$2-1)))))</f>
        <v/>
      </c>
      <c r="AG55" s="122">
        <f>IF(OR($C55="",$B$2="",$D$2=0),0,IF(AG$3&lt;0,0,N(INDEX('CURVA PREVISION'!$A$1:$KZ$3000,$C55,11+3*MIN(AG$3,$D$2-1)))))</f>
        <v/>
      </c>
      <c r="AH55" s="122">
        <f>IF(OR($C55="",$B$2="",$D$2=0),0,IF(AH$3&lt;0,0,N(INDEX('CURVA PREVISION'!$A$1:$KZ$3000,$C55,11+3*MIN(AH$3,$D$2-1)))))</f>
        <v/>
      </c>
      <c r="AI55" s="122">
        <f>IF(OR($C55="",$B$2="",$D$2=0),0,IF(AI$3&lt;0,0,N(INDEX('CURVA PREVISION'!$A$1:$KZ$3000,$C55,11+3*MIN(AI$3,$D$2-1)))))</f>
        <v/>
      </c>
      <c r="AJ55" s="122">
        <f>IF(OR($C55="",$B$2="",$D$2=0),0,IF(AJ$3&lt;0,0,N(INDEX('CURVA PREVISION'!$A$1:$KZ$3000,$C55,11+3*MIN(AJ$3,$D$2-1)))))</f>
        <v/>
      </c>
      <c r="AK55" s="122">
        <f>IF(OR($C55="",$B$2="",$D$2=0),0,IF(AK$3&lt;0,0,N(INDEX('CURVA PREVISION'!$A$1:$KZ$3000,$C55,11+3*MIN(AK$3,$D$2-1)))))</f>
        <v/>
      </c>
      <c r="AL55" s="122">
        <f>IF(OR($C55="",$B$2="",$D$2=0),0,IF(AL$3&lt;0,0,N(INDEX('CURVA PREVISION'!$A$1:$KZ$3000,$C55,11+3*MIN(AL$3,$D$2-1)))))</f>
        <v/>
      </c>
      <c r="AM55" s="122">
        <f>IF(OR($C55="",$B$2="",$D$2=0),0,IF(AM$3&lt;0,0,N(INDEX('CURVA PREVISION'!$A$1:$KZ$3000,$C55,11+3*MIN(AM$3,$D$2-1)))))</f>
        <v/>
      </c>
      <c r="AN55" s="122">
        <f>IF(OR($C55="",$B$2="",$D$2=0),0,IF(AN$3&lt;0,0,N(INDEX('CURVA PREVISION'!$A$1:$KZ$3000,$C55,11+3*MIN(AN$3,$D$2-1)))))</f>
        <v/>
      </c>
      <c r="AO55" s="122">
        <f>IF(OR($C55="",$B$2="",$D$2=0),0,IF(AO$3&lt;0,0,N(INDEX('CURVA PREVISION'!$A$1:$KZ$3000,$C55,11+3*MIN(AO$3,$D$2-1)))))</f>
        <v/>
      </c>
      <c r="AP55" s="122">
        <f>IF(OR($C55="",$B$2="",$D$2=0),0,IF(AP$3&lt;0,0,N(INDEX('CURVA PREVISION'!$A$1:$KZ$3000,$C55,11+3*MIN(AP$3,$D$2-1)))))</f>
        <v/>
      </c>
      <c r="AQ55" s="122">
        <f>IF(OR($C55="",$B$2="",$D$2=0),0,IF(AQ$3&lt;0,0,N(INDEX('CURVA PREVISION'!$A$1:$KZ$3000,$C55,11+3*MIN(AQ$3,$D$2-1)))))</f>
        <v/>
      </c>
      <c r="AR55" s="122">
        <f>IF(OR($C55="",$B$2="",$D$2=0),0,IF(AR$3&lt;0,0,N(INDEX('CURVA PREVISION'!$A$1:$KZ$3000,$C55,11+3*MIN(AR$3,$D$2-1)))))</f>
        <v/>
      </c>
      <c r="AS55" s="122">
        <f>IF(OR($C55="",$B$2="",$D$2=0),0,IF(AS$3&lt;0,0,N(INDEX('CURVA PREVISION'!$A$1:$KZ$3000,$C55,11+3*MIN(AS$3,$D$2-1)))))</f>
        <v/>
      </c>
      <c r="AT55" s="122">
        <f>IF(OR($C55="",$B$2="",$D$2=0),0,IF(AT$3&lt;0,0,N(INDEX('CURVA PREVISION'!$A$1:$KZ$3000,$C55,11+3*MIN(AT$3,$D$2-1)))))</f>
        <v/>
      </c>
      <c r="AU55" s="122">
        <f>IF(OR($C55="",$B$2="",$D$2=0),0,IF(AU$3&lt;0,0,N(INDEX('CURVA PREVISION'!$A$1:$KZ$3000,$C55,11+3*MIN(AU$3,$D$2-1)))))</f>
        <v/>
      </c>
      <c r="AV55" s="122">
        <f>IF(OR($C55="",$B$2="",$D$2=0),0,IF(AV$3&lt;0,0,N(INDEX('CURVA PREVISION'!$A$1:$KZ$3000,$C55,11+3*MIN(AV$3,$D$2-1)))))</f>
        <v/>
      </c>
      <c r="AW55" s="122">
        <f>IF(OR($C55="",$B$2="",$D$2=0),0,IF(AW$3&lt;0,0,N(INDEX('CURVA PREVISION'!$A$1:$KZ$3000,$C55,11+3*MIN(AW$3,$D$2-1)))))</f>
        <v/>
      </c>
      <c r="AX55" s="122">
        <f>IF(OR($C55="",$B$2="",$D$2=0),0,IF(AX$3&lt;0,0,N(INDEX('CURVA PREVISION'!$A$1:$KZ$3000,$C55,11+3*MIN(AX$3,$D$2-1)))))</f>
        <v/>
      </c>
      <c r="AY55" s="122">
        <f>IF(OR($C55="",$B$2="",$D$2=0),0,IF(AY$3&lt;0,0,N(INDEX('CURVA PREVISION'!$A$1:$KZ$3000,$C55,11+3*MIN(AY$3,$D$2-1)))))</f>
        <v/>
      </c>
      <c r="AZ55" s="122">
        <f>IF(OR($C55="",$B$2="",$D$2=0),0,IF(AZ$3&lt;0,0,N(INDEX('CURVA PREVISION'!$A$1:$KZ$3000,$C55,11+3*MIN(AZ$3,$D$2-1)))))</f>
        <v/>
      </c>
      <c r="BA55" s="122">
        <f>IF(OR($C55="",$B$2="",$D$2=0),0,IF(BA$3&lt;0,0,N(INDEX('CURVA PREVISION'!$A$1:$KZ$3000,$C55,11+3*MIN(BA$3,$D$2-1)))))</f>
        <v/>
      </c>
      <c r="BB55" s="122">
        <f>IF(OR($C55="",$B$2="",$D$2=0),0,IF(BB$3&lt;0,0,N(INDEX('CURVA PREVISION'!$A$1:$KZ$3000,$C55,11+3*MIN(BB$3,$D$2-1)))))</f>
        <v/>
      </c>
      <c r="BC55" s="122">
        <f>IF(OR($C55="",$B$2="",$D$2=0),0,IF(BC$3&lt;0,0,N(INDEX('CURVA PREVISION'!$A$1:$KZ$3000,$C55,11+3*MIN(BC$3,$D$2-1)))))</f>
        <v/>
      </c>
      <c r="BD55" s="122">
        <f>IF(OR($C55="",$B$2="",$D$2=0),0,IF(BD$3&lt;0,0,N(INDEX('CURVA PREVISION'!$A$1:$KZ$3000,$C55,11+3*MIN(BD$3,$D$2-1)))))</f>
        <v/>
      </c>
      <c r="BE55" s="122">
        <f>IF(OR($C55="",$B$2="",$D$2=0),0,IF(BE$3&lt;0,0,N(INDEX('CURVA PREVISION'!$A$1:$KZ$3000,$C55,11+3*MIN(BE$3,$D$2-1)))))</f>
        <v/>
      </c>
      <c r="BF55" s="122">
        <f>IF(OR($C55="",$B$2="",$D$2=0),0,IF(BF$3&lt;0,0,N(INDEX('CURVA PREVISION'!$A$1:$KZ$3000,$C55,11+3*MIN(BF$3,$D$2-1)))))</f>
        <v/>
      </c>
      <c r="BG55" s="122">
        <f>IF(OR($C55="",$B$2="",$D$2=0),0,IF(BG$3&lt;0,0,N(INDEX('CURVA PREVISION'!$A$1:$KZ$3000,$C55,11+3*MIN(BG$3,$D$2-1)))))</f>
        <v/>
      </c>
      <c r="BH55" s="122">
        <f>IF(OR($C55="",$B$2="",$D$2=0),0,IF(BH$3&lt;0,0,N(INDEX('CURVA PREVISION'!$A$1:$KZ$3000,$C55,11+3*MIN(BH$3,$D$2-1)))))</f>
        <v/>
      </c>
      <c r="BI55" s="122">
        <f>IF(OR($C55="",$B$2="",$D$2=0),0,IF(BI$3&lt;0,0,N(INDEX('CURVA PREVISION'!$A$1:$KZ$3000,$C55,11+3*MIN(BI$3,$D$2-1)))))</f>
        <v/>
      </c>
      <c r="BJ55" s="122">
        <f>IF(OR($C55="",$B$2="",$D$2=0),0,IF(BJ$3&lt;0,0,N(INDEX('CURVA PREVISION'!$A$1:$KZ$3000,$C55,11+3*MIN(BJ$3,$D$2-1)))))</f>
        <v/>
      </c>
      <c r="BK55" s="122">
        <f>IF(OR($C55="",$B$2="",$D$2=0),0,IF(BK$3&lt;0,0,N(INDEX('CURVA PREVISION'!$A$1:$KZ$3000,$C55,11+3*MIN(BK$3,$D$2-1)))))</f>
        <v/>
      </c>
      <c r="BL55" s="122">
        <f>IF(OR($C55="",$B$2="",$D$2=0),0,IF(BL$3&lt;0,0,N(INDEX('CURVA PREVISION'!$A$1:$KZ$3000,$C55,11+3*MIN(BL$3,$D$2-1)))))</f>
        <v/>
      </c>
      <c r="BM55" s="122">
        <f>IF(OR($C55="",$B$2="",$D$2=0),0,IF(BM$3&lt;0,0,N(INDEX('CURVA PREVISION'!$A$1:$KZ$3000,$C55,11+3*MIN(BM$3,$D$2-1)))))</f>
        <v/>
      </c>
      <c r="BN55" s="122">
        <f>IF(OR($C55="",$B$2="",$D$2=0),0,IF(BN$3&lt;0,0,N(INDEX('CURVA PREVISION'!$A$1:$KZ$3000,$C55,11+3*MIN(BN$3,$D$2-1)))))</f>
        <v/>
      </c>
      <c r="BO55" s="122">
        <f>IF(OR($C55="",$B$2="",$D$2=0),0,IF(BO$3&lt;0,0,N(INDEX('CURVA PREVISION'!$A$1:$KZ$3000,$C55,11+3*MIN(BO$3,$D$2-1)))))</f>
        <v/>
      </c>
      <c r="BP55" s="122">
        <f>IF(OR($C55="",$B$2="",$D$2=0),0,IF(BP$3&lt;0,0,N(INDEX('CURVA PREVISION'!$A$1:$KZ$3000,$C55,11+3*MIN(BP$3,$D$2-1)))))</f>
        <v/>
      </c>
      <c r="BQ55" s="122">
        <f>IF(OR($C55="",$B$2="",$D$2=0),0,IF(BQ$3&lt;0,0,N(INDEX('CURVA PREVISION'!$A$1:$KZ$3000,$C55,11+3*MIN(BQ$3,$D$2-1)))))</f>
        <v/>
      </c>
      <c r="BR55" s="122">
        <f>IF(OR($C55="",$B$2="",$D$2=0),0,IF(BR$3&lt;0,0,N(INDEX('CURVA PREVISION'!$A$1:$KZ$3000,$C55,11+3*MIN(BR$3,$D$2-1)))))</f>
        <v/>
      </c>
      <c r="BS55" s="122">
        <f>IF(OR($C55="",$B$2="",$D$2=0),0,IF(BS$3&lt;0,0,N(INDEX('CURVA PREVISION'!$A$1:$KZ$3000,$C55,11+3*MIN(BS$3,$D$2-1)))))</f>
        <v/>
      </c>
      <c r="BT55" s="122">
        <f>IF(OR($C55="",$B$2="",$D$2=0),0,IF(BT$3&lt;0,0,N(INDEX('CURVA PREVISION'!$A$1:$KZ$3000,$C55,11+3*MIN(BT$3,$D$2-1)))))</f>
        <v/>
      </c>
      <c r="BU55" s="122">
        <f>IF(OR($C55="",$B$2="",$D$2=0),0,IF(BU$3&lt;0,0,N(INDEX('CURVA PREVISION'!$A$1:$KZ$3000,$C55,11+3*MIN(BU$3,$D$2-1)))))</f>
        <v/>
      </c>
      <c r="BV55" s="122">
        <f>IF(OR($C55="",$B$2="",$D$2=0),0,IF(BV$3&lt;0,0,N(INDEX('CURVA PREVISION'!$A$1:$KZ$3000,$C55,11+3*MIN(BV$3,$D$2-1)))))</f>
        <v/>
      </c>
      <c r="BW55" s="122">
        <f>IF(OR($C55="",$B$2="",$D$2=0),0,IF(BW$3&lt;0,0,N(INDEX('CURVA PREVISION'!$A$1:$KZ$3000,$C55,11+3*MIN(BW$3,$D$2-1)))))</f>
        <v/>
      </c>
    </row>
    <row r="56">
      <c r="A56" s="51">
        <f>A14</f>
        <v/>
      </c>
      <c r="B56" s="51">
        <f>B14</f>
        <v/>
      </c>
      <c r="C56" s="68">
        <f>C14</f>
        <v/>
      </c>
      <c r="D56" s="122">
        <f>IF(OR($C56="",$B$2="",$D$2=0),0,IF(D$3&lt;0,0,N(INDEX('CURVA PREVISION'!$A$1:$KZ$3000,$C56,11+3*MIN(D$3,$D$2-1)))))</f>
        <v/>
      </c>
      <c r="E56" s="122">
        <f>IF(OR($C56="",$B$2="",$D$2=0),0,IF(E$3&lt;0,0,N(INDEX('CURVA PREVISION'!$A$1:$KZ$3000,$C56,11+3*MIN(E$3,$D$2-1)))))</f>
        <v/>
      </c>
      <c r="F56" s="122">
        <f>IF(OR($C56="",$B$2="",$D$2=0),0,IF(F$3&lt;0,0,N(INDEX('CURVA PREVISION'!$A$1:$KZ$3000,$C56,11+3*MIN(F$3,$D$2-1)))))</f>
        <v/>
      </c>
      <c r="G56" s="122">
        <f>IF(OR($C56="",$B$2="",$D$2=0),0,IF(G$3&lt;0,0,N(INDEX('CURVA PREVISION'!$A$1:$KZ$3000,$C56,11+3*MIN(G$3,$D$2-1)))))</f>
        <v/>
      </c>
      <c r="H56" s="122">
        <f>IF(OR($C56="",$B$2="",$D$2=0),0,IF(H$3&lt;0,0,N(INDEX('CURVA PREVISION'!$A$1:$KZ$3000,$C56,11+3*MIN(H$3,$D$2-1)))))</f>
        <v/>
      </c>
      <c r="I56" s="122">
        <f>IF(OR($C56="",$B$2="",$D$2=0),0,IF(I$3&lt;0,0,N(INDEX('CURVA PREVISION'!$A$1:$KZ$3000,$C56,11+3*MIN(I$3,$D$2-1)))))</f>
        <v/>
      </c>
      <c r="J56" s="122">
        <f>IF(OR($C56="",$B$2="",$D$2=0),0,IF(J$3&lt;0,0,N(INDEX('CURVA PREVISION'!$A$1:$KZ$3000,$C56,11+3*MIN(J$3,$D$2-1)))))</f>
        <v/>
      </c>
      <c r="K56" s="122">
        <f>IF(OR($C56="",$B$2="",$D$2=0),0,IF(K$3&lt;0,0,N(INDEX('CURVA PREVISION'!$A$1:$KZ$3000,$C56,11+3*MIN(K$3,$D$2-1)))))</f>
        <v/>
      </c>
      <c r="L56" s="122">
        <f>IF(OR($C56="",$B$2="",$D$2=0),0,IF(L$3&lt;0,0,N(INDEX('CURVA PREVISION'!$A$1:$KZ$3000,$C56,11+3*MIN(L$3,$D$2-1)))))</f>
        <v/>
      </c>
      <c r="M56" s="122">
        <f>IF(OR($C56="",$B$2="",$D$2=0),0,IF(M$3&lt;0,0,N(INDEX('CURVA PREVISION'!$A$1:$KZ$3000,$C56,11+3*MIN(M$3,$D$2-1)))))</f>
        <v/>
      </c>
      <c r="N56" s="122">
        <f>IF(OR($C56="",$B$2="",$D$2=0),0,IF(N$3&lt;0,0,N(INDEX('CURVA PREVISION'!$A$1:$KZ$3000,$C56,11+3*MIN(N$3,$D$2-1)))))</f>
        <v/>
      </c>
      <c r="O56" s="122">
        <f>IF(OR($C56="",$B$2="",$D$2=0),0,IF(O$3&lt;0,0,N(INDEX('CURVA PREVISION'!$A$1:$KZ$3000,$C56,11+3*MIN(O$3,$D$2-1)))))</f>
        <v/>
      </c>
      <c r="P56" s="122">
        <f>IF(OR($C56="",$B$2="",$D$2=0),0,IF(P$3&lt;0,0,N(INDEX('CURVA PREVISION'!$A$1:$KZ$3000,$C56,11+3*MIN(P$3,$D$2-1)))))</f>
        <v/>
      </c>
      <c r="Q56" s="122">
        <f>IF(OR($C56="",$B$2="",$D$2=0),0,IF(Q$3&lt;0,0,N(INDEX('CURVA PREVISION'!$A$1:$KZ$3000,$C56,11+3*MIN(Q$3,$D$2-1)))))</f>
        <v/>
      </c>
      <c r="R56" s="122">
        <f>IF(OR($C56="",$B$2="",$D$2=0),0,IF(R$3&lt;0,0,N(INDEX('CURVA PREVISION'!$A$1:$KZ$3000,$C56,11+3*MIN(R$3,$D$2-1)))))</f>
        <v/>
      </c>
      <c r="S56" s="122">
        <f>IF(OR($C56="",$B$2="",$D$2=0),0,IF(S$3&lt;0,0,N(INDEX('CURVA PREVISION'!$A$1:$KZ$3000,$C56,11+3*MIN(S$3,$D$2-1)))))</f>
        <v/>
      </c>
      <c r="T56" s="122">
        <f>IF(OR($C56="",$B$2="",$D$2=0),0,IF(T$3&lt;0,0,N(INDEX('CURVA PREVISION'!$A$1:$KZ$3000,$C56,11+3*MIN(T$3,$D$2-1)))))</f>
        <v/>
      </c>
      <c r="U56" s="122">
        <f>IF(OR($C56="",$B$2="",$D$2=0),0,IF(U$3&lt;0,0,N(INDEX('CURVA PREVISION'!$A$1:$KZ$3000,$C56,11+3*MIN(U$3,$D$2-1)))))</f>
        <v/>
      </c>
      <c r="V56" s="122">
        <f>IF(OR($C56="",$B$2="",$D$2=0),0,IF(V$3&lt;0,0,N(INDEX('CURVA PREVISION'!$A$1:$KZ$3000,$C56,11+3*MIN(V$3,$D$2-1)))))</f>
        <v/>
      </c>
      <c r="W56" s="122">
        <f>IF(OR($C56="",$B$2="",$D$2=0),0,IF(W$3&lt;0,0,N(INDEX('CURVA PREVISION'!$A$1:$KZ$3000,$C56,11+3*MIN(W$3,$D$2-1)))))</f>
        <v/>
      </c>
      <c r="X56" s="122">
        <f>IF(OR($C56="",$B$2="",$D$2=0),0,IF(X$3&lt;0,0,N(INDEX('CURVA PREVISION'!$A$1:$KZ$3000,$C56,11+3*MIN(X$3,$D$2-1)))))</f>
        <v/>
      </c>
      <c r="Y56" s="122">
        <f>IF(OR($C56="",$B$2="",$D$2=0),0,IF(Y$3&lt;0,0,N(INDEX('CURVA PREVISION'!$A$1:$KZ$3000,$C56,11+3*MIN(Y$3,$D$2-1)))))</f>
        <v/>
      </c>
      <c r="Z56" s="122">
        <f>IF(OR($C56="",$B$2="",$D$2=0),0,IF(Z$3&lt;0,0,N(INDEX('CURVA PREVISION'!$A$1:$KZ$3000,$C56,11+3*MIN(Z$3,$D$2-1)))))</f>
        <v/>
      </c>
      <c r="AA56" s="122">
        <f>IF(OR($C56="",$B$2="",$D$2=0),0,IF(AA$3&lt;0,0,N(INDEX('CURVA PREVISION'!$A$1:$KZ$3000,$C56,11+3*MIN(AA$3,$D$2-1)))))</f>
        <v/>
      </c>
      <c r="AB56" s="122">
        <f>IF(OR($C56="",$B$2="",$D$2=0),0,IF(AB$3&lt;0,0,N(INDEX('CURVA PREVISION'!$A$1:$KZ$3000,$C56,11+3*MIN(AB$3,$D$2-1)))))</f>
        <v/>
      </c>
      <c r="AC56" s="122">
        <f>IF(OR($C56="",$B$2="",$D$2=0),0,IF(AC$3&lt;0,0,N(INDEX('CURVA PREVISION'!$A$1:$KZ$3000,$C56,11+3*MIN(AC$3,$D$2-1)))))</f>
        <v/>
      </c>
      <c r="AD56" s="122">
        <f>IF(OR($C56="",$B$2="",$D$2=0),0,IF(AD$3&lt;0,0,N(INDEX('CURVA PREVISION'!$A$1:$KZ$3000,$C56,11+3*MIN(AD$3,$D$2-1)))))</f>
        <v/>
      </c>
      <c r="AE56" s="122">
        <f>IF(OR($C56="",$B$2="",$D$2=0),0,IF(AE$3&lt;0,0,N(INDEX('CURVA PREVISION'!$A$1:$KZ$3000,$C56,11+3*MIN(AE$3,$D$2-1)))))</f>
        <v/>
      </c>
      <c r="AF56" s="122">
        <f>IF(OR($C56="",$B$2="",$D$2=0),0,IF(AF$3&lt;0,0,N(INDEX('CURVA PREVISION'!$A$1:$KZ$3000,$C56,11+3*MIN(AF$3,$D$2-1)))))</f>
        <v/>
      </c>
      <c r="AG56" s="122">
        <f>IF(OR($C56="",$B$2="",$D$2=0),0,IF(AG$3&lt;0,0,N(INDEX('CURVA PREVISION'!$A$1:$KZ$3000,$C56,11+3*MIN(AG$3,$D$2-1)))))</f>
        <v/>
      </c>
      <c r="AH56" s="122">
        <f>IF(OR($C56="",$B$2="",$D$2=0),0,IF(AH$3&lt;0,0,N(INDEX('CURVA PREVISION'!$A$1:$KZ$3000,$C56,11+3*MIN(AH$3,$D$2-1)))))</f>
        <v/>
      </c>
      <c r="AI56" s="122">
        <f>IF(OR($C56="",$B$2="",$D$2=0),0,IF(AI$3&lt;0,0,N(INDEX('CURVA PREVISION'!$A$1:$KZ$3000,$C56,11+3*MIN(AI$3,$D$2-1)))))</f>
        <v/>
      </c>
      <c r="AJ56" s="122">
        <f>IF(OR($C56="",$B$2="",$D$2=0),0,IF(AJ$3&lt;0,0,N(INDEX('CURVA PREVISION'!$A$1:$KZ$3000,$C56,11+3*MIN(AJ$3,$D$2-1)))))</f>
        <v/>
      </c>
      <c r="AK56" s="122">
        <f>IF(OR($C56="",$B$2="",$D$2=0),0,IF(AK$3&lt;0,0,N(INDEX('CURVA PREVISION'!$A$1:$KZ$3000,$C56,11+3*MIN(AK$3,$D$2-1)))))</f>
        <v/>
      </c>
      <c r="AL56" s="122">
        <f>IF(OR($C56="",$B$2="",$D$2=0),0,IF(AL$3&lt;0,0,N(INDEX('CURVA PREVISION'!$A$1:$KZ$3000,$C56,11+3*MIN(AL$3,$D$2-1)))))</f>
        <v/>
      </c>
      <c r="AM56" s="122">
        <f>IF(OR($C56="",$B$2="",$D$2=0),0,IF(AM$3&lt;0,0,N(INDEX('CURVA PREVISION'!$A$1:$KZ$3000,$C56,11+3*MIN(AM$3,$D$2-1)))))</f>
        <v/>
      </c>
      <c r="AN56" s="122">
        <f>IF(OR($C56="",$B$2="",$D$2=0),0,IF(AN$3&lt;0,0,N(INDEX('CURVA PREVISION'!$A$1:$KZ$3000,$C56,11+3*MIN(AN$3,$D$2-1)))))</f>
        <v/>
      </c>
      <c r="AO56" s="122">
        <f>IF(OR($C56="",$B$2="",$D$2=0),0,IF(AO$3&lt;0,0,N(INDEX('CURVA PREVISION'!$A$1:$KZ$3000,$C56,11+3*MIN(AO$3,$D$2-1)))))</f>
        <v/>
      </c>
      <c r="AP56" s="122">
        <f>IF(OR($C56="",$B$2="",$D$2=0),0,IF(AP$3&lt;0,0,N(INDEX('CURVA PREVISION'!$A$1:$KZ$3000,$C56,11+3*MIN(AP$3,$D$2-1)))))</f>
        <v/>
      </c>
      <c r="AQ56" s="122">
        <f>IF(OR($C56="",$B$2="",$D$2=0),0,IF(AQ$3&lt;0,0,N(INDEX('CURVA PREVISION'!$A$1:$KZ$3000,$C56,11+3*MIN(AQ$3,$D$2-1)))))</f>
        <v/>
      </c>
      <c r="AR56" s="122">
        <f>IF(OR($C56="",$B$2="",$D$2=0),0,IF(AR$3&lt;0,0,N(INDEX('CURVA PREVISION'!$A$1:$KZ$3000,$C56,11+3*MIN(AR$3,$D$2-1)))))</f>
        <v/>
      </c>
      <c r="AS56" s="122">
        <f>IF(OR($C56="",$B$2="",$D$2=0),0,IF(AS$3&lt;0,0,N(INDEX('CURVA PREVISION'!$A$1:$KZ$3000,$C56,11+3*MIN(AS$3,$D$2-1)))))</f>
        <v/>
      </c>
      <c r="AT56" s="122">
        <f>IF(OR($C56="",$B$2="",$D$2=0),0,IF(AT$3&lt;0,0,N(INDEX('CURVA PREVISION'!$A$1:$KZ$3000,$C56,11+3*MIN(AT$3,$D$2-1)))))</f>
        <v/>
      </c>
      <c r="AU56" s="122">
        <f>IF(OR($C56="",$B$2="",$D$2=0),0,IF(AU$3&lt;0,0,N(INDEX('CURVA PREVISION'!$A$1:$KZ$3000,$C56,11+3*MIN(AU$3,$D$2-1)))))</f>
        <v/>
      </c>
      <c r="AV56" s="122">
        <f>IF(OR($C56="",$B$2="",$D$2=0),0,IF(AV$3&lt;0,0,N(INDEX('CURVA PREVISION'!$A$1:$KZ$3000,$C56,11+3*MIN(AV$3,$D$2-1)))))</f>
        <v/>
      </c>
      <c r="AW56" s="122">
        <f>IF(OR($C56="",$B$2="",$D$2=0),0,IF(AW$3&lt;0,0,N(INDEX('CURVA PREVISION'!$A$1:$KZ$3000,$C56,11+3*MIN(AW$3,$D$2-1)))))</f>
        <v/>
      </c>
      <c r="AX56" s="122">
        <f>IF(OR($C56="",$B$2="",$D$2=0),0,IF(AX$3&lt;0,0,N(INDEX('CURVA PREVISION'!$A$1:$KZ$3000,$C56,11+3*MIN(AX$3,$D$2-1)))))</f>
        <v/>
      </c>
      <c r="AY56" s="122">
        <f>IF(OR($C56="",$B$2="",$D$2=0),0,IF(AY$3&lt;0,0,N(INDEX('CURVA PREVISION'!$A$1:$KZ$3000,$C56,11+3*MIN(AY$3,$D$2-1)))))</f>
        <v/>
      </c>
      <c r="AZ56" s="122">
        <f>IF(OR($C56="",$B$2="",$D$2=0),0,IF(AZ$3&lt;0,0,N(INDEX('CURVA PREVISION'!$A$1:$KZ$3000,$C56,11+3*MIN(AZ$3,$D$2-1)))))</f>
        <v/>
      </c>
      <c r="BA56" s="122">
        <f>IF(OR($C56="",$B$2="",$D$2=0),0,IF(BA$3&lt;0,0,N(INDEX('CURVA PREVISION'!$A$1:$KZ$3000,$C56,11+3*MIN(BA$3,$D$2-1)))))</f>
        <v/>
      </c>
      <c r="BB56" s="122">
        <f>IF(OR($C56="",$B$2="",$D$2=0),0,IF(BB$3&lt;0,0,N(INDEX('CURVA PREVISION'!$A$1:$KZ$3000,$C56,11+3*MIN(BB$3,$D$2-1)))))</f>
        <v/>
      </c>
      <c r="BC56" s="122">
        <f>IF(OR($C56="",$B$2="",$D$2=0),0,IF(BC$3&lt;0,0,N(INDEX('CURVA PREVISION'!$A$1:$KZ$3000,$C56,11+3*MIN(BC$3,$D$2-1)))))</f>
        <v/>
      </c>
      <c r="BD56" s="122">
        <f>IF(OR($C56="",$B$2="",$D$2=0),0,IF(BD$3&lt;0,0,N(INDEX('CURVA PREVISION'!$A$1:$KZ$3000,$C56,11+3*MIN(BD$3,$D$2-1)))))</f>
        <v/>
      </c>
      <c r="BE56" s="122">
        <f>IF(OR($C56="",$B$2="",$D$2=0),0,IF(BE$3&lt;0,0,N(INDEX('CURVA PREVISION'!$A$1:$KZ$3000,$C56,11+3*MIN(BE$3,$D$2-1)))))</f>
        <v/>
      </c>
      <c r="BF56" s="122">
        <f>IF(OR($C56="",$B$2="",$D$2=0),0,IF(BF$3&lt;0,0,N(INDEX('CURVA PREVISION'!$A$1:$KZ$3000,$C56,11+3*MIN(BF$3,$D$2-1)))))</f>
        <v/>
      </c>
      <c r="BG56" s="122">
        <f>IF(OR($C56="",$B$2="",$D$2=0),0,IF(BG$3&lt;0,0,N(INDEX('CURVA PREVISION'!$A$1:$KZ$3000,$C56,11+3*MIN(BG$3,$D$2-1)))))</f>
        <v/>
      </c>
      <c r="BH56" s="122">
        <f>IF(OR($C56="",$B$2="",$D$2=0),0,IF(BH$3&lt;0,0,N(INDEX('CURVA PREVISION'!$A$1:$KZ$3000,$C56,11+3*MIN(BH$3,$D$2-1)))))</f>
        <v/>
      </c>
      <c r="BI56" s="122">
        <f>IF(OR($C56="",$B$2="",$D$2=0),0,IF(BI$3&lt;0,0,N(INDEX('CURVA PREVISION'!$A$1:$KZ$3000,$C56,11+3*MIN(BI$3,$D$2-1)))))</f>
        <v/>
      </c>
      <c r="BJ56" s="122">
        <f>IF(OR($C56="",$B$2="",$D$2=0),0,IF(BJ$3&lt;0,0,N(INDEX('CURVA PREVISION'!$A$1:$KZ$3000,$C56,11+3*MIN(BJ$3,$D$2-1)))))</f>
        <v/>
      </c>
      <c r="BK56" s="122">
        <f>IF(OR($C56="",$B$2="",$D$2=0),0,IF(BK$3&lt;0,0,N(INDEX('CURVA PREVISION'!$A$1:$KZ$3000,$C56,11+3*MIN(BK$3,$D$2-1)))))</f>
        <v/>
      </c>
      <c r="BL56" s="122">
        <f>IF(OR($C56="",$B$2="",$D$2=0),0,IF(BL$3&lt;0,0,N(INDEX('CURVA PREVISION'!$A$1:$KZ$3000,$C56,11+3*MIN(BL$3,$D$2-1)))))</f>
        <v/>
      </c>
      <c r="BM56" s="122">
        <f>IF(OR($C56="",$B$2="",$D$2=0),0,IF(BM$3&lt;0,0,N(INDEX('CURVA PREVISION'!$A$1:$KZ$3000,$C56,11+3*MIN(BM$3,$D$2-1)))))</f>
        <v/>
      </c>
      <c r="BN56" s="122">
        <f>IF(OR($C56="",$B$2="",$D$2=0),0,IF(BN$3&lt;0,0,N(INDEX('CURVA PREVISION'!$A$1:$KZ$3000,$C56,11+3*MIN(BN$3,$D$2-1)))))</f>
        <v/>
      </c>
      <c r="BO56" s="122">
        <f>IF(OR($C56="",$B$2="",$D$2=0),0,IF(BO$3&lt;0,0,N(INDEX('CURVA PREVISION'!$A$1:$KZ$3000,$C56,11+3*MIN(BO$3,$D$2-1)))))</f>
        <v/>
      </c>
      <c r="BP56" s="122">
        <f>IF(OR($C56="",$B$2="",$D$2=0),0,IF(BP$3&lt;0,0,N(INDEX('CURVA PREVISION'!$A$1:$KZ$3000,$C56,11+3*MIN(BP$3,$D$2-1)))))</f>
        <v/>
      </c>
      <c r="BQ56" s="122">
        <f>IF(OR($C56="",$B$2="",$D$2=0),0,IF(BQ$3&lt;0,0,N(INDEX('CURVA PREVISION'!$A$1:$KZ$3000,$C56,11+3*MIN(BQ$3,$D$2-1)))))</f>
        <v/>
      </c>
      <c r="BR56" s="122">
        <f>IF(OR($C56="",$B$2="",$D$2=0),0,IF(BR$3&lt;0,0,N(INDEX('CURVA PREVISION'!$A$1:$KZ$3000,$C56,11+3*MIN(BR$3,$D$2-1)))))</f>
        <v/>
      </c>
      <c r="BS56" s="122">
        <f>IF(OR($C56="",$B$2="",$D$2=0),0,IF(BS$3&lt;0,0,N(INDEX('CURVA PREVISION'!$A$1:$KZ$3000,$C56,11+3*MIN(BS$3,$D$2-1)))))</f>
        <v/>
      </c>
      <c r="BT56" s="122">
        <f>IF(OR($C56="",$B$2="",$D$2=0),0,IF(BT$3&lt;0,0,N(INDEX('CURVA PREVISION'!$A$1:$KZ$3000,$C56,11+3*MIN(BT$3,$D$2-1)))))</f>
        <v/>
      </c>
      <c r="BU56" s="122">
        <f>IF(OR($C56="",$B$2="",$D$2=0),0,IF(BU$3&lt;0,0,N(INDEX('CURVA PREVISION'!$A$1:$KZ$3000,$C56,11+3*MIN(BU$3,$D$2-1)))))</f>
        <v/>
      </c>
      <c r="BV56" s="122">
        <f>IF(OR($C56="",$B$2="",$D$2=0),0,IF(BV$3&lt;0,0,N(INDEX('CURVA PREVISION'!$A$1:$KZ$3000,$C56,11+3*MIN(BV$3,$D$2-1)))))</f>
        <v/>
      </c>
      <c r="BW56" s="122">
        <f>IF(OR($C56="",$B$2="",$D$2=0),0,IF(BW$3&lt;0,0,N(INDEX('CURVA PREVISION'!$A$1:$KZ$3000,$C56,11+3*MIN(BW$3,$D$2-1)))))</f>
        <v/>
      </c>
    </row>
    <row r="57">
      <c r="A57" s="51">
        <f>A15</f>
        <v/>
      </c>
      <c r="B57" s="51">
        <f>B15</f>
        <v/>
      </c>
      <c r="C57" s="68">
        <f>C15</f>
        <v/>
      </c>
      <c r="D57" s="122">
        <f>IF(OR($C57="",$B$2="",$D$2=0),0,IF(D$3&lt;0,0,N(INDEX('CURVA PREVISION'!$A$1:$KZ$3000,$C57,11+3*MIN(D$3,$D$2-1)))))</f>
        <v/>
      </c>
      <c r="E57" s="122">
        <f>IF(OR($C57="",$B$2="",$D$2=0),0,IF(E$3&lt;0,0,N(INDEX('CURVA PREVISION'!$A$1:$KZ$3000,$C57,11+3*MIN(E$3,$D$2-1)))))</f>
        <v/>
      </c>
      <c r="F57" s="122">
        <f>IF(OR($C57="",$B$2="",$D$2=0),0,IF(F$3&lt;0,0,N(INDEX('CURVA PREVISION'!$A$1:$KZ$3000,$C57,11+3*MIN(F$3,$D$2-1)))))</f>
        <v/>
      </c>
      <c r="G57" s="122">
        <f>IF(OR($C57="",$B$2="",$D$2=0),0,IF(G$3&lt;0,0,N(INDEX('CURVA PREVISION'!$A$1:$KZ$3000,$C57,11+3*MIN(G$3,$D$2-1)))))</f>
        <v/>
      </c>
      <c r="H57" s="122">
        <f>IF(OR($C57="",$B$2="",$D$2=0),0,IF(H$3&lt;0,0,N(INDEX('CURVA PREVISION'!$A$1:$KZ$3000,$C57,11+3*MIN(H$3,$D$2-1)))))</f>
        <v/>
      </c>
      <c r="I57" s="122">
        <f>IF(OR($C57="",$B$2="",$D$2=0),0,IF(I$3&lt;0,0,N(INDEX('CURVA PREVISION'!$A$1:$KZ$3000,$C57,11+3*MIN(I$3,$D$2-1)))))</f>
        <v/>
      </c>
      <c r="J57" s="122">
        <f>IF(OR($C57="",$B$2="",$D$2=0),0,IF(J$3&lt;0,0,N(INDEX('CURVA PREVISION'!$A$1:$KZ$3000,$C57,11+3*MIN(J$3,$D$2-1)))))</f>
        <v/>
      </c>
      <c r="K57" s="122">
        <f>IF(OR($C57="",$B$2="",$D$2=0),0,IF(K$3&lt;0,0,N(INDEX('CURVA PREVISION'!$A$1:$KZ$3000,$C57,11+3*MIN(K$3,$D$2-1)))))</f>
        <v/>
      </c>
      <c r="L57" s="122">
        <f>IF(OR($C57="",$B$2="",$D$2=0),0,IF(L$3&lt;0,0,N(INDEX('CURVA PREVISION'!$A$1:$KZ$3000,$C57,11+3*MIN(L$3,$D$2-1)))))</f>
        <v/>
      </c>
      <c r="M57" s="122">
        <f>IF(OR($C57="",$B$2="",$D$2=0),0,IF(M$3&lt;0,0,N(INDEX('CURVA PREVISION'!$A$1:$KZ$3000,$C57,11+3*MIN(M$3,$D$2-1)))))</f>
        <v/>
      </c>
      <c r="N57" s="122">
        <f>IF(OR($C57="",$B$2="",$D$2=0),0,IF(N$3&lt;0,0,N(INDEX('CURVA PREVISION'!$A$1:$KZ$3000,$C57,11+3*MIN(N$3,$D$2-1)))))</f>
        <v/>
      </c>
      <c r="O57" s="122">
        <f>IF(OR($C57="",$B$2="",$D$2=0),0,IF(O$3&lt;0,0,N(INDEX('CURVA PREVISION'!$A$1:$KZ$3000,$C57,11+3*MIN(O$3,$D$2-1)))))</f>
        <v/>
      </c>
      <c r="P57" s="122">
        <f>IF(OR($C57="",$B$2="",$D$2=0),0,IF(P$3&lt;0,0,N(INDEX('CURVA PREVISION'!$A$1:$KZ$3000,$C57,11+3*MIN(P$3,$D$2-1)))))</f>
        <v/>
      </c>
      <c r="Q57" s="122">
        <f>IF(OR($C57="",$B$2="",$D$2=0),0,IF(Q$3&lt;0,0,N(INDEX('CURVA PREVISION'!$A$1:$KZ$3000,$C57,11+3*MIN(Q$3,$D$2-1)))))</f>
        <v/>
      </c>
      <c r="R57" s="122">
        <f>IF(OR($C57="",$B$2="",$D$2=0),0,IF(R$3&lt;0,0,N(INDEX('CURVA PREVISION'!$A$1:$KZ$3000,$C57,11+3*MIN(R$3,$D$2-1)))))</f>
        <v/>
      </c>
      <c r="S57" s="122">
        <f>IF(OR($C57="",$B$2="",$D$2=0),0,IF(S$3&lt;0,0,N(INDEX('CURVA PREVISION'!$A$1:$KZ$3000,$C57,11+3*MIN(S$3,$D$2-1)))))</f>
        <v/>
      </c>
      <c r="T57" s="122">
        <f>IF(OR($C57="",$B$2="",$D$2=0),0,IF(T$3&lt;0,0,N(INDEX('CURVA PREVISION'!$A$1:$KZ$3000,$C57,11+3*MIN(T$3,$D$2-1)))))</f>
        <v/>
      </c>
      <c r="U57" s="122">
        <f>IF(OR($C57="",$B$2="",$D$2=0),0,IF(U$3&lt;0,0,N(INDEX('CURVA PREVISION'!$A$1:$KZ$3000,$C57,11+3*MIN(U$3,$D$2-1)))))</f>
        <v/>
      </c>
      <c r="V57" s="122">
        <f>IF(OR($C57="",$B$2="",$D$2=0),0,IF(V$3&lt;0,0,N(INDEX('CURVA PREVISION'!$A$1:$KZ$3000,$C57,11+3*MIN(V$3,$D$2-1)))))</f>
        <v/>
      </c>
      <c r="W57" s="122">
        <f>IF(OR($C57="",$B$2="",$D$2=0),0,IF(W$3&lt;0,0,N(INDEX('CURVA PREVISION'!$A$1:$KZ$3000,$C57,11+3*MIN(W$3,$D$2-1)))))</f>
        <v/>
      </c>
      <c r="X57" s="122">
        <f>IF(OR($C57="",$B$2="",$D$2=0),0,IF(X$3&lt;0,0,N(INDEX('CURVA PREVISION'!$A$1:$KZ$3000,$C57,11+3*MIN(X$3,$D$2-1)))))</f>
        <v/>
      </c>
      <c r="Y57" s="122">
        <f>IF(OR($C57="",$B$2="",$D$2=0),0,IF(Y$3&lt;0,0,N(INDEX('CURVA PREVISION'!$A$1:$KZ$3000,$C57,11+3*MIN(Y$3,$D$2-1)))))</f>
        <v/>
      </c>
      <c r="Z57" s="122">
        <f>IF(OR($C57="",$B$2="",$D$2=0),0,IF(Z$3&lt;0,0,N(INDEX('CURVA PREVISION'!$A$1:$KZ$3000,$C57,11+3*MIN(Z$3,$D$2-1)))))</f>
        <v/>
      </c>
      <c r="AA57" s="122">
        <f>IF(OR($C57="",$B$2="",$D$2=0),0,IF(AA$3&lt;0,0,N(INDEX('CURVA PREVISION'!$A$1:$KZ$3000,$C57,11+3*MIN(AA$3,$D$2-1)))))</f>
        <v/>
      </c>
      <c r="AB57" s="122">
        <f>IF(OR($C57="",$B$2="",$D$2=0),0,IF(AB$3&lt;0,0,N(INDEX('CURVA PREVISION'!$A$1:$KZ$3000,$C57,11+3*MIN(AB$3,$D$2-1)))))</f>
        <v/>
      </c>
      <c r="AC57" s="122">
        <f>IF(OR($C57="",$B$2="",$D$2=0),0,IF(AC$3&lt;0,0,N(INDEX('CURVA PREVISION'!$A$1:$KZ$3000,$C57,11+3*MIN(AC$3,$D$2-1)))))</f>
        <v/>
      </c>
      <c r="AD57" s="122">
        <f>IF(OR($C57="",$B$2="",$D$2=0),0,IF(AD$3&lt;0,0,N(INDEX('CURVA PREVISION'!$A$1:$KZ$3000,$C57,11+3*MIN(AD$3,$D$2-1)))))</f>
        <v/>
      </c>
      <c r="AE57" s="122">
        <f>IF(OR($C57="",$B$2="",$D$2=0),0,IF(AE$3&lt;0,0,N(INDEX('CURVA PREVISION'!$A$1:$KZ$3000,$C57,11+3*MIN(AE$3,$D$2-1)))))</f>
        <v/>
      </c>
      <c r="AF57" s="122">
        <f>IF(OR($C57="",$B$2="",$D$2=0),0,IF(AF$3&lt;0,0,N(INDEX('CURVA PREVISION'!$A$1:$KZ$3000,$C57,11+3*MIN(AF$3,$D$2-1)))))</f>
        <v/>
      </c>
      <c r="AG57" s="122">
        <f>IF(OR($C57="",$B$2="",$D$2=0),0,IF(AG$3&lt;0,0,N(INDEX('CURVA PREVISION'!$A$1:$KZ$3000,$C57,11+3*MIN(AG$3,$D$2-1)))))</f>
        <v/>
      </c>
      <c r="AH57" s="122">
        <f>IF(OR($C57="",$B$2="",$D$2=0),0,IF(AH$3&lt;0,0,N(INDEX('CURVA PREVISION'!$A$1:$KZ$3000,$C57,11+3*MIN(AH$3,$D$2-1)))))</f>
        <v/>
      </c>
      <c r="AI57" s="122">
        <f>IF(OR($C57="",$B$2="",$D$2=0),0,IF(AI$3&lt;0,0,N(INDEX('CURVA PREVISION'!$A$1:$KZ$3000,$C57,11+3*MIN(AI$3,$D$2-1)))))</f>
        <v/>
      </c>
      <c r="AJ57" s="122">
        <f>IF(OR($C57="",$B$2="",$D$2=0),0,IF(AJ$3&lt;0,0,N(INDEX('CURVA PREVISION'!$A$1:$KZ$3000,$C57,11+3*MIN(AJ$3,$D$2-1)))))</f>
        <v/>
      </c>
      <c r="AK57" s="122">
        <f>IF(OR($C57="",$B$2="",$D$2=0),0,IF(AK$3&lt;0,0,N(INDEX('CURVA PREVISION'!$A$1:$KZ$3000,$C57,11+3*MIN(AK$3,$D$2-1)))))</f>
        <v/>
      </c>
      <c r="AL57" s="122">
        <f>IF(OR($C57="",$B$2="",$D$2=0),0,IF(AL$3&lt;0,0,N(INDEX('CURVA PREVISION'!$A$1:$KZ$3000,$C57,11+3*MIN(AL$3,$D$2-1)))))</f>
        <v/>
      </c>
      <c r="AM57" s="122">
        <f>IF(OR($C57="",$B$2="",$D$2=0),0,IF(AM$3&lt;0,0,N(INDEX('CURVA PREVISION'!$A$1:$KZ$3000,$C57,11+3*MIN(AM$3,$D$2-1)))))</f>
        <v/>
      </c>
      <c r="AN57" s="122">
        <f>IF(OR($C57="",$B$2="",$D$2=0),0,IF(AN$3&lt;0,0,N(INDEX('CURVA PREVISION'!$A$1:$KZ$3000,$C57,11+3*MIN(AN$3,$D$2-1)))))</f>
        <v/>
      </c>
      <c r="AO57" s="122">
        <f>IF(OR($C57="",$B$2="",$D$2=0),0,IF(AO$3&lt;0,0,N(INDEX('CURVA PREVISION'!$A$1:$KZ$3000,$C57,11+3*MIN(AO$3,$D$2-1)))))</f>
        <v/>
      </c>
      <c r="AP57" s="122">
        <f>IF(OR($C57="",$B$2="",$D$2=0),0,IF(AP$3&lt;0,0,N(INDEX('CURVA PREVISION'!$A$1:$KZ$3000,$C57,11+3*MIN(AP$3,$D$2-1)))))</f>
        <v/>
      </c>
      <c r="AQ57" s="122">
        <f>IF(OR($C57="",$B$2="",$D$2=0),0,IF(AQ$3&lt;0,0,N(INDEX('CURVA PREVISION'!$A$1:$KZ$3000,$C57,11+3*MIN(AQ$3,$D$2-1)))))</f>
        <v/>
      </c>
      <c r="AR57" s="122">
        <f>IF(OR($C57="",$B$2="",$D$2=0),0,IF(AR$3&lt;0,0,N(INDEX('CURVA PREVISION'!$A$1:$KZ$3000,$C57,11+3*MIN(AR$3,$D$2-1)))))</f>
        <v/>
      </c>
      <c r="AS57" s="122">
        <f>IF(OR($C57="",$B$2="",$D$2=0),0,IF(AS$3&lt;0,0,N(INDEX('CURVA PREVISION'!$A$1:$KZ$3000,$C57,11+3*MIN(AS$3,$D$2-1)))))</f>
        <v/>
      </c>
      <c r="AT57" s="122">
        <f>IF(OR($C57="",$B$2="",$D$2=0),0,IF(AT$3&lt;0,0,N(INDEX('CURVA PREVISION'!$A$1:$KZ$3000,$C57,11+3*MIN(AT$3,$D$2-1)))))</f>
        <v/>
      </c>
      <c r="AU57" s="122">
        <f>IF(OR($C57="",$B$2="",$D$2=0),0,IF(AU$3&lt;0,0,N(INDEX('CURVA PREVISION'!$A$1:$KZ$3000,$C57,11+3*MIN(AU$3,$D$2-1)))))</f>
        <v/>
      </c>
      <c r="AV57" s="122">
        <f>IF(OR($C57="",$B$2="",$D$2=0),0,IF(AV$3&lt;0,0,N(INDEX('CURVA PREVISION'!$A$1:$KZ$3000,$C57,11+3*MIN(AV$3,$D$2-1)))))</f>
        <v/>
      </c>
      <c r="AW57" s="122">
        <f>IF(OR($C57="",$B$2="",$D$2=0),0,IF(AW$3&lt;0,0,N(INDEX('CURVA PREVISION'!$A$1:$KZ$3000,$C57,11+3*MIN(AW$3,$D$2-1)))))</f>
        <v/>
      </c>
      <c r="AX57" s="122">
        <f>IF(OR($C57="",$B$2="",$D$2=0),0,IF(AX$3&lt;0,0,N(INDEX('CURVA PREVISION'!$A$1:$KZ$3000,$C57,11+3*MIN(AX$3,$D$2-1)))))</f>
        <v/>
      </c>
      <c r="AY57" s="122">
        <f>IF(OR($C57="",$B$2="",$D$2=0),0,IF(AY$3&lt;0,0,N(INDEX('CURVA PREVISION'!$A$1:$KZ$3000,$C57,11+3*MIN(AY$3,$D$2-1)))))</f>
        <v/>
      </c>
      <c r="AZ57" s="122">
        <f>IF(OR($C57="",$B$2="",$D$2=0),0,IF(AZ$3&lt;0,0,N(INDEX('CURVA PREVISION'!$A$1:$KZ$3000,$C57,11+3*MIN(AZ$3,$D$2-1)))))</f>
        <v/>
      </c>
      <c r="BA57" s="122">
        <f>IF(OR($C57="",$B$2="",$D$2=0),0,IF(BA$3&lt;0,0,N(INDEX('CURVA PREVISION'!$A$1:$KZ$3000,$C57,11+3*MIN(BA$3,$D$2-1)))))</f>
        <v/>
      </c>
      <c r="BB57" s="122">
        <f>IF(OR($C57="",$B$2="",$D$2=0),0,IF(BB$3&lt;0,0,N(INDEX('CURVA PREVISION'!$A$1:$KZ$3000,$C57,11+3*MIN(BB$3,$D$2-1)))))</f>
        <v/>
      </c>
      <c r="BC57" s="122">
        <f>IF(OR($C57="",$B$2="",$D$2=0),0,IF(BC$3&lt;0,0,N(INDEX('CURVA PREVISION'!$A$1:$KZ$3000,$C57,11+3*MIN(BC$3,$D$2-1)))))</f>
        <v/>
      </c>
      <c r="BD57" s="122">
        <f>IF(OR($C57="",$B$2="",$D$2=0),0,IF(BD$3&lt;0,0,N(INDEX('CURVA PREVISION'!$A$1:$KZ$3000,$C57,11+3*MIN(BD$3,$D$2-1)))))</f>
        <v/>
      </c>
      <c r="BE57" s="122">
        <f>IF(OR($C57="",$B$2="",$D$2=0),0,IF(BE$3&lt;0,0,N(INDEX('CURVA PREVISION'!$A$1:$KZ$3000,$C57,11+3*MIN(BE$3,$D$2-1)))))</f>
        <v/>
      </c>
      <c r="BF57" s="122">
        <f>IF(OR($C57="",$B$2="",$D$2=0),0,IF(BF$3&lt;0,0,N(INDEX('CURVA PREVISION'!$A$1:$KZ$3000,$C57,11+3*MIN(BF$3,$D$2-1)))))</f>
        <v/>
      </c>
      <c r="BG57" s="122">
        <f>IF(OR($C57="",$B$2="",$D$2=0),0,IF(BG$3&lt;0,0,N(INDEX('CURVA PREVISION'!$A$1:$KZ$3000,$C57,11+3*MIN(BG$3,$D$2-1)))))</f>
        <v/>
      </c>
      <c r="BH57" s="122">
        <f>IF(OR($C57="",$B$2="",$D$2=0),0,IF(BH$3&lt;0,0,N(INDEX('CURVA PREVISION'!$A$1:$KZ$3000,$C57,11+3*MIN(BH$3,$D$2-1)))))</f>
        <v/>
      </c>
      <c r="BI57" s="122">
        <f>IF(OR($C57="",$B$2="",$D$2=0),0,IF(BI$3&lt;0,0,N(INDEX('CURVA PREVISION'!$A$1:$KZ$3000,$C57,11+3*MIN(BI$3,$D$2-1)))))</f>
        <v/>
      </c>
      <c r="BJ57" s="122">
        <f>IF(OR($C57="",$B$2="",$D$2=0),0,IF(BJ$3&lt;0,0,N(INDEX('CURVA PREVISION'!$A$1:$KZ$3000,$C57,11+3*MIN(BJ$3,$D$2-1)))))</f>
        <v/>
      </c>
      <c r="BK57" s="122">
        <f>IF(OR($C57="",$B$2="",$D$2=0),0,IF(BK$3&lt;0,0,N(INDEX('CURVA PREVISION'!$A$1:$KZ$3000,$C57,11+3*MIN(BK$3,$D$2-1)))))</f>
        <v/>
      </c>
      <c r="BL57" s="122">
        <f>IF(OR($C57="",$B$2="",$D$2=0),0,IF(BL$3&lt;0,0,N(INDEX('CURVA PREVISION'!$A$1:$KZ$3000,$C57,11+3*MIN(BL$3,$D$2-1)))))</f>
        <v/>
      </c>
      <c r="BM57" s="122">
        <f>IF(OR($C57="",$B$2="",$D$2=0),0,IF(BM$3&lt;0,0,N(INDEX('CURVA PREVISION'!$A$1:$KZ$3000,$C57,11+3*MIN(BM$3,$D$2-1)))))</f>
        <v/>
      </c>
      <c r="BN57" s="122">
        <f>IF(OR($C57="",$B$2="",$D$2=0),0,IF(BN$3&lt;0,0,N(INDEX('CURVA PREVISION'!$A$1:$KZ$3000,$C57,11+3*MIN(BN$3,$D$2-1)))))</f>
        <v/>
      </c>
      <c r="BO57" s="122">
        <f>IF(OR($C57="",$B$2="",$D$2=0),0,IF(BO$3&lt;0,0,N(INDEX('CURVA PREVISION'!$A$1:$KZ$3000,$C57,11+3*MIN(BO$3,$D$2-1)))))</f>
        <v/>
      </c>
      <c r="BP57" s="122">
        <f>IF(OR($C57="",$B$2="",$D$2=0),0,IF(BP$3&lt;0,0,N(INDEX('CURVA PREVISION'!$A$1:$KZ$3000,$C57,11+3*MIN(BP$3,$D$2-1)))))</f>
        <v/>
      </c>
      <c r="BQ57" s="122">
        <f>IF(OR($C57="",$B$2="",$D$2=0),0,IF(BQ$3&lt;0,0,N(INDEX('CURVA PREVISION'!$A$1:$KZ$3000,$C57,11+3*MIN(BQ$3,$D$2-1)))))</f>
        <v/>
      </c>
      <c r="BR57" s="122">
        <f>IF(OR($C57="",$B$2="",$D$2=0),0,IF(BR$3&lt;0,0,N(INDEX('CURVA PREVISION'!$A$1:$KZ$3000,$C57,11+3*MIN(BR$3,$D$2-1)))))</f>
        <v/>
      </c>
      <c r="BS57" s="122">
        <f>IF(OR($C57="",$B$2="",$D$2=0),0,IF(BS$3&lt;0,0,N(INDEX('CURVA PREVISION'!$A$1:$KZ$3000,$C57,11+3*MIN(BS$3,$D$2-1)))))</f>
        <v/>
      </c>
      <c r="BT57" s="122">
        <f>IF(OR($C57="",$B$2="",$D$2=0),0,IF(BT$3&lt;0,0,N(INDEX('CURVA PREVISION'!$A$1:$KZ$3000,$C57,11+3*MIN(BT$3,$D$2-1)))))</f>
        <v/>
      </c>
      <c r="BU57" s="122">
        <f>IF(OR($C57="",$B$2="",$D$2=0),0,IF(BU$3&lt;0,0,N(INDEX('CURVA PREVISION'!$A$1:$KZ$3000,$C57,11+3*MIN(BU$3,$D$2-1)))))</f>
        <v/>
      </c>
      <c r="BV57" s="122">
        <f>IF(OR($C57="",$B$2="",$D$2=0),0,IF(BV$3&lt;0,0,N(INDEX('CURVA PREVISION'!$A$1:$KZ$3000,$C57,11+3*MIN(BV$3,$D$2-1)))))</f>
        <v/>
      </c>
      <c r="BW57" s="122">
        <f>IF(OR($C57="",$B$2="",$D$2=0),0,IF(BW$3&lt;0,0,N(INDEX('CURVA PREVISION'!$A$1:$KZ$3000,$C57,11+3*MIN(BW$3,$D$2-1)))))</f>
        <v/>
      </c>
    </row>
    <row r="58">
      <c r="A58" s="51">
        <f>A16</f>
        <v/>
      </c>
      <c r="B58" s="51">
        <f>B16</f>
        <v/>
      </c>
      <c r="C58" s="68">
        <f>C16</f>
        <v/>
      </c>
      <c r="D58" s="122">
        <f>IF(OR($C58="",$B$2="",$D$2=0),0,IF(D$3&lt;0,0,N(INDEX('CURVA PREVISION'!$A$1:$KZ$3000,$C58,11+3*MIN(D$3,$D$2-1)))))</f>
        <v/>
      </c>
      <c r="E58" s="122">
        <f>IF(OR($C58="",$B$2="",$D$2=0),0,IF(E$3&lt;0,0,N(INDEX('CURVA PREVISION'!$A$1:$KZ$3000,$C58,11+3*MIN(E$3,$D$2-1)))))</f>
        <v/>
      </c>
      <c r="F58" s="122">
        <f>IF(OR($C58="",$B$2="",$D$2=0),0,IF(F$3&lt;0,0,N(INDEX('CURVA PREVISION'!$A$1:$KZ$3000,$C58,11+3*MIN(F$3,$D$2-1)))))</f>
        <v/>
      </c>
      <c r="G58" s="122">
        <f>IF(OR($C58="",$B$2="",$D$2=0),0,IF(G$3&lt;0,0,N(INDEX('CURVA PREVISION'!$A$1:$KZ$3000,$C58,11+3*MIN(G$3,$D$2-1)))))</f>
        <v/>
      </c>
      <c r="H58" s="122">
        <f>IF(OR($C58="",$B$2="",$D$2=0),0,IF(H$3&lt;0,0,N(INDEX('CURVA PREVISION'!$A$1:$KZ$3000,$C58,11+3*MIN(H$3,$D$2-1)))))</f>
        <v/>
      </c>
      <c r="I58" s="122">
        <f>IF(OR($C58="",$B$2="",$D$2=0),0,IF(I$3&lt;0,0,N(INDEX('CURVA PREVISION'!$A$1:$KZ$3000,$C58,11+3*MIN(I$3,$D$2-1)))))</f>
        <v/>
      </c>
      <c r="J58" s="122">
        <f>IF(OR($C58="",$B$2="",$D$2=0),0,IF(J$3&lt;0,0,N(INDEX('CURVA PREVISION'!$A$1:$KZ$3000,$C58,11+3*MIN(J$3,$D$2-1)))))</f>
        <v/>
      </c>
      <c r="K58" s="122">
        <f>IF(OR($C58="",$B$2="",$D$2=0),0,IF(K$3&lt;0,0,N(INDEX('CURVA PREVISION'!$A$1:$KZ$3000,$C58,11+3*MIN(K$3,$D$2-1)))))</f>
        <v/>
      </c>
      <c r="L58" s="122">
        <f>IF(OR($C58="",$B$2="",$D$2=0),0,IF(L$3&lt;0,0,N(INDEX('CURVA PREVISION'!$A$1:$KZ$3000,$C58,11+3*MIN(L$3,$D$2-1)))))</f>
        <v/>
      </c>
      <c r="M58" s="122">
        <f>IF(OR($C58="",$B$2="",$D$2=0),0,IF(M$3&lt;0,0,N(INDEX('CURVA PREVISION'!$A$1:$KZ$3000,$C58,11+3*MIN(M$3,$D$2-1)))))</f>
        <v/>
      </c>
      <c r="N58" s="122">
        <f>IF(OR($C58="",$B$2="",$D$2=0),0,IF(N$3&lt;0,0,N(INDEX('CURVA PREVISION'!$A$1:$KZ$3000,$C58,11+3*MIN(N$3,$D$2-1)))))</f>
        <v/>
      </c>
      <c r="O58" s="122">
        <f>IF(OR($C58="",$B$2="",$D$2=0),0,IF(O$3&lt;0,0,N(INDEX('CURVA PREVISION'!$A$1:$KZ$3000,$C58,11+3*MIN(O$3,$D$2-1)))))</f>
        <v/>
      </c>
      <c r="P58" s="122">
        <f>IF(OR($C58="",$B$2="",$D$2=0),0,IF(P$3&lt;0,0,N(INDEX('CURVA PREVISION'!$A$1:$KZ$3000,$C58,11+3*MIN(P$3,$D$2-1)))))</f>
        <v/>
      </c>
      <c r="Q58" s="122">
        <f>IF(OR($C58="",$B$2="",$D$2=0),0,IF(Q$3&lt;0,0,N(INDEX('CURVA PREVISION'!$A$1:$KZ$3000,$C58,11+3*MIN(Q$3,$D$2-1)))))</f>
        <v/>
      </c>
      <c r="R58" s="122">
        <f>IF(OR($C58="",$B$2="",$D$2=0),0,IF(R$3&lt;0,0,N(INDEX('CURVA PREVISION'!$A$1:$KZ$3000,$C58,11+3*MIN(R$3,$D$2-1)))))</f>
        <v/>
      </c>
      <c r="S58" s="122">
        <f>IF(OR($C58="",$B$2="",$D$2=0),0,IF(S$3&lt;0,0,N(INDEX('CURVA PREVISION'!$A$1:$KZ$3000,$C58,11+3*MIN(S$3,$D$2-1)))))</f>
        <v/>
      </c>
      <c r="T58" s="122">
        <f>IF(OR($C58="",$B$2="",$D$2=0),0,IF(T$3&lt;0,0,N(INDEX('CURVA PREVISION'!$A$1:$KZ$3000,$C58,11+3*MIN(T$3,$D$2-1)))))</f>
        <v/>
      </c>
      <c r="U58" s="122">
        <f>IF(OR($C58="",$B$2="",$D$2=0),0,IF(U$3&lt;0,0,N(INDEX('CURVA PREVISION'!$A$1:$KZ$3000,$C58,11+3*MIN(U$3,$D$2-1)))))</f>
        <v/>
      </c>
      <c r="V58" s="122">
        <f>IF(OR($C58="",$B$2="",$D$2=0),0,IF(V$3&lt;0,0,N(INDEX('CURVA PREVISION'!$A$1:$KZ$3000,$C58,11+3*MIN(V$3,$D$2-1)))))</f>
        <v/>
      </c>
      <c r="W58" s="122">
        <f>IF(OR($C58="",$B$2="",$D$2=0),0,IF(W$3&lt;0,0,N(INDEX('CURVA PREVISION'!$A$1:$KZ$3000,$C58,11+3*MIN(W$3,$D$2-1)))))</f>
        <v/>
      </c>
      <c r="X58" s="122">
        <f>IF(OR($C58="",$B$2="",$D$2=0),0,IF(X$3&lt;0,0,N(INDEX('CURVA PREVISION'!$A$1:$KZ$3000,$C58,11+3*MIN(X$3,$D$2-1)))))</f>
        <v/>
      </c>
      <c r="Y58" s="122">
        <f>IF(OR($C58="",$B$2="",$D$2=0),0,IF(Y$3&lt;0,0,N(INDEX('CURVA PREVISION'!$A$1:$KZ$3000,$C58,11+3*MIN(Y$3,$D$2-1)))))</f>
        <v/>
      </c>
      <c r="Z58" s="122">
        <f>IF(OR($C58="",$B$2="",$D$2=0),0,IF(Z$3&lt;0,0,N(INDEX('CURVA PREVISION'!$A$1:$KZ$3000,$C58,11+3*MIN(Z$3,$D$2-1)))))</f>
        <v/>
      </c>
      <c r="AA58" s="122">
        <f>IF(OR($C58="",$B$2="",$D$2=0),0,IF(AA$3&lt;0,0,N(INDEX('CURVA PREVISION'!$A$1:$KZ$3000,$C58,11+3*MIN(AA$3,$D$2-1)))))</f>
        <v/>
      </c>
      <c r="AB58" s="122">
        <f>IF(OR($C58="",$B$2="",$D$2=0),0,IF(AB$3&lt;0,0,N(INDEX('CURVA PREVISION'!$A$1:$KZ$3000,$C58,11+3*MIN(AB$3,$D$2-1)))))</f>
        <v/>
      </c>
      <c r="AC58" s="122">
        <f>IF(OR($C58="",$B$2="",$D$2=0),0,IF(AC$3&lt;0,0,N(INDEX('CURVA PREVISION'!$A$1:$KZ$3000,$C58,11+3*MIN(AC$3,$D$2-1)))))</f>
        <v/>
      </c>
      <c r="AD58" s="122">
        <f>IF(OR($C58="",$B$2="",$D$2=0),0,IF(AD$3&lt;0,0,N(INDEX('CURVA PREVISION'!$A$1:$KZ$3000,$C58,11+3*MIN(AD$3,$D$2-1)))))</f>
        <v/>
      </c>
      <c r="AE58" s="122">
        <f>IF(OR($C58="",$B$2="",$D$2=0),0,IF(AE$3&lt;0,0,N(INDEX('CURVA PREVISION'!$A$1:$KZ$3000,$C58,11+3*MIN(AE$3,$D$2-1)))))</f>
        <v/>
      </c>
      <c r="AF58" s="122">
        <f>IF(OR($C58="",$B$2="",$D$2=0),0,IF(AF$3&lt;0,0,N(INDEX('CURVA PREVISION'!$A$1:$KZ$3000,$C58,11+3*MIN(AF$3,$D$2-1)))))</f>
        <v/>
      </c>
      <c r="AG58" s="122">
        <f>IF(OR($C58="",$B$2="",$D$2=0),0,IF(AG$3&lt;0,0,N(INDEX('CURVA PREVISION'!$A$1:$KZ$3000,$C58,11+3*MIN(AG$3,$D$2-1)))))</f>
        <v/>
      </c>
      <c r="AH58" s="122">
        <f>IF(OR($C58="",$B$2="",$D$2=0),0,IF(AH$3&lt;0,0,N(INDEX('CURVA PREVISION'!$A$1:$KZ$3000,$C58,11+3*MIN(AH$3,$D$2-1)))))</f>
        <v/>
      </c>
      <c r="AI58" s="122">
        <f>IF(OR($C58="",$B$2="",$D$2=0),0,IF(AI$3&lt;0,0,N(INDEX('CURVA PREVISION'!$A$1:$KZ$3000,$C58,11+3*MIN(AI$3,$D$2-1)))))</f>
        <v/>
      </c>
      <c r="AJ58" s="122">
        <f>IF(OR($C58="",$B$2="",$D$2=0),0,IF(AJ$3&lt;0,0,N(INDEX('CURVA PREVISION'!$A$1:$KZ$3000,$C58,11+3*MIN(AJ$3,$D$2-1)))))</f>
        <v/>
      </c>
      <c r="AK58" s="122">
        <f>IF(OR($C58="",$B$2="",$D$2=0),0,IF(AK$3&lt;0,0,N(INDEX('CURVA PREVISION'!$A$1:$KZ$3000,$C58,11+3*MIN(AK$3,$D$2-1)))))</f>
        <v/>
      </c>
      <c r="AL58" s="122">
        <f>IF(OR($C58="",$B$2="",$D$2=0),0,IF(AL$3&lt;0,0,N(INDEX('CURVA PREVISION'!$A$1:$KZ$3000,$C58,11+3*MIN(AL$3,$D$2-1)))))</f>
        <v/>
      </c>
      <c r="AM58" s="122">
        <f>IF(OR($C58="",$B$2="",$D$2=0),0,IF(AM$3&lt;0,0,N(INDEX('CURVA PREVISION'!$A$1:$KZ$3000,$C58,11+3*MIN(AM$3,$D$2-1)))))</f>
        <v/>
      </c>
      <c r="AN58" s="122">
        <f>IF(OR($C58="",$B$2="",$D$2=0),0,IF(AN$3&lt;0,0,N(INDEX('CURVA PREVISION'!$A$1:$KZ$3000,$C58,11+3*MIN(AN$3,$D$2-1)))))</f>
        <v/>
      </c>
      <c r="AO58" s="122">
        <f>IF(OR($C58="",$B$2="",$D$2=0),0,IF(AO$3&lt;0,0,N(INDEX('CURVA PREVISION'!$A$1:$KZ$3000,$C58,11+3*MIN(AO$3,$D$2-1)))))</f>
        <v/>
      </c>
      <c r="AP58" s="122">
        <f>IF(OR($C58="",$B$2="",$D$2=0),0,IF(AP$3&lt;0,0,N(INDEX('CURVA PREVISION'!$A$1:$KZ$3000,$C58,11+3*MIN(AP$3,$D$2-1)))))</f>
        <v/>
      </c>
      <c r="AQ58" s="122">
        <f>IF(OR($C58="",$B$2="",$D$2=0),0,IF(AQ$3&lt;0,0,N(INDEX('CURVA PREVISION'!$A$1:$KZ$3000,$C58,11+3*MIN(AQ$3,$D$2-1)))))</f>
        <v/>
      </c>
      <c r="AR58" s="122">
        <f>IF(OR($C58="",$B$2="",$D$2=0),0,IF(AR$3&lt;0,0,N(INDEX('CURVA PREVISION'!$A$1:$KZ$3000,$C58,11+3*MIN(AR$3,$D$2-1)))))</f>
        <v/>
      </c>
      <c r="AS58" s="122">
        <f>IF(OR($C58="",$B$2="",$D$2=0),0,IF(AS$3&lt;0,0,N(INDEX('CURVA PREVISION'!$A$1:$KZ$3000,$C58,11+3*MIN(AS$3,$D$2-1)))))</f>
        <v/>
      </c>
      <c r="AT58" s="122">
        <f>IF(OR($C58="",$B$2="",$D$2=0),0,IF(AT$3&lt;0,0,N(INDEX('CURVA PREVISION'!$A$1:$KZ$3000,$C58,11+3*MIN(AT$3,$D$2-1)))))</f>
        <v/>
      </c>
      <c r="AU58" s="122">
        <f>IF(OR($C58="",$B$2="",$D$2=0),0,IF(AU$3&lt;0,0,N(INDEX('CURVA PREVISION'!$A$1:$KZ$3000,$C58,11+3*MIN(AU$3,$D$2-1)))))</f>
        <v/>
      </c>
      <c r="AV58" s="122">
        <f>IF(OR($C58="",$B$2="",$D$2=0),0,IF(AV$3&lt;0,0,N(INDEX('CURVA PREVISION'!$A$1:$KZ$3000,$C58,11+3*MIN(AV$3,$D$2-1)))))</f>
        <v/>
      </c>
      <c r="AW58" s="122">
        <f>IF(OR($C58="",$B$2="",$D$2=0),0,IF(AW$3&lt;0,0,N(INDEX('CURVA PREVISION'!$A$1:$KZ$3000,$C58,11+3*MIN(AW$3,$D$2-1)))))</f>
        <v/>
      </c>
      <c r="AX58" s="122">
        <f>IF(OR($C58="",$B$2="",$D$2=0),0,IF(AX$3&lt;0,0,N(INDEX('CURVA PREVISION'!$A$1:$KZ$3000,$C58,11+3*MIN(AX$3,$D$2-1)))))</f>
        <v/>
      </c>
      <c r="AY58" s="122">
        <f>IF(OR($C58="",$B$2="",$D$2=0),0,IF(AY$3&lt;0,0,N(INDEX('CURVA PREVISION'!$A$1:$KZ$3000,$C58,11+3*MIN(AY$3,$D$2-1)))))</f>
        <v/>
      </c>
      <c r="AZ58" s="122">
        <f>IF(OR($C58="",$B$2="",$D$2=0),0,IF(AZ$3&lt;0,0,N(INDEX('CURVA PREVISION'!$A$1:$KZ$3000,$C58,11+3*MIN(AZ$3,$D$2-1)))))</f>
        <v/>
      </c>
      <c r="BA58" s="122">
        <f>IF(OR($C58="",$B$2="",$D$2=0),0,IF(BA$3&lt;0,0,N(INDEX('CURVA PREVISION'!$A$1:$KZ$3000,$C58,11+3*MIN(BA$3,$D$2-1)))))</f>
        <v/>
      </c>
      <c r="BB58" s="122">
        <f>IF(OR($C58="",$B$2="",$D$2=0),0,IF(BB$3&lt;0,0,N(INDEX('CURVA PREVISION'!$A$1:$KZ$3000,$C58,11+3*MIN(BB$3,$D$2-1)))))</f>
        <v/>
      </c>
      <c r="BC58" s="122">
        <f>IF(OR($C58="",$B$2="",$D$2=0),0,IF(BC$3&lt;0,0,N(INDEX('CURVA PREVISION'!$A$1:$KZ$3000,$C58,11+3*MIN(BC$3,$D$2-1)))))</f>
        <v/>
      </c>
      <c r="BD58" s="122">
        <f>IF(OR($C58="",$B$2="",$D$2=0),0,IF(BD$3&lt;0,0,N(INDEX('CURVA PREVISION'!$A$1:$KZ$3000,$C58,11+3*MIN(BD$3,$D$2-1)))))</f>
        <v/>
      </c>
      <c r="BE58" s="122">
        <f>IF(OR($C58="",$B$2="",$D$2=0),0,IF(BE$3&lt;0,0,N(INDEX('CURVA PREVISION'!$A$1:$KZ$3000,$C58,11+3*MIN(BE$3,$D$2-1)))))</f>
        <v/>
      </c>
      <c r="BF58" s="122">
        <f>IF(OR($C58="",$B$2="",$D$2=0),0,IF(BF$3&lt;0,0,N(INDEX('CURVA PREVISION'!$A$1:$KZ$3000,$C58,11+3*MIN(BF$3,$D$2-1)))))</f>
        <v/>
      </c>
      <c r="BG58" s="122">
        <f>IF(OR($C58="",$B$2="",$D$2=0),0,IF(BG$3&lt;0,0,N(INDEX('CURVA PREVISION'!$A$1:$KZ$3000,$C58,11+3*MIN(BG$3,$D$2-1)))))</f>
        <v/>
      </c>
      <c r="BH58" s="122">
        <f>IF(OR($C58="",$B$2="",$D$2=0),0,IF(BH$3&lt;0,0,N(INDEX('CURVA PREVISION'!$A$1:$KZ$3000,$C58,11+3*MIN(BH$3,$D$2-1)))))</f>
        <v/>
      </c>
      <c r="BI58" s="122">
        <f>IF(OR($C58="",$B$2="",$D$2=0),0,IF(BI$3&lt;0,0,N(INDEX('CURVA PREVISION'!$A$1:$KZ$3000,$C58,11+3*MIN(BI$3,$D$2-1)))))</f>
        <v/>
      </c>
      <c r="BJ58" s="122">
        <f>IF(OR($C58="",$B$2="",$D$2=0),0,IF(BJ$3&lt;0,0,N(INDEX('CURVA PREVISION'!$A$1:$KZ$3000,$C58,11+3*MIN(BJ$3,$D$2-1)))))</f>
        <v/>
      </c>
      <c r="BK58" s="122">
        <f>IF(OR($C58="",$B$2="",$D$2=0),0,IF(BK$3&lt;0,0,N(INDEX('CURVA PREVISION'!$A$1:$KZ$3000,$C58,11+3*MIN(BK$3,$D$2-1)))))</f>
        <v/>
      </c>
      <c r="BL58" s="122">
        <f>IF(OR($C58="",$B$2="",$D$2=0),0,IF(BL$3&lt;0,0,N(INDEX('CURVA PREVISION'!$A$1:$KZ$3000,$C58,11+3*MIN(BL$3,$D$2-1)))))</f>
        <v/>
      </c>
      <c r="BM58" s="122">
        <f>IF(OR($C58="",$B$2="",$D$2=0),0,IF(BM$3&lt;0,0,N(INDEX('CURVA PREVISION'!$A$1:$KZ$3000,$C58,11+3*MIN(BM$3,$D$2-1)))))</f>
        <v/>
      </c>
      <c r="BN58" s="122">
        <f>IF(OR($C58="",$B$2="",$D$2=0),0,IF(BN$3&lt;0,0,N(INDEX('CURVA PREVISION'!$A$1:$KZ$3000,$C58,11+3*MIN(BN$3,$D$2-1)))))</f>
        <v/>
      </c>
      <c r="BO58" s="122">
        <f>IF(OR($C58="",$B$2="",$D$2=0),0,IF(BO$3&lt;0,0,N(INDEX('CURVA PREVISION'!$A$1:$KZ$3000,$C58,11+3*MIN(BO$3,$D$2-1)))))</f>
        <v/>
      </c>
      <c r="BP58" s="122">
        <f>IF(OR($C58="",$B$2="",$D$2=0),0,IF(BP$3&lt;0,0,N(INDEX('CURVA PREVISION'!$A$1:$KZ$3000,$C58,11+3*MIN(BP$3,$D$2-1)))))</f>
        <v/>
      </c>
      <c r="BQ58" s="122">
        <f>IF(OR($C58="",$B$2="",$D$2=0),0,IF(BQ$3&lt;0,0,N(INDEX('CURVA PREVISION'!$A$1:$KZ$3000,$C58,11+3*MIN(BQ$3,$D$2-1)))))</f>
        <v/>
      </c>
      <c r="BR58" s="122">
        <f>IF(OR($C58="",$B$2="",$D$2=0),0,IF(BR$3&lt;0,0,N(INDEX('CURVA PREVISION'!$A$1:$KZ$3000,$C58,11+3*MIN(BR$3,$D$2-1)))))</f>
        <v/>
      </c>
      <c r="BS58" s="122">
        <f>IF(OR($C58="",$B$2="",$D$2=0),0,IF(BS$3&lt;0,0,N(INDEX('CURVA PREVISION'!$A$1:$KZ$3000,$C58,11+3*MIN(BS$3,$D$2-1)))))</f>
        <v/>
      </c>
      <c r="BT58" s="122">
        <f>IF(OR($C58="",$B$2="",$D$2=0),0,IF(BT$3&lt;0,0,N(INDEX('CURVA PREVISION'!$A$1:$KZ$3000,$C58,11+3*MIN(BT$3,$D$2-1)))))</f>
        <v/>
      </c>
      <c r="BU58" s="122">
        <f>IF(OR($C58="",$B$2="",$D$2=0),0,IF(BU$3&lt;0,0,N(INDEX('CURVA PREVISION'!$A$1:$KZ$3000,$C58,11+3*MIN(BU$3,$D$2-1)))))</f>
        <v/>
      </c>
      <c r="BV58" s="122">
        <f>IF(OR($C58="",$B$2="",$D$2=0),0,IF(BV$3&lt;0,0,N(INDEX('CURVA PREVISION'!$A$1:$KZ$3000,$C58,11+3*MIN(BV$3,$D$2-1)))))</f>
        <v/>
      </c>
      <c r="BW58" s="122">
        <f>IF(OR($C58="",$B$2="",$D$2=0),0,IF(BW$3&lt;0,0,N(INDEX('CURVA PREVISION'!$A$1:$KZ$3000,$C58,11+3*MIN(BW$3,$D$2-1)))))</f>
        <v/>
      </c>
    </row>
    <row r="59">
      <c r="A59" s="51">
        <f>A17</f>
        <v/>
      </c>
      <c r="B59" s="51">
        <f>B17</f>
        <v/>
      </c>
      <c r="C59" s="68">
        <f>C17</f>
        <v/>
      </c>
      <c r="D59" s="122">
        <f>IF(OR($C59="",$B$2="",$D$2=0),0,IF(D$3&lt;0,0,N(INDEX('CURVA PREVISION'!$A$1:$KZ$3000,$C59,11+3*MIN(D$3,$D$2-1)))))</f>
        <v/>
      </c>
      <c r="E59" s="122">
        <f>IF(OR($C59="",$B$2="",$D$2=0),0,IF(E$3&lt;0,0,N(INDEX('CURVA PREVISION'!$A$1:$KZ$3000,$C59,11+3*MIN(E$3,$D$2-1)))))</f>
        <v/>
      </c>
      <c r="F59" s="122">
        <f>IF(OR($C59="",$B$2="",$D$2=0),0,IF(F$3&lt;0,0,N(INDEX('CURVA PREVISION'!$A$1:$KZ$3000,$C59,11+3*MIN(F$3,$D$2-1)))))</f>
        <v/>
      </c>
      <c r="G59" s="122">
        <f>IF(OR($C59="",$B$2="",$D$2=0),0,IF(G$3&lt;0,0,N(INDEX('CURVA PREVISION'!$A$1:$KZ$3000,$C59,11+3*MIN(G$3,$D$2-1)))))</f>
        <v/>
      </c>
      <c r="H59" s="122">
        <f>IF(OR($C59="",$B$2="",$D$2=0),0,IF(H$3&lt;0,0,N(INDEX('CURVA PREVISION'!$A$1:$KZ$3000,$C59,11+3*MIN(H$3,$D$2-1)))))</f>
        <v/>
      </c>
      <c r="I59" s="122">
        <f>IF(OR($C59="",$B$2="",$D$2=0),0,IF(I$3&lt;0,0,N(INDEX('CURVA PREVISION'!$A$1:$KZ$3000,$C59,11+3*MIN(I$3,$D$2-1)))))</f>
        <v/>
      </c>
      <c r="J59" s="122">
        <f>IF(OR($C59="",$B$2="",$D$2=0),0,IF(J$3&lt;0,0,N(INDEX('CURVA PREVISION'!$A$1:$KZ$3000,$C59,11+3*MIN(J$3,$D$2-1)))))</f>
        <v/>
      </c>
      <c r="K59" s="122">
        <f>IF(OR($C59="",$B$2="",$D$2=0),0,IF(K$3&lt;0,0,N(INDEX('CURVA PREVISION'!$A$1:$KZ$3000,$C59,11+3*MIN(K$3,$D$2-1)))))</f>
        <v/>
      </c>
      <c r="L59" s="122">
        <f>IF(OR($C59="",$B$2="",$D$2=0),0,IF(L$3&lt;0,0,N(INDEX('CURVA PREVISION'!$A$1:$KZ$3000,$C59,11+3*MIN(L$3,$D$2-1)))))</f>
        <v/>
      </c>
      <c r="M59" s="122">
        <f>IF(OR($C59="",$B$2="",$D$2=0),0,IF(M$3&lt;0,0,N(INDEX('CURVA PREVISION'!$A$1:$KZ$3000,$C59,11+3*MIN(M$3,$D$2-1)))))</f>
        <v/>
      </c>
      <c r="N59" s="122">
        <f>IF(OR($C59="",$B$2="",$D$2=0),0,IF(N$3&lt;0,0,N(INDEX('CURVA PREVISION'!$A$1:$KZ$3000,$C59,11+3*MIN(N$3,$D$2-1)))))</f>
        <v/>
      </c>
      <c r="O59" s="122">
        <f>IF(OR($C59="",$B$2="",$D$2=0),0,IF(O$3&lt;0,0,N(INDEX('CURVA PREVISION'!$A$1:$KZ$3000,$C59,11+3*MIN(O$3,$D$2-1)))))</f>
        <v/>
      </c>
      <c r="P59" s="122">
        <f>IF(OR($C59="",$B$2="",$D$2=0),0,IF(P$3&lt;0,0,N(INDEX('CURVA PREVISION'!$A$1:$KZ$3000,$C59,11+3*MIN(P$3,$D$2-1)))))</f>
        <v/>
      </c>
      <c r="Q59" s="122">
        <f>IF(OR($C59="",$B$2="",$D$2=0),0,IF(Q$3&lt;0,0,N(INDEX('CURVA PREVISION'!$A$1:$KZ$3000,$C59,11+3*MIN(Q$3,$D$2-1)))))</f>
        <v/>
      </c>
      <c r="R59" s="122">
        <f>IF(OR($C59="",$B$2="",$D$2=0),0,IF(R$3&lt;0,0,N(INDEX('CURVA PREVISION'!$A$1:$KZ$3000,$C59,11+3*MIN(R$3,$D$2-1)))))</f>
        <v/>
      </c>
      <c r="S59" s="122">
        <f>IF(OR($C59="",$B$2="",$D$2=0),0,IF(S$3&lt;0,0,N(INDEX('CURVA PREVISION'!$A$1:$KZ$3000,$C59,11+3*MIN(S$3,$D$2-1)))))</f>
        <v/>
      </c>
      <c r="T59" s="122">
        <f>IF(OR($C59="",$B$2="",$D$2=0),0,IF(T$3&lt;0,0,N(INDEX('CURVA PREVISION'!$A$1:$KZ$3000,$C59,11+3*MIN(T$3,$D$2-1)))))</f>
        <v/>
      </c>
      <c r="U59" s="122">
        <f>IF(OR($C59="",$B$2="",$D$2=0),0,IF(U$3&lt;0,0,N(INDEX('CURVA PREVISION'!$A$1:$KZ$3000,$C59,11+3*MIN(U$3,$D$2-1)))))</f>
        <v/>
      </c>
      <c r="V59" s="122">
        <f>IF(OR($C59="",$B$2="",$D$2=0),0,IF(V$3&lt;0,0,N(INDEX('CURVA PREVISION'!$A$1:$KZ$3000,$C59,11+3*MIN(V$3,$D$2-1)))))</f>
        <v/>
      </c>
      <c r="W59" s="122">
        <f>IF(OR($C59="",$B$2="",$D$2=0),0,IF(W$3&lt;0,0,N(INDEX('CURVA PREVISION'!$A$1:$KZ$3000,$C59,11+3*MIN(W$3,$D$2-1)))))</f>
        <v/>
      </c>
      <c r="X59" s="122">
        <f>IF(OR($C59="",$B$2="",$D$2=0),0,IF(X$3&lt;0,0,N(INDEX('CURVA PREVISION'!$A$1:$KZ$3000,$C59,11+3*MIN(X$3,$D$2-1)))))</f>
        <v/>
      </c>
      <c r="Y59" s="122">
        <f>IF(OR($C59="",$B$2="",$D$2=0),0,IF(Y$3&lt;0,0,N(INDEX('CURVA PREVISION'!$A$1:$KZ$3000,$C59,11+3*MIN(Y$3,$D$2-1)))))</f>
        <v/>
      </c>
      <c r="Z59" s="122">
        <f>IF(OR($C59="",$B$2="",$D$2=0),0,IF(Z$3&lt;0,0,N(INDEX('CURVA PREVISION'!$A$1:$KZ$3000,$C59,11+3*MIN(Z$3,$D$2-1)))))</f>
        <v/>
      </c>
      <c r="AA59" s="122">
        <f>IF(OR($C59="",$B$2="",$D$2=0),0,IF(AA$3&lt;0,0,N(INDEX('CURVA PREVISION'!$A$1:$KZ$3000,$C59,11+3*MIN(AA$3,$D$2-1)))))</f>
        <v/>
      </c>
      <c r="AB59" s="122">
        <f>IF(OR($C59="",$B$2="",$D$2=0),0,IF(AB$3&lt;0,0,N(INDEX('CURVA PREVISION'!$A$1:$KZ$3000,$C59,11+3*MIN(AB$3,$D$2-1)))))</f>
        <v/>
      </c>
      <c r="AC59" s="122">
        <f>IF(OR($C59="",$B$2="",$D$2=0),0,IF(AC$3&lt;0,0,N(INDEX('CURVA PREVISION'!$A$1:$KZ$3000,$C59,11+3*MIN(AC$3,$D$2-1)))))</f>
        <v/>
      </c>
      <c r="AD59" s="122">
        <f>IF(OR($C59="",$B$2="",$D$2=0),0,IF(AD$3&lt;0,0,N(INDEX('CURVA PREVISION'!$A$1:$KZ$3000,$C59,11+3*MIN(AD$3,$D$2-1)))))</f>
        <v/>
      </c>
      <c r="AE59" s="122">
        <f>IF(OR($C59="",$B$2="",$D$2=0),0,IF(AE$3&lt;0,0,N(INDEX('CURVA PREVISION'!$A$1:$KZ$3000,$C59,11+3*MIN(AE$3,$D$2-1)))))</f>
        <v/>
      </c>
      <c r="AF59" s="122">
        <f>IF(OR($C59="",$B$2="",$D$2=0),0,IF(AF$3&lt;0,0,N(INDEX('CURVA PREVISION'!$A$1:$KZ$3000,$C59,11+3*MIN(AF$3,$D$2-1)))))</f>
        <v/>
      </c>
      <c r="AG59" s="122">
        <f>IF(OR($C59="",$B$2="",$D$2=0),0,IF(AG$3&lt;0,0,N(INDEX('CURVA PREVISION'!$A$1:$KZ$3000,$C59,11+3*MIN(AG$3,$D$2-1)))))</f>
        <v/>
      </c>
      <c r="AH59" s="122">
        <f>IF(OR($C59="",$B$2="",$D$2=0),0,IF(AH$3&lt;0,0,N(INDEX('CURVA PREVISION'!$A$1:$KZ$3000,$C59,11+3*MIN(AH$3,$D$2-1)))))</f>
        <v/>
      </c>
      <c r="AI59" s="122">
        <f>IF(OR($C59="",$B$2="",$D$2=0),0,IF(AI$3&lt;0,0,N(INDEX('CURVA PREVISION'!$A$1:$KZ$3000,$C59,11+3*MIN(AI$3,$D$2-1)))))</f>
        <v/>
      </c>
      <c r="AJ59" s="122">
        <f>IF(OR($C59="",$B$2="",$D$2=0),0,IF(AJ$3&lt;0,0,N(INDEX('CURVA PREVISION'!$A$1:$KZ$3000,$C59,11+3*MIN(AJ$3,$D$2-1)))))</f>
        <v/>
      </c>
      <c r="AK59" s="122">
        <f>IF(OR($C59="",$B$2="",$D$2=0),0,IF(AK$3&lt;0,0,N(INDEX('CURVA PREVISION'!$A$1:$KZ$3000,$C59,11+3*MIN(AK$3,$D$2-1)))))</f>
        <v/>
      </c>
      <c r="AL59" s="122">
        <f>IF(OR($C59="",$B$2="",$D$2=0),0,IF(AL$3&lt;0,0,N(INDEX('CURVA PREVISION'!$A$1:$KZ$3000,$C59,11+3*MIN(AL$3,$D$2-1)))))</f>
        <v/>
      </c>
      <c r="AM59" s="122">
        <f>IF(OR($C59="",$B$2="",$D$2=0),0,IF(AM$3&lt;0,0,N(INDEX('CURVA PREVISION'!$A$1:$KZ$3000,$C59,11+3*MIN(AM$3,$D$2-1)))))</f>
        <v/>
      </c>
      <c r="AN59" s="122">
        <f>IF(OR($C59="",$B$2="",$D$2=0),0,IF(AN$3&lt;0,0,N(INDEX('CURVA PREVISION'!$A$1:$KZ$3000,$C59,11+3*MIN(AN$3,$D$2-1)))))</f>
        <v/>
      </c>
      <c r="AO59" s="122">
        <f>IF(OR($C59="",$B$2="",$D$2=0),0,IF(AO$3&lt;0,0,N(INDEX('CURVA PREVISION'!$A$1:$KZ$3000,$C59,11+3*MIN(AO$3,$D$2-1)))))</f>
        <v/>
      </c>
      <c r="AP59" s="122">
        <f>IF(OR($C59="",$B$2="",$D$2=0),0,IF(AP$3&lt;0,0,N(INDEX('CURVA PREVISION'!$A$1:$KZ$3000,$C59,11+3*MIN(AP$3,$D$2-1)))))</f>
        <v/>
      </c>
      <c r="AQ59" s="122">
        <f>IF(OR($C59="",$B$2="",$D$2=0),0,IF(AQ$3&lt;0,0,N(INDEX('CURVA PREVISION'!$A$1:$KZ$3000,$C59,11+3*MIN(AQ$3,$D$2-1)))))</f>
        <v/>
      </c>
      <c r="AR59" s="122">
        <f>IF(OR($C59="",$B$2="",$D$2=0),0,IF(AR$3&lt;0,0,N(INDEX('CURVA PREVISION'!$A$1:$KZ$3000,$C59,11+3*MIN(AR$3,$D$2-1)))))</f>
        <v/>
      </c>
      <c r="AS59" s="122">
        <f>IF(OR($C59="",$B$2="",$D$2=0),0,IF(AS$3&lt;0,0,N(INDEX('CURVA PREVISION'!$A$1:$KZ$3000,$C59,11+3*MIN(AS$3,$D$2-1)))))</f>
        <v/>
      </c>
      <c r="AT59" s="122">
        <f>IF(OR($C59="",$B$2="",$D$2=0),0,IF(AT$3&lt;0,0,N(INDEX('CURVA PREVISION'!$A$1:$KZ$3000,$C59,11+3*MIN(AT$3,$D$2-1)))))</f>
        <v/>
      </c>
      <c r="AU59" s="122">
        <f>IF(OR($C59="",$B$2="",$D$2=0),0,IF(AU$3&lt;0,0,N(INDEX('CURVA PREVISION'!$A$1:$KZ$3000,$C59,11+3*MIN(AU$3,$D$2-1)))))</f>
        <v/>
      </c>
      <c r="AV59" s="122">
        <f>IF(OR($C59="",$B$2="",$D$2=0),0,IF(AV$3&lt;0,0,N(INDEX('CURVA PREVISION'!$A$1:$KZ$3000,$C59,11+3*MIN(AV$3,$D$2-1)))))</f>
        <v/>
      </c>
      <c r="AW59" s="122">
        <f>IF(OR($C59="",$B$2="",$D$2=0),0,IF(AW$3&lt;0,0,N(INDEX('CURVA PREVISION'!$A$1:$KZ$3000,$C59,11+3*MIN(AW$3,$D$2-1)))))</f>
        <v/>
      </c>
      <c r="AX59" s="122">
        <f>IF(OR($C59="",$B$2="",$D$2=0),0,IF(AX$3&lt;0,0,N(INDEX('CURVA PREVISION'!$A$1:$KZ$3000,$C59,11+3*MIN(AX$3,$D$2-1)))))</f>
        <v/>
      </c>
      <c r="AY59" s="122">
        <f>IF(OR($C59="",$B$2="",$D$2=0),0,IF(AY$3&lt;0,0,N(INDEX('CURVA PREVISION'!$A$1:$KZ$3000,$C59,11+3*MIN(AY$3,$D$2-1)))))</f>
        <v/>
      </c>
      <c r="AZ59" s="122">
        <f>IF(OR($C59="",$B$2="",$D$2=0),0,IF(AZ$3&lt;0,0,N(INDEX('CURVA PREVISION'!$A$1:$KZ$3000,$C59,11+3*MIN(AZ$3,$D$2-1)))))</f>
        <v/>
      </c>
      <c r="BA59" s="122">
        <f>IF(OR($C59="",$B$2="",$D$2=0),0,IF(BA$3&lt;0,0,N(INDEX('CURVA PREVISION'!$A$1:$KZ$3000,$C59,11+3*MIN(BA$3,$D$2-1)))))</f>
        <v/>
      </c>
      <c r="BB59" s="122">
        <f>IF(OR($C59="",$B$2="",$D$2=0),0,IF(BB$3&lt;0,0,N(INDEX('CURVA PREVISION'!$A$1:$KZ$3000,$C59,11+3*MIN(BB$3,$D$2-1)))))</f>
        <v/>
      </c>
      <c r="BC59" s="122">
        <f>IF(OR($C59="",$B$2="",$D$2=0),0,IF(BC$3&lt;0,0,N(INDEX('CURVA PREVISION'!$A$1:$KZ$3000,$C59,11+3*MIN(BC$3,$D$2-1)))))</f>
        <v/>
      </c>
      <c r="BD59" s="122">
        <f>IF(OR($C59="",$B$2="",$D$2=0),0,IF(BD$3&lt;0,0,N(INDEX('CURVA PREVISION'!$A$1:$KZ$3000,$C59,11+3*MIN(BD$3,$D$2-1)))))</f>
        <v/>
      </c>
      <c r="BE59" s="122">
        <f>IF(OR($C59="",$B$2="",$D$2=0),0,IF(BE$3&lt;0,0,N(INDEX('CURVA PREVISION'!$A$1:$KZ$3000,$C59,11+3*MIN(BE$3,$D$2-1)))))</f>
        <v/>
      </c>
      <c r="BF59" s="122">
        <f>IF(OR($C59="",$B$2="",$D$2=0),0,IF(BF$3&lt;0,0,N(INDEX('CURVA PREVISION'!$A$1:$KZ$3000,$C59,11+3*MIN(BF$3,$D$2-1)))))</f>
        <v/>
      </c>
      <c r="BG59" s="122">
        <f>IF(OR($C59="",$B$2="",$D$2=0),0,IF(BG$3&lt;0,0,N(INDEX('CURVA PREVISION'!$A$1:$KZ$3000,$C59,11+3*MIN(BG$3,$D$2-1)))))</f>
        <v/>
      </c>
      <c r="BH59" s="122">
        <f>IF(OR($C59="",$B$2="",$D$2=0),0,IF(BH$3&lt;0,0,N(INDEX('CURVA PREVISION'!$A$1:$KZ$3000,$C59,11+3*MIN(BH$3,$D$2-1)))))</f>
        <v/>
      </c>
      <c r="BI59" s="122">
        <f>IF(OR($C59="",$B$2="",$D$2=0),0,IF(BI$3&lt;0,0,N(INDEX('CURVA PREVISION'!$A$1:$KZ$3000,$C59,11+3*MIN(BI$3,$D$2-1)))))</f>
        <v/>
      </c>
      <c r="BJ59" s="122">
        <f>IF(OR($C59="",$B$2="",$D$2=0),0,IF(BJ$3&lt;0,0,N(INDEX('CURVA PREVISION'!$A$1:$KZ$3000,$C59,11+3*MIN(BJ$3,$D$2-1)))))</f>
        <v/>
      </c>
      <c r="BK59" s="122">
        <f>IF(OR($C59="",$B$2="",$D$2=0),0,IF(BK$3&lt;0,0,N(INDEX('CURVA PREVISION'!$A$1:$KZ$3000,$C59,11+3*MIN(BK$3,$D$2-1)))))</f>
        <v/>
      </c>
      <c r="BL59" s="122">
        <f>IF(OR($C59="",$B$2="",$D$2=0),0,IF(BL$3&lt;0,0,N(INDEX('CURVA PREVISION'!$A$1:$KZ$3000,$C59,11+3*MIN(BL$3,$D$2-1)))))</f>
        <v/>
      </c>
      <c r="BM59" s="122">
        <f>IF(OR($C59="",$B$2="",$D$2=0),0,IF(BM$3&lt;0,0,N(INDEX('CURVA PREVISION'!$A$1:$KZ$3000,$C59,11+3*MIN(BM$3,$D$2-1)))))</f>
        <v/>
      </c>
      <c r="BN59" s="122">
        <f>IF(OR($C59="",$B$2="",$D$2=0),0,IF(BN$3&lt;0,0,N(INDEX('CURVA PREVISION'!$A$1:$KZ$3000,$C59,11+3*MIN(BN$3,$D$2-1)))))</f>
        <v/>
      </c>
      <c r="BO59" s="122">
        <f>IF(OR($C59="",$B$2="",$D$2=0),0,IF(BO$3&lt;0,0,N(INDEX('CURVA PREVISION'!$A$1:$KZ$3000,$C59,11+3*MIN(BO$3,$D$2-1)))))</f>
        <v/>
      </c>
      <c r="BP59" s="122">
        <f>IF(OR($C59="",$B$2="",$D$2=0),0,IF(BP$3&lt;0,0,N(INDEX('CURVA PREVISION'!$A$1:$KZ$3000,$C59,11+3*MIN(BP$3,$D$2-1)))))</f>
        <v/>
      </c>
      <c r="BQ59" s="122">
        <f>IF(OR($C59="",$B$2="",$D$2=0),0,IF(BQ$3&lt;0,0,N(INDEX('CURVA PREVISION'!$A$1:$KZ$3000,$C59,11+3*MIN(BQ$3,$D$2-1)))))</f>
        <v/>
      </c>
      <c r="BR59" s="122">
        <f>IF(OR($C59="",$B$2="",$D$2=0),0,IF(BR$3&lt;0,0,N(INDEX('CURVA PREVISION'!$A$1:$KZ$3000,$C59,11+3*MIN(BR$3,$D$2-1)))))</f>
        <v/>
      </c>
      <c r="BS59" s="122">
        <f>IF(OR($C59="",$B$2="",$D$2=0),0,IF(BS$3&lt;0,0,N(INDEX('CURVA PREVISION'!$A$1:$KZ$3000,$C59,11+3*MIN(BS$3,$D$2-1)))))</f>
        <v/>
      </c>
      <c r="BT59" s="122">
        <f>IF(OR($C59="",$B$2="",$D$2=0),0,IF(BT$3&lt;0,0,N(INDEX('CURVA PREVISION'!$A$1:$KZ$3000,$C59,11+3*MIN(BT$3,$D$2-1)))))</f>
        <v/>
      </c>
      <c r="BU59" s="122">
        <f>IF(OR($C59="",$B$2="",$D$2=0),0,IF(BU$3&lt;0,0,N(INDEX('CURVA PREVISION'!$A$1:$KZ$3000,$C59,11+3*MIN(BU$3,$D$2-1)))))</f>
        <v/>
      </c>
      <c r="BV59" s="122">
        <f>IF(OR($C59="",$B$2="",$D$2=0),0,IF(BV$3&lt;0,0,N(INDEX('CURVA PREVISION'!$A$1:$KZ$3000,$C59,11+3*MIN(BV$3,$D$2-1)))))</f>
        <v/>
      </c>
      <c r="BW59" s="122">
        <f>IF(OR($C59="",$B$2="",$D$2=0),0,IF(BW$3&lt;0,0,N(INDEX('CURVA PREVISION'!$A$1:$KZ$3000,$C59,11+3*MIN(BW$3,$D$2-1)))))</f>
        <v/>
      </c>
    </row>
    <row r="60">
      <c r="A60" s="51">
        <f>A18</f>
        <v/>
      </c>
      <c r="B60" s="51">
        <f>B18</f>
        <v/>
      </c>
      <c r="C60" s="68">
        <f>C18</f>
        <v/>
      </c>
      <c r="D60" s="122">
        <f>IF(OR($C60="",$B$2="",$D$2=0),0,IF(D$3&lt;0,0,N(INDEX('CURVA PREVISION'!$A$1:$KZ$3000,$C60,11+3*MIN(D$3,$D$2-1)))))</f>
        <v/>
      </c>
      <c r="E60" s="122">
        <f>IF(OR($C60="",$B$2="",$D$2=0),0,IF(E$3&lt;0,0,N(INDEX('CURVA PREVISION'!$A$1:$KZ$3000,$C60,11+3*MIN(E$3,$D$2-1)))))</f>
        <v/>
      </c>
      <c r="F60" s="122">
        <f>IF(OR($C60="",$B$2="",$D$2=0),0,IF(F$3&lt;0,0,N(INDEX('CURVA PREVISION'!$A$1:$KZ$3000,$C60,11+3*MIN(F$3,$D$2-1)))))</f>
        <v/>
      </c>
      <c r="G60" s="122">
        <f>IF(OR($C60="",$B$2="",$D$2=0),0,IF(G$3&lt;0,0,N(INDEX('CURVA PREVISION'!$A$1:$KZ$3000,$C60,11+3*MIN(G$3,$D$2-1)))))</f>
        <v/>
      </c>
      <c r="H60" s="122">
        <f>IF(OR($C60="",$B$2="",$D$2=0),0,IF(H$3&lt;0,0,N(INDEX('CURVA PREVISION'!$A$1:$KZ$3000,$C60,11+3*MIN(H$3,$D$2-1)))))</f>
        <v/>
      </c>
      <c r="I60" s="122">
        <f>IF(OR($C60="",$B$2="",$D$2=0),0,IF(I$3&lt;0,0,N(INDEX('CURVA PREVISION'!$A$1:$KZ$3000,$C60,11+3*MIN(I$3,$D$2-1)))))</f>
        <v/>
      </c>
      <c r="J60" s="122">
        <f>IF(OR($C60="",$B$2="",$D$2=0),0,IF(J$3&lt;0,0,N(INDEX('CURVA PREVISION'!$A$1:$KZ$3000,$C60,11+3*MIN(J$3,$D$2-1)))))</f>
        <v/>
      </c>
      <c r="K60" s="122">
        <f>IF(OR($C60="",$B$2="",$D$2=0),0,IF(K$3&lt;0,0,N(INDEX('CURVA PREVISION'!$A$1:$KZ$3000,$C60,11+3*MIN(K$3,$D$2-1)))))</f>
        <v/>
      </c>
      <c r="L60" s="122">
        <f>IF(OR($C60="",$B$2="",$D$2=0),0,IF(L$3&lt;0,0,N(INDEX('CURVA PREVISION'!$A$1:$KZ$3000,$C60,11+3*MIN(L$3,$D$2-1)))))</f>
        <v/>
      </c>
      <c r="M60" s="122">
        <f>IF(OR($C60="",$B$2="",$D$2=0),0,IF(M$3&lt;0,0,N(INDEX('CURVA PREVISION'!$A$1:$KZ$3000,$C60,11+3*MIN(M$3,$D$2-1)))))</f>
        <v/>
      </c>
      <c r="N60" s="122">
        <f>IF(OR($C60="",$B$2="",$D$2=0),0,IF(N$3&lt;0,0,N(INDEX('CURVA PREVISION'!$A$1:$KZ$3000,$C60,11+3*MIN(N$3,$D$2-1)))))</f>
        <v/>
      </c>
      <c r="O60" s="122">
        <f>IF(OR($C60="",$B$2="",$D$2=0),0,IF(O$3&lt;0,0,N(INDEX('CURVA PREVISION'!$A$1:$KZ$3000,$C60,11+3*MIN(O$3,$D$2-1)))))</f>
        <v/>
      </c>
      <c r="P60" s="122">
        <f>IF(OR($C60="",$B$2="",$D$2=0),0,IF(P$3&lt;0,0,N(INDEX('CURVA PREVISION'!$A$1:$KZ$3000,$C60,11+3*MIN(P$3,$D$2-1)))))</f>
        <v/>
      </c>
      <c r="Q60" s="122">
        <f>IF(OR($C60="",$B$2="",$D$2=0),0,IF(Q$3&lt;0,0,N(INDEX('CURVA PREVISION'!$A$1:$KZ$3000,$C60,11+3*MIN(Q$3,$D$2-1)))))</f>
        <v/>
      </c>
      <c r="R60" s="122">
        <f>IF(OR($C60="",$B$2="",$D$2=0),0,IF(R$3&lt;0,0,N(INDEX('CURVA PREVISION'!$A$1:$KZ$3000,$C60,11+3*MIN(R$3,$D$2-1)))))</f>
        <v/>
      </c>
      <c r="S60" s="122">
        <f>IF(OR($C60="",$B$2="",$D$2=0),0,IF(S$3&lt;0,0,N(INDEX('CURVA PREVISION'!$A$1:$KZ$3000,$C60,11+3*MIN(S$3,$D$2-1)))))</f>
        <v/>
      </c>
      <c r="T60" s="122">
        <f>IF(OR($C60="",$B$2="",$D$2=0),0,IF(T$3&lt;0,0,N(INDEX('CURVA PREVISION'!$A$1:$KZ$3000,$C60,11+3*MIN(T$3,$D$2-1)))))</f>
        <v/>
      </c>
      <c r="U60" s="122">
        <f>IF(OR($C60="",$B$2="",$D$2=0),0,IF(U$3&lt;0,0,N(INDEX('CURVA PREVISION'!$A$1:$KZ$3000,$C60,11+3*MIN(U$3,$D$2-1)))))</f>
        <v/>
      </c>
      <c r="V60" s="122">
        <f>IF(OR($C60="",$B$2="",$D$2=0),0,IF(V$3&lt;0,0,N(INDEX('CURVA PREVISION'!$A$1:$KZ$3000,$C60,11+3*MIN(V$3,$D$2-1)))))</f>
        <v/>
      </c>
      <c r="W60" s="122">
        <f>IF(OR($C60="",$B$2="",$D$2=0),0,IF(W$3&lt;0,0,N(INDEX('CURVA PREVISION'!$A$1:$KZ$3000,$C60,11+3*MIN(W$3,$D$2-1)))))</f>
        <v/>
      </c>
      <c r="X60" s="122">
        <f>IF(OR($C60="",$B$2="",$D$2=0),0,IF(X$3&lt;0,0,N(INDEX('CURVA PREVISION'!$A$1:$KZ$3000,$C60,11+3*MIN(X$3,$D$2-1)))))</f>
        <v/>
      </c>
      <c r="Y60" s="122">
        <f>IF(OR($C60="",$B$2="",$D$2=0),0,IF(Y$3&lt;0,0,N(INDEX('CURVA PREVISION'!$A$1:$KZ$3000,$C60,11+3*MIN(Y$3,$D$2-1)))))</f>
        <v/>
      </c>
      <c r="Z60" s="122">
        <f>IF(OR($C60="",$B$2="",$D$2=0),0,IF(Z$3&lt;0,0,N(INDEX('CURVA PREVISION'!$A$1:$KZ$3000,$C60,11+3*MIN(Z$3,$D$2-1)))))</f>
        <v/>
      </c>
      <c r="AA60" s="122">
        <f>IF(OR($C60="",$B$2="",$D$2=0),0,IF(AA$3&lt;0,0,N(INDEX('CURVA PREVISION'!$A$1:$KZ$3000,$C60,11+3*MIN(AA$3,$D$2-1)))))</f>
        <v/>
      </c>
      <c r="AB60" s="122">
        <f>IF(OR($C60="",$B$2="",$D$2=0),0,IF(AB$3&lt;0,0,N(INDEX('CURVA PREVISION'!$A$1:$KZ$3000,$C60,11+3*MIN(AB$3,$D$2-1)))))</f>
        <v/>
      </c>
      <c r="AC60" s="122">
        <f>IF(OR($C60="",$B$2="",$D$2=0),0,IF(AC$3&lt;0,0,N(INDEX('CURVA PREVISION'!$A$1:$KZ$3000,$C60,11+3*MIN(AC$3,$D$2-1)))))</f>
        <v/>
      </c>
      <c r="AD60" s="122">
        <f>IF(OR($C60="",$B$2="",$D$2=0),0,IF(AD$3&lt;0,0,N(INDEX('CURVA PREVISION'!$A$1:$KZ$3000,$C60,11+3*MIN(AD$3,$D$2-1)))))</f>
        <v/>
      </c>
      <c r="AE60" s="122">
        <f>IF(OR($C60="",$B$2="",$D$2=0),0,IF(AE$3&lt;0,0,N(INDEX('CURVA PREVISION'!$A$1:$KZ$3000,$C60,11+3*MIN(AE$3,$D$2-1)))))</f>
        <v/>
      </c>
      <c r="AF60" s="122">
        <f>IF(OR($C60="",$B$2="",$D$2=0),0,IF(AF$3&lt;0,0,N(INDEX('CURVA PREVISION'!$A$1:$KZ$3000,$C60,11+3*MIN(AF$3,$D$2-1)))))</f>
        <v/>
      </c>
      <c r="AG60" s="122">
        <f>IF(OR($C60="",$B$2="",$D$2=0),0,IF(AG$3&lt;0,0,N(INDEX('CURVA PREVISION'!$A$1:$KZ$3000,$C60,11+3*MIN(AG$3,$D$2-1)))))</f>
        <v/>
      </c>
      <c r="AH60" s="122">
        <f>IF(OR($C60="",$B$2="",$D$2=0),0,IF(AH$3&lt;0,0,N(INDEX('CURVA PREVISION'!$A$1:$KZ$3000,$C60,11+3*MIN(AH$3,$D$2-1)))))</f>
        <v/>
      </c>
      <c r="AI60" s="122">
        <f>IF(OR($C60="",$B$2="",$D$2=0),0,IF(AI$3&lt;0,0,N(INDEX('CURVA PREVISION'!$A$1:$KZ$3000,$C60,11+3*MIN(AI$3,$D$2-1)))))</f>
        <v/>
      </c>
      <c r="AJ60" s="122">
        <f>IF(OR($C60="",$B$2="",$D$2=0),0,IF(AJ$3&lt;0,0,N(INDEX('CURVA PREVISION'!$A$1:$KZ$3000,$C60,11+3*MIN(AJ$3,$D$2-1)))))</f>
        <v/>
      </c>
      <c r="AK60" s="122">
        <f>IF(OR($C60="",$B$2="",$D$2=0),0,IF(AK$3&lt;0,0,N(INDEX('CURVA PREVISION'!$A$1:$KZ$3000,$C60,11+3*MIN(AK$3,$D$2-1)))))</f>
        <v/>
      </c>
      <c r="AL60" s="122">
        <f>IF(OR($C60="",$B$2="",$D$2=0),0,IF(AL$3&lt;0,0,N(INDEX('CURVA PREVISION'!$A$1:$KZ$3000,$C60,11+3*MIN(AL$3,$D$2-1)))))</f>
        <v/>
      </c>
      <c r="AM60" s="122">
        <f>IF(OR($C60="",$B$2="",$D$2=0),0,IF(AM$3&lt;0,0,N(INDEX('CURVA PREVISION'!$A$1:$KZ$3000,$C60,11+3*MIN(AM$3,$D$2-1)))))</f>
        <v/>
      </c>
      <c r="AN60" s="122">
        <f>IF(OR($C60="",$B$2="",$D$2=0),0,IF(AN$3&lt;0,0,N(INDEX('CURVA PREVISION'!$A$1:$KZ$3000,$C60,11+3*MIN(AN$3,$D$2-1)))))</f>
        <v/>
      </c>
      <c r="AO60" s="122">
        <f>IF(OR($C60="",$B$2="",$D$2=0),0,IF(AO$3&lt;0,0,N(INDEX('CURVA PREVISION'!$A$1:$KZ$3000,$C60,11+3*MIN(AO$3,$D$2-1)))))</f>
        <v/>
      </c>
      <c r="AP60" s="122">
        <f>IF(OR($C60="",$B$2="",$D$2=0),0,IF(AP$3&lt;0,0,N(INDEX('CURVA PREVISION'!$A$1:$KZ$3000,$C60,11+3*MIN(AP$3,$D$2-1)))))</f>
        <v/>
      </c>
      <c r="AQ60" s="122">
        <f>IF(OR($C60="",$B$2="",$D$2=0),0,IF(AQ$3&lt;0,0,N(INDEX('CURVA PREVISION'!$A$1:$KZ$3000,$C60,11+3*MIN(AQ$3,$D$2-1)))))</f>
        <v/>
      </c>
      <c r="AR60" s="122">
        <f>IF(OR($C60="",$B$2="",$D$2=0),0,IF(AR$3&lt;0,0,N(INDEX('CURVA PREVISION'!$A$1:$KZ$3000,$C60,11+3*MIN(AR$3,$D$2-1)))))</f>
        <v/>
      </c>
      <c r="AS60" s="122">
        <f>IF(OR($C60="",$B$2="",$D$2=0),0,IF(AS$3&lt;0,0,N(INDEX('CURVA PREVISION'!$A$1:$KZ$3000,$C60,11+3*MIN(AS$3,$D$2-1)))))</f>
        <v/>
      </c>
      <c r="AT60" s="122">
        <f>IF(OR($C60="",$B$2="",$D$2=0),0,IF(AT$3&lt;0,0,N(INDEX('CURVA PREVISION'!$A$1:$KZ$3000,$C60,11+3*MIN(AT$3,$D$2-1)))))</f>
        <v/>
      </c>
      <c r="AU60" s="122">
        <f>IF(OR($C60="",$B$2="",$D$2=0),0,IF(AU$3&lt;0,0,N(INDEX('CURVA PREVISION'!$A$1:$KZ$3000,$C60,11+3*MIN(AU$3,$D$2-1)))))</f>
        <v/>
      </c>
      <c r="AV60" s="122">
        <f>IF(OR($C60="",$B$2="",$D$2=0),0,IF(AV$3&lt;0,0,N(INDEX('CURVA PREVISION'!$A$1:$KZ$3000,$C60,11+3*MIN(AV$3,$D$2-1)))))</f>
        <v/>
      </c>
      <c r="AW60" s="122">
        <f>IF(OR($C60="",$B$2="",$D$2=0),0,IF(AW$3&lt;0,0,N(INDEX('CURVA PREVISION'!$A$1:$KZ$3000,$C60,11+3*MIN(AW$3,$D$2-1)))))</f>
        <v/>
      </c>
      <c r="AX60" s="122">
        <f>IF(OR($C60="",$B$2="",$D$2=0),0,IF(AX$3&lt;0,0,N(INDEX('CURVA PREVISION'!$A$1:$KZ$3000,$C60,11+3*MIN(AX$3,$D$2-1)))))</f>
        <v/>
      </c>
      <c r="AY60" s="122">
        <f>IF(OR($C60="",$B$2="",$D$2=0),0,IF(AY$3&lt;0,0,N(INDEX('CURVA PREVISION'!$A$1:$KZ$3000,$C60,11+3*MIN(AY$3,$D$2-1)))))</f>
        <v/>
      </c>
      <c r="AZ60" s="122">
        <f>IF(OR($C60="",$B$2="",$D$2=0),0,IF(AZ$3&lt;0,0,N(INDEX('CURVA PREVISION'!$A$1:$KZ$3000,$C60,11+3*MIN(AZ$3,$D$2-1)))))</f>
        <v/>
      </c>
      <c r="BA60" s="122">
        <f>IF(OR($C60="",$B$2="",$D$2=0),0,IF(BA$3&lt;0,0,N(INDEX('CURVA PREVISION'!$A$1:$KZ$3000,$C60,11+3*MIN(BA$3,$D$2-1)))))</f>
        <v/>
      </c>
      <c r="BB60" s="122">
        <f>IF(OR($C60="",$B$2="",$D$2=0),0,IF(BB$3&lt;0,0,N(INDEX('CURVA PREVISION'!$A$1:$KZ$3000,$C60,11+3*MIN(BB$3,$D$2-1)))))</f>
        <v/>
      </c>
      <c r="BC60" s="122">
        <f>IF(OR($C60="",$B$2="",$D$2=0),0,IF(BC$3&lt;0,0,N(INDEX('CURVA PREVISION'!$A$1:$KZ$3000,$C60,11+3*MIN(BC$3,$D$2-1)))))</f>
        <v/>
      </c>
      <c r="BD60" s="122">
        <f>IF(OR($C60="",$B$2="",$D$2=0),0,IF(BD$3&lt;0,0,N(INDEX('CURVA PREVISION'!$A$1:$KZ$3000,$C60,11+3*MIN(BD$3,$D$2-1)))))</f>
        <v/>
      </c>
      <c r="BE60" s="122">
        <f>IF(OR($C60="",$B$2="",$D$2=0),0,IF(BE$3&lt;0,0,N(INDEX('CURVA PREVISION'!$A$1:$KZ$3000,$C60,11+3*MIN(BE$3,$D$2-1)))))</f>
        <v/>
      </c>
      <c r="BF60" s="122">
        <f>IF(OR($C60="",$B$2="",$D$2=0),0,IF(BF$3&lt;0,0,N(INDEX('CURVA PREVISION'!$A$1:$KZ$3000,$C60,11+3*MIN(BF$3,$D$2-1)))))</f>
        <v/>
      </c>
      <c r="BG60" s="122">
        <f>IF(OR($C60="",$B$2="",$D$2=0),0,IF(BG$3&lt;0,0,N(INDEX('CURVA PREVISION'!$A$1:$KZ$3000,$C60,11+3*MIN(BG$3,$D$2-1)))))</f>
        <v/>
      </c>
      <c r="BH60" s="122">
        <f>IF(OR($C60="",$B$2="",$D$2=0),0,IF(BH$3&lt;0,0,N(INDEX('CURVA PREVISION'!$A$1:$KZ$3000,$C60,11+3*MIN(BH$3,$D$2-1)))))</f>
        <v/>
      </c>
      <c r="BI60" s="122">
        <f>IF(OR($C60="",$B$2="",$D$2=0),0,IF(BI$3&lt;0,0,N(INDEX('CURVA PREVISION'!$A$1:$KZ$3000,$C60,11+3*MIN(BI$3,$D$2-1)))))</f>
        <v/>
      </c>
      <c r="BJ60" s="122">
        <f>IF(OR($C60="",$B$2="",$D$2=0),0,IF(BJ$3&lt;0,0,N(INDEX('CURVA PREVISION'!$A$1:$KZ$3000,$C60,11+3*MIN(BJ$3,$D$2-1)))))</f>
        <v/>
      </c>
      <c r="BK60" s="122">
        <f>IF(OR($C60="",$B$2="",$D$2=0),0,IF(BK$3&lt;0,0,N(INDEX('CURVA PREVISION'!$A$1:$KZ$3000,$C60,11+3*MIN(BK$3,$D$2-1)))))</f>
        <v/>
      </c>
      <c r="BL60" s="122">
        <f>IF(OR($C60="",$B$2="",$D$2=0),0,IF(BL$3&lt;0,0,N(INDEX('CURVA PREVISION'!$A$1:$KZ$3000,$C60,11+3*MIN(BL$3,$D$2-1)))))</f>
        <v/>
      </c>
      <c r="BM60" s="122">
        <f>IF(OR($C60="",$B$2="",$D$2=0),0,IF(BM$3&lt;0,0,N(INDEX('CURVA PREVISION'!$A$1:$KZ$3000,$C60,11+3*MIN(BM$3,$D$2-1)))))</f>
        <v/>
      </c>
      <c r="BN60" s="122">
        <f>IF(OR($C60="",$B$2="",$D$2=0),0,IF(BN$3&lt;0,0,N(INDEX('CURVA PREVISION'!$A$1:$KZ$3000,$C60,11+3*MIN(BN$3,$D$2-1)))))</f>
        <v/>
      </c>
      <c r="BO60" s="122">
        <f>IF(OR($C60="",$B$2="",$D$2=0),0,IF(BO$3&lt;0,0,N(INDEX('CURVA PREVISION'!$A$1:$KZ$3000,$C60,11+3*MIN(BO$3,$D$2-1)))))</f>
        <v/>
      </c>
      <c r="BP60" s="122">
        <f>IF(OR($C60="",$B$2="",$D$2=0),0,IF(BP$3&lt;0,0,N(INDEX('CURVA PREVISION'!$A$1:$KZ$3000,$C60,11+3*MIN(BP$3,$D$2-1)))))</f>
        <v/>
      </c>
      <c r="BQ60" s="122">
        <f>IF(OR($C60="",$B$2="",$D$2=0),0,IF(BQ$3&lt;0,0,N(INDEX('CURVA PREVISION'!$A$1:$KZ$3000,$C60,11+3*MIN(BQ$3,$D$2-1)))))</f>
        <v/>
      </c>
      <c r="BR60" s="122">
        <f>IF(OR($C60="",$B$2="",$D$2=0),0,IF(BR$3&lt;0,0,N(INDEX('CURVA PREVISION'!$A$1:$KZ$3000,$C60,11+3*MIN(BR$3,$D$2-1)))))</f>
        <v/>
      </c>
      <c r="BS60" s="122">
        <f>IF(OR($C60="",$B$2="",$D$2=0),0,IF(BS$3&lt;0,0,N(INDEX('CURVA PREVISION'!$A$1:$KZ$3000,$C60,11+3*MIN(BS$3,$D$2-1)))))</f>
        <v/>
      </c>
      <c r="BT60" s="122">
        <f>IF(OR($C60="",$B$2="",$D$2=0),0,IF(BT$3&lt;0,0,N(INDEX('CURVA PREVISION'!$A$1:$KZ$3000,$C60,11+3*MIN(BT$3,$D$2-1)))))</f>
        <v/>
      </c>
      <c r="BU60" s="122">
        <f>IF(OR($C60="",$B$2="",$D$2=0),0,IF(BU$3&lt;0,0,N(INDEX('CURVA PREVISION'!$A$1:$KZ$3000,$C60,11+3*MIN(BU$3,$D$2-1)))))</f>
        <v/>
      </c>
      <c r="BV60" s="122">
        <f>IF(OR($C60="",$B$2="",$D$2=0),0,IF(BV$3&lt;0,0,N(INDEX('CURVA PREVISION'!$A$1:$KZ$3000,$C60,11+3*MIN(BV$3,$D$2-1)))))</f>
        <v/>
      </c>
      <c r="BW60" s="122">
        <f>IF(OR($C60="",$B$2="",$D$2=0),0,IF(BW$3&lt;0,0,N(INDEX('CURVA PREVISION'!$A$1:$KZ$3000,$C60,11+3*MIN(BW$3,$D$2-1)))))</f>
        <v/>
      </c>
    </row>
    <row r="61">
      <c r="A61" s="51">
        <f>A19</f>
        <v/>
      </c>
      <c r="B61" s="51">
        <f>B19</f>
        <v/>
      </c>
      <c r="C61" s="68">
        <f>C19</f>
        <v/>
      </c>
      <c r="D61" s="122">
        <f>IF(OR($C61="",$B$2="",$D$2=0),0,IF(D$3&lt;0,0,N(INDEX('CURVA PREVISION'!$A$1:$KZ$3000,$C61,11+3*MIN(D$3,$D$2-1)))))</f>
        <v/>
      </c>
      <c r="E61" s="122">
        <f>IF(OR($C61="",$B$2="",$D$2=0),0,IF(E$3&lt;0,0,N(INDEX('CURVA PREVISION'!$A$1:$KZ$3000,$C61,11+3*MIN(E$3,$D$2-1)))))</f>
        <v/>
      </c>
      <c r="F61" s="122">
        <f>IF(OR($C61="",$B$2="",$D$2=0),0,IF(F$3&lt;0,0,N(INDEX('CURVA PREVISION'!$A$1:$KZ$3000,$C61,11+3*MIN(F$3,$D$2-1)))))</f>
        <v/>
      </c>
      <c r="G61" s="122">
        <f>IF(OR($C61="",$B$2="",$D$2=0),0,IF(G$3&lt;0,0,N(INDEX('CURVA PREVISION'!$A$1:$KZ$3000,$C61,11+3*MIN(G$3,$D$2-1)))))</f>
        <v/>
      </c>
      <c r="H61" s="122">
        <f>IF(OR($C61="",$B$2="",$D$2=0),0,IF(H$3&lt;0,0,N(INDEX('CURVA PREVISION'!$A$1:$KZ$3000,$C61,11+3*MIN(H$3,$D$2-1)))))</f>
        <v/>
      </c>
      <c r="I61" s="122">
        <f>IF(OR($C61="",$B$2="",$D$2=0),0,IF(I$3&lt;0,0,N(INDEX('CURVA PREVISION'!$A$1:$KZ$3000,$C61,11+3*MIN(I$3,$D$2-1)))))</f>
        <v/>
      </c>
      <c r="J61" s="122">
        <f>IF(OR($C61="",$B$2="",$D$2=0),0,IF(J$3&lt;0,0,N(INDEX('CURVA PREVISION'!$A$1:$KZ$3000,$C61,11+3*MIN(J$3,$D$2-1)))))</f>
        <v/>
      </c>
      <c r="K61" s="122">
        <f>IF(OR($C61="",$B$2="",$D$2=0),0,IF(K$3&lt;0,0,N(INDEX('CURVA PREVISION'!$A$1:$KZ$3000,$C61,11+3*MIN(K$3,$D$2-1)))))</f>
        <v/>
      </c>
      <c r="L61" s="122">
        <f>IF(OR($C61="",$B$2="",$D$2=0),0,IF(L$3&lt;0,0,N(INDEX('CURVA PREVISION'!$A$1:$KZ$3000,$C61,11+3*MIN(L$3,$D$2-1)))))</f>
        <v/>
      </c>
      <c r="M61" s="122">
        <f>IF(OR($C61="",$B$2="",$D$2=0),0,IF(M$3&lt;0,0,N(INDEX('CURVA PREVISION'!$A$1:$KZ$3000,$C61,11+3*MIN(M$3,$D$2-1)))))</f>
        <v/>
      </c>
      <c r="N61" s="122">
        <f>IF(OR($C61="",$B$2="",$D$2=0),0,IF(N$3&lt;0,0,N(INDEX('CURVA PREVISION'!$A$1:$KZ$3000,$C61,11+3*MIN(N$3,$D$2-1)))))</f>
        <v/>
      </c>
      <c r="O61" s="122">
        <f>IF(OR($C61="",$B$2="",$D$2=0),0,IF(O$3&lt;0,0,N(INDEX('CURVA PREVISION'!$A$1:$KZ$3000,$C61,11+3*MIN(O$3,$D$2-1)))))</f>
        <v/>
      </c>
      <c r="P61" s="122">
        <f>IF(OR($C61="",$B$2="",$D$2=0),0,IF(P$3&lt;0,0,N(INDEX('CURVA PREVISION'!$A$1:$KZ$3000,$C61,11+3*MIN(P$3,$D$2-1)))))</f>
        <v/>
      </c>
      <c r="Q61" s="122">
        <f>IF(OR($C61="",$B$2="",$D$2=0),0,IF(Q$3&lt;0,0,N(INDEX('CURVA PREVISION'!$A$1:$KZ$3000,$C61,11+3*MIN(Q$3,$D$2-1)))))</f>
        <v/>
      </c>
      <c r="R61" s="122">
        <f>IF(OR($C61="",$B$2="",$D$2=0),0,IF(R$3&lt;0,0,N(INDEX('CURVA PREVISION'!$A$1:$KZ$3000,$C61,11+3*MIN(R$3,$D$2-1)))))</f>
        <v/>
      </c>
      <c r="S61" s="122">
        <f>IF(OR($C61="",$B$2="",$D$2=0),0,IF(S$3&lt;0,0,N(INDEX('CURVA PREVISION'!$A$1:$KZ$3000,$C61,11+3*MIN(S$3,$D$2-1)))))</f>
        <v/>
      </c>
      <c r="T61" s="122">
        <f>IF(OR($C61="",$B$2="",$D$2=0),0,IF(T$3&lt;0,0,N(INDEX('CURVA PREVISION'!$A$1:$KZ$3000,$C61,11+3*MIN(T$3,$D$2-1)))))</f>
        <v/>
      </c>
      <c r="U61" s="122">
        <f>IF(OR($C61="",$B$2="",$D$2=0),0,IF(U$3&lt;0,0,N(INDEX('CURVA PREVISION'!$A$1:$KZ$3000,$C61,11+3*MIN(U$3,$D$2-1)))))</f>
        <v/>
      </c>
      <c r="V61" s="122">
        <f>IF(OR($C61="",$B$2="",$D$2=0),0,IF(V$3&lt;0,0,N(INDEX('CURVA PREVISION'!$A$1:$KZ$3000,$C61,11+3*MIN(V$3,$D$2-1)))))</f>
        <v/>
      </c>
      <c r="W61" s="122">
        <f>IF(OR($C61="",$B$2="",$D$2=0),0,IF(W$3&lt;0,0,N(INDEX('CURVA PREVISION'!$A$1:$KZ$3000,$C61,11+3*MIN(W$3,$D$2-1)))))</f>
        <v/>
      </c>
      <c r="X61" s="122">
        <f>IF(OR($C61="",$B$2="",$D$2=0),0,IF(X$3&lt;0,0,N(INDEX('CURVA PREVISION'!$A$1:$KZ$3000,$C61,11+3*MIN(X$3,$D$2-1)))))</f>
        <v/>
      </c>
      <c r="Y61" s="122">
        <f>IF(OR($C61="",$B$2="",$D$2=0),0,IF(Y$3&lt;0,0,N(INDEX('CURVA PREVISION'!$A$1:$KZ$3000,$C61,11+3*MIN(Y$3,$D$2-1)))))</f>
        <v/>
      </c>
      <c r="Z61" s="122">
        <f>IF(OR($C61="",$B$2="",$D$2=0),0,IF(Z$3&lt;0,0,N(INDEX('CURVA PREVISION'!$A$1:$KZ$3000,$C61,11+3*MIN(Z$3,$D$2-1)))))</f>
        <v/>
      </c>
      <c r="AA61" s="122">
        <f>IF(OR($C61="",$B$2="",$D$2=0),0,IF(AA$3&lt;0,0,N(INDEX('CURVA PREVISION'!$A$1:$KZ$3000,$C61,11+3*MIN(AA$3,$D$2-1)))))</f>
        <v/>
      </c>
      <c r="AB61" s="122">
        <f>IF(OR($C61="",$B$2="",$D$2=0),0,IF(AB$3&lt;0,0,N(INDEX('CURVA PREVISION'!$A$1:$KZ$3000,$C61,11+3*MIN(AB$3,$D$2-1)))))</f>
        <v/>
      </c>
      <c r="AC61" s="122">
        <f>IF(OR($C61="",$B$2="",$D$2=0),0,IF(AC$3&lt;0,0,N(INDEX('CURVA PREVISION'!$A$1:$KZ$3000,$C61,11+3*MIN(AC$3,$D$2-1)))))</f>
        <v/>
      </c>
      <c r="AD61" s="122">
        <f>IF(OR($C61="",$B$2="",$D$2=0),0,IF(AD$3&lt;0,0,N(INDEX('CURVA PREVISION'!$A$1:$KZ$3000,$C61,11+3*MIN(AD$3,$D$2-1)))))</f>
        <v/>
      </c>
      <c r="AE61" s="122">
        <f>IF(OR($C61="",$B$2="",$D$2=0),0,IF(AE$3&lt;0,0,N(INDEX('CURVA PREVISION'!$A$1:$KZ$3000,$C61,11+3*MIN(AE$3,$D$2-1)))))</f>
        <v/>
      </c>
      <c r="AF61" s="122">
        <f>IF(OR($C61="",$B$2="",$D$2=0),0,IF(AF$3&lt;0,0,N(INDEX('CURVA PREVISION'!$A$1:$KZ$3000,$C61,11+3*MIN(AF$3,$D$2-1)))))</f>
        <v/>
      </c>
      <c r="AG61" s="122">
        <f>IF(OR($C61="",$B$2="",$D$2=0),0,IF(AG$3&lt;0,0,N(INDEX('CURVA PREVISION'!$A$1:$KZ$3000,$C61,11+3*MIN(AG$3,$D$2-1)))))</f>
        <v/>
      </c>
      <c r="AH61" s="122">
        <f>IF(OR($C61="",$B$2="",$D$2=0),0,IF(AH$3&lt;0,0,N(INDEX('CURVA PREVISION'!$A$1:$KZ$3000,$C61,11+3*MIN(AH$3,$D$2-1)))))</f>
        <v/>
      </c>
      <c r="AI61" s="122">
        <f>IF(OR($C61="",$B$2="",$D$2=0),0,IF(AI$3&lt;0,0,N(INDEX('CURVA PREVISION'!$A$1:$KZ$3000,$C61,11+3*MIN(AI$3,$D$2-1)))))</f>
        <v/>
      </c>
      <c r="AJ61" s="122">
        <f>IF(OR($C61="",$B$2="",$D$2=0),0,IF(AJ$3&lt;0,0,N(INDEX('CURVA PREVISION'!$A$1:$KZ$3000,$C61,11+3*MIN(AJ$3,$D$2-1)))))</f>
        <v/>
      </c>
      <c r="AK61" s="122">
        <f>IF(OR($C61="",$B$2="",$D$2=0),0,IF(AK$3&lt;0,0,N(INDEX('CURVA PREVISION'!$A$1:$KZ$3000,$C61,11+3*MIN(AK$3,$D$2-1)))))</f>
        <v/>
      </c>
      <c r="AL61" s="122">
        <f>IF(OR($C61="",$B$2="",$D$2=0),0,IF(AL$3&lt;0,0,N(INDEX('CURVA PREVISION'!$A$1:$KZ$3000,$C61,11+3*MIN(AL$3,$D$2-1)))))</f>
        <v/>
      </c>
      <c r="AM61" s="122">
        <f>IF(OR($C61="",$B$2="",$D$2=0),0,IF(AM$3&lt;0,0,N(INDEX('CURVA PREVISION'!$A$1:$KZ$3000,$C61,11+3*MIN(AM$3,$D$2-1)))))</f>
        <v/>
      </c>
      <c r="AN61" s="122">
        <f>IF(OR($C61="",$B$2="",$D$2=0),0,IF(AN$3&lt;0,0,N(INDEX('CURVA PREVISION'!$A$1:$KZ$3000,$C61,11+3*MIN(AN$3,$D$2-1)))))</f>
        <v/>
      </c>
      <c r="AO61" s="122">
        <f>IF(OR($C61="",$B$2="",$D$2=0),0,IF(AO$3&lt;0,0,N(INDEX('CURVA PREVISION'!$A$1:$KZ$3000,$C61,11+3*MIN(AO$3,$D$2-1)))))</f>
        <v/>
      </c>
      <c r="AP61" s="122">
        <f>IF(OR($C61="",$B$2="",$D$2=0),0,IF(AP$3&lt;0,0,N(INDEX('CURVA PREVISION'!$A$1:$KZ$3000,$C61,11+3*MIN(AP$3,$D$2-1)))))</f>
        <v/>
      </c>
      <c r="AQ61" s="122">
        <f>IF(OR($C61="",$B$2="",$D$2=0),0,IF(AQ$3&lt;0,0,N(INDEX('CURVA PREVISION'!$A$1:$KZ$3000,$C61,11+3*MIN(AQ$3,$D$2-1)))))</f>
        <v/>
      </c>
      <c r="AR61" s="122">
        <f>IF(OR($C61="",$B$2="",$D$2=0),0,IF(AR$3&lt;0,0,N(INDEX('CURVA PREVISION'!$A$1:$KZ$3000,$C61,11+3*MIN(AR$3,$D$2-1)))))</f>
        <v/>
      </c>
      <c r="AS61" s="122">
        <f>IF(OR($C61="",$B$2="",$D$2=0),0,IF(AS$3&lt;0,0,N(INDEX('CURVA PREVISION'!$A$1:$KZ$3000,$C61,11+3*MIN(AS$3,$D$2-1)))))</f>
        <v/>
      </c>
      <c r="AT61" s="122">
        <f>IF(OR($C61="",$B$2="",$D$2=0),0,IF(AT$3&lt;0,0,N(INDEX('CURVA PREVISION'!$A$1:$KZ$3000,$C61,11+3*MIN(AT$3,$D$2-1)))))</f>
        <v/>
      </c>
      <c r="AU61" s="122">
        <f>IF(OR($C61="",$B$2="",$D$2=0),0,IF(AU$3&lt;0,0,N(INDEX('CURVA PREVISION'!$A$1:$KZ$3000,$C61,11+3*MIN(AU$3,$D$2-1)))))</f>
        <v/>
      </c>
      <c r="AV61" s="122">
        <f>IF(OR($C61="",$B$2="",$D$2=0),0,IF(AV$3&lt;0,0,N(INDEX('CURVA PREVISION'!$A$1:$KZ$3000,$C61,11+3*MIN(AV$3,$D$2-1)))))</f>
        <v/>
      </c>
      <c r="AW61" s="122">
        <f>IF(OR($C61="",$B$2="",$D$2=0),0,IF(AW$3&lt;0,0,N(INDEX('CURVA PREVISION'!$A$1:$KZ$3000,$C61,11+3*MIN(AW$3,$D$2-1)))))</f>
        <v/>
      </c>
      <c r="AX61" s="122">
        <f>IF(OR($C61="",$B$2="",$D$2=0),0,IF(AX$3&lt;0,0,N(INDEX('CURVA PREVISION'!$A$1:$KZ$3000,$C61,11+3*MIN(AX$3,$D$2-1)))))</f>
        <v/>
      </c>
      <c r="AY61" s="122">
        <f>IF(OR($C61="",$B$2="",$D$2=0),0,IF(AY$3&lt;0,0,N(INDEX('CURVA PREVISION'!$A$1:$KZ$3000,$C61,11+3*MIN(AY$3,$D$2-1)))))</f>
        <v/>
      </c>
      <c r="AZ61" s="122">
        <f>IF(OR($C61="",$B$2="",$D$2=0),0,IF(AZ$3&lt;0,0,N(INDEX('CURVA PREVISION'!$A$1:$KZ$3000,$C61,11+3*MIN(AZ$3,$D$2-1)))))</f>
        <v/>
      </c>
      <c r="BA61" s="122">
        <f>IF(OR($C61="",$B$2="",$D$2=0),0,IF(BA$3&lt;0,0,N(INDEX('CURVA PREVISION'!$A$1:$KZ$3000,$C61,11+3*MIN(BA$3,$D$2-1)))))</f>
        <v/>
      </c>
      <c r="BB61" s="122">
        <f>IF(OR($C61="",$B$2="",$D$2=0),0,IF(BB$3&lt;0,0,N(INDEX('CURVA PREVISION'!$A$1:$KZ$3000,$C61,11+3*MIN(BB$3,$D$2-1)))))</f>
        <v/>
      </c>
      <c r="BC61" s="122">
        <f>IF(OR($C61="",$B$2="",$D$2=0),0,IF(BC$3&lt;0,0,N(INDEX('CURVA PREVISION'!$A$1:$KZ$3000,$C61,11+3*MIN(BC$3,$D$2-1)))))</f>
        <v/>
      </c>
      <c r="BD61" s="122">
        <f>IF(OR($C61="",$B$2="",$D$2=0),0,IF(BD$3&lt;0,0,N(INDEX('CURVA PREVISION'!$A$1:$KZ$3000,$C61,11+3*MIN(BD$3,$D$2-1)))))</f>
        <v/>
      </c>
      <c r="BE61" s="122">
        <f>IF(OR($C61="",$B$2="",$D$2=0),0,IF(BE$3&lt;0,0,N(INDEX('CURVA PREVISION'!$A$1:$KZ$3000,$C61,11+3*MIN(BE$3,$D$2-1)))))</f>
        <v/>
      </c>
      <c r="BF61" s="122">
        <f>IF(OR($C61="",$B$2="",$D$2=0),0,IF(BF$3&lt;0,0,N(INDEX('CURVA PREVISION'!$A$1:$KZ$3000,$C61,11+3*MIN(BF$3,$D$2-1)))))</f>
        <v/>
      </c>
      <c r="BG61" s="122">
        <f>IF(OR($C61="",$B$2="",$D$2=0),0,IF(BG$3&lt;0,0,N(INDEX('CURVA PREVISION'!$A$1:$KZ$3000,$C61,11+3*MIN(BG$3,$D$2-1)))))</f>
        <v/>
      </c>
      <c r="BH61" s="122">
        <f>IF(OR($C61="",$B$2="",$D$2=0),0,IF(BH$3&lt;0,0,N(INDEX('CURVA PREVISION'!$A$1:$KZ$3000,$C61,11+3*MIN(BH$3,$D$2-1)))))</f>
        <v/>
      </c>
      <c r="BI61" s="122">
        <f>IF(OR($C61="",$B$2="",$D$2=0),0,IF(BI$3&lt;0,0,N(INDEX('CURVA PREVISION'!$A$1:$KZ$3000,$C61,11+3*MIN(BI$3,$D$2-1)))))</f>
        <v/>
      </c>
      <c r="BJ61" s="122">
        <f>IF(OR($C61="",$B$2="",$D$2=0),0,IF(BJ$3&lt;0,0,N(INDEX('CURVA PREVISION'!$A$1:$KZ$3000,$C61,11+3*MIN(BJ$3,$D$2-1)))))</f>
        <v/>
      </c>
      <c r="BK61" s="122">
        <f>IF(OR($C61="",$B$2="",$D$2=0),0,IF(BK$3&lt;0,0,N(INDEX('CURVA PREVISION'!$A$1:$KZ$3000,$C61,11+3*MIN(BK$3,$D$2-1)))))</f>
        <v/>
      </c>
      <c r="BL61" s="122">
        <f>IF(OR($C61="",$B$2="",$D$2=0),0,IF(BL$3&lt;0,0,N(INDEX('CURVA PREVISION'!$A$1:$KZ$3000,$C61,11+3*MIN(BL$3,$D$2-1)))))</f>
        <v/>
      </c>
      <c r="BM61" s="122">
        <f>IF(OR($C61="",$B$2="",$D$2=0),0,IF(BM$3&lt;0,0,N(INDEX('CURVA PREVISION'!$A$1:$KZ$3000,$C61,11+3*MIN(BM$3,$D$2-1)))))</f>
        <v/>
      </c>
      <c r="BN61" s="122">
        <f>IF(OR($C61="",$B$2="",$D$2=0),0,IF(BN$3&lt;0,0,N(INDEX('CURVA PREVISION'!$A$1:$KZ$3000,$C61,11+3*MIN(BN$3,$D$2-1)))))</f>
        <v/>
      </c>
      <c r="BO61" s="122">
        <f>IF(OR($C61="",$B$2="",$D$2=0),0,IF(BO$3&lt;0,0,N(INDEX('CURVA PREVISION'!$A$1:$KZ$3000,$C61,11+3*MIN(BO$3,$D$2-1)))))</f>
        <v/>
      </c>
      <c r="BP61" s="122">
        <f>IF(OR($C61="",$B$2="",$D$2=0),0,IF(BP$3&lt;0,0,N(INDEX('CURVA PREVISION'!$A$1:$KZ$3000,$C61,11+3*MIN(BP$3,$D$2-1)))))</f>
        <v/>
      </c>
      <c r="BQ61" s="122">
        <f>IF(OR($C61="",$B$2="",$D$2=0),0,IF(BQ$3&lt;0,0,N(INDEX('CURVA PREVISION'!$A$1:$KZ$3000,$C61,11+3*MIN(BQ$3,$D$2-1)))))</f>
        <v/>
      </c>
      <c r="BR61" s="122">
        <f>IF(OR($C61="",$B$2="",$D$2=0),0,IF(BR$3&lt;0,0,N(INDEX('CURVA PREVISION'!$A$1:$KZ$3000,$C61,11+3*MIN(BR$3,$D$2-1)))))</f>
        <v/>
      </c>
      <c r="BS61" s="122">
        <f>IF(OR($C61="",$B$2="",$D$2=0),0,IF(BS$3&lt;0,0,N(INDEX('CURVA PREVISION'!$A$1:$KZ$3000,$C61,11+3*MIN(BS$3,$D$2-1)))))</f>
        <v/>
      </c>
      <c r="BT61" s="122">
        <f>IF(OR($C61="",$B$2="",$D$2=0),0,IF(BT$3&lt;0,0,N(INDEX('CURVA PREVISION'!$A$1:$KZ$3000,$C61,11+3*MIN(BT$3,$D$2-1)))))</f>
        <v/>
      </c>
      <c r="BU61" s="122">
        <f>IF(OR($C61="",$B$2="",$D$2=0),0,IF(BU$3&lt;0,0,N(INDEX('CURVA PREVISION'!$A$1:$KZ$3000,$C61,11+3*MIN(BU$3,$D$2-1)))))</f>
        <v/>
      </c>
      <c r="BV61" s="122">
        <f>IF(OR($C61="",$B$2="",$D$2=0),0,IF(BV$3&lt;0,0,N(INDEX('CURVA PREVISION'!$A$1:$KZ$3000,$C61,11+3*MIN(BV$3,$D$2-1)))))</f>
        <v/>
      </c>
      <c r="BW61" s="122">
        <f>IF(OR($C61="",$B$2="",$D$2=0),0,IF(BW$3&lt;0,0,N(INDEX('CURVA PREVISION'!$A$1:$KZ$3000,$C61,11+3*MIN(BW$3,$D$2-1)))))</f>
        <v/>
      </c>
    </row>
    <row r="62">
      <c r="A62" s="51">
        <f>A20</f>
        <v/>
      </c>
      <c r="B62" s="51">
        <f>B20</f>
        <v/>
      </c>
      <c r="C62" s="68">
        <f>C20</f>
        <v/>
      </c>
      <c r="D62" s="122">
        <f>IF(OR($C62="",$B$2="",$D$2=0),0,IF(D$3&lt;0,0,N(INDEX('CURVA PREVISION'!$A$1:$KZ$3000,$C62,11+3*MIN(D$3,$D$2-1)))))</f>
        <v/>
      </c>
      <c r="E62" s="122">
        <f>IF(OR($C62="",$B$2="",$D$2=0),0,IF(E$3&lt;0,0,N(INDEX('CURVA PREVISION'!$A$1:$KZ$3000,$C62,11+3*MIN(E$3,$D$2-1)))))</f>
        <v/>
      </c>
      <c r="F62" s="122">
        <f>IF(OR($C62="",$B$2="",$D$2=0),0,IF(F$3&lt;0,0,N(INDEX('CURVA PREVISION'!$A$1:$KZ$3000,$C62,11+3*MIN(F$3,$D$2-1)))))</f>
        <v/>
      </c>
      <c r="G62" s="122">
        <f>IF(OR($C62="",$B$2="",$D$2=0),0,IF(G$3&lt;0,0,N(INDEX('CURVA PREVISION'!$A$1:$KZ$3000,$C62,11+3*MIN(G$3,$D$2-1)))))</f>
        <v/>
      </c>
      <c r="H62" s="122">
        <f>IF(OR($C62="",$B$2="",$D$2=0),0,IF(H$3&lt;0,0,N(INDEX('CURVA PREVISION'!$A$1:$KZ$3000,$C62,11+3*MIN(H$3,$D$2-1)))))</f>
        <v/>
      </c>
      <c r="I62" s="122">
        <f>IF(OR($C62="",$B$2="",$D$2=0),0,IF(I$3&lt;0,0,N(INDEX('CURVA PREVISION'!$A$1:$KZ$3000,$C62,11+3*MIN(I$3,$D$2-1)))))</f>
        <v/>
      </c>
      <c r="J62" s="122">
        <f>IF(OR($C62="",$B$2="",$D$2=0),0,IF(J$3&lt;0,0,N(INDEX('CURVA PREVISION'!$A$1:$KZ$3000,$C62,11+3*MIN(J$3,$D$2-1)))))</f>
        <v/>
      </c>
      <c r="K62" s="122">
        <f>IF(OR($C62="",$B$2="",$D$2=0),0,IF(K$3&lt;0,0,N(INDEX('CURVA PREVISION'!$A$1:$KZ$3000,$C62,11+3*MIN(K$3,$D$2-1)))))</f>
        <v/>
      </c>
      <c r="L62" s="122">
        <f>IF(OR($C62="",$B$2="",$D$2=0),0,IF(L$3&lt;0,0,N(INDEX('CURVA PREVISION'!$A$1:$KZ$3000,$C62,11+3*MIN(L$3,$D$2-1)))))</f>
        <v/>
      </c>
      <c r="M62" s="122">
        <f>IF(OR($C62="",$B$2="",$D$2=0),0,IF(M$3&lt;0,0,N(INDEX('CURVA PREVISION'!$A$1:$KZ$3000,$C62,11+3*MIN(M$3,$D$2-1)))))</f>
        <v/>
      </c>
      <c r="N62" s="122">
        <f>IF(OR($C62="",$B$2="",$D$2=0),0,IF(N$3&lt;0,0,N(INDEX('CURVA PREVISION'!$A$1:$KZ$3000,$C62,11+3*MIN(N$3,$D$2-1)))))</f>
        <v/>
      </c>
      <c r="O62" s="122">
        <f>IF(OR($C62="",$B$2="",$D$2=0),0,IF(O$3&lt;0,0,N(INDEX('CURVA PREVISION'!$A$1:$KZ$3000,$C62,11+3*MIN(O$3,$D$2-1)))))</f>
        <v/>
      </c>
      <c r="P62" s="122">
        <f>IF(OR($C62="",$B$2="",$D$2=0),0,IF(P$3&lt;0,0,N(INDEX('CURVA PREVISION'!$A$1:$KZ$3000,$C62,11+3*MIN(P$3,$D$2-1)))))</f>
        <v/>
      </c>
      <c r="Q62" s="122">
        <f>IF(OR($C62="",$B$2="",$D$2=0),0,IF(Q$3&lt;0,0,N(INDEX('CURVA PREVISION'!$A$1:$KZ$3000,$C62,11+3*MIN(Q$3,$D$2-1)))))</f>
        <v/>
      </c>
      <c r="R62" s="122">
        <f>IF(OR($C62="",$B$2="",$D$2=0),0,IF(R$3&lt;0,0,N(INDEX('CURVA PREVISION'!$A$1:$KZ$3000,$C62,11+3*MIN(R$3,$D$2-1)))))</f>
        <v/>
      </c>
      <c r="S62" s="122">
        <f>IF(OR($C62="",$B$2="",$D$2=0),0,IF(S$3&lt;0,0,N(INDEX('CURVA PREVISION'!$A$1:$KZ$3000,$C62,11+3*MIN(S$3,$D$2-1)))))</f>
        <v/>
      </c>
      <c r="T62" s="122">
        <f>IF(OR($C62="",$B$2="",$D$2=0),0,IF(T$3&lt;0,0,N(INDEX('CURVA PREVISION'!$A$1:$KZ$3000,$C62,11+3*MIN(T$3,$D$2-1)))))</f>
        <v/>
      </c>
      <c r="U62" s="122">
        <f>IF(OR($C62="",$B$2="",$D$2=0),0,IF(U$3&lt;0,0,N(INDEX('CURVA PREVISION'!$A$1:$KZ$3000,$C62,11+3*MIN(U$3,$D$2-1)))))</f>
        <v/>
      </c>
      <c r="V62" s="122">
        <f>IF(OR($C62="",$B$2="",$D$2=0),0,IF(V$3&lt;0,0,N(INDEX('CURVA PREVISION'!$A$1:$KZ$3000,$C62,11+3*MIN(V$3,$D$2-1)))))</f>
        <v/>
      </c>
      <c r="W62" s="122">
        <f>IF(OR($C62="",$B$2="",$D$2=0),0,IF(W$3&lt;0,0,N(INDEX('CURVA PREVISION'!$A$1:$KZ$3000,$C62,11+3*MIN(W$3,$D$2-1)))))</f>
        <v/>
      </c>
      <c r="X62" s="122">
        <f>IF(OR($C62="",$B$2="",$D$2=0),0,IF(X$3&lt;0,0,N(INDEX('CURVA PREVISION'!$A$1:$KZ$3000,$C62,11+3*MIN(X$3,$D$2-1)))))</f>
        <v/>
      </c>
      <c r="Y62" s="122">
        <f>IF(OR($C62="",$B$2="",$D$2=0),0,IF(Y$3&lt;0,0,N(INDEX('CURVA PREVISION'!$A$1:$KZ$3000,$C62,11+3*MIN(Y$3,$D$2-1)))))</f>
        <v/>
      </c>
      <c r="Z62" s="122">
        <f>IF(OR($C62="",$B$2="",$D$2=0),0,IF(Z$3&lt;0,0,N(INDEX('CURVA PREVISION'!$A$1:$KZ$3000,$C62,11+3*MIN(Z$3,$D$2-1)))))</f>
        <v/>
      </c>
      <c r="AA62" s="122">
        <f>IF(OR($C62="",$B$2="",$D$2=0),0,IF(AA$3&lt;0,0,N(INDEX('CURVA PREVISION'!$A$1:$KZ$3000,$C62,11+3*MIN(AA$3,$D$2-1)))))</f>
        <v/>
      </c>
      <c r="AB62" s="122">
        <f>IF(OR($C62="",$B$2="",$D$2=0),0,IF(AB$3&lt;0,0,N(INDEX('CURVA PREVISION'!$A$1:$KZ$3000,$C62,11+3*MIN(AB$3,$D$2-1)))))</f>
        <v/>
      </c>
      <c r="AC62" s="122">
        <f>IF(OR($C62="",$B$2="",$D$2=0),0,IF(AC$3&lt;0,0,N(INDEX('CURVA PREVISION'!$A$1:$KZ$3000,$C62,11+3*MIN(AC$3,$D$2-1)))))</f>
        <v/>
      </c>
      <c r="AD62" s="122">
        <f>IF(OR($C62="",$B$2="",$D$2=0),0,IF(AD$3&lt;0,0,N(INDEX('CURVA PREVISION'!$A$1:$KZ$3000,$C62,11+3*MIN(AD$3,$D$2-1)))))</f>
        <v/>
      </c>
      <c r="AE62" s="122">
        <f>IF(OR($C62="",$B$2="",$D$2=0),0,IF(AE$3&lt;0,0,N(INDEX('CURVA PREVISION'!$A$1:$KZ$3000,$C62,11+3*MIN(AE$3,$D$2-1)))))</f>
        <v/>
      </c>
      <c r="AF62" s="122">
        <f>IF(OR($C62="",$B$2="",$D$2=0),0,IF(AF$3&lt;0,0,N(INDEX('CURVA PREVISION'!$A$1:$KZ$3000,$C62,11+3*MIN(AF$3,$D$2-1)))))</f>
        <v/>
      </c>
      <c r="AG62" s="122">
        <f>IF(OR($C62="",$B$2="",$D$2=0),0,IF(AG$3&lt;0,0,N(INDEX('CURVA PREVISION'!$A$1:$KZ$3000,$C62,11+3*MIN(AG$3,$D$2-1)))))</f>
        <v/>
      </c>
      <c r="AH62" s="122">
        <f>IF(OR($C62="",$B$2="",$D$2=0),0,IF(AH$3&lt;0,0,N(INDEX('CURVA PREVISION'!$A$1:$KZ$3000,$C62,11+3*MIN(AH$3,$D$2-1)))))</f>
        <v/>
      </c>
      <c r="AI62" s="122">
        <f>IF(OR($C62="",$B$2="",$D$2=0),0,IF(AI$3&lt;0,0,N(INDEX('CURVA PREVISION'!$A$1:$KZ$3000,$C62,11+3*MIN(AI$3,$D$2-1)))))</f>
        <v/>
      </c>
      <c r="AJ62" s="122">
        <f>IF(OR($C62="",$B$2="",$D$2=0),0,IF(AJ$3&lt;0,0,N(INDEX('CURVA PREVISION'!$A$1:$KZ$3000,$C62,11+3*MIN(AJ$3,$D$2-1)))))</f>
        <v/>
      </c>
      <c r="AK62" s="122">
        <f>IF(OR($C62="",$B$2="",$D$2=0),0,IF(AK$3&lt;0,0,N(INDEX('CURVA PREVISION'!$A$1:$KZ$3000,$C62,11+3*MIN(AK$3,$D$2-1)))))</f>
        <v/>
      </c>
      <c r="AL62" s="122">
        <f>IF(OR($C62="",$B$2="",$D$2=0),0,IF(AL$3&lt;0,0,N(INDEX('CURVA PREVISION'!$A$1:$KZ$3000,$C62,11+3*MIN(AL$3,$D$2-1)))))</f>
        <v/>
      </c>
      <c r="AM62" s="122">
        <f>IF(OR($C62="",$B$2="",$D$2=0),0,IF(AM$3&lt;0,0,N(INDEX('CURVA PREVISION'!$A$1:$KZ$3000,$C62,11+3*MIN(AM$3,$D$2-1)))))</f>
        <v/>
      </c>
      <c r="AN62" s="122">
        <f>IF(OR($C62="",$B$2="",$D$2=0),0,IF(AN$3&lt;0,0,N(INDEX('CURVA PREVISION'!$A$1:$KZ$3000,$C62,11+3*MIN(AN$3,$D$2-1)))))</f>
        <v/>
      </c>
      <c r="AO62" s="122">
        <f>IF(OR($C62="",$B$2="",$D$2=0),0,IF(AO$3&lt;0,0,N(INDEX('CURVA PREVISION'!$A$1:$KZ$3000,$C62,11+3*MIN(AO$3,$D$2-1)))))</f>
        <v/>
      </c>
      <c r="AP62" s="122">
        <f>IF(OR($C62="",$B$2="",$D$2=0),0,IF(AP$3&lt;0,0,N(INDEX('CURVA PREVISION'!$A$1:$KZ$3000,$C62,11+3*MIN(AP$3,$D$2-1)))))</f>
        <v/>
      </c>
      <c r="AQ62" s="122">
        <f>IF(OR($C62="",$B$2="",$D$2=0),0,IF(AQ$3&lt;0,0,N(INDEX('CURVA PREVISION'!$A$1:$KZ$3000,$C62,11+3*MIN(AQ$3,$D$2-1)))))</f>
        <v/>
      </c>
      <c r="AR62" s="122">
        <f>IF(OR($C62="",$B$2="",$D$2=0),0,IF(AR$3&lt;0,0,N(INDEX('CURVA PREVISION'!$A$1:$KZ$3000,$C62,11+3*MIN(AR$3,$D$2-1)))))</f>
        <v/>
      </c>
      <c r="AS62" s="122">
        <f>IF(OR($C62="",$B$2="",$D$2=0),0,IF(AS$3&lt;0,0,N(INDEX('CURVA PREVISION'!$A$1:$KZ$3000,$C62,11+3*MIN(AS$3,$D$2-1)))))</f>
        <v/>
      </c>
      <c r="AT62" s="122">
        <f>IF(OR($C62="",$B$2="",$D$2=0),0,IF(AT$3&lt;0,0,N(INDEX('CURVA PREVISION'!$A$1:$KZ$3000,$C62,11+3*MIN(AT$3,$D$2-1)))))</f>
        <v/>
      </c>
      <c r="AU62" s="122">
        <f>IF(OR($C62="",$B$2="",$D$2=0),0,IF(AU$3&lt;0,0,N(INDEX('CURVA PREVISION'!$A$1:$KZ$3000,$C62,11+3*MIN(AU$3,$D$2-1)))))</f>
        <v/>
      </c>
      <c r="AV62" s="122">
        <f>IF(OR($C62="",$B$2="",$D$2=0),0,IF(AV$3&lt;0,0,N(INDEX('CURVA PREVISION'!$A$1:$KZ$3000,$C62,11+3*MIN(AV$3,$D$2-1)))))</f>
        <v/>
      </c>
      <c r="AW62" s="122">
        <f>IF(OR($C62="",$B$2="",$D$2=0),0,IF(AW$3&lt;0,0,N(INDEX('CURVA PREVISION'!$A$1:$KZ$3000,$C62,11+3*MIN(AW$3,$D$2-1)))))</f>
        <v/>
      </c>
      <c r="AX62" s="122">
        <f>IF(OR($C62="",$B$2="",$D$2=0),0,IF(AX$3&lt;0,0,N(INDEX('CURVA PREVISION'!$A$1:$KZ$3000,$C62,11+3*MIN(AX$3,$D$2-1)))))</f>
        <v/>
      </c>
      <c r="AY62" s="122">
        <f>IF(OR($C62="",$B$2="",$D$2=0),0,IF(AY$3&lt;0,0,N(INDEX('CURVA PREVISION'!$A$1:$KZ$3000,$C62,11+3*MIN(AY$3,$D$2-1)))))</f>
        <v/>
      </c>
      <c r="AZ62" s="122">
        <f>IF(OR($C62="",$B$2="",$D$2=0),0,IF(AZ$3&lt;0,0,N(INDEX('CURVA PREVISION'!$A$1:$KZ$3000,$C62,11+3*MIN(AZ$3,$D$2-1)))))</f>
        <v/>
      </c>
      <c r="BA62" s="122">
        <f>IF(OR($C62="",$B$2="",$D$2=0),0,IF(BA$3&lt;0,0,N(INDEX('CURVA PREVISION'!$A$1:$KZ$3000,$C62,11+3*MIN(BA$3,$D$2-1)))))</f>
        <v/>
      </c>
      <c r="BB62" s="122">
        <f>IF(OR($C62="",$B$2="",$D$2=0),0,IF(BB$3&lt;0,0,N(INDEX('CURVA PREVISION'!$A$1:$KZ$3000,$C62,11+3*MIN(BB$3,$D$2-1)))))</f>
        <v/>
      </c>
      <c r="BC62" s="122">
        <f>IF(OR($C62="",$B$2="",$D$2=0),0,IF(BC$3&lt;0,0,N(INDEX('CURVA PREVISION'!$A$1:$KZ$3000,$C62,11+3*MIN(BC$3,$D$2-1)))))</f>
        <v/>
      </c>
      <c r="BD62" s="122">
        <f>IF(OR($C62="",$B$2="",$D$2=0),0,IF(BD$3&lt;0,0,N(INDEX('CURVA PREVISION'!$A$1:$KZ$3000,$C62,11+3*MIN(BD$3,$D$2-1)))))</f>
        <v/>
      </c>
      <c r="BE62" s="122">
        <f>IF(OR($C62="",$B$2="",$D$2=0),0,IF(BE$3&lt;0,0,N(INDEX('CURVA PREVISION'!$A$1:$KZ$3000,$C62,11+3*MIN(BE$3,$D$2-1)))))</f>
        <v/>
      </c>
      <c r="BF62" s="122">
        <f>IF(OR($C62="",$B$2="",$D$2=0),0,IF(BF$3&lt;0,0,N(INDEX('CURVA PREVISION'!$A$1:$KZ$3000,$C62,11+3*MIN(BF$3,$D$2-1)))))</f>
        <v/>
      </c>
      <c r="BG62" s="122">
        <f>IF(OR($C62="",$B$2="",$D$2=0),0,IF(BG$3&lt;0,0,N(INDEX('CURVA PREVISION'!$A$1:$KZ$3000,$C62,11+3*MIN(BG$3,$D$2-1)))))</f>
        <v/>
      </c>
      <c r="BH62" s="122">
        <f>IF(OR($C62="",$B$2="",$D$2=0),0,IF(BH$3&lt;0,0,N(INDEX('CURVA PREVISION'!$A$1:$KZ$3000,$C62,11+3*MIN(BH$3,$D$2-1)))))</f>
        <v/>
      </c>
      <c r="BI62" s="122">
        <f>IF(OR($C62="",$B$2="",$D$2=0),0,IF(BI$3&lt;0,0,N(INDEX('CURVA PREVISION'!$A$1:$KZ$3000,$C62,11+3*MIN(BI$3,$D$2-1)))))</f>
        <v/>
      </c>
      <c r="BJ62" s="122">
        <f>IF(OR($C62="",$B$2="",$D$2=0),0,IF(BJ$3&lt;0,0,N(INDEX('CURVA PREVISION'!$A$1:$KZ$3000,$C62,11+3*MIN(BJ$3,$D$2-1)))))</f>
        <v/>
      </c>
      <c r="BK62" s="122">
        <f>IF(OR($C62="",$B$2="",$D$2=0),0,IF(BK$3&lt;0,0,N(INDEX('CURVA PREVISION'!$A$1:$KZ$3000,$C62,11+3*MIN(BK$3,$D$2-1)))))</f>
        <v/>
      </c>
      <c r="BL62" s="122">
        <f>IF(OR($C62="",$B$2="",$D$2=0),0,IF(BL$3&lt;0,0,N(INDEX('CURVA PREVISION'!$A$1:$KZ$3000,$C62,11+3*MIN(BL$3,$D$2-1)))))</f>
        <v/>
      </c>
      <c r="BM62" s="122">
        <f>IF(OR($C62="",$B$2="",$D$2=0),0,IF(BM$3&lt;0,0,N(INDEX('CURVA PREVISION'!$A$1:$KZ$3000,$C62,11+3*MIN(BM$3,$D$2-1)))))</f>
        <v/>
      </c>
      <c r="BN62" s="122">
        <f>IF(OR($C62="",$B$2="",$D$2=0),0,IF(BN$3&lt;0,0,N(INDEX('CURVA PREVISION'!$A$1:$KZ$3000,$C62,11+3*MIN(BN$3,$D$2-1)))))</f>
        <v/>
      </c>
      <c r="BO62" s="122">
        <f>IF(OR($C62="",$B$2="",$D$2=0),0,IF(BO$3&lt;0,0,N(INDEX('CURVA PREVISION'!$A$1:$KZ$3000,$C62,11+3*MIN(BO$3,$D$2-1)))))</f>
        <v/>
      </c>
      <c r="BP62" s="122">
        <f>IF(OR($C62="",$B$2="",$D$2=0),0,IF(BP$3&lt;0,0,N(INDEX('CURVA PREVISION'!$A$1:$KZ$3000,$C62,11+3*MIN(BP$3,$D$2-1)))))</f>
        <v/>
      </c>
      <c r="BQ62" s="122">
        <f>IF(OR($C62="",$B$2="",$D$2=0),0,IF(BQ$3&lt;0,0,N(INDEX('CURVA PREVISION'!$A$1:$KZ$3000,$C62,11+3*MIN(BQ$3,$D$2-1)))))</f>
        <v/>
      </c>
      <c r="BR62" s="122">
        <f>IF(OR($C62="",$B$2="",$D$2=0),0,IF(BR$3&lt;0,0,N(INDEX('CURVA PREVISION'!$A$1:$KZ$3000,$C62,11+3*MIN(BR$3,$D$2-1)))))</f>
        <v/>
      </c>
      <c r="BS62" s="122">
        <f>IF(OR($C62="",$B$2="",$D$2=0),0,IF(BS$3&lt;0,0,N(INDEX('CURVA PREVISION'!$A$1:$KZ$3000,$C62,11+3*MIN(BS$3,$D$2-1)))))</f>
        <v/>
      </c>
      <c r="BT62" s="122">
        <f>IF(OR($C62="",$B$2="",$D$2=0),0,IF(BT$3&lt;0,0,N(INDEX('CURVA PREVISION'!$A$1:$KZ$3000,$C62,11+3*MIN(BT$3,$D$2-1)))))</f>
        <v/>
      </c>
      <c r="BU62" s="122">
        <f>IF(OR($C62="",$B$2="",$D$2=0),0,IF(BU$3&lt;0,0,N(INDEX('CURVA PREVISION'!$A$1:$KZ$3000,$C62,11+3*MIN(BU$3,$D$2-1)))))</f>
        <v/>
      </c>
      <c r="BV62" s="122">
        <f>IF(OR($C62="",$B$2="",$D$2=0),0,IF(BV$3&lt;0,0,N(INDEX('CURVA PREVISION'!$A$1:$KZ$3000,$C62,11+3*MIN(BV$3,$D$2-1)))))</f>
        <v/>
      </c>
      <c r="BW62" s="122">
        <f>IF(OR($C62="",$B$2="",$D$2=0),0,IF(BW$3&lt;0,0,N(INDEX('CURVA PREVISION'!$A$1:$KZ$3000,$C62,11+3*MIN(BW$3,$D$2-1)))))</f>
        <v/>
      </c>
    </row>
    <row r="63">
      <c r="A63" s="51">
        <f>A21</f>
        <v/>
      </c>
      <c r="B63" s="51">
        <f>B21</f>
        <v/>
      </c>
      <c r="C63" s="68">
        <f>C21</f>
        <v/>
      </c>
      <c r="D63" s="122">
        <f>IF(OR($C63="",$B$2="",$D$2=0),0,IF(D$3&lt;0,0,N(INDEX('CURVA PREVISION'!$A$1:$KZ$3000,$C63,11+3*MIN(D$3,$D$2-1)))))</f>
        <v/>
      </c>
      <c r="E63" s="122">
        <f>IF(OR($C63="",$B$2="",$D$2=0),0,IF(E$3&lt;0,0,N(INDEX('CURVA PREVISION'!$A$1:$KZ$3000,$C63,11+3*MIN(E$3,$D$2-1)))))</f>
        <v/>
      </c>
      <c r="F63" s="122">
        <f>IF(OR($C63="",$B$2="",$D$2=0),0,IF(F$3&lt;0,0,N(INDEX('CURVA PREVISION'!$A$1:$KZ$3000,$C63,11+3*MIN(F$3,$D$2-1)))))</f>
        <v/>
      </c>
      <c r="G63" s="122">
        <f>IF(OR($C63="",$B$2="",$D$2=0),0,IF(G$3&lt;0,0,N(INDEX('CURVA PREVISION'!$A$1:$KZ$3000,$C63,11+3*MIN(G$3,$D$2-1)))))</f>
        <v/>
      </c>
      <c r="H63" s="122">
        <f>IF(OR($C63="",$B$2="",$D$2=0),0,IF(H$3&lt;0,0,N(INDEX('CURVA PREVISION'!$A$1:$KZ$3000,$C63,11+3*MIN(H$3,$D$2-1)))))</f>
        <v/>
      </c>
      <c r="I63" s="122">
        <f>IF(OR($C63="",$B$2="",$D$2=0),0,IF(I$3&lt;0,0,N(INDEX('CURVA PREVISION'!$A$1:$KZ$3000,$C63,11+3*MIN(I$3,$D$2-1)))))</f>
        <v/>
      </c>
      <c r="J63" s="122">
        <f>IF(OR($C63="",$B$2="",$D$2=0),0,IF(J$3&lt;0,0,N(INDEX('CURVA PREVISION'!$A$1:$KZ$3000,$C63,11+3*MIN(J$3,$D$2-1)))))</f>
        <v/>
      </c>
      <c r="K63" s="122">
        <f>IF(OR($C63="",$B$2="",$D$2=0),0,IF(K$3&lt;0,0,N(INDEX('CURVA PREVISION'!$A$1:$KZ$3000,$C63,11+3*MIN(K$3,$D$2-1)))))</f>
        <v/>
      </c>
      <c r="L63" s="122">
        <f>IF(OR($C63="",$B$2="",$D$2=0),0,IF(L$3&lt;0,0,N(INDEX('CURVA PREVISION'!$A$1:$KZ$3000,$C63,11+3*MIN(L$3,$D$2-1)))))</f>
        <v/>
      </c>
      <c r="M63" s="122">
        <f>IF(OR($C63="",$B$2="",$D$2=0),0,IF(M$3&lt;0,0,N(INDEX('CURVA PREVISION'!$A$1:$KZ$3000,$C63,11+3*MIN(M$3,$D$2-1)))))</f>
        <v/>
      </c>
      <c r="N63" s="122">
        <f>IF(OR($C63="",$B$2="",$D$2=0),0,IF(N$3&lt;0,0,N(INDEX('CURVA PREVISION'!$A$1:$KZ$3000,$C63,11+3*MIN(N$3,$D$2-1)))))</f>
        <v/>
      </c>
      <c r="O63" s="122">
        <f>IF(OR($C63="",$B$2="",$D$2=0),0,IF(O$3&lt;0,0,N(INDEX('CURVA PREVISION'!$A$1:$KZ$3000,$C63,11+3*MIN(O$3,$D$2-1)))))</f>
        <v/>
      </c>
      <c r="P63" s="122">
        <f>IF(OR($C63="",$B$2="",$D$2=0),0,IF(P$3&lt;0,0,N(INDEX('CURVA PREVISION'!$A$1:$KZ$3000,$C63,11+3*MIN(P$3,$D$2-1)))))</f>
        <v/>
      </c>
      <c r="Q63" s="122">
        <f>IF(OR($C63="",$B$2="",$D$2=0),0,IF(Q$3&lt;0,0,N(INDEX('CURVA PREVISION'!$A$1:$KZ$3000,$C63,11+3*MIN(Q$3,$D$2-1)))))</f>
        <v/>
      </c>
      <c r="R63" s="122">
        <f>IF(OR($C63="",$B$2="",$D$2=0),0,IF(R$3&lt;0,0,N(INDEX('CURVA PREVISION'!$A$1:$KZ$3000,$C63,11+3*MIN(R$3,$D$2-1)))))</f>
        <v/>
      </c>
      <c r="S63" s="122">
        <f>IF(OR($C63="",$B$2="",$D$2=0),0,IF(S$3&lt;0,0,N(INDEX('CURVA PREVISION'!$A$1:$KZ$3000,$C63,11+3*MIN(S$3,$D$2-1)))))</f>
        <v/>
      </c>
      <c r="T63" s="122">
        <f>IF(OR($C63="",$B$2="",$D$2=0),0,IF(T$3&lt;0,0,N(INDEX('CURVA PREVISION'!$A$1:$KZ$3000,$C63,11+3*MIN(T$3,$D$2-1)))))</f>
        <v/>
      </c>
      <c r="U63" s="122">
        <f>IF(OR($C63="",$B$2="",$D$2=0),0,IF(U$3&lt;0,0,N(INDEX('CURVA PREVISION'!$A$1:$KZ$3000,$C63,11+3*MIN(U$3,$D$2-1)))))</f>
        <v/>
      </c>
      <c r="V63" s="122">
        <f>IF(OR($C63="",$B$2="",$D$2=0),0,IF(V$3&lt;0,0,N(INDEX('CURVA PREVISION'!$A$1:$KZ$3000,$C63,11+3*MIN(V$3,$D$2-1)))))</f>
        <v/>
      </c>
      <c r="W63" s="122">
        <f>IF(OR($C63="",$B$2="",$D$2=0),0,IF(W$3&lt;0,0,N(INDEX('CURVA PREVISION'!$A$1:$KZ$3000,$C63,11+3*MIN(W$3,$D$2-1)))))</f>
        <v/>
      </c>
      <c r="X63" s="122">
        <f>IF(OR($C63="",$B$2="",$D$2=0),0,IF(X$3&lt;0,0,N(INDEX('CURVA PREVISION'!$A$1:$KZ$3000,$C63,11+3*MIN(X$3,$D$2-1)))))</f>
        <v/>
      </c>
      <c r="Y63" s="122">
        <f>IF(OR($C63="",$B$2="",$D$2=0),0,IF(Y$3&lt;0,0,N(INDEX('CURVA PREVISION'!$A$1:$KZ$3000,$C63,11+3*MIN(Y$3,$D$2-1)))))</f>
        <v/>
      </c>
      <c r="Z63" s="122">
        <f>IF(OR($C63="",$B$2="",$D$2=0),0,IF(Z$3&lt;0,0,N(INDEX('CURVA PREVISION'!$A$1:$KZ$3000,$C63,11+3*MIN(Z$3,$D$2-1)))))</f>
        <v/>
      </c>
      <c r="AA63" s="122">
        <f>IF(OR($C63="",$B$2="",$D$2=0),0,IF(AA$3&lt;0,0,N(INDEX('CURVA PREVISION'!$A$1:$KZ$3000,$C63,11+3*MIN(AA$3,$D$2-1)))))</f>
        <v/>
      </c>
      <c r="AB63" s="122">
        <f>IF(OR($C63="",$B$2="",$D$2=0),0,IF(AB$3&lt;0,0,N(INDEX('CURVA PREVISION'!$A$1:$KZ$3000,$C63,11+3*MIN(AB$3,$D$2-1)))))</f>
        <v/>
      </c>
      <c r="AC63" s="122">
        <f>IF(OR($C63="",$B$2="",$D$2=0),0,IF(AC$3&lt;0,0,N(INDEX('CURVA PREVISION'!$A$1:$KZ$3000,$C63,11+3*MIN(AC$3,$D$2-1)))))</f>
        <v/>
      </c>
      <c r="AD63" s="122">
        <f>IF(OR($C63="",$B$2="",$D$2=0),0,IF(AD$3&lt;0,0,N(INDEX('CURVA PREVISION'!$A$1:$KZ$3000,$C63,11+3*MIN(AD$3,$D$2-1)))))</f>
        <v/>
      </c>
      <c r="AE63" s="122">
        <f>IF(OR($C63="",$B$2="",$D$2=0),0,IF(AE$3&lt;0,0,N(INDEX('CURVA PREVISION'!$A$1:$KZ$3000,$C63,11+3*MIN(AE$3,$D$2-1)))))</f>
        <v/>
      </c>
      <c r="AF63" s="122">
        <f>IF(OR($C63="",$B$2="",$D$2=0),0,IF(AF$3&lt;0,0,N(INDEX('CURVA PREVISION'!$A$1:$KZ$3000,$C63,11+3*MIN(AF$3,$D$2-1)))))</f>
        <v/>
      </c>
      <c r="AG63" s="122">
        <f>IF(OR($C63="",$B$2="",$D$2=0),0,IF(AG$3&lt;0,0,N(INDEX('CURVA PREVISION'!$A$1:$KZ$3000,$C63,11+3*MIN(AG$3,$D$2-1)))))</f>
        <v/>
      </c>
      <c r="AH63" s="122">
        <f>IF(OR($C63="",$B$2="",$D$2=0),0,IF(AH$3&lt;0,0,N(INDEX('CURVA PREVISION'!$A$1:$KZ$3000,$C63,11+3*MIN(AH$3,$D$2-1)))))</f>
        <v/>
      </c>
      <c r="AI63" s="122">
        <f>IF(OR($C63="",$B$2="",$D$2=0),0,IF(AI$3&lt;0,0,N(INDEX('CURVA PREVISION'!$A$1:$KZ$3000,$C63,11+3*MIN(AI$3,$D$2-1)))))</f>
        <v/>
      </c>
      <c r="AJ63" s="122">
        <f>IF(OR($C63="",$B$2="",$D$2=0),0,IF(AJ$3&lt;0,0,N(INDEX('CURVA PREVISION'!$A$1:$KZ$3000,$C63,11+3*MIN(AJ$3,$D$2-1)))))</f>
        <v/>
      </c>
      <c r="AK63" s="122">
        <f>IF(OR($C63="",$B$2="",$D$2=0),0,IF(AK$3&lt;0,0,N(INDEX('CURVA PREVISION'!$A$1:$KZ$3000,$C63,11+3*MIN(AK$3,$D$2-1)))))</f>
        <v/>
      </c>
      <c r="AL63" s="122">
        <f>IF(OR($C63="",$B$2="",$D$2=0),0,IF(AL$3&lt;0,0,N(INDEX('CURVA PREVISION'!$A$1:$KZ$3000,$C63,11+3*MIN(AL$3,$D$2-1)))))</f>
        <v/>
      </c>
      <c r="AM63" s="122">
        <f>IF(OR($C63="",$B$2="",$D$2=0),0,IF(AM$3&lt;0,0,N(INDEX('CURVA PREVISION'!$A$1:$KZ$3000,$C63,11+3*MIN(AM$3,$D$2-1)))))</f>
        <v/>
      </c>
      <c r="AN63" s="122">
        <f>IF(OR($C63="",$B$2="",$D$2=0),0,IF(AN$3&lt;0,0,N(INDEX('CURVA PREVISION'!$A$1:$KZ$3000,$C63,11+3*MIN(AN$3,$D$2-1)))))</f>
        <v/>
      </c>
      <c r="AO63" s="122">
        <f>IF(OR($C63="",$B$2="",$D$2=0),0,IF(AO$3&lt;0,0,N(INDEX('CURVA PREVISION'!$A$1:$KZ$3000,$C63,11+3*MIN(AO$3,$D$2-1)))))</f>
        <v/>
      </c>
      <c r="AP63" s="122">
        <f>IF(OR($C63="",$B$2="",$D$2=0),0,IF(AP$3&lt;0,0,N(INDEX('CURVA PREVISION'!$A$1:$KZ$3000,$C63,11+3*MIN(AP$3,$D$2-1)))))</f>
        <v/>
      </c>
      <c r="AQ63" s="122">
        <f>IF(OR($C63="",$B$2="",$D$2=0),0,IF(AQ$3&lt;0,0,N(INDEX('CURVA PREVISION'!$A$1:$KZ$3000,$C63,11+3*MIN(AQ$3,$D$2-1)))))</f>
        <v/>
      </c>
      <c r="AR63" s="122">
        <f>IF(OR($C63="",$B$2="",$D$2=0),0,IF(AR$3&lt;0,0,N(INDEX('CURVA PREVISION'!$A$1:$KZ$3000,$C63,11+3*MIN(AR$3,$D$2-1)))))</f>
        <v/>
      </c>
      <c r="AS63" s="122">
        <f>IF(OR($C63="",$B$2="",$D$2=0),0,IF(AS$3&lt;0,0,N(INDEX('CURVA PREVISION'!$A$1:$KZ$3000,$C63,11+3*MIN(AS$3,$D$2-1)))))</f>
        <v/>
      </c>
      <c r="AT63" s="122">
        <f>IF(OR($C63="",$B$2="",$D$2=0),0,IF(AT$3&lt;0,0,N(INDEX('CURVA PREVISION'!$A$1:$KZ$3000,$C63,11+3*MIN(AT$3,$D$2-1)))))</f>
        <v/>
      </c>
      <c r="AU63" s="122">
        <f>IF(OR($C63="",$B$2="",$D$2=0),0,IF(AU$3&lt;0,0,N(INDEX('CURVA PREVISION'!$A$1:$KZ$3000,$C63,11+3*MIN(AU$3,$D$2-1)))))</f>
        <v/>
      </c>
      <c r="AV63" s="122">
        <f>IF(OR($C63="",$B$2="",$D$2=0),0,IF(AV$3&lt;0,0,N(INDEX('CURVA PREVISION'!$A$1:$KZ$3000,$C63,11+3*MIN(AV$3,$D$2-1)))))</f>
        <v/>
      </c>
      <c r="AW63" s="122">
        <f>IF(OR($C63="",$B$2="",$D$2=0),0,IF(AW$3&lt;0,0,N(INDEX('CURVA PREVISION'!$A$1:$KZ$3000,$C63,11+3*MIN(AW$3,$D$2-1)))))</f>
        <v/>
      </c>
      <c r="AX63" s="122">
        <f>IF(OR($C63="",$B$2="",$D$2=0),0,IF(AX$3&lt;0,0,N(INDEX('CURVA PREVISION'!$A$1:$KZ$3000,$C63,11+3*MIN(AX$3,$D$2-1)))))</f>
        <v/>
      </c>
      <c r="AY63" s="122">
        <f>IF(OR($C63="",$B$2="",$D$2=0),0,IF(AY$3&lt;0,0,N(INDEX('CURVA PREVISION'!$A$1:$KZ$3000,$C63,11+3*MIN(AY$3,$D$2-1)))))</f>
        <v/>
      </c>
      <c r="AZ63" s="122">
        <f>IF(OR($C63="",$B$2="",$D$2=0),0,IF(AZ$3&lt;0,0,N(INDEX('CURVA PREVISION'!$A$1:$KZ$3000,$C63,11+3*MIN(AZ$3,$D$2-1)))))</f>
        <v/>
      </c>
      <c r="BA63" s="122">
        <f>IF(OR($C63="",$B$2="",$D$2=0),0,IF(BA$3&lt;0,0,N(INDEX('CURVA PREVISION'!$A$1:$KZ$3000,$C63,11+3*MIN(BA$3,$D$2-1)))))</f>
        <v/>
      </c>
      <c r="BB63" s="122">
        <f>IF(OR($C63="",$B$2="",$D$2=0),0,IF(BB$3&lt;0,0,N(INDEX('CURVA PREVISION'!$A$1:$KZ$3000,$C63,11+3*MIN(BB$3,$D$2-1)))))</f>
        <v/>
      </c>
      <c r="BC63" s="122">
        <f>IF(OR($C63="",$B$2="",$D$2=0),0,IF(BC$3&lt;0,0,N(INDEX('CURVA PREVISION'!$A$1:$KZ$3000,$C63,11+3*MIN(BC$3,$D$2-1)))))</f>
        <v/>
      </c>
      <c r="BD63" s="122">
        <f>IF(OR($C63="",$B$2="",$D$2=0),0,IF(BD$3&lt;0,0,N(INDEX('CURVA PREVISION'!$A$1:$KZ$3000,$C63,11+3*MIN(BD$3,$D$2-1)))))</f>
        <v/>
      </c>
      <c r="BE63" s="122">
        <f>IF(OR($C63="",$B$2="",$D$2=0),0,IF(BE$3&lt;0,0,N(INDEX('CURVA PREVISION'!$A$1:$KZ$3000,$C63,11+3*MIN(BE$3,$D$2-1)))))</f>
        <v/>
      </c>
      <c r="BF63" s="122">
        <f>IF(OR($C63="",$B$2="",$D$2=0),0,IF(BF$3&lt;0,0,N(INDEX('CURVA PREVISION'!$A$1:$KZ$3000,$C63,11+3*MIN(BF$3,$D$2-1)))))</f>
        <v/>
      </c>
      <c r="BG63" s="122">
        <f>IF(OR($C63="",$B$2="",$D$2=0),0,IF(BG$3&lt;0,0,N(INDEX('CURVA PREVISION'!$A$1:$KZ$3000,$C63,11+3*MIN(BG$3,$D$2-1)))))</f>
        <v/>
      </c>
      <c r="BH63" s="122">
        <f>IF(OR($C63="",$B$2="",$D$2=0),0,IF(BH$3&lt;0,0,N(INDEX('CURVA PREVISION'!$A$1:$KZ$3000,$C63,11+3*MIN(BH$3,$D$2-1)))))</f>
        <v/>
      </c>
      <c r="BI63" s="122">
        <f>IF(OR($C63="",$B$2="",$D$2=0),0,IF(BI$3&lt;0,0,N(INDEX('CURVA PREVISION'!$A$1:$KZ$3000,$C63,11+3*MIN(BI$3,$D$2-1)))))</f>
        <v/>
      </c>
      <c r="BJ63" s="122">
        <f>IF(OR($C63="",$B$2="",$D$2=0),0,IF(BJ$3&lt;0,0,N(INDEX('CURVA PREVISION'!$A$1:$KZ$3000,$C63,11+3*MIN(BJ$3,$D$2-1)))))</f>
        <v/>
      </c>
      <c r="BK63" s="122">
        <f>IF(OR($C63="",$B$2="",$D$2=0),0,IF(BK$3&lt;0,0,N(INDEX('CURVA PREVISION'!$A$1:$KZ$3000,$C63,11+3*MIN(BK$3,$D$2-1)))))</f>
        <v/>
      </c>
      <c r="BL63" s="122">
        <f>IF(OR($C63="",$B$2="",$D$2=0),0,IF(BL$3&lt;0,0,N(INDEX('CURVA PREVISION'!$A$1:$KZ$3000,$C63,11+3*MIN(BL$3,$D$2-1)))))</f>
        <v/>
      </c>
      <c r="BM63" s="122">
        <f>IF(OR($C63="",$B$2="",$D$2=0),0,IF(BM$3&lt;0,0,N(INDEX('CURVA PREVISION'!$A$1:$KZ$3000,$C63,11+3*MIN(BM$3,$D$2-1)))))</f>
        <v/>
      </c>
      <c r="BN63" s="122">
        <f>IF(OR($C63="",$B$2="",$D$2=0),0,IF(BN$3&lt;0,0,N(INDEX('CURVA PREVISION'!$A$1:$KZ$3000,$C63,11+3*MIN(BN$3,$D$2-1)))))</f>
        <v/>
      </c>
      <c r="BO63" s="122">
        <f>IF(OR($C63="",$B$2="",$D$2=0),0,IF(BO$3&lt;0,0,N(INDEX('CURVA PREVISION'!$A$1:$KZ$3000,$C63,11+3*MIN(BO$3,$D$2-1)))))</f>
        <v/>
      </c>
      <c r="BP63" s="122">
        <f>IF(OR($C63="",$B$2="",$D$2=0),0,IF(BP$3&lt;0,0,N(INDEX('CURVA PREVISION'!$A$1:$KZ$3000,$C63,11+3*MIN(BP$3,$D$2-1)))))</f>
        <v/>
      </c>
      <c r="BQ63" s="122">
        <f>IF(OR($C63="",$B$2="",$D$2=0),0,IF(BQ$3&lt;0,0,N(INDEX('CURVA PREVISION'!$A$1:$KZ$3000,$C63,11+3*MIN(BQ$3,$D$2-1)))))</f>
        <v/>
      </c>
      <c r="BR63" s="122">
        <f>IF(OR($C63="",$B$2="",$D$2=0),0,IF(BR$3&lt;0,0,N(INDEX('CURVA PREVISION'!$A$1:$KZ$3000,$C63,11+3*MIN(BR$3,$D$2-1)))))</f>
        <v/>
      </c>
      <c r="BS63" s="122">
        <f>IF(OR($C63="",$B$2="",$D$2=0),0,IF(BS$3&lt;0,0,N(INDEX('CURVA PREVISION'!$A$1:$KZ$3000,$C63,11+3*MIN(BS$3,$D$2-1)))))</f>
        <v/>
      </c>
      <c r="BT63" s="122">
        <f>IF(OR($C63="",$B$2="",$D$2=0),0,IF(BT$3&lt;0,0,N(INDEX('CURVA PREVISION'!$A$1:$KZ$3000,$C63,11+3*MIN(BT$3,$D$2-1)))))</f>
        <v/>
      </c>
      <c r="BU63" s="122">
        <f>IF(OR($C63="",$B$2="",$D$2=0),0,IF(BU$3&lt;0,0,N(INDEX('CURVA PREVISION'!$A$1:$KZ$3000,$C63,11+3*MIN(BU$3,$D$2-1)))))</f>
        <v/>
      </c>
      <c r="BV63" s="122">
        <f>IF(OR($C63="",$B$2="",$D$2=0),0,IF(BV$3&lt;0,0,N(INDEX('CURVA PREVISION'!$A$1:$KZ$3000,$C63,11+3*MIN(BV$3,$D$2-1)))))</f>
        <v/>
      </c>
      <c r="BW63" s="122">
        <f>IF(OR($C63="",$B$2="",$D$2=0),0,IF(BW$3&lt;0,0,N(INDEX('CURVA PREVISION'!$A$1:$KZ$3000,$C63,11+3*MIN(BW$3,$D$2-1)))))</f>
        <v/>
      </c>
    </row>
    <row r="64">
      <c r="A64" s="51">
        <f>A22</f>
        <v/>
      </c>
      <c r="B64" s="51">
        <f>B22</f>
        <v/>
      </c>
      <c r="C64" s="68">
        <f>C22</f>
        <v/>
      </c>
      <c r="D64" s="122">
        <f>IF(OR($C64="",$B$2="",$D$2=0),0,IF(D$3&lt;0,0,N(INDEX('CURVA PREVISION'!$A$1:$KZ$3000,$C64,11+3*MIN(D$3,$D$2-1)))))</f>
        <v/>
      </c>
      <c r="E64" s="122">
        <f>IF(OR($C64="",$B$2="",$D$2=0),0,IF(E$3&lt;0,0,N(INDEX('CURVA PREVISION'!$A$1:$KZ$3000,$C64,11+3*MIN(E$3,$D$2-1)))))</f>
        <v/>
      </c>
      <c r="F64" s="122">
        <f>IF(OR($C64="",$B$2="",$D$2=0),0,IF(F$3&lt;0,0,N(INDEX('CURVA PREVISION'!$A$1:$KZ$3000,$C64,11+3*MIN(F$3,$D$2-1)))))</f>
        <v/>
      </c>
      <c r="G64" s="122">
        <f>IF(OR($C64="",$B$2="",$D$2=0),0,IF(G$3&lt;0,0,N(INDEX('CURVA PREVISION'!$A$1:$KZ$3000,$C64,11+3*MIN(G$3,$D$2-1)))))</f>
        <v/>
      </c>
      <c r="H64" s="122">
        <f>IF(OR($C64="",$B$2="",$D$2=0),0,IF(H$3&lt;0,0,N(INDEX('CURVA PREVISION'!$A$1:$KZ$3000,$C64,11+3*MIN(H$3,$D$2-1)))))</f>
        <v/>
      </c>
      <c r="I64" s="122">
        <f>IF(OR($C64="",$B$2="",$D$2=0),0,IF(I$3&lt;0,0,N(INDEX('CURVA PREVISION'!$A$1:$KZ$3000,$C64,11+3*MIN(I$3,$D$2-1)))))</f>
        <v/>
      </c>
      <c r="J64" s="122">
        <f>IF(OR($C64="",$B$2="",$D$2=0),0,IF(J$3&lt;0,0,N(INDEX('CURVA PREVISION'!$A$1:$KZ$3000,$C64,11+3*MIN(J$3,$D$2-1)))))</f>
        <v/>
      </c>
      <c r="K64" s="122">
        <f>IF(OR($C64="",$B$2="",$D$2=0),0,IF(K$3&lt;0,0,N(INDEX('CURVA PREVISION'!$A$1:$KZ$3000,$C64,11+3*MIN(K$3,$D$2-1)))))</f>
        <v/>
      </c>
      <c r="L64" s="122">
        <f>IF(OR($C64="",$B$2="",$D$2=0),0,IF(L$3&lt;0,0,N(INDEX('CURVA PREVISION'!$A$1:$KZ$3000,$C64,11+3*MIN(L$3,$D$2-1)))))</f>
        <v/>
      </c>
      <c r="M64" s="122">
        <f>IF(OR($C64="",$B$2="",$D$2=0),0,IF(M$3&lt;0,0,N(INDEX('CURVA PREVISION'!$A$1:$KZ$3000,$C64,11+3*MIN(M$3,$D$2-1)))))</f>
        <v/>
      </c>
      <c r="N64" s="122">
        <f>IF(OR($C64="",$B$2="",$D$2=0),0,IF(N$3&lt;0,0,N(INDEX('CURVA PREVISION'!$A$1:$KZ$3000,$C64,11+3*MIN(N$3,$D$2-1)))))</f>
        <v/>
      </c>
      <c r="O64" s="122">
        <f>IF(OR($C64="",$B$2="",$D$2=0),0,IF(O$3&lt;0,0,N(INDEX('CURVA PREVISION'!$A$1:$KZ$3000,$C64,11+3*MIN(O$3,$D$2-1)))))</f>
        <v/>
      </c>
      <c r="P64" s="122">
        <f>IF(OR($C64="",$B$2="",$D$2=0),0,IF(P$3&lt;0,0,N(INDEX('CURVA PREVISION'!$A$1:$KZ$3000,$C64,11+3*MIN(P$3,$D$2-1)))))</f>
        <v/>
      </c>
      <c r="Q64" s="122">
        <f>IF(OR($C64="",$B$2="",$D$2=0),0,IF(Q$3&lt;0,0,N(INDEX('CURVA PREVISION'!$A$1:$KZ$3000,$C64,11+3*MIN(Q$3,$D$2-1)))))</f>
        <v/>
      </c>
      <c r="R64" s="122">
        <f>IF(OR($C64="",$B$2="",$D$2=0),0,IF(R$3&lt;0,0,N(INDEX('CURVA PREVISION'!$A$1:$KZ$3000,$C64,11+3*MIN(R$3,$D$2-1)))))</f>
        <v/>
      </c>
      <c r="S64" s="122">
        <f>IF(OR($C64="",$B$2="",$D$2=0),0,IF(S$3&lt;0,0,N(INDEX('CURVA PREVISION'!$A$1:$KZ$3000,$C64,11+3*MIN(S$3,$D$2-1)))))</f>
        <v/>
      </c>
      <c r="T64" s="122">
        <f>IF(OR($C64="",$B$2="",$D$2=0),0,IF(T$3&lt;0,0,N(INDEX('CURVA PREVISION'!$A$1:$KZ$3000,$C64,11+3*MIN(T$3,$D$2-1)))))</f>
        <v/>
      </c>
      <c r="U64" s="122">
        <f>IF(OR($C64="",$B$2="",$D$2=0),0,IF(U$3&lt;0,0,N(INDEX('CURVA PREVISION'!$A$1:$KZ$3000,$C64,11+3*MIN(U$3,$D$2-1)))))</f>
        <v/>
      </c>
      <c r="V64" s="122">
        <f>IF(OR($C64="",$B$2="",$D$2=0),0,IF(V$3&lt;0,0,N(INDEX('CURVA PREVISION'!$A$1:$KZ$3000,$C64,11+3*MIN(V$3,$D$2-1)))))</f>
        <v/>
      </c>
      <c r="W64" s="122">
        <f>IF(OR($C64="",$B$2="",$D$2=0),0,IF(W$3&lt;0,0,N(INDEX('CURVA PREVISION'!$A$1:$KZ$3000,$C64,11+3*MIN(W$3,$D$2-1)))))</f>
        <v/>
      </c>
      <c r="X64" s="122">
        <f>IF(OR($C64="",$B$2="",$D$2=0),0,IF(X$3&lt;0,0,N(INDEX('CURVA PREVISION'!$A$1:$KZ$3000,$C64,11+3*MIN(X$3,$D$2-1)))))</f>
        <v/>
      </c>
      <c r="Y64" s="122">
        <f>IF(OR($C64="",$B$2="",$D$2=0),0,IF(Y$3&lt;0,0,N(INDEX('CURVA PREVISION'!$A$1:$KZ$3000,$C64,11+3*MIN(Y$3,$D$2-1)))))</f>
        <v/>
      </c>
      <c r="Z64" s="122">
        <f>IF(OR($C64="",$B$2="",$D$2=0),0,IF(Z$3&lt;0,0,N(INDEX('CURVA PREVISION'!$A$1:$KZ$3000,$C64,11+3*MIN(Z$3,$D$2-1)))))</f>
        <v/>
      </c>
      <c r="AA64" s="122">
        <f>IF(OR($C64="",$B$2="",$D$2=0),0,IF(AA$3&lt;0,0,N(INDEX('CURVA PREVISION'!$A$1:$KZ$3000,$C64,11+3*MIN(AA$3,$D$2-1)))))</f>
        <v/>
      </c>
      <c r="AB64" s="122">
        <f>IF(OR($C64="",$B$2="",$D$2=0),0,IF(AB$3&lt;0,0,N(INDEX('CURVA PREVISION'!$A$1:$KZ$3000,$C64,11+3*MIN(AB$3,$D$2-1)))))</f>
        <v/>
      </c>
      <c r="AC64" s="122">
        <f>IF(OR($C64="",$B$2="",$D$2=0),0,IF(AC$3&lt;0,0,N(INDEX('CURVA PREVISION'!$A$1:$KZ$3000,$C64,11+3*MIN(AC$3,$D$2-1)))))</f>
        <v/>
      </c>
      <c r="AD64" s="122">
        <f>IF(OR($C64="",$B$2="",$D$2=0),0,IF(AD$3&lt;0,0,N(INDEX('CURVA PREVISION'!$A$1:$KZ$3000,$C64,11+3*MIN(AD$3,$D$2-1)))))</f>
        <v/>
      </c>
      <c r="AE64" s="122">
        <f>IF(OR($C64="",$B$2="",$D$2=0),0,IF(AE$3&lt;0,0,N(INDEX('CURVA PREVISION'!$A$1:$KZ$3000,$C64,11+3*MIN(AE$3,$D$2-1)))))</f>
        <v/>
      </c>
      <c r="AF64" s="122">
        <f>IF(OR($C64="",$B$2="",$D$2=0),0,IF(AF$3&lt;0,0,N(INDEX('CURVA PREVISION'!$A$1:$KZ$3000,$C64,11+3*MIN(AF$3,$D$2-1)))))</f>
        <v/>
      </c>
      <c r="AG64" s="122">
        <f>IF(OR($C64="",$B$2="",$D$2=0),0,IF(AG$3&lt;0,0,N(INDEX('CURVA PREVISION'!$A$1:$KZ$3000,$C64,11+3*MIN(AG$3,$D$2-1)))))</f>
        <v/>
      </c>
      <c r="AH64" s="122">
        <f>IF(OR($C64="",$B$2="",$D$2=0),0,IF(AH$3&lt;0,0,N(INDEX('CURVA PREVISION'!$A$1:$KZ$3000,$C64,11+3*MIN(AH$3,$D$2-1)))))</f>
        <v/>
      </c>
      <c r="AI64" s="122">
        <f>IF(OR($C64="",$B$2="",$D$2=0),0,IF(AI$3&lt;0,0,N(INDEX('CURVA PREVISION'!$A$1:$KZ$3000,$C64,11+3*MIN(AI$3,$D$2-1)))))</f>
        <v/>
      </c>
      <c r="AJ64" s="122">
        <f>IF(OR($C64="",$B$2="",$D$2=0),0,IF(AJ$3&lt;0,0,N(INDEX('CURVA PREVISION'!$A$1:$KZ$3000,$C64,11+3*MIN(AJ$3,$D$2-1)))))</f>
        <v/>
      </c>
      <c r="AK64" s="122">
        <f>IF(OR($C64="",$B$2="",$D$2=0),0,IF(AK$3&lt;0,0,N(INDEX('CURVA PREVISION'!$A$1:$KZ$3000,$C64,11+3*MIN(AK$3,$D$2-1)))))</f>
        <v/>
      </c>
      <c r="AL64" s="122">
        <f>IF(OR($C64="",$B$2="",$D$2=0),0,IF(AL$3&lt;0,0,N(INDEX('CURVA PREVISION'!$A$1:$KZ$3000,$C64,11+3*MIN(AL$3,$D$2-1)))))</f>
        <v/>
      </c>
      <c r="AM64" s="122">
        <f>IF(OR($C64="",$B$2="",$D$2=0),0,IF(AM$3&lt;0,0,N(INDEX('CURVA PREVISION'!$A$1:$KZ$3000,$C64,11+3*MIN(AM$3,$D$2-1)))))</f>
        <v/>
      </c>
      <c r="AN64" s="122">
        <f>IF(OR($C64="",$B$2="",$D$2=0),0,IF(AN$3&lt;0,0,N(INDEX('CURVA PREVISION'!$A$1:$KZ$3000,$C64,11+3*MIN(AN$3,$D$2-1)))))</f>
        <v/>
      </c>
      <c r="AO64" s="122">
        <f>IF(OR($C64="",$B$2="",$D$2=0),0,IF(AO$3&lt;0,0,N(INDEX('CURVA PREVISION'!$A$1:$KZ$3000,$C64,11+3*MIN(AO$3,$D$2-1)))))</f>
        <v/>
      </c>
      <c r="AP64" s="122">
        <f>IF(OR($C64="",$B$2="",$D$2=0),0,IF(AP$3&lt;0,0,N(INDEX('CURVA PREVISION'!$A$1:$KZ$3000,$C64,11+3*MIN(AP$3,$D$2-1)))))</f>
        <v/>
      </c>
      <c r="AQ64" s="122">
        <f>IF(OR($C64="",$B$2="",$D$2=0),0,IF(AQ$3&lt;0,0,N(INDEX('CURVA PREVISION'!$A$1:$KZ$3000,$C64,11+3*MIN(AQ$3,$D$2-1)))))</f>
        <v/>
      </c>
      <c r="AR64" s="122">
        <f>IF(OR($C64="",$B$2="",$D$2=0),0,IF(AR$3&lt;0,0,N(INDEX('CURVA PREVISION'!$A$1:$KZ$3000,$C64,11+3*MIN(AR$3,$D$2-1)))))</f>
        <v/>
      </c>
      <c r="AS64" s="122">
        <f>IF(OR($C64="",$B$2="",$D$2=0),0,IF(AS$3&lt;0,0,N(INDEX('CURVA PREVISION'!$A$1:$KZ$3000,$C64,11+3*MIN(AS$3,$D$2-1)))))</f>
        <v/>
      </c>
      <c r="AT64" s="122">
        <f>IF(OR($C64="",$B$2="",$D$2=0),0,IF(AT$3&lt;0,0,N(INDEX('CURVA PREVISION'!$A$1:$KZ$3000,$C64,11+3*MIN(AT$3,$D$2-1)))))</f>
        <v/>
      </c>
      <c r="AU64" s="122">
        <f>IF(OR($C64="",$B$2="",$D$2=0),0,IF(AU$3&lt;0,0,N(INDEX('CURVA PREVISION'!$A$1:$KZ$3000,$C64,11+3*MIN(AU$3,$D$2-1)))))</f>
        <v/>
      </c>
      <c r="AV64" s="122">
        <f>IF(OR($C64="",$B$2="",$D$2=0),0,IF(AV$3&lt;0,0,N(INDEX('CURVA PREVISION'!$A$1:$KZ$3000,$C64,11+3*MIN(AV$3,$D$2-1)))))</f>
        <v/>
      </c>
      <c r="AW64" s="122">
        <f>IF(OR($C64="",$B$2="",$D$2=0),0,IF(AW$3&lt;0,0,N(INDEX('CURVA PREVISION'!$A$1:$KZ$3000,$C64,11+3*MIN(AW$3,$D$2-1)))))</f>
        <v/>
      </c>
      <c r="AX64" s="122">
        <f>IF(OR($C64="",$B$2="",$D$2=0),0,IF(AX$3&lt;0,0,N(INDEX('CURVA PREVISION'!$A$1:$KZ$3000,$C64,11+3*MIN(AX$3,$D$2-1)))))</f>
        <v/>
      </c>
      <c r="AY64" s="122">
        <f>IF(OR($C64="",$B$2="",$D$2=0),0,IF(AY$3&lt;0,0,N(INDEX('CURVA PREVISION'!$A$1:$KZ$3000,$C64,11+3*MIN(AY$3,$D$2-1)))))</f>
        <v/>
      </c>
      <c r="AZ64" s="122">
        <f>IF(OR($C64="",$B$2="",$D$2=0),0,IF(AZ$3&lt;0,0,N(INDEX('CURVA PREVISION'!$A$1:$KZ$3000,$C64,11+3*MIN(AZ$3,$D$2-1)))))</f>
        <v/>
      </c>
      <c r="BA64" s="122">
        <f>IF(OR($C64="",$B$2="",$D$2=0),0,IF(BA$3&lt;0,0,N(INDEX('CURVA PREVISION'!$A$1:$KZ$3000,$C64,11+3*MIN(BA$3,$D$2-1)))))</f>
        <v/>
      </c>
      <c r="BB64" s="122">
        <f>IF(OR($C64="",$B$2="",$D$2=0),0,IF(BB$3&lt;0,0,N(INDEX('CURVA PREVISION'!$A$1:$KZ$3000,$C64,11+3*MIN(BB$3,$D$2-1)))))</f>
        <v/>
      </c>
      <c r="BC64" s="122">
        <f>IF(OR($C64="",$B$2="",$D$2=0),0,IF(BC$3&lt;0,0,N(INDEX('CURVA PREVISION'!$A$1:$KZ$3000,$C64,11+3*MIN(BC$3,$D$2-1)))))</f>
        <v/>
      </c>
      <c r="BD64" s="122">
        <f>IF(OR($C64="",$B$2="",$D$2=0),0,IF(BD$3&lt;0,0,N(INDEX('CURVA PREVISION'!$A$1:$KZ$3000,$C64,11+3*MIN(BD$3,$D$2-1)))))</f>
        <v/>
      </c>
      <c r="BE64" s="122">
        <f>IF(OR($C64="",$B$2="",$D$2=0),0,IF(BE$3&lt;0,0,N(INDEX('CURVA PREVISION'!$A$1:$KZ$3000,$C64,11+3*MIN(BE$3,$D$2-1)))))</f>
        <v/>
      </c>
      <c r="BF64" s="122">
        <f>IF(OR($C64="",$B$2="",$D$2=0),0,IF(BF$3&lt;0,0,N(INDEX('CURVA PREVISION'!$A$1:$KZ$3000,$C64,11+3*MIN(BF$3,$D$2-1)))))</f>
        <v/>
      </c>
      <c r="BG64" s="122">
        <f>IF(OR($C64="",$B$2="",$D$2=0),0,IF(BG$3&lt;0,0,N(INDEX('CURVA PREVISION'!$A$1:$KZ$3000,$C64,11+3*MIN(BG$3,$D$2-1)))))</f>
        <v/>
      </c>
      <c r="BH64" s="122">
        <f>IF(OR($C64="",$B$2="",$D$2=0),0,IF(BH$3&lt;0,0,N(INDEX('CURVA PREVISION'!$A$1:$KZ$3000,$C64,11+3*MIN(BH$3,$D$2-1)))))</f>
        <v/>
      </c>
      <c r="BI64" s="122">
        <f>IF(OR($C64="",$B$2="",$D$2=0),0,IF(BI$3&lt;0,0,N(INDEX('CURVA PREVISION'!$A$1:$KZ$3000,$C64,11+3*MIN(BI$3,$D$2-1)))))</f>
        <v/>
      </c>
      <c r="BJ64" s="122">
        <f>IF(OR($C64="",$B$2="",$D$2=0),0,IF(BJ$3&lt;0,0,N(INDEX('CURVA PREVISION'!$A$1:$KZ$3000,$C64,11+3*MIN(BJ$3,$D$2-1)))))</f>
        <v/>
      </c>
      <c r="BK64" s="122">
        <f>IF(OR($C64="",$B$2="",$D$2=0),0,IF(BK$3&lt;0,0,N(INDEX('CURVA PREVISION'!$A$1:$KZ$3000,$C64,11+3*MIN(BK$3,$D$2-1)))))</f>
        <v/>
      </c>
      <c r="BL64" s="122">
        <f>IF(OR($C64="",$B$2="",$D$2=0),0,IF(BL$3&lt;0,0,N(INDEX('CURVA PREVISION'!$A$1:$KZ$3000,$C64,11+3*MIN(BL$3,$D$2-1)))))</f>
        <v/>
      </c>
      <c r="BM64" s="122">
        <f>IF(OR($C64="",$B$2="",$D$2=0),0,IF(BM$3&lt;0,0,N(INDEX('CURVA PREVISION'!$A$1:$KZ$3000,$C64,11+3*MIN(BM$3,$D$2-1)))))</f>
        <v/>
      </c>
      <c r="BN64" s="122">
        <f>IF(OR($C64="",$B$2="",$D$2=0),0,IF(BN$3&lt;0,0,N(INDEX('CURVA PREVISION'!$A$1:$KZ$3000,$C64,11+3*MIN(BN$3,$D$2-1)))))</f>
        <v/>
      </c>
      <c r="BO64" s="122">
        <f>IF(OR($C64="",$B$2="",$D$2=0),0,IF(BO$3&lt;0,0,N(INDEX('CURVA PREVISION'!$A$1:$KZ$3000,$C64,11+3*MIN(BO$3,$D$2-1)))))</f>
        <v/>
      </c>
      <c r="BP64" s="122">
        <f>IF(OR($C64="",$B$2="",$D$2=0),0,IF(BP$3&lt;0,0,N(INDEX('CURVA PREVISION'!$A$1:$KZ$3000,$C64,11+3*MIN(BP$3,$D$2-1)))))</f>
        <v/>
      </c>
      <c r="BQ64" s="122">
        <f>IF(OR($C64="",$B$2="",$D$2=0),0,IF(BQ$3&lt;0,0,N(INDEX('CURVA PREVISION'!$A$1:$KZ$3000,$C64,11+3*MIN(BQ$3,$D$2-1)))))</f>
        <v/>
      </c>
      <c r="BR64" s="122">
        <f>IF(OR($C64="",$B$2="",$D$2=0),0,IF(BR$3&lt;0,0,N(INDEX('CURVA PREVISION'!$A$1:$KZ$3000,$C64,11+3*MIN(BR$3,$D$2-1)))))</f>
        <v/>
      </c>
      <c r="BS64" s="122">
        <f>IF(OR($C64="",$B$2="",$D$2=0),0,IF(BS$3&lt;0,0,N(INDEX('CURVA PREVISION'!$A$1:$KZ$3000,$C64,11+3*MIN(BS$3,$D$2-1)))))</f>
        <v/>
      </c>
      <c r="BT64" s="122">
        <f>IF(OR($C64="",$B$2="",$D$2=0),0,IF(BT$3&lt;0,0,N(INDEX('CURVA PREVISION'!$A$1:$KZ$3000,$C64,11+3*MIN(BT$3,$D$2-1)))))</f>
        <v/>
      </c>
      <c r="BU64" s="122">
        <f>IF(OR($C64="",$B$2="",$D$2=0),0,IF(BU$3&lt;0,0,N(INDEX('CURVA PREVISION'!$A$1:$KZ$3000,$C64,11+3*MIN(BU$3,$D$2-1)))))</f>
        <v/>
      </c>
      <c r="BV64" s="122">
        <f>IF(OR($C64="",$B$2="",$D$2=0),0,IF(BV$3&lt;0,0,N(INDEX('CURVA PREVISION'!$A$1:$KZ$3000,$C64,11+3*MIN(BV$3,$D$2-1)))))</f>
        <v/>
      </c>
      <c r="BW64" s="122">
        <f>IF(OR($C64="",$B$2="",$D$2=0),0,IF(BW$3&lt;0,0,N(INDEX('CURVA PREVISION'!$A$1:$KZ$3000,$C64,11+3*MIN(BW$3,$D$2-1)))))</f>
        <v/>
      </c>
    </row>
    <row r="65">
      <c r="A65" s="51">
        <f>A23</f>
        <v/>
      </c>
      <c r="B65" s="51">
        <f>B23</f>
        <v/>
      </c>
      <c r="C65" s="68">
        <f>C23</f>
        <v/>
      </c>
      <c r="D65" s="122">
        <f>IF(OR($C65="",$B$2="",$D$2=0),0,IF(D$3&lt;0,0,N(INDEX('CURVA PREVISION'!$A$1:$KZ$3000,$C65,11+3*MIN(D$3,$D$2-1)))))</f>
        <v/>
      </c>
      <c r="E65" s="122">
        <f>IF(OR($C65="",$B$2="",$D$2=0),0,IF(E$3&lt;0,0,N(INDEX('CURVA PREVISION'!$A$1:$KZ$3000,$C65,11+3*MIN(E$3,$D$2-1)))))</f>
        <v/>
      </c>
      <c r="F65" s="122">
        <f>IF(OR($C65="",$B$2="",$D$2=0),0,IF(F$3&lt;0,0,N(INDEX('CURVA PREVISION'!$A$1:$KZ$3000,$C65,11+3*MIN(F$3,$D$2-1)))))</f>
        <v/>
      </c>
      <c r="G65" s="122">
        <f>IF(OR($C65="",$B$2="",$D$2=0),0,IF(G$3&lt;0,0,N(INDEX('CURVA PREVISION'!$A$1:$KZ$3000,$C65,11+3*MIN(G$3,$D$2-1)))))</f>
        <v/>
      </c>
      <c r="H65" s="122">
        <f>IF(OR($C65="",$B$2="",$D$2=0),0,IF(H$3&lt;0,0,N(INDEX('CURVA PREVISION'!$A$1:$KZ$3000,$C65,11+3*MIN(H$3,$D$2-1)))))</f>
        <v/>
      </c>
      <c r="I65" s="122">
        <f>IF(OR($C65="",$B$2="",$D$2=0),0,IF(I$3&lt;0,0,N(INDEX('CURVA PREVISION'!$A$1:$KZ$3000,$C65,11+3*MIN(I$3,$D$2-1)))))</f>
        <v/>
      </c>
      <c r="J65" s="122">
        <f>IF(OR($C65="",$B$2="",$D$2=0),0,IF(J$3&lt;0,0,N(INDEX('CURVA PREVISION'!$A$1:$KZ$3000,$C65,11+3*MIN(J$3,$D$2-1)))))</f>
        <v/>
      </c>
      <c r="K65" s="122">
        <f>IF(OR($C65="",$B$2="",$D$2=0),0,IF(K$3&lt;0,0,N(INDEX('CURVA PREVISION'!$A$1:$KZ$3000,$C65,11+3*MIN(K$3,$D$2-1)))))</f>
        <v/>
      </c>
      <c r="L65" s="122">
        <f>IF(OR($C65="",$B$2="",$D$2=0),0,IF(L$3&lt;0,0,N(INDEX('CURVA PREVISION'!$A$1:$KZ$3000,$C65,11+3*MIN(L$3,$D$2-1)))))</f>
        <v/>
      </c>
      <c r="M65" s="122">
        <f>IF(OR($C65="",$B$2="",$D$2=0),0,IF(M$3&lt;0,0,N(INDEX('CURVA PREVISION'!$A$1:$KZ$3000,$C65,11+3*MIN(M$3,$D$2-1)))))</f>
        <v/>
      </c>
      <c r="N65" s="122">
        <f>IF(OR($C65="",$B$2="",$D$2=0),0,IF(N$3&lt;0,0,N(INDEX('CURVA PREVISION'!$A$1:$KZ$3000,$C65,11+3*MIN(N$3,$D$2-1)))))</f>
        <v/>
      </c>
      <c r="O65" s="122">
        <f>IF(OR($C65="",$B$2="",$D$2=0),0,IF(O$3&lt;0,0,N(INDEX('CURVA PREVISION'!$A$1:$KZ$3000,$C65,11+3*MIN(O$3,$D$2-1)))))</f>
        <v/>
      </c>
      <c r="P65" s="122">
        <f>IF(OR($C65="",$B$2="",$D$2=0),0,IF(P$3&lt;0,0,N(INDEX('CURVA PREVISION'!$A$1:$KZ$3000,$C65,11+3*MIN(P$3,$D$2-1)))))</f>
        <v/>
      </c>
      <c r="Q65" s="122">
        <f>IF(OR($C65="",$B$2="",$D$2=0),0,IF(Q$3&lt;0,0,N(INDEX('CURVA PREVISION'!$A$1:$KZ$3000,$C65,11+3*MIN(Q$3,$D$2-1)))))</f>
        <v/>
      </c>
      <c r="R65" s="122">
        <f>IF(OR($C65="",$B$2="",$D$2=0),0,IF(R$3&lt;0,0,N(INDEX('CURVA PREVISION'!$A$1:$KZ$3000,$C65,11+3*MIN(R$3,$D$2-1)))))</f>
        <v/>
      </c>
      <c r="S65" s="122">
        <f>IF(OR($C65="",$B$2="",$D$2=0),0,IF(S$3&lt;0,0,N(INDEX('CURVA PREVISION'!$A$1:$KZ$3000,$C65,11+3*MIN(S$3,$D$2-1)))))</f>
        <v/>
      </c>
      <c r="T65" s="122">
        <f>IF(OR($C65="",$B$2="",$D$2=0),0,IF(T$3&lt;0,0,N(INDEX('CURVA PREVISION'!$A$1:$KZ$3000,$C65,11+3*MIN(T$3,$D$2-1)))))</f>
        <v/>
      </c>
      <c r="U65" s="122">
        <f>IF(OR($C65="",$B$2="",$D$2=0),0,IF(U$3&lt;0,0,N(INDEX('CURVA PREVISION'!$A$1:$KZ$3000,$C65,11+3*MIN(U$3,$D$2-1)))))</f>
        <v/>
      </c>
      <c r="V65" s="122">
        <f>IF(OR($C65="",$B$2="",$D$2=0),0,IF(V$3&lt;0,0,N(INDEX('CURVA PREVISION'!$A$1:$KZ$3000,$C65,11+3*MIN(V$3,$D$2-1)))))</f>
        <v/>
      </c>
      <c r="W65" s="122">
        <f>IF(OR($C65="",$B$2="",$D$2=0),0,IF(W$3&lt;0,0,N(INDEX('CURVA PREVISION'!$A$1:$KZ$3000,$C65,11+3*MIN(W$3,$D$2-1)))))</f>
        <v/>
      </c>
      <c r="X65" s="122">
        <f>IF(OR($C65="",$B$2="",$D$2=0),0,IF(X$3&lt;0,0,N(INDEX('CURVA PREVISION'!$A$1:$KZ$3000,$C65,11+3*MIN(X$3,$D$2-1)))))</f>
        <v/>
      </c>
      <c r="Y65" s="122">
        <f>IF(OR($C65="",$B$2="",$D$2=0),0,IF(Y$3&lt;0,0,N(INDEX('CURVA PREVISION'!$A$1:$KZ$3000,$C65,11+3*MIN(Y$3,$D$2-1)))))</f>
        <v/>
      </c>
      <c r="Z65" s="122">
        <f>IF(OR($C65="",$B$2="",$D$2=0),0,IF(Z$3&lt;0,0,N(INDEX('CURVA PREVISION'!$A$1:$KZ$3000,$C65,11+3*MIN(Z$3,$D$2-1)))))</f>
        <v/>
      </c>
      <c r="AA65" s="122">
        <f>IF(OR($C65="",$B$2="",$D$2=0),0,IF(AA$3&lt;0,0,N(INDEX('CURVA PREVISION'!$A$1:$KZ$3000,$C65,11+3*MIN(AA$3,$D$2-1)))))</f>
        <v/>
      </c>
      <c r="AB65" s="122">
        <f>IF(OR($C65="",$B$2="",$D$2=0),0,IF(AB$3&lt;0,0,N(INDEX('CURVA PREVISION'!$A$1:$KZ$3000,$C65,11+3*MIN(AB$3,$D$2-1)))))</f>
        <v/>
      </c>
      <c r="AC65" s="122">
        <f>IF(OR($C65="",$B$2="",$D$2=0),0,IF(AC$3&lt;0,0,N(INDEX('CURVA PREVISION'!$A$1:$KZ$3000,$C65,11+3*MIN(AC$3,$D$2-1)))))</f>
        <v/>
      </c>
      <c r="AD65" s="122">
        <f>IF(OR($C65="",$B$2="",$D$2=0),0,IF(AD$3&lt;0,0,N(INDEX('CURVA PREVISION'!$A$1:$KZ$3000,$C65,11+3*MIN(AD$3,$D$2-1)))))</f>
        <v/>
      </c>
      <c r="AE65" s="122">
        <f>IF(OR($C65="",$B$2="",$D$2=0),0,IF(AE$3&lt;0,0,N(INDEX('CURVA PREVISION'!$A$1:$KZ$3000,$C65,11+3*MIN(AE$3,$D$2-1)))))</f>
        <v/>
      </c>
      <c r="AF65" s="122">
        <f>IF(OR($C65="",$B$2="",$D$2=0),0,IF(AF$3&lt;0,0,N(INDEX('CURVA PREVISION'!$A$1:$KZ$3000,$C65,11+3*MIN(AF$3,$D$2-1)))))</f>
        <v/>
      </c>
      <c r="AG65" s="122">
        <f>IF(OR($C65="",$B$2="",$D$2=0),0,IF(AG$3&lt;0,0,N(INDEX('CURVA PREVISION'!$A$1:$KZ$3000,$C65,11+3*MIN(AG$3,$D$2-1)))))</f>
        <v/>
      </c>
      <c r="AH65" s="122">
        <f>IF(OR($C65="",$B$2="",$D$2=0),0,IF(AH$3&lt;0,0,N(INDEX('CURVA PREVISION'!$A$1:$KZ$3000,$C65,11+3*MIN(AH$3,$D$2-1)))))</f>
        <v/>
      </c>
      <c r="AI65" s="122">
        <f>IF(OR($C65="",$B$2="",$D$2=0),0,IF(AI$3&lt;0,0,N(INDEX('CURVA PREVISION'!$A$1:$KZ$3000,$C65,11+3*MIN(AI$3,$D$2-1)))))</f>
        <v/>
      </c>
      <c r="AJ65" s="122">
        <f>IF(OR($C65="",$B$2="",$D$2=0),0,IF(AJ$3&lt;0,0,N(INDEX('CURVA PREVISION'!$A$1:$KZ$3000,$C65,11+3*MIN(AJ$3,$D$2-1)))))</f>
        <v/>
      </c>
      <c r="AK65" s="122">
        <f>IF(OR($C65="",$B$2="",$D$2=0),0,IF(AK$3&lt;0,0,N(INDEX('CURVA PREVISION'!$A$1:$KZ$3000,$C65,11+3*MIN(AK$3,$D$2-1)))))</f>
        <v/>
      </c>
      <c r="AL65" s="122">
        <f>IF(OR($C65="",$B$2="",$D$2=0),0,IF(AL$3&lt;0,0,N(INDEX('CURVA PREVISION'!$A$1:$KZ$3000,$C65,11+3*MIN(AL$3,$D$2-1)))))</f>
        <v/>
      </c>
      <c r="AM65" s="122">
        <f>IF(OR($C65="",$B$2="",$D$2=0),0,IF(AM$3&lt;0,0,N(INDEX('CURVA PREVISION'!$A$1:$KZ$3000,$C65,11+3*MIN(AM$3,$D$2-1)))))</f>
        <v/>
      </c>
      <c r="AN65" s="122">
        <f>IF(OR($C65="",$B$2="",$D$2=0),0,IF(AN$3&lt;0,0,N(INDEX('CURVA PREVISION'!$A$1:$KZ$3000,$C65,11+3*MIN(AN$3,$D$2-1)))))</f>
        <v/>
      </c>
      <c r="AO65" s="122">
        <f>IF(OR($C65="",$B$2="",$D$2=0),0,IF(AO$3&lt;0,0,N(INDEX('CURVA PREVISION'!$A$1:$KZ$3000,$C65,11+3*MIN(AO$3,$D$2-1)))))</f>
        <v/>
      </c>
      <c r="AP65" s="122">
        <f>IF(OR($C65="",$B$2="",$D$2=0),0,IF(AP$3&lt;0,0,N(INDEX('CURVA PREVISION'!$A$1:$KZ$3000,$C65,11+3*MIN(AP$3,$D$2-1)))))</f>
        <v/>
      </c>
      <c r="AQ65" s="122">
        <f>IF(OR($C65="",$B$2="",$D$2=0),0,IF(AQ$3&lt;0,0,N(INDEX('CURVA PREVISION'!$A$1:$KZ$3000,$C65,11+3*MIN(AQ$3,$D$2-1)))))</f>
        <v/>
      </c>
      <c r="AR65" s="122">
        <f>IF(OR($C65="",$B$2="",$D$2=0),0,IF(AR$3&lt;0,0,N(INDEX('CURVA PREVISION'!$A$1:$KZ$3000,$C65,11+3*MIN(AR$3,$D$2-1)))))</f>
        <v/>
      </c>
      <c r="AS65" s="122">
        <f>IF(OR($C65="",$B$2="",$D$2=0),0,IF(AS$3&lt;0,0,N(INDEX('CURVA PREVISION'!$A$1:$KZ$3000,$C65,11+3*MIN(AS$3,$D$2-1)))))</f>
        <v/>
      </c>
      <c r="AT65" s="122">
        <f>IF(OR($C65="",$B$2="",$D$2=0),0,IF(AT$3&lt;0,0,N(INDEX('CURVA PREVISION'!$A$1:$KZ$3000,$C65,11+3*MIN(AT$3,$D$2-1)))))</f>
        <v/>
      </c>
      <c r="AU65" s="122">
        <f>IF(OR($C65="",$B$2="",$D$2=0),0,IF(AU$3&lt;0,0,N(INDEX('CURVA PREVISION'!$A$1:$KZ$3000,$C65,11+3*MIN(AU$3,$D$2-1)))))</f>
        <v/>
      </c>
      <c r="AV65" s="122">
        <f>IF(OR($C65="",$B$2="",$D$2=0),0,IF(AV$3&lt;0,0,N(INDEX('CURVA PREVISION'!$A$1:$KZ$3000,$C65,11+3*MIN(AV$3,$D$2-1)))))</f>
        <v/>
      </c>
      <c r="AW65" s="122">
        <f>IF(OR($C65="",$B$2="",$D$2=0),0,IF(AW$3&lt;0,0,N(INDEX('CURVA PREVISION'!$A$1:$KZ$3000,$C65,11+3*MIN(AW$3,$D$2-1)))))</f>
        <v/>
      </c>
      <c r="AX65" s="122">
        <f>IF(OR($C65="",$B$2="",$D$2=0),0,IF(AX$3&lt;0,0,N(INDEX('CURVA PREVISION'!$A$1:$KZ$3000,$C65,11+3*MIN(AX$3,$D$2-1)))))</f>
        <v/>
      </c>
      <c r="AY65" s="122">
        <f>IF(OR($C65="",$B$2="",$D$2=0),0,IF(AY$3&lt;0,0,N(INDEX('CURVA PREVISION'!$A$1:$KZ$3000,$C65,11+3*MIN(AY$3,$D$2-1)))))</f>
        <v/>
      </c>
      <c r="AZ65" s="122">
        <f>IF(OR($C65="",$B$2="",$D$2=0),0,IF(AZ$3&lt;0,0,N(INDEX('CURVA PREVISION'!$A$1:$KZ$3000,$C65,11+3*MIN(AZ$3,$D$2-1)))))</f>
        <v/>
      </c>
      <c r="BA65" s="122">
        <f>IF(OR($C65="",$B$2="",$D$2=0),0,IF(BA$3&lt;0,0,N(INDEX('CURVA PREVISION'!$A$1:$KZ$3000,$C65,11+3*MIN(BA$3,$D$2-1)))))</f>
        <v/>
      </c>
      <c r="BB65" s="122">
        <f>IF(OR($C65="",$B$2="",$D$2=0),0,IF(BB$3&lt;0,0,N(INDEX('CURVA PREVISION'!$A$1:$KZ$3000,$C65,11+3*MIN(BB$3,$D$2-1)))))</f>
        <v/>
      </c>
      <c r="BC65" s="122">
        <f>IF(OR($C65="",$B$2="",$D$2=0),0,IF(BC$3&lt;0,0,N(INDEX('CURVA PREVISION'!$A$1:$KZ$3000,$C65,11+3*MIN(BC$3,$D$2-1)))))</f>
        <v/>
      </c>
      <c r="BD65" s="122">
        <f>IF(OR($C65="",$B$2="",$D$2=0),0,IF(BD$3&lt;0,0,N(INDEX('CURVA PREVISION'!$A$1:$KZ$3000,$C65,11+3*MIN(BD$3,$D$2-1)))))</f>
        <v/>
      </c>
      <c r="BE65" s="122">
        <f>IF(OR($C65="",$B$2="",$D$2=0),0,IF(BE$3&lt;0,0,N(INDEX('CURVA PREVISION'!$A$1:$KZ$3000,$C65,11+3*MIN(BE$3,$D$2-1)))))</f>
        <v/>
      </c>
      <c r="BF65" s="122">
        <f>IF(OR($C65="",$B$2="",$D$2=0),0,IF(BF$3&lt;0,0,N(INDEX('CURVA PREVISION'!$A$1:$KZ$3000,$C65,11+3*MIN(BF$3,$D$2-1)))))</f>
        <v/>
      </c>
      <c r="BG65" s="122">
        <f>IF(OR($C65="",$B$2="",$D$2=0),0,IF(BG$3&lt;0,0,N(INDEX('CURVA PREVISION'!$A$1:$KZ$3000,$C65,11+3*MIN(BG$3,$D$2-1)))))</f>
        <v/>
      </c>
      <c r="BH65" s="122">
        <f>IF(OR($C65="",$B$2="",$D$2=0),0,IF(BH$3&lt;0,0,N(INDEX('CURVA PREVISION'!$A$1:$KZ$3000,$C65,11+3*MIN(BH$3,$D$2-1)))))</f>
        <v/>
      </c>
      <c r="BI65" s="122">
        <f>IF(OR($C65="",$B$2="",$D$2=0),0,IF(BI$3&lt;0,0,N(INDEX('CURVA PREVISION'!$A$1:$KZ$3000,$C65,11+3*MIN(BI$3,$D$2-1)))))</f>
        <v/>
      </c>
      <c r="BJ65" s="122">
        <f>IF(OR($C65="",$B$2="",$D$2=0),0,IF(BJ$3&lt;0,0,N(INDEX('CURVA PREVISION'!$A$1:$KZ$3000,$C65,11+3*MIN(BJ$3,$D$2-1)))))</f>
        <v/>
      </c>
      <c r="BK65" s="122">
        <f>IF(OR($C65="",$B$2="",$D$2=0),0,IF(BK$3&lt;0,0,N(INDEX('CURVA PREVISION'!$A$1:$KZ$3000,$C65,11+3*MIN(BK$3,$D$2-1)))))</f>
        <v/>
      </c>
      <c r="BL65" s="122">
        <f>IF(OR($C65="",$B$2="",$D$2=0),0,IF(BL$3&lt;0,0,N(INDEX('CURVA PREVISION'!$A$1:$KZ$3000,$C65,11+3*MIN(BL$3,$D$2-1)))))</f>
        <v/>
      </c>
      <c r="BM65" s="122">
        <f>IF(OR($C65="",$B$2="",$D$2=0),0,IF(BM$3&lt;0,0,N(INDEX('CURVA PREVISION'!$A$1:$KZ$3000,$C65,11+3*MIN(BM$3,$D$2-1)))))</f>
        <v/>
      </c>
      <c r="BN65" s="122">
        <f>IF(OR($C65="",$B$2="",$D$2=0),0,IF(BN$3&lt;0,0,N(INDEX('CURVA PREVISION'!$A$1:$KZ$3000,$C65,11+3*MIN(BN$3,$D$2-1)))))</f>
        <v/>
      </c>
      <c r="BO65" s="122">
        <f>IF(OR($C65="",$B$2="",$D$2=0),0,IF(BO$3&lt;0,0,N(INDEX('CURVA PREVISION'!$A$1:$KZ$3000,$C65,11+3*MIN(BO$3,$D$2-1)))))</f>
        <v/>
      </c>
      <c r="BP65" s="122">
        <f>IF(OR($C65="",$B$2="",$D$2=0),0,IF(BP$3&lt;0,0,N(INDEX('CURVA PREVISION'!$A$1:$KZ$3000,$C65,11+3*MIN(BP$3,$D$2-1)))))</f>
        <v/>
      </c>
      <c r="BQ65" s="122">
        <f>IF(OR($C65="",$B$2="",$D$2=0),0,IF(BQ$3&lt;0,0,N(INDEX('CURVA PREVISION'!$A$1:$KZ$3000,$C65,11+3*MIN(BQ$3,$D$2-1)))))</f>
        <v/>
      </c>
      <c r="BR65" s="122">
        <f>IF(OR($C65="",$B$2="",$D$2=0),0,IF(BR$3&lt;0,0,N(INDEX('CURVA PREVISION'!$A$1:$KZ$3000,$C65,11+3*MIN(BR$3,$D$2-1)))))</f>
        <v/>
      </c>
      <c r="BS65" s="122">
        <f>IF(OR($C65="",$B$2="",$D$2=0),0,IF(BS$3&lt;0,0,N(INDEX('CURVA PREVISION'!$A$1:$KZ$3000,$C65,11+3*MIN(BS$3,$D$2-1)))))</f>
        <v/>
      </c>
      <c r="BT65" s="122">
        <f>IF(OR($C65="",$B$2="",$D$2=0),0,IF(BT$3&lt;0,0,N(INDEX('CURVA PREVISION'!$A$1:$KZ$3000,$C65,11+3*MIN(BT$3,$D$2-1)))))</f>
        <v/>
      </c>
      <c r="BU65" s="122">
        <f>IF(OR($C65="",$B$2="",$D$2=0),0,IF(BU$3&lt;0,0,N(INDEX('CURVA PREVISION'!$A$1:$KZ$3000,$C65,11+3*MIN(BU$3,$D$2-1)))))</f>
        <v/>
      </c>
      <c r="BV65" s="122">
        <f>IF(OR($C65="",$B$2="",$D$2=0),0,IF(BV$3&lt;0,0,N(INDEX('CURVA PREVISION'!$A$1:$KZ$3000,$C65,11+3*MIN(BV$3,$D$2-1)))))</f>
        <v/>
      </c>
      <c r="BW65" s="122">
        <f>IF(OR($C65="",$B$2="",$D$2=0),0,IF(BW$3&lt;0,0,N(INDEX('CURVA PREVISION'!$A$1:$KZ$3000,$C65,11+3*MIN(BW$3,$D$2-1)))))</f>
        <v/>
      </c>
    </row>
    <row r="66">
      <c r="A66" s="51">
        <f>A24</f>
        <v/>
      </c>
      <c r="B66" s="51">
        <f>B24</f>
        <v/>
      </c>
      <c r="C66" s="68">
        <f>C24</f>
        <v/>
      </c>
      <c r="D66" s="122">
        <f>IF(OR($C66="",$B$2="",$D$2=0),0,IF(D$3&lt;0,0,N(INDEX('CURVA PREVISION'!$A$1:$KZ$3000,$C66,11+3*MIN(D$3,$D$2-1)))))</f>
        <v/>
      </c>
      <c r="E66" s="122">
        <f>IF(OR($C66="",$B$2="",$D$2=0),0,IF(E$3&lt;0,0,N(INDEX('CURVA PREVISION'!$A$1:$KZ$3000,$C66,11+3*MIN(E$3,$D$2-1)))))</f>
        <v/>
      </c>
      <c r="F66" s="122">
        <f>IF(OR($C66="",$B$2="",$D$2=0),0,IF(F$3&lt;0,0,N(INDEX('CURVA PREVISION'!$A$1:$KZ$3000,$C66,11+3*MIN(F$3,$D$2-1)))))</f>
        <v/>
      </c>
      <c r="G66" s="122">
        <f>IF(OR($C66="",$B$2="",$D$2=0),0,IF(G$3&lt;0,0,N(INDEX('CURVA PREVISION'!$A$1:$KZ$3000,$C66,11+3*MIN(G$3,$D$2-1)))))</f>
        <v/>
      </c>
      <c r="H66" s="122">
        <f>IF(OR($C66="",$B$2="",$D$2=0),0,IF(H$3&lt;0,0,N(INDEX('CURVA PREVISION'!$A$1:$KZ$3000,$C66,11+3*MIN(H$3,$D$2-1)))))</f>
        <v/>
      </c>
      <c r="I66" s="122">
        <f>IF(OR($C66="",$B$2="",$D$2=0),0,IF(I$3&lt;0,0,N(INDEX('CURVA PREVISION'!$A$1:$KZ$3000,$C66,11+3*MIN(I$3,$D$2-1)))))</f>
        <v/>
      </c>
      <c r="J66" s="122">
        <f>IF(OR($C66="",$B$2="",$D$2=0),0,IF(J$3&lt;0,0,N(INDEX('CURVA PREVISION'!$A$1:$KZ$3000,$C66,11+3*MIN(J$3,$D$2-1)))))</f>
        <v/>
      </c>
      <c r="K66" s="122">
        <f>IF(OR($C66="",$B$2="",$D$2=0),0,IF(K$3&lt;0,0,N(INDEX('CURVA PREVISION'!$A$1:$KZ$3000,$C66,11+3*MIN(K$3,$D$2-1)))))</f>
        <v/>
      </c>
      <c r="L66" s="122">
        <f>IF(OR($C66="",$B$2="",$D$2=0),0,IF(L$3&lt;0,0,N(INDEX('CURVA PREVISION'!$A$1:$KZ$3000,$C66,11+3*MIN(L$3,$D$2-1)))))</f>
        <v/>
      </c>
      <c r="M66" s="122">
        <f>IF(OR($C66="",$B$2="",$D$2=0),0,IF(M$3&lt;0,0,N(INDEX('CURVA PREVISION'!$A$1:$KZ$3000,$C66,11+3*MIN(M$3,$D$2-1)))))</f>
        <v/>
      </c>
      <c r="N66" s="122">
        <f>IF(OR($C66="",$B$2="",$D$2=0),0,IF(N$3&lt;0,0,N(INDEX('CURVA PREVISION'!$A$1:$KZ$3000,$C66,11+3*MIN(N$3,$D$2-1)))))</f>
        <v/>
      </c>
      <c r="O66" s="122">
        <f>IF(OR($C66="",$B$2="",$D$2=0),0,IF(O$3&lt;0,0,N(INDEX('CURVA PREVISION'!$A$1:$KZ$3000,$C66,11+3*MIN(O$3,$D$2-1)))))</f>
        <v/>
      </c>
      <c r="P66" s="122">
        <f>IF(OR($C66="",$B$2="",$D$2=0),0,IF(P$3&lt;0,0,N(INDEX('CURVA PREVISION'!$A$1:$KZ$3000,$C66,11+3*MIN(P$3,$D$2-1)))))</f>
        <v/>
      </c>
      <c r="Q66" s="122">
        <f>IF(OR($C66="",$B$2="",$D$2=0),0,IF(Q$3&lt;0,0,N(INDEX('CURVA PREVISION'!$A$1:$KZ$3000,$C66,11+3*MIN(Q$3,$D$2-1)))))</f>
        <v/>
      </c>
      <c r="R66" s="122">
        <f>IF(OR($C66="",$B$2="",$D$2=0),0,IF(R$3&lt;0,0,N(INDEX('CURVA PREVISION'!$A$1:$KZ$3000,$C66,11+3*MIN(R$3,$D$2-1)))))</f>
        <v/>
      </c>
      <c r="S66" s="122">
        <f>IF(OR($C66="",$B$2="",$D$2=0),0,IF(S$3&lt;0,0,N(INDEX('CURVA PREVISION'!$A$1:$KZ$3000,$C66,11+3*MIN(S$3,$D$2-1)))))</f>
        <v/>
      </c>
      <c r="T66" s="122">
        <f>IF(OR($C66="",$B$2="",$D$2=0),0,IF(T$3&lt;0,0,N(INDEX('CURVA PREVISION'!$A$1:$KZ$3000,$C66,11+3*MIN(T$3,$D$2-1)))))</f>
        <v/>
      </c>
      <c r="U66" s="122">
        <f>IF(OR($C66="",$B$2="",$D$2=0),0,IF(U$3&lt;0,0,N(INDEX('CURVA PREVISION'!$A$1:$KZ$3000,$C66,11+3*MIN(U$3,$D$2-1)))))</f>
        <v/>
      </c>
      <c r="V66" s="122">
        <f>IF(OR($C66="",$B$2="",$D$2=0),0,IF(V$3&lt;0,0,N(INDEX('CURVA PREVISION'!$A$1:$KZ$3000,$C66,11+3*MIN(V$3,$D$2-1)))))</f>
        <v/>
      </c>
      <c r="W66" s="122">
        <f>IF(OR($C66="",$B$2="",$D$2=0),0,IF(W$3&lt;0,0,N(INDEX('CURVA PREVISION'!$A$1:$KZ$3000,$C66,11+3*MIN(W$3,$D$2-1)))))</f>
        <v/>
      </c>
      <c r="X66" s="122">
        <f>IF(OR($C66="",$B$2="",$D$2=0),0,IF(X$3&lt;0,0,N(INDEX('CURVA PREVISION'!$A$1:$KZ$3000,$C66,11+3*MIN(X$3,$D$2-1)))))</f>
        <v/>
      </c>
      <c r="Y66" s="122">
        <f>IF(OR($C66="",$B$2="",$D$2=0),0,IF(Y$3&lt;0,0,N(INDEX('CURVA PREVISION'!$A$1:$KZ$3000,$C66,11+3*MIN(Y$3,$D$2-1)))))</f>
        <v/>
      </c>
      <c r="Z66" s="122">
        <f>IF(OR($C66="",$B$2="",$D$2=0),0,IF(Z$3&lt;0,0,N(INDEX('CURVA PREVISION'!$A$1:$KZ$3000,$C66,11+3*MIN(Z$3,$D$2-1)))))</f>
        <v/>
      </c>
      <c r="AA66" s="122">
        <f>IF(OR($C66="",$B$2="",$D$2=0),0,IF(AA$3&lt;0,0,N(INDEX('CURVA PREVISION'!$A$1:$KZ$3000,$C66,11+3*MIN(AA$3,$D$2-1)))))</f>
        <v/>
      </c>
      <c r="AB66" s="122">
        <f>IF(OR($C66="",$B$2="",$D$2=0),0,IF(AB$3&lt;0,0,N(INDEX('CURVA PREVISION'!$A$1:$KZ$3000,$C66,11+3*MIN(AB$3,$D$2-1)))))</f>
        <v/>
      </c>
      <c r="AC66" s="122">
        <f>IF(OR($C66="",$B$2="",$D$2=0),0,IF(AC$3&lt;0,0,N(INDEX('CURVA PREVISION'!$A$1:$KZ$3000,$C66,11+3*MIN(AC$3,$D$2-1)))))</f>
        <v/>
      </c>
      <c r="AD66" s="122">
        <f>IF(OR($C66="",$B$2="",$D$2=0),0,IF(AD$3&lt;0,0,N(INDEX('CURVA PREVISION'!$A$1:$KZ$3000,$C66,11+3*MIN(AD$3,$D$2-1)))))</f>
        <v/>
      </c>
      <c r="AE66" s="122">
        <f>IF(OR($C66="",$B$2="",$D$2=0),0,IF(AE$3&lt;0,0,N(INDEX('CURVA PREVISION'!$A$1:$KZ$3000,$C66,11+3*MIN(AE$3,$D$2-1)))))</f>
        <v/>
      </c>
      <c r="AF66" s="122">
        <f>IF(OR($C66="",$B$2="",$D$2=0),0,IF(AF$3&lt;0,0,N(INDEX('CURVA PREVISION'!$A$1:$KZ$3000,$C66,11+3*MIN(AF$3,$D$2-1)))))</f>
        <v/>
      </c>
      <c r="AG66" s="122">
        <f>IF(OR($C66="",$B$2="",$D$2=0),0,IF(AG$3&lt;0,0,N(INDEX('CURVA PREVISION'!$A$1:$KZ$3000,$C66,11+3*MIN(AG$3,$D$2-1)))))</f>
        <v/>
      </c>
      <c r="AH66" s="122">
        <f>IF(OR($C66="",$B$2="",$D$2=0),0,IF(AH$3&lt;0,0,N(INDEX('CURVA PREVISION'!$A$1:$KZ$3000,$C66,11+3*MIN(AH$3,$D$2-1)))))</f>
        <v/>
      </c>
      <c r="AI66" s="122">
        <f>IF(OR($C66="",$B$2="",$D$2=0),0,IF(AI$3&lt;0,0,N(INDEX('CURVA PREVISION'!$A$1:$KZ$3000,$C66,11+3*MIN(AI$3,$D$2-1)))))</f>
        <v/>
      </c>
      <c r="AJ66" s="122">
        <f>IF(OR($C66="",$B$2="",$D$2=0),0,IF(AJ$3&lt;0,0,N(INDEX('CURVA PREVISION'!$A$1:$KZ$3000,$C66,11+3*MIN(AJ$3,$D$2-1)))))</f>
        <v/>
      </c>
      <c r="AK66" s="122">
        <f>IF(OR($C66="",$B$2="",$D$2=0),0,IF(AK$3&lt;0,0,N(INDEX('CURVA PREVISION'!$A$1:$KZ$3000,$C66,11+3*MIN(AK$3,$D$2-1)))))</f>
        <v/>
      </c>
      <c r="AL66" s="122">
        <f>IF(OR($C66="",$B$2="",$D$2=0),0,IF(AL$3&lt;0,0,N(INDEX('CURVA PREVISION'!$A$1:$KZ$3000,$C66,11+3*MIN(AL$3,$D$2-1)))))</f>
        <v/>
      </c>
      <c r="AM66" s="122">
        <f>IF(OR($C66="",$B$2="",$D$2=0),0,IF(AM$3&lt;0,0,N(INDEX('CURVA PREVISION'!$A$1:$KZ$3000,$C66,11+3*MIN(AM$3,$D$2-1)))))</f>
        <v/>
      </c>
      <c r="AN66" s="122">
        <f>IF(OR($C66="",$B$2="",$D$2=0),0,IF(AN$3&lt;0,0,N(INDEX('CURVA PREVISION'!$A$1:$KZ$3000,$C66,11+3*MIN(AN$3,$D$2-1)))))</f>
        <v/>
      </c>
      <c r="AO66" s="122">
        <f>IF(OR($C66="",$B$2="",$D$2=0),0,IF(AO$3&lt;0,0,N(INDEX('CURVA PREVISION'!$A$1:$KZ$3000,$C66,11+3*MIN(AO$3,$D$2-1)))))</f>
        <v/>
      </c>
      <c r="AP66" s="122">
        <f>IF(OR($C66="",$B$2="",$D$2=0),0,IF(AP$3&lt;0,0,N(INDEX('CURVA PREVISION'!$A$1:$KZ$3000,$C66,11+3*MIN(AP$3,$D$2-1)))))</f>
        <v/>
      </c>
      <c r="AQ66" s="122">
        <f>IF(OR($C66="",$B$2="",$D$2=0),0,IF(AQ$3&lt;0,0,N(INDEX('CURVA PREVISION'!$A$1:$KZ$3000,$C66,11+3*MIN(AQ$3,$D$2-1)))))</f>
        <v/>
      </c>
      <c r="AR66" s="122">
        <f>IF(OR($C66="",$B$2="",$D$2=0),0,IF(AR$3&lt;0,0,N(INDEX('CURVA PREVISION'!$A$1:$KZ$3000,$C66,11+3*MIN(AR$3,$D$2-1)))))</f>
        <v/>
      </c>
      <c r="AS66" s="122">
        <f>IF(OR($C66="",$B$2="",$D$2=0),0,IF(AS$3&lt;0,0,N(INDEX('CURVA PREVISION'!$A$1:$KZ$3000,$C66,11+3*MIN(AS$3,$D$2-1)))))</f>
        <v/>
      </c>
      <c r="AT66" s="122">
        <f>IF(OR($C66="",$B$2="",$D$2=0),0,IF(AT$3&lt;0,0,N(INDEX('CURVA PREVISION'!$A$1:$KZ$3000,$C66,11+3*MIN(AT$3,$D$2-1)))))</f>
        <v/>
      </c>
      <c r="AU66" s="122">
        <f>IF(OR($C66="",$B$2="",$D$2=0),0,IF(AU$3&lt;0,0,N(INDEX('CURVA PREVISION'!$A$1:$KZ$3000,$C66,11+3*MIN(AU$3,$D$2-1)))))</f>
        <v/>
      </c>
      <c r="AV66" s="122">
        <f>IF(OR($C66="",$B$2="",$D$2=0),0,IF(AV$3&lt;0,0,N(INDEX('CURVA PREVISION'!$A$1:$KZ$3000,$C66,11+3*MIN(AV$3,$D$2-1)))))</f>
        <v/>
      </c>
      <c r="AW66" s="122">
        <f>IF(OR($C66="",$B$2="",$D$2=0),0,IF(AW$3&lt;0,0,N(INDEX('CURVA PREVISION'!$A$1:$KZ$3000,$C66,11+3*MIN(AW$3,$D$2-1)))))</f>
        <v/>
      </c>
      <c r="AX66" s="122">
        <f>IF(OR($C66="",$B$2="",$D$2=0),0,IF(AX$3&lt;0,0,N(INDEX('CURVA PREVISION'!$A$1:$KZ$3000,$C66,11+3*MIN(AX$3,$D$2-1)))))</f>
        <v/>
      </c>
      <c r="AY66" s="122">
        <f>IF(OR($C66="",$B$2="",$D$2=0),0,IF(AY$3&lt;0,0,N(INDEX('CURVA PREVISION'!$A$1:$KZ$3000,$C66,11+3*MIN(AY$3,$D$2-1)))))</f>
        <v/>
      </c>
      <c r="AZ66" s="122">
        <f>IF(OR($C66="",$B$2="",$D$2=0),0,IF(AZ$3&lt;0,0,N(INDEX('CURVA PREVISION'!$A$1:$KZ$3000,$C66,11+3*MIN(AZ$3,$D$2-1)))))</f>
        <v/>
      </c>
      <c r="BA66" s="122">
        <f>IF(OR($C66="",$B$2="",$D$2=0),0,IF(BA$3&lt;0,0,N(INDEX('CURVA PREVISION'!$A$1:$KZ$3000,$C66,11+3*MIN(BA$3,$D$2-1)))))</f>
        <v/>
      </c>
      <c r="BB66" s="122">
        <f>IF(OR($C66="",$B$2="",$D$2=0),0,IF(BB$3&lt;0,0,N(INDEX('CURVA PREVISION'!$A$1:$KZ$3000,$C66,11+3*MIN(BB$3,$D$2-1)))))</f>
        <v/>
      </c>
      <c r="BC66" s="122">
        <f>IF(OR($C66="",$B$2="",$D$2=0),0,IF(BC$3&lt;0,0,N(INDEX('CURVA PREVISION'!$A$1:$KZ$3000,$C66,11+3*MIN(BC$3,$D$2-1)))))</f>
        <v/>
      </c>
      <c r="BD66" s="122">
        <f>IF(OR($C66="",$B$2="",$D$2=0),0,IF(BD$3&lt;0,0,N(INDEX('CURVA PREVISION'!$A$1:$KZ$3000,$C66,11+3*MIN(BD$3,$D$2-1)))))</f>
        <v/>
      </c>
      <c r="BE66" s="122">
        <f>IF(OR($C66="",$B$2="",$D$2=0),0,IF(BE$3&lt;0,0,N(INDEX('CURVA PREVISION'!$A$1:$KZ$3000,$C66,11+3*MIN(BE$3,$D$2-1)))))</f>
        <v/>
      </c>
      <c r="BF66" s="122">
        <f>IF(OR($C66="",$B$2="",$D$2=0),0,IF(BF$3&lt;0,0,N(INDEX('CURVA PREVISION'!$A$1:$KZ$3000,$C66,11+3*MIN(BF$3,$D$2-1)))))</f>
        <v/>
      </c>
      <c r="BG66" s="122">
        <f>IF(OR($C66="",$B$2="",$D$2=0),0,IF(BG$3&lt;0,0,N(INDEX('CURVA PREVISION'!$A$1:$KZ$3000,$C66,11+3*MIN(BG$3,$D$2-1)))))</f>
        <v/>
      </c>
      <c r="BH66" s="122">
        <f>IF(OR($C66="",$B$2="",$D$2=0),0,IF(BH$3&lt;0,0,N(INDEX('CURVA PREVISION'!$A$1:$KZ$3000,$C66,11+3*MIN(BH$3,$D$2-1)))))</f>
        <v/>
      </c>
      <c r="BI66" s="122">
        <f>IF(OR($C66="",$B$2="",$D$2=0),0,IF(BI$3&lt;0,0,N(INDEX('CURVA PREVISION'!$A$1:$KZ$3000,$C66,11+3*MIN(BI$3,$D$2-1)))))</f>
        <v/>
      </c>
      <c r="BJ66" s="122">
        <f>IF(OR($C66="",$B$2="",$D$2=0),0,IF(BJ$3&lt;0,0,N(INDEX('CURVA PREVISION'!$A$1:$KZ$3000,$C66,11+3*MIN(BJ$3,$D$2-1)))))</f>
        <v/>
      </c>
      <c r="BK66" s="122">
        <f>IF(OR($C66="",$B$2="",$D$2=0),0,IF(BK$3&lt;0,0,N(INDEX('CURVA PREVISION'!$A$1:$KZ$3000,$C66,11+3*MIN(BK$3,$D$2-1)))))</f>
        <v/>
      </c>
      <c r="BL66" s="122">
        <f>IF(OR($C66="",$B$2="",$D$2=0),0,IF(BL$3&lt;0,0,N(INDEX('CURVA PREVISION'!$A$1:$KZ$3000,$C66,11+3*MIN(BL$3,$D$2-1)))))</f>
        <v/>
      </c>
      <c r="BM66" s="122">
        <f>IF(OR($C66="",$B$2="",$D$2=0),0,IF(BM$3&lt;0,0,N(INDEX('CURVA PREVISION'!$A$1:$KZ$3000,$C66,11+3*MIN(BM$3,$D$2-1)))))</f>
        <v/>
      </c>
      <c r="BN66" s="122">
        <f>IF(OR($C66="",$B$2="",$D$2=0),0,IF(BN$3&lt;0,0,N(INDEX('CURVA PREVISION'!$A$1:$KZ$3000,$C66,11+3*MIN(BN$3,$D$2-1)))))</f>
        <v/>
      </c>
      <c r="BO66" s="122">
        <f>IF(OR($C66="",$B$2="",$D$2=0),0,IF(BO$3&lt;0,0,N(INDEX('CURVA PREVISION'!$A$1:$KZ$3000,$C66,11+3*MIN(BO$3,$D$2-1)))))</f>
        <v/>
      </c>
      <c r="BP66" s="122">
        <f>IF(OR($C66="",$B$2="",$D$2=0),0,IF(BP$3&lt;0,0,N(INDEX('CURVA PREVISION'!$A$1:$KZ$3000,$C66,11+3*MIN(BP$3,$D$2-1)))))</f>
        <v/>
      </c>
      <c r="BQ66" s="122">
        <f>IF(OR($C66="",$B$2="",$D$2=0),0,IF(BQ$3&lt;0,0,N(INDEX('CURVA PREVISION'!$A$1:$KZ$3000,$C66,11+3*MIN(BQ$3,$D$2-1)))))</f>
        <v/>
      </c>
      <c r="BR66" s="122">
        <f>IF(OR($C66="",$B$2="",$D$2=0),0,IF(BR$3&lt;0,0,N(INDEX('CURVA PREVISION'!$A$1:$KZ$3000,$C66,11+3*MIN(BR$3,$D$2-1)))))</f>
        <v/>
      </c>
      <c r="BS66" s="122">
        <f>IF(OR($C66="",$B$2="",$D$2=0),0,IF(BS$3&lt;0,0,N(INDEX('CURVA PREVISION'!$A$1:$KZ$3000,$C66,11+3*MIN(BS$3,$D$2-1)))))</f>
        <v/>
      </c>
      <c r="BT66" s="122">
        <f>IF(OR($C66="",$B$2="",$D$2=0),0,IF(BT$3&lt;0,0,N(INDEX('CURVA PREVISION'!$A$1:$KZ$3000,$C66,11+3*MIN(BT$3,$D$2-1)))))</f>
        <v/>
      </c>
      <c r="BU66" s="122">
        <f>IF(OR($C66="",$B$2="",$D$2=0),0,IF(BU$3&lt;0,0,N(INDEX('CURVA PREVISION'!$A$1:$KZ$3000,$C66,11+3*MIN(BU$3,$D$2-1)))))</f>
        <v/>
      </c>
      <c r="BV66" s="122">
        <f>IF(OR($C66="",$B$2="",$D$2=0),0,IF(BV$3&lt;0,0,N(INDEX('CURVA PREVISION'!$A$1:$KZ$3000,$C66,11+3*MIN(BV$3,$D$2-1)))))</f>
        <v/>
      </c>
      <c r="BW66" s="122">
        <f>IF(OR($C66="",$B$2="",$D$2=0),0,IF(BW$3&lt;0,0,N(INDEX('CURVA PREVISION'!$A$1:$KZ$3000,$C66,11+3*MIN(BW$3,$D$2-1)))))</f>
        <v/>
      </c>
    </row>
    <row r="67">
      <c r="A67" s="51">
        <f>A25</f>
        <v/>
      </c>
      <c r="B67" s="51">
        <f>B25</f>
        <v/>
      </c>
      <c r="C67" s="68">
        <f>C25</f>
        <v/>
      </c>
      <c r="D67" s="122">
        <f>IF(OR($C67="",$B$2="",$D$2=0),0,IF(D$3&lt;0,0,N(INDEX('CURVA PREVISION'!$A$1:$KZ$3000,$C67,11+3*MIN(D$3,$D$2-1)))))</f>
        <v/>
      </c>
      <c r="E67" s="122">
        <f>IF(OR($C67="",$B$2="",$D$2=0),0,IF(E$3&lt;0,0,N(INDEX('CURVA PREVISION'!$A$1:$KZ$3000,$C67,11+3*MIN(E$3,$D$2-1)))))</f>
        <v/>
      </c>
      <c r="F67" s="122">
        <f>IF(OR($C67="",$B$2="",$D$2=0),0,IF(F$3&lt;0,0,N(INDEX('CURVA PREVISION'!$A$1:$KZ$3000,$C67,11+3*MIN(F$3,$D$2-1)))))</f>
        <v/>
      </c>
      <c r="G67" s="122">
        <f>IF(OR($C67="",$B$2="",$D$2=0),0,IF(G$3&lt;0,0,N(INDEX('CURVA PREVISION'!$A$1:$KZ$3000,$C67,11+3*MIN(G$3,$D$2-1)))))</f>
        <v/>
      </c>
      <c r="H67" s="122">
        <f>IF(OR($C67="",$B$2="",$D$2=0),0,IF(H$3&lt;0,0,N(INDEX('CURVA PREVISION'!$A$1:$KZ$3000,$C67,11+3*MIN(H$3,$D$2-1)))))</f>
        <v/>
      </c>
      <c r="I67" s="122">
        <f>IF(OR($C67="",$B$2="",$D$2=0),0,IF(I$3&lt;0,0,N(INDEX('CURVA PREVISION'!$A$1:$KZ$3000,$C67,11+3*MIN(I$3,$D$2-1)))))</f>
        <v/>
      </c>
      <c r="J67" s="122">
        <f>IF(OR($C67="",$B$2="",$D$2=0),0,IF(J$3&lt;0,0,N(INDEX('CURVA PREVISION'!$A$1:$KZ$3000,$C67,11+3*MIN(J$3,$D$2-1)))))</f>
        <v/>
      </c>
      <c r="K67" s="122">
        <f>IF(OR($C67="",$B$2="",$D$2=0),0,IF(K$3&lt;0,0,N(INDEX('CURVA PREVISION'!$A$1:$KZ$3000,$C67,11+3*MIN(K$3,$D$2-1)))))</f>
        <v/>
      </c>
      <c r="L67" s="122">
        <f>IF(OR($C67="",$B$2="",$D$2=0),0,IF(L$3&lt;0,0,N(INDEX('CURVA PREVISION'!$A$1:$KZ$3000,$C67,11+3*MIN(L$3,$D$2-1)))))</f>
        <v/>
      </c>
      <c r="M67" s="122">
        <f>IF(OR($C67="",$B$2="",$D$2=0),0,IF(M$3&lt;0,0,N(INDEX('CURVA PREVISION'!$A$1:$KZ$3000,$C67,11+3*MIN(M$3,$D$2-1)))))</f>
        <v/>
      </c>
      <c r="N67" s="122">
        <f>IF(OR($C67="",$B$2="",$D$2=0),0,IF(N$3&lt;0,0,N(INDEX('CURVA PREVISION'!$A$1:$KZ$3000,$C67,11+3*MIN(N$3,$D$2-1)))))</f>
        <v/>
      </c>
      <c r="O67" s="122">
        <f>IF(OR($C67="",$B$2="",$D$2=0),0,IF(O$3&lt;0,0,N(INDEX('CURVA PREVISION'!$A$1:$KZ$3000,$C67,11+3*MIN(O$3,$D$2-1)))))</f>
        <v/>
      </c>
      <c r="P67" s="122">
        <f>IF(OR($C67="",$B$2="",$D$2=0),0,IF(P$3&lt;0,0,N(INDEX('CURVA PREVISION'!$A$1:$KZ$3000,$C67,11+3*MIN(P$3,$D$2-1)))))</f>
        <v/>
      </c>
      <c r="Q67" s="122">
        <f>IF(OR($C67="",$B$2="",$D$2=0),0,IF(Q$3&lt;0,0,N(INDEX('CURVA PREVISION'!$A$1:$KZ$3000,$C67,11+3*MIN(Q$3,$D$2-1)))))</f>
        <v/>
      </c>
      <c r="R67" s="122">
        <f>IF(OR($C67="",$B$2="",$D$2=0),0,IF(R$3&lt;0,0,N(INDEX('CURVA PREVISION'!$A$1:$KZ$3000,$C67,11+3*MIN(R$3,$D$2-1)))))</f>
        <v/>
      </c>
      <c r="S67" s="122">
        <f>IF(OR($C67="",$B$2="",$D$2=0),0,IF(S$3&lt;0,0,N(INDEX('CURVA PREVISION'!$A$1:$KZ$3000,$C67,11+3*MIN(S$3,$D$2-1)))))</f>
        <v/>
      </c>
      <c r="T67" s="122">
        <f>IF(OR($C67="",$B$2="",$D$2=0),0,IF(T$3&lt;0,0,N(INDEX('CURVA PREVISION'!$A$1:$KZ$3000,$C67,11+3*MIN(T$3,$D$2-1)))))</f>
        <v/>
      </c>
      <c r="U67" s="122">
        <f>IF(OR($C67="",$B$2="",$D$2=0),0,IF(U$3&lt;0,0,N(INDEX('CURVA PREVISION'!$A$1:$KZ$3000,$C67,11+3*MIN(U$3,$D$2-1)))))</f>
        <v/>
      </c>
      <c r="V67" s="122">
        <f>IF(OR($C67="",$B$2="",$D$2=0),0,IF(V$3&lt;0,0,N(INDEX('CURVA PREVISION'!$A$1:$KZ$3000,$C67,11+3*MIN(V$3,$D$2-1)))))</f>
        <v/>
      </c>
      <c r="W67" s="122">
        <f>IF(OR($C67="",$B$2="",$D$2=0),0,IF(W$3&lt;0,0,N(INDEX('CURVA PREVISION'!$A$1:$KZ$3000,$C67,11+3*MIN(W$3,$D$2-1)))))</f>
        <v/>
      </c>
      <c r="X67" s="122">
        <f>IF(OR($C67="",$B$2="",$D$2=0),0,IF(X$3&lt;0,0,N(INDEX('CURVA PREVISION'!$A$1:$KZ$3000,$C67,11+3*MIN(X$3,$D$2-1)))))</f>
        <v/>
      </c>
      <c r="Y67" s="122">
        <f>IF(OR($C67="",$B$2="",$D$2=0),0,IF(Y$3&lt;0,0,N(INDEX('CURVA PREVISION'!$A$1:$KZ$3000,$C67,11+3*MIN(Y$3,$D$2-1)))))</f>
        <v/>
      </c>
      <c r="Z67" s="122">
        <f>IF(OR($C67="",$B$2="",$D$2=0),0,IF(Z$3&lt;0,0,N(INDEX('CURVA PREVISION'!$A$1:$KZ$3000,$C67,11+3*MIN(Z$3,$D$2-1)))))</f>
        <v/>
      </c>
      <c r="AA67" s="122">
        <f>IF(OR($C67="",$B$2="",$D$2=0),0,IF(AA$3&lt;0,0,N(INDEX('CURVA PREVISION'!$A$1:$KZ$3000,$C67,11+3*MIN(AA$3,$D$2-1)))))</f>
        <v/>
      </c>
      <c r="AB67" s="122">
        <f>IF(OR($C67="",$B$2="",$D$2=0),0,IF(AB$3&lt;0,0,N(INDEX('CURVA PREVISION'!$A$1:$KZ$3000,$C67,11+3*MIN(AB$3,$D$2-1)))))</f>
        <v/>
      </c>
      <c r="AC67" s="122">
        <f>IF(OR($C67="",$B$2="",$D$2=0),0,IF(AC$3&lt;0,0,N(INDEX('CURVA PREVISION'!$A$1:$KZ$3000,$C67,11+3*MIN(AC$3,$D$2-1)))))</f>
        <v/>
      </c>
      <c r="AD67" s="122">
        <f>IF(OR($C67="",$B$2="",$D$2=0),0,IF(AD$3&lt;0,0,N(INDEX('CURVA PREVISION'!$A$1:$KZ$3000,$C67,11+3*MIN(AD$3,$D$2-1)))))</f>
        <v/>
      </c>
      <c r="AE67" s="122">
        <f>IF(OR($C67="",$B$2="",$D$2=0),0,IF(AE$3&lt;0,0,N(INDEX('CURVA PREVISION'!$A$1:$KZ$3000,$C67,11+3*MIN(AE$3,$D$2-1)))))</f>
        <v/>
      </c>
      <c r="AF67" s="122">
        <f>IF(OR($C67="",$B$2="",$D$2=0),0,IF(AF$3&lt;0,0,N(INDEX('CURVA PREVISION'!$A$1:$KZ$3000,$C67,11+3*MIN(AF$3,$D$2-1)))))</f>
        <v/>
      </c>
      <c r="AG67" s="122">
        <f>IF(OR($C67="",$B$2="",$D$2=0),0,IF(AG$3&lt;0,0,N(INDEX('CURVA PREVISION'!$A$1:$KZ$3000,$C67,11+3*MIN(AG$3,$D$2-1)))))</f>
        <v/>
      </c>
      <c r="AH67" s="122">
        <f>IF(OR($C67="",$B$2="",$D$2=0),0,IF(AH$3&lt;0,0,N(INDEX('CURVA PREVISION'!$A$1:$KZ$3000,$C67,11+3*MIN(AH$3,$D$2-1)))))</f>
        <v/>
      </c>
      <c r="AI67" s="122">
        <f>IF(OR($C67="",$B$2="",$D$2=0),0,IF(AI$3&lt;0,0,N(INDEX('CURVA PREVISION'!$A$1:$KZ$3000,$C67,11+3*MIN(AI$3,$D$2-1)))))</f>
        <v/>
      </c>
      <c r="AJ67" s="122">
        <f>IF(OR($C67="",$B$2="",$D$2=0),0,IF(AJ$3&lt;0,0,N(INDEX('CURVA PREVISION'!$A$1:$KZ$3000,$C67,11+3*MIN(AJ$3,$D$2-1)))))</f>
        <v/>
      </c>
      <c r="AK67" s="122">
        <f>IF(OR($C67="",$B$2="",$D$2=0),0,IF(AK$3&lt;0,0,N(INDEX('CURVA PREVISION'!$A$1:$KZ$3000,$C67,11+3*MIN(AK$3,$D$2-1)))))</f>
        <v/>
      </c>
      <c r="AL67" s="122">
        <f>IF(OR($C67="",$B$2="",$D$2=0),0,IF(AL$3&lt;0,0,N(INDEX('CURVA PREVISION'!$A$1:$KZ$3000,$C67,11+3*MIN(AL$3,$D$2-1)))))</f>
        <v/>
      </c>
      <c r="AM67" s="122">
        <f>IF(OR($C67="",$B$2="",$D$2=0),0,IF(AM$3&lt;0,0,N(INDEX('CURVA PREVISION'!$A$1:$KZ$3000,$C67,11+3*MIN(AM$3,$D$2-1)))))</f>
        <v/>
      </c>
      <c r="AN67" s="122">
        <f>IF(OR($C67="",$B$2="",$D$2=0),0,IF(AN$3&lt;0,0,N(INDEX('CURVA PREVISION'!$A$1:$KZ$3000,$C67,11+3*MIN(AN$3,$D$2-1)))))</f>
        <v/>
      </c>
      <c r="AO67" s="122">
        <f>IF(OR($C67="",$B$2="",$D$2=0),0,IF(AO$3&lt;0,0,N(INDEX('CURVA PREVISION'!$A$1:$KZ$3000,$C67,11+3*MIN(AO$3,$D$2-1)))))</f>
        <v/>
      </c>
      <c r="AP67" s="122">
        <f>IF(OR($C67="",$B$2="",$D$2=0),0,IF(AP$3&lt;0,0,N(INDEX('CURVA PREVISION'!$A$1:$KZ$3000,$C67,11+3*MIN(AP$3,$D$2-1)))))</f>
        <v/>
      </c>
      <c r="AQ67" s="122">
        <f>IF(OR($C67="",$B$2="",$D$2=0),0,IF(AQ$3&lt;0,0,N(INDEX('CURVA PREVISION'!$A$1:$KZ$3000,$C67,11+3*MIN(AQ$3,$D$2-1)))))</f>
        <v/>
      </c>
      <c r="AR67" s="122">
        <f>IF(OR($C67="",$B$2="",$D$2=0),0,IF(AR$3&lt;0,0,N(INDEX('CURVA PREVISION'!$A$1:$KZ$3000,$C67,11+3*MIN(AR$3,$D$2-1)))))</f>
        <v/>
      </c>
      <c r="AS67" s="122">
        <f>IF(OR($C67="",$B$2="",$D$2=0),0,IF(AS$3&lt;0,0,N(INDEX('CURVA PREVISION'!$A$1:$KZ$3000,$C67,11+3*MIN(AS$3,$D$2-1)))))</f>
        <v/>
      </c>
      <c r="AT67" s="122">
        <f>IF(OR($C67="",$B$2="",$D$2=0),0,IF(AT$3&lt;0,0,N(INDEX('CURVA PREVISION'!$A$1:$KZ$3000,$C67,11+3*MIN(AT$3,$D$2-1)))))</f>
        <v/>
      </c>
      <c r="AU67" s="122">
        <f>IF(OR($C67="",$B$2="",$D$2=0),0,IF(AU$3&lt;0,0,N(INDEX('CURVA PREVISION'!$A$1:$KZ$3000,$C67,11+3*MIN(AU$3,$D$2-1)))))</f>
        <v/>
      </c>
      <c r="AV67" s="122">
        <f>IF(OR($C67="",$B$2="",$D$2=0),0,IF(AV$3&lt;0,0,N(INDEX('CURVA PREVISION'!$A$1:$KZ$3000,$C67,11+3*MIN(AV$3,$D$2-1)))))</f>
        <v/>
      </c>
      <c r="AW67" s="122">
        <f>IF(OR($C67="",$B$2="",$D$2=0),0,IF(AW$3&lt;0,0,N(INDEX('CURVA PREVISION'!$A$1:$KZ$3000,$C67,11+3*MIN(AW$3,$D$2-1)))))</f>
        <v/>
      </c>
      <c r="AX67" s="122">
        <f>IF(OR($C67="",$B$2="",$D$2=0),0,IF(AX$3&lt;0,0,N(INDEX('CURVA PREVISION'!$A$1:$KZ$3000,$C67,11+3*MIN(AX$3,$D$2-1)))))</f>
        <v/>
      </c>
      <c r="AY67" s="122">
        <f>IF(OR($C67="",$B$2="",$D$2=0),0,IF(AY$3&lt;0,0,N(INDEX('CURVA PREVISION'!$A$1:$KZ$3000,$C67,11+3*MIN(AY$3,$D$2-1)))))</f>
        <v/>
      </c>
      <c r="AZ67" s="122">
        <f>IF(OR($C67="",$B$2="",$D$2=0),0,IF(AZ$3&lt;0,0,N(INDEX('CURVA PREVISION'!$A$1:$KZ$3000,$C67,11+3*MIN(AZ$3,$D$2-1)))))</f>
        <v/>
      </c>
      <c r="BA67" s="122">
        <f>IF(OR($C67="",$B$2="",$D$2=0),0,IF(BA$3&lt;0,0,N(INDEX('CURVA PREVISION'!$A$1:$KZ$3000,$C67,11+3*MIN(BA$3,$D$2-1)))))</f>
        <v/>
      </c>
      <c r="BB67" s="122">
        <f>IF(OR($C67="",$B$2="",$D$2=0),0,IF(BB$3&lt;0,0,N(INDEX('CURVA PREVISION'!$A$1:$KZ$3000,$C67,11+3*MIN(BB$3,$D$2-1)))))</f>
        <v/>
      </c>
      <c r="BC67" s="122">
        <f>IF(OR($C67="",$B$2="",$D$2=0),0,IF(BC$3&lt;0,0,N(INDEX('CURVA PREVISION'!$A$1:$KZ$3000,$C67,11+3*MIN(BC$3,$D$2-1)))))</f>
        <v/>
      </c>
      <c r="BD67" s="122">
        <f>IF(OR($C67="",$B$2="",$D$2=0),0,IF(BD$3&lt;0,0,N(INDEX('CURVA PREVISION'!$A$1:$KZ$3000,$C67,11+3*MIN(BD$3,$D$2-1)))))</f>
        <v/>
      </c>
      <c r="BE67" s="122">
        <f>IF(OR($C67="",$B$2="",$D$2=0),0,IF(BE$3&lt;0,0,N(INDEX('CURVA PREVISION'!$A$1:$KZ$3000,$C67,11+3*MIN(BE$3,$D$2-1)))))</f>
        <v/>
      </c>
      <c r="BF67" s="122">
        <f>IF(OR($C67="",$B$2="",$D$2=0),0,IF(BF$3&lt;0,0,N(INDEX('CURVA PREVISION'!$A$1:$KZ$3000,$C67,11+3*MIN(BF$3,$D$2-1)))))</f>
        <v/>
      </c>
      <c r="BG67" s="122">
        <f>IF(OR($C67="",$B$2="",$D$2=0),0,IF(BG$3&lt;0,0,N(INDEX('CURVA PREVISION'!$A$1:$KZ$3000,$C67,11+3*MIN(BG$3,$D$2-1)))))</f>
        <v/>
      </c>
      <c r="BH67" s="122">
        <f>IF(OR($C67="",$B$2="",$D$2=0),0,IF(BH$3&lt;0,0,N(INDEX('CURVA PREVISION'!$A$1:$KZ$3000,$C67,11+3*MIN(BH$3,$D$2-1)))))</f>
        <v/>
      </c>
      <c r="BI67" s="122">
        <f>IF(OR($C67="",$B$2="",$D$2=0),0,IF(BI$3&lt;0,0,N(INDEX('CURVA PREVISION'!$A$1:$KZ$3000,$C67,11+3*MIN(BI$3,$D$2-1)))))</f>
        <v/>
      </c>
      <c r="BJ67" s="122">
        <f>IF(OR($C67="",$B$2="",$D$2=0),0,IF(BJ$3&lt;0,0,N(INDEX('CURVA PREVISION'!$A$1:$KZ$3000,$C67,11+3*MIN(BJ$3,$D$2-1)))))</f>
        <v/>
      </c>
      <c r="BK67" s="122">
        <f>IF(OR($C67="",$B$2="",$D$2=0),0,IF(BK$3&lt;0,0,N(INDEX('CURVA PREVISION'!$A$1:$KZ$3000,$C67,11+3*MIN(BK$3,$D$2-1)))))</f>
        <v/>
      </c>
      <c r="BL67" s="122">
        <f>IF(OR($C67="",$B$2="",$D$2=0),0,IF(BL$3&lt;0,0,N(INDEX('CURVA PREVISION'!$A$1:$KZ$3000,$C67,11+3*MIN(BL$3,$D$2-1)))))</f>
        <v/>
      </c>
      <c r="BM67" s="122">
        <f>IF(OR($C67="",$B$2="",$D$2=0),0,IF(BM$3&lt;0,0,N(INDEX('CURVA PREVISION'!$A$1:$KZ$3000,$C67,11+3*MIN(BM$3,$D$2-1)))))</f>
        <v/>
      </c>
      <c r="BN67" s="122">
        <f>IF(OR($C67="",$B$2="",$D$2=0),0,IF(BN$3&lt;0,0,N(INDEX('CURVA PREVISION'!$A$1:$KZ$3000,$C67,11+3*MIN(BN$3,$D$2-1)))))</f>
        <v/>
      </c>
      <c r="BO67" s="122">
        <f>IF(OR($C67="",$B$2="",$D$2=0),0,IF(BO$3&lt;0,0,N(INDEX('CURVA PREVISION'!$A$1:$KZ$3000,$C67,11+3*MIN(BO$3,$D$2-1)))))</f>
        <v/>
      </c>
      <c r="BP67" s="122">
        <f>IF(OR($C67="",$B$2="",$D$2=0),0,IF(BP$3&lt;0,0,N(INDEX('CURVA PREVISION'!$A$1:$KZ$3000,$C67,11+3*MIN(BP$3,$D$2-1)))))</f>
        <v/>
      </c>
      <c r="BQ67" s="122">
        <f>IF(OR($C67="",$B$2="",$D$2=0),0,IF(BQ$3&lt;0,0,N(INDEX('CURVA PREVISION'!$A$1:$KZ$3000,$C67,11+3*MIN(BQ$3,$D$2-1)))))</f>
        <v/>
      </c>
      <c r="BR67" s="122">
        <f>IF(OR($C67="",$B$2="",$D$2=0),0,IF(BR$3&lt;0,0,N(INDEX('CURVA PREVISION'!$A$1:$KZ$3000,$C67,11+3*MIN(BR$3,$D$2-1)))))</f>
        <v/>
      </c>
      <c r="BS67" s="122">
        <f>IF(OR($C67="",$B$2="",$D$2=0),0,IF(BS$3&lt;0,0,N(INDEX('CURVA PREVISION'!$A$1:$KZ$3000,$C67,11+3*MIN(BS$3,$D$2-1)))))</f>
        <v/>
      </c>
      <c r="BT67" s="122">
        <f>IF(OR($C67="",$B$2="",$D$2=0),0,IF(BT$3&lt;0,0,N(INDEX('CURVA PREVISION'!$A$1:$KZ$3000,$C67,11+3*MIN(BT$3,$D$2-1)))))</f>
        <v/>
      </c>
      <c r="BU67" s="122">
        <f>IF(OR($C67="",$B$2="",$D$2=0),0,IF(BU$3&lt;0,0,N(INDEX('CURVA PREVISION'!$A$1:$KZ$3000,$C67,11+3*MIN(BU$3,$D$2-1)))))</f>
        <v/>
      </c>
      <c r="BV67" s="122">
        <f>IF(OR($C67="",$B$2="",$D$2=0),0,IF(BV$3&lt;0,0,N(INDEX('CURVA PREVISION'!$A$1:$KZ$3000,$C67,11+3*MIN(BV$3,$D$2-1)))))</f>
        <v/>
      </c>
      <c r="BW67" s="122">
        <f>IF(OR($C67="",$B$2="",$D$2=0),0,IF(BW$3&lt;0,0,N(INDEX('CURVA PREVISION'!$A$1:$KZ$3000,$C67,11+3*MIN(BW$3,$D$2-1)))))</f>
        <v/>
      </c>
    </row>
    <row r="68">
      <c r="A68" s="51">
        <f>A26</f>
        <v/>
      </c>
      <c r="B68" s="51">
        <f>B26</f>
        <v/>
      </c>
      <c r="C68" s="68">
        <f>C26</f>
        <v/>
      </c>
      <c r="D68" s="122">
        <f>IF(OR($C68="",$B$2="",$D$2=0),0,IF(D$3&lt;0,0,N(INDEX('CURVA PREVISION'!$A$1:$KZ$3000,$C68,11+3*MIN(D$3,$D$2-1)))))</f>
        <v/>
      </c>
      <c r="E68" s="122">
        <f>IF(OR($C68="",$B$2="",$D$2=0),0,IF(E$3&lt;0,0,N(INDEX('CURVA PREVISION'!$A$1:$KZ$3000,$C68,11+3*MIN(E$3,$D$2-1)))))</f>
        <v/>
      </c>
      <c r="F68" s="122">
        <f>IF(OR($C68="",$B$2="",$D$2=0),0,IF(F$3&lt;0,0,N(INDEX('CURVA PREVISION'!$A$1:$KZ$3000,$C68,11+3*MIN(F$3,$D$2-1)))))</f>
        <v/>
      </c>
      <c r="G68" s="122">
        <f>IF(OR($C68="",$B$2="",$D$2=0),0,IF(G$3&lt;0,0,N(INDEX('CURVA PREVISION'!$A$1:$KZ$3000,$C68,11+3*MIN(G$3,$D$2-1)))))</f>
        <v/>
      </c>
      <c r="H68" s="122">
        <f>IF(OR($C68="",$B$2="",$D$2=0),0,IF(H$3&lt;0,0,N(INDEX('CURVA PREVISION'!$A$1:$KZ$3000,$C68,11+3*MIN(H$3,$D$2-1)))))</f>
        <v/>
      </c>
      <c r="I68" s="122">
        <f>IF(OR($C68="",$B$2="",$D$2=0),0,IF(I$3&lt;0,0,N(INDEX('CURVA PREVISION'!$A$1:$KZ$3000,$C68,11+3*MIN(I$3,$D$2-1)))))</f>
        <v/>
      </c>
      <c r="J68" s="122">
        <f>IF(OR($C68="",$B$2="",$D$2=0),0,IF(J$3&lt;0,0,N(INDEX('CURVA PREVISION'!$A$1:$KZ$3000,$C68,11+3*MIN(J$3,$D$2-1)))))</f>
        <v/>
      </c>
      <c r="K68" s="122">
        <f>IF(OR($C68="",$B$2="",$D$2=0),0,IF(K$3&lt;0,0,N(INDEX('CURVA PREVISION'!$A$1:$KZ$3000,$C68,11+3*MIN(K$3,$D$2-1)))))</f>
        <v/>
      </c>
      <c r="L68" s="122">
        <f>IF(OR($C68="",$B$2="",$D$2=0),0,IF(L$3&lt;0,0,N(INDEX('CURVA PREVISION'!$A$1:$KZ$3000,$C68,11+3*MIN(L$3,$D$2-1)))))</f>
        <v/>
      </c>
      <c r="M68" s="122">
        <f>IF(OR($C68="",$B$2="",$D$2=0),0,IF(M$3&lt;0,0,N(INDEX('CURVA PREVISION'!$A$1:$KZ$3000,$C68,11+3*MIN(M$3,$D$2-1)))))</f>
        <v/>
      </c>
      <c r="N68" s="122">
        <f>IF(OR($C68="",$B$2="",$D$2=0),0,IF(N$3&lt;0,0,N(INDEX('CURVA PREVISION'!$A$1:$KZ$3000,$C68,11+3*MIN(N$3,$D$2-1)))))</f>
        <v/>
      </c>
      <c r="O68" s="122">
        <f>IF(OR($C68="",$B$2="",$D$2=0),0,IF(O$3&lt;0,0,N(INDEX('CURVA PREVISION'!$A$1:$KZ$3000,$C68,11+3*MIN(O$3,$D$2-1)))))</f>
        <v/>
      </c>
      <c r="P68" s="122">
        <f>IF(OR($C68="",$B$2="",$D$2=0),0,IF(P$3&lt;0,0,N(INDEX('CURVA PREVISION'!$A$1:$KZ$3000,$C68,11+3*MIN(P$3,$D$2-1)))))</f>
        <v/>
      </c>
      <c r="Q68" s="122">
        <f>IF(OR($C68="",$B$2="",$D$2=0),0,IF(Q$3&lt;0,0,N(INDEX('CURVA PREVISION'!$A$1:$KZ$3000,$C68,11+3*MIN(Q$3,$D$2-1)))))</f>
        <v/>
      </c>
      <c r="R68" s="122">
        <f>IF(OR($C68="",$B$2="",$D$2=0),0,IF(R$3&lt;0,0,N(INDEX('CURVA PREVISION'!$A$1:$KZ$3000,$C68,11+3*MIN(R$3,$D$2-1)))))</f>
        <v/>
      </c>
      <c r="S68" s="122">
        <f>IF(OR($C68="",$B$2="",$D$2=0),0,IF(S$3&lt;0,0,N(INDEX('CURVA PREVISION'!$A$1:$KZ$3000,$C68,11+3*MIN(S$3,$D$2-1)))))</f>
        <v/>
      </c>
      <c r="T68" s="122">
        <f>IF(OR($C68="",$B$2="",$D$2=0),0,IF(T$3&lt;0,0,N(INDEX('CURVA PREVISION'!$A$1:$KZ$3000,$C68,11+3*MIN(T$3,$D$2-1)))))</f>
        <v/>
      </c>
      <c r="U68" s="122">
        <f>IF(OR($C68="",$B$2="",$D$2=0),0,IF(U$3&lt;0,0,N(INDEX('CURVA PREVISION'!$A$1:$KZ$3000,$C68,11+3*MIN(U$3,$D$2-1)))))</f>
        <v/>
      </c>
      <c r="V68" s="122">
        <f>IF(OR($C68="",$B$2="",$D$2=0),0,IF(V$3&lt;0,0,N(INDEX('CURVA PREVISION'!$A$1:$KZ$3000,$C68,11+3*MIN(V$3,$D$2-1)))))</f>
        <v/>
      </c>
      <c r="W68" s="122">
        <f>IF(OR($C68="",$B$2="",$D$2=0),0,IF(W$3&lt;0,0,N(INDEX('CURVA PREVISION'!$A$1:$KZ$3000,$C68,11+3*MIN(W$3,$D$2-1)))))</f>
        <v/>
      </c>
      <c r="X68" s="122">
        <f>IF(OR($C68="",$B$2="",$D$2=0),0,IF(X$3&lt;0,0,N(INDEX('CURVA PREVISION'!$A$1:$KZ$3000,$C68,11+3*MIN(X$3,$D$2-1)))))</f>
        <v/>
      </c>
      <c r="Y68" s="122">
        <f>IF(OR($C68="",$B$2="",$D$2=0),0,IF(Y$3&lt;0,0,N(INDEX('CURVA PREVISION'!$A$1:$KZ$3000,$C68,11+3*MIN(Y$3,$D$2-1)))))</f>
        <v/>
      </c>
      <c r="Z68" s="122">
        <f>IF(OR($C68="",$B$2="",$D$2=0),0,IF(Z$3&lt;0,0,N(INDEX('CURVA PREVISION'!$A$1:$KZ$3000,$C68,11+3*MIN(Z$3,$D$2-1)))))</f>
        <v/>
      </c>
      <c r="AA68" s="122">
        <f>IF(OR($C68="",$B$2="",$D$2=0),0,IF(AA$3&lt;0,0,N(INDEX('CURVA PREVISION'!$A$1:$KZ$3000,$C68,11+3*MIN(AA$3,$D$2-1)))))</f>
        <v/>
      </c>
      <c r="AB68" s="122">
        <f>IF(OR($C68="",$B$2="",$D$2=0),0,IF(AB$3&lt;0,0,N(INDEX('CURVA PREVISION'!$A$1:$KZ$3000,$C68,11+3*MIN(AB$3,$D$2-1)))))</f>
        <v/>
      </c>
      <c r="AC68" s="122">
        <f>IF(OR($C68="",$B$2="",$D$2=0),0,IF(AC$3&lt;0,0,N(INDEX('CURVA PREVISION'!$A$1:$KZ$3000,$C68,11+3*MIN(AC$3,$D$2-1)))))</f>
        <v/>
      </c>
      <c r="AD68" s="122">
        <f>IF(OR($C68="",$B$2="",$D$2=0),0,IF(AD$3&lt;0,0,N(INDEX('CURVA PREVISION'!$A$1:$KZ$3000,$C68,11+3*MIN(AD$3,$D$2-1)))))</f>
        <v/>
      </c>
      <c r="AE68" s="122">
        <f>IF(OR($C68="",$B$2="",$D$2=0),0,IF(AE$3&lt;0,0,N(INDEX('CURVA PREVISION'!$A$1:$KZ$3000,$C68,11+3*MIN(AE$3,$D$2-1)))))</f>
        <v/>
      </c>
      <c r="AF68" s="122">
        <f>IF(OR($C68="",$B$2="",$D$2=0),0,IF(AF$3&lt;0,0,N(INDEX('CURVA PREVISION'!$A$1:$KZ$3000,$C68,11+3*MIN(AF$3,$D$2-1)))))</f>
        <v/>
      </c>
      <c r="AG68" s="122">
        <f>IF(OR($C68="",$B$2="",$D$2=0),0,IF(AG$3&lt;0,0,N(INDEX('CURVA PREVISION'!$A$1:$KZ$3000,$C68,11+3*MIN(AG$3,$D$2-1)))))</f>
        <v/>
      </c>
      <c r="AH68" s="122">
        <f>IF(OR($C68="",$B$2="",$D$2=0),0,IF(AH$3&lt;0,0,N(INDEX('CURVA PREVISION'!$A$1:$KZ$3000,$C68,11+3*MIN(AH$3,$D$2-1)))))</f>
        <v/>
      </c>
      <c r="AI68" s="122">
        <f>IF(OR($C68="",$B$2="",$D$2=0),0,IF(AI$3&lt;0,0,N(INDEX('CURVA PREVISION'!$A$1:$KZ$3000,$C68,11+3*MIN(AI$3,$D$2-1)))))</f>
        <v/>
      </c>
      <c r="AJ68" s="122">
        <f>IF(OR($C68="",$B$2="",$D$2=0),0,IF(AJ$3&lt;0,0,N(INDEX('CURVA PREVISION'!$A$1:$KZ$3000,$C68,11+3*MIN(AJ$3,$D$2-1)))))</f>
        <v/>
      </c>
      <c r="AK68" s="122">
        <f>IF(OR($C68="",$B$2="",$D$2=0),0,IF(AK$3&lt;0,0,N(INDEX('CURVA PREVISION'!$A$1:$KZ$3000,$C68,11+3*MIN(AK$3,$D$2-1)))))</f>
        <v/>
      </c>
      <c r="AL68" s="122">
        <f>IF(OR($C68="",$B$2="",$D$2=0),0,IF(AL$3&lt;0,0,N(INDEX('CURVA PREVISION'!$A$1:$KZ$3000,$C68,11+3*MIN(AL$3,$D$2-1)))))</f>
        <v/>
      </c>
      <c r="AM68" s="122">
        <f>IF(OR($C68="",$B$2="",$D$2=0),0,IF(AM$3&lt;0,0,N(INDEX('CURVA PREVISION'!$A$1:$KZ$3000,$C68,11+3*MIN(AM$3,$D$2-1)))))</f>
        <v/>
      </c>
      <c r="AN68" s="122">
        <f>IF(OR($C68="",$B$2="",$D$2=0),0,IF(AN$3&lt;0,0,N(INDEX('CURVA PREVISION'!$A$1:$KZ$3000,$C68,11+3*MIN(AN$3,$D$2-1)))))</f>
        <v/>
      </c>
      <c r="AO68" s="122">
        <f>IF(OR($C68="",$B$2="",$D$2=0),0,IF(AO$3&lt;0,0,N(INDEX('CURVA PREVISION'!$A$1:$KZ$3000,$C68,11+3*MIN(AO$3,$D$2-1)))))</f>
        <v/>
      </c>
      <c r="AP68" s="122">
        <f>IF(OR($C68="",$B$2="",$D$2=0),0,IF(AP$3&lt;0,0,N(INDEX('CURVA PREVISION'!$A$1:$KZ$3000,$C68,11+3*MIN(AP$3,$D$2-1)))))</f>
        <v/>
      </c>
      <c r="AQ68" s="122">
        <f>IF(OR($C68="",$B$2="",$D$2=0),0,IF(AQ$3&lt;0,0,N(INDEX('CURVA PREVISION'!$A$1:$KZ$3000,$C68,11+3*MIN(AQ$3,$D$2-1)))))</f>
        <v/>
      </c>
      <c r="AR68" s="122">
        <f>IF(OR($C68="",$B$2="",$D$2=0),0,IF(AR$3&lt;0,0,N(INDEX('CURVA PREVISION'!$A$1:$KZ$3000,$C68,11+3*MIN(AR$3,$D$2-1)))))</f>
        <v/>
      </c>
      <c r="AS68" s="122">
        <f>IF(OR($C68="",$B$2="",$D$2=0),0,IF(AS$3&lt;0,0,N(INDEX('CURVA PREVISION'!$A$1:$KZ$3000,$C68,11+3*MIN(AS$3,$D$2-1)))))</f>
        <v/>
      </c>
      <c r="AT68" s="122">
        <f>IF(OR($C68="",$B$2="",$D$2=0),0,IF(AT$3&lt;0,0,N(INDEX('CURVA PREVISION'!$A$1:$KZ$3000,$C68,11+3*MIN(AT$3,$D$2-1)))))</f>
        <v/>
      </c>
      <c r="AU68" s="122">
        <f>IF(OR($C68="",$B$2="",$D$2=0),0,IF(AU$3&lt;0,0,N(INDEX('CURVA PREVISION'!$A$1:$KZ$3000,$C68,11+3*MIN(AU$3,$D$2-1)))))</f>
        <v/>
      </c>
      <c r="AV68" s="122">
        <f>IF(OR($C68="",$B$2="",$D$2=0),0,IF(AV$3&lt;0,0,N(INDEX('CURVA PREVISION'!$A$1:$KZ$3000,$C68,11+3*MIN(AV$3,$D$2-1)))))</f>
        <v/>
      </c>
      <c r="AW68" s="122">
        <f>IF(OR($C68="",$B$2="",$D$2=0),0,IF(AW$3&lt;0,0,N(INDEX('CURVA PREVISION'!$A$1:$KZ$3000,$C68,11+3*MIN(AW$3,$D$2-1)))))</f>
        <v/>
      </c>
      <c r="AX68" s="122">
        <f>IF(OR($C68="",$B$2="",$D$2=0),0,IF(AX$3&lt;0,0,N(INDEX('CURVA PREVISION'!$A$1:$KZ$3000,$C68,11+3*MIN(AX$3,$D$2-1)))))</f>
        <v/>
      </c>
      <c r="AY68" s="122">
        <f>IF(OR($C68="",$B$2="",$D$2=0),0,IF(AY$3&lt;0,0,N(INDEX('CURVA PREVISION'!$A$1:$KZ$3000,$C68,11+3*MIN(AY$3,$D$2-1)))))</f>
        <v/>
      </c>
      <c r="AZ68" s="122">
        <f>IF(OR($C68="",$B$2="",$D$2=0),0,IF(AZ$3&lt;0,0,N(INDEX('CURVA PREVISION'!$A$1:$KZ$3000,$C68,11+3*MIN(AZ$3,$D$2-1)))))</f>
        <v/>
      </c>
      <c r="BA68" s="122">
        <f>IF(OR($C68="",$B$2="",$D$2=0),0,IF(BA$3&lt;0,0,N(INDEX('CURVA PREVISION'!$A$1:$KZ$3000,$C68,11+3*MIN(BA$3,$D$2-1)))))</f>
        <v/>
      </c>
      <c r="BB68" s="122">
        <f>IF(OR($C68="",$B$2="",$D$2=0),0,IF(BB$3&lt;0,0,N(INDEX('CURVA PREVISION'!$A$1:$KZ$3000,$C68,11+3*MIN(BB$3,$D$2-1)))))</f>
        <v/>
      </c>
      <c r="BC68" s="122">
        <f>IF(OR($C68="",$B$2="",$D$2=0),0,IF(BC$3&lt;0,0,N(INDEX('CURVA PREVISION'!$A$1:$KZ$3000,$C68,11+3*MIN(BC$3,$D$2-1)))))</f>
        <v/>
      </c>
      <c r="BD68" s="122">
        <f>IF(OR($C68="",$B$2="",$D$2=0),0,IF(BD$3&lt;0,0,N(INDEX('CURVA PREVISION'!$A$1:$KZ$3000,$C68,11+3*MIN(BD$3,$D$2-1)))))</f>
        <v/>
      </c>
      <c r="BE68" s="122">
        <f>IF(OR($C68="",$B$2="",$D$2=0),0,IF(BE$3&lt;0,0,N(INDEX('CURVA PREVISION'!$A$1:$KZ$3000,$C68,11+3*MIN(BE$3,$D$2-1)))))</f>
        <v/>
      </c>
      <c r="BF68" s="122">
        <f>IF(OR($C68="",$B$2="",$D$2=0),0,IF(BF$3&lt;0,0,N(INDEX('CURVA PREVISION'!$A$1:$KZ$3000,$C68,11+3*MIN(BF$3,$D$2-1)))))</f>
        <v/>
      </c>
      <c r="BG68" s="122">
        <f>IF(OR($C68="",$B$2="",$D$2=0),0,IF(BG$3&lt;0,0,N(INDEX('CURVA PREVISION'!$A$1:$KZ$3000,$C68,11+3*MIN(BG$3,$D$2-1)))))</f>
        <v/>
      </c>
      <c r="BH68" s="122">
        <f>IF(OR($C68="",$B$2="",$D$2=0),0,IF(BH$3&lt;0,0,N(INDEX('CURVA PREVISION'!$A$1:$KZ$3000,$C68,11+3*MIN(BH$3,$D$2-1)))))</f>
        <v/>
      </c>
      <c r="BI68" s="122">
        <f>IF(OR($C68="",$B$2="",$D$2=0),0,IF(BI$3&lt;0,0,N(INDEX('CURVA PREVISION'!$A$1:$KZ$3000,$C68,11+3*MIN(BI$3,$D$2-1)))))</f>
        <v/>
      </c>
      <c r="BJ68" s="122">
        <f>IF(OR($C68="",$B$2="",$D$2=0),0,IF(BJ$3&lt;0,0,N(INDEX('CURVA PREVISION'!$A$1:$KZ$3000,$C68,11+3*MIN(BJ$3,$D$2-1)))))</f>
        <v/>
      </c>
      <c r="BK68" s="122">
        <f>IF(OR($C68="",$B$2="",$D$2=0),0,IF(BK$3&lt;0,0,N(INDEX('CURVA PREVISION'!$A$1:$KZ$3000,$C68,11+3*MIN(BK$3,$D$2-1)))))</f>
        <v/>
      </c>
      <c r="BL68" s="122">
        <f>IF(OR($C68="",$B$2="",$D$2=0),0,IF(BL$3&lt;0,0,N(INDEX('CURVA PREVISION'!$A$1:$KZ$3000,$C68,11+3*MIN(BL$3,$D$2-1)))))</f>
        <v/>
      </c>
      <c r="BM68" s="122">
        <f>IF(OR($C68="",$B$2="",$D$2=0),0,IF(BM$3&lt;0,0,N(INDEX('CURVA PREVISION'!$A$1:$KZ$3000,$C68,11+3*MIN(BM$3,$D$2-1)))))</f>
        <v/>
      </c>
      <c r="BN68" s="122">
        <f>IF(OR($C68="",$B$2="",$D$2=0),0,IF(BN$3&lt;0,0,N(INDEX('CURVA PREVISION'!$A$1:$KZ$3000,$C68,11+3*MIN(BN$3,$D$2-1)))))</f>
        <v/>
      </c>
      <c r="BO68" s="122">
        <f>IF(OR($C68="",$B$2="",$D$2=0),0,IF(BO$3&lt;0,0,N(INDEX('CURVA PREVISION'!$A$1:$KZ$3000,$C68,11+3*MIN(BO$3,$D$2-1)))))</f>
        <v/>
      </c>
      <c r="BP68" s="122">
        <f>IF(OR($C68="",$B$2="",$D$2=0),0,IF(BP$3&lt;0,0,N(INDEX('CURVA PREVISION'!$A$1:$KZ$3000,$C68,11+3*MIN(BP$3,$D$2-1)))))</f>
        <v/>
      </c>
      <c r="BQ68" s="122">
        <f>IF(OR($C68="",$B$2="",$D$2=0),0,IF(BQ$3&lt;0,0,N(INDEX('CURVA PREVISION'!$A$1:$KZ$3000,$C68,11+3*MIN(BQ$3,$D$2-1)))))</f>
        <v/>
      </c>
      <c r="BR68" s="122">
        <f>IF(OR($C68="",$B$2="",$D$2=0),0,IF(BR$3&lt;0,0,N(INDEX('CURVA PREVISION'!$A$1:$KZ$3000,$C68,11+3*MIN(BR$3,$D$2-1)))))</f>
        <v/>
      </c>
      <c r="BS68" s="122">
        <f>IF(OR($C68="",$B$2="",$D$2=0),0,IF(BS$3&lt;0,0,N(INDEX('CURVA PREVISION'!$A$1:$KZ$3000,$C68,11+3*MIN(BS$3,$D$2-1)))))</f>
        <v/>
      </c>
      <c r="BT68" s="122">
        <f>IF(OR($C68="",$B$2="",$D$2=0),0,IF(BT$3&lt;0,0,N(INDEX('CURVA PREVISION'!$A$1:$KZ$3000,$C68,11+3*MIN(BT$3,$D$2-1)))))</f>
        <v/>
      </c>
      <c r="BU68" s="122">
        <f>IF(OR($C68="",$B$2="",$D$2=0),0,IF(BU$3&lt;0,0,N(INDEX('CURVA PREVISION'!$A$1:$KZ$3000,$C68,11+3*MIN(BU$3,$D$2-1)))))</f>
        <v/>
      </c>
      <c r="BV68" s="122">
        <f>IF(OR($C68="",$B$2="",$D$2=0),0,IF(BV$3&lt;0,0,N(INDEX('CURVA PREVISION'!$A$1:$KZ$3000,$C68,11+3*MIN(BV$3,$D$2-1)))))</f>
        <v/>
      </c>
      <c r="BW68" s="122">
        <f>IF(OR($C68="",$B$2="",$D$2=0),0,IF(BW$3&lt;0,0,N(INDEX('CURVA PREVISION'!$A$1:$KZ$3000,$C68,11+3*MIN(BW$3,$D$2-1)))))</f>
        <v/>
      </c>
    </row>
    <row r="69">
      <c r="A69" s="51">
        <f>A27</f>
        <v/>
      </c>
      <c r="B69" s="51">
        <f>B27</f>
        <v/>
      </c>
      <c r="C69" s="68">
        <f>C27</f>
        <v/>
      </c>
      <c r="D69" s="122">
        <f>IF(OR($C69="",$B$2="",$D$2=0),0,IF(D$3&lt;0,0,N(INDEX('CURVA PREVISION'!$A$1:$KZ$3000,$C69,11+3*MIN(D$3,$D$2-1)))))</f>
        <v/>
      </c>
      <c r="E69" s="122">
        <f>IF(OR($C69="",$B$2="",$D$2=0),0,IF(E$3&lt;0,0,N(INDEX('CURVA PREVISION'!$A$1:$KZ$3000,$C69,11+3*MIN(E$3,$D$2-1)))))</f>
        <v/>
      </c>
      <c r="F69" s="122">
        <f>IF(OR($C69="",$B$2="",$D$2=0),0,IF(F$3&lt;0,0,N(INDEX('CURVA PREVISION'!$A$1:$KZ$3000,$C69,11+3*MIN(F$3,$D$2-1)))))</f>
        <v/>
      </c>
      <c r="G69" s="122">
        <f>IF(OR($C69="",$B$2="",$D$2=0),0,IF(G$3&lt;0,0,N(INDEX('CURVA PREVISION'!$A$1:$KZ$3000,$C69,11+3*MIN(G$3,$D$2-1)))))</f>
        <v/>
      </c>
      <c r="H69" s="122">
        <f>IF(OR($C69="",$B$2="",$D$2=0),0,IF(H$3&lt;0,0,N(INDEX('CURVA PREVISION'!$A$1:$KZ$3000,$C69,11+3*MIN(H$3,$D$2-1)))))</f>
        <v/>
      </c>
      <c r="I69" s="122">
        <f>IF(OR($C69="",$B$2="",$D$2=0),0,IF(I$3&lt;0,0,N(INDEX('CURVA PREVISION'!$A$1:$KZ$3000,$C69,11+3*MIN(I$3,$D$2-1)))))</f>
        <v/>
      </c>
      <c r="J69" s="122">
        <f>IF(OR($C69="",$B$2="",$D$2=0),0,IF(J$3&lt;0,0,N(INDEX('CURVA PREVISION'!$A$1:$KZ$3000,$C69,11+3*MIN(J$3,$D$2-1)))))</f>
        <v/>
      </c>
      <c r="K69" s="122">
        <f>IF(OR($C69="",$B$2="",$D$2=0),0,IF(K$3&lt;0,0,N(INDEX('CURVA PREVISION'!$A$1:$KZ$3000,$C69,11+3*MIN(K$3,$D$2-1)))))</f>
        <v/>
      </c>
      <c r="L69" s="122">
        <f>IF(OR($C69="",$B$2="",$D$2=0),0,IF(L$3&lt;0,0,N(INDEX('CURVA PREVISION'!$A$1:$KZ$3000,$C69,11+3*MIN(L$3,$D$2-1)))))</f>
        <v/>
      </c>
      <c r="M69" s="122">
        <f>IF(OR($C69="",$B$2="",$D$2=0),0,IF(M$3&lt;0,0,N(INDEX('CURVA PREVISION'!$A$1:$KZ$3000,$C69,11+3*MIN(M$3,$D$2-1)))))</f>
        <v/>
      </c>
      <c r="N69" s="122">
        <f>IF(OR($C69="",$B$2="",$D$2=0),0,IF(N$3&lt;0,0,N(INDEX('CURVA PREVISION'!$A$1:$KZ$3000,$C69,11+3*MIN(N$3,$D$2-1)))))</f>
        <v/>
      </c>
      <c r="O69" s="122">
        <f>IF(OR($C69="",$B$2="",$D$2=0),0,IF(O$3&lt;0,0,N(INDEX('CURVA PREVISION'!$A$1:$KZ$3000,$C69,11+3*MIN(O$3,$D$2-1)))))</f>
        <v/>
      </c>
      <c r="P69" s="122">
        <f>IF(OR($C69="",$B$2="",$D$2=0),0,IF(P$3&lt;0,0,N(INDEX('CURVA PREVISION'!$A$1:$KZ$3000,$C69,11+3*MIN(P$3,$D$2-1)))))</f>
        <v/>
      </c>
      <c r="Q69" s="122">
        <f>IF(OR($C69="",$B$2="",$D$2=0),0,IF(Q$3&lt;0,0,N(INDEX('CURVA PREVISION'!$A$1:$KZ$3000,$C69,11+3*MIN(Q$3,$D$2-1)))))</f>
        <v/>
      </c>
      <c r="R69" s="122">
        <f>IF(OR($C69="",$B$2="",$D$2=0),0,IF(R$3&lt;0,0,N(INDEX('CURVA PREVISION'!$A$1:$KZ$3000,$C69,11+3*MIN(R$3,$D$2-1)))))</f>
        <v/>
      </c>
      <c r="S69" s="122">
        <f>IF(OR($C69="",$B$2="",$D$2=0),0,IF(S$3&lt;0,0,N(INDEX('CURVA PREVISION'!$A$1:$KZ$3000,$C69,11+3*MIN(S$3,$D$2-1)))))</f>
        <v/>
      </c>
      <c r="T69" s="122">
        <f>IF(OR($C69="",$B$2="",$D$2=0),0,IF(T$3&lt;0,0,N(INDEX('CURVA PREVISION'!$A$1:$KZ$3000,$C69,11+3*MIN(T$3,$D$2-1)))))</f>
        <v/>
      </c>
      <c r="U69" s="122">
        <f>IF(OR($C69="",$B$2="",$D$2=0),0,IF(U$3&lt;0,0,N(INDEX('CURVA PREVISION'!$A$1:$KZ$3000,$C69,11+3*MIN(U$3,$D$2-1)))))</f>
        <v/>
      </c>
      <c r="V69" s="122">
        <f>IF(OR($C69="",$B$2="",$D$2=0),0,IF(V$3&lt;0,0,N(INDEX('CURVA PREVISION'!$A$1:$KZ$3000,$C69,11+3*MIN(V$3,$D$2-1)))))</f>
        <v/>
      </c>
      <c r="W69" s="122">
        <f>IF(OR($C69="",$B$2="",$D$2=0),0,IF(W$3&lt;0,0,N(INDEX('CURVA PREVISION'!$A$1:$KZ$3000,$C69,11+3*MIN(W$3,$D$2-1)))))</f>
        <v/>
      </c>
      <c r="X69" s="122">
        <f>IF(OR($C69="",$B$2="",$D$2=0),0,IF(X$3&lt;0,0,N(INDEX('CURVA PREVISION'!$A$1:$KZ$3000,$C69,11+3*MIN(X$3,$D$2-1)))))</f>
        <v/>
      </c>
      <c r="Y69" s="122">
        <f>IF(OR($C69="",$B$2="",$D$2=0),0,IF(Y$3&lt;0,0,N(INDEX('CURVA PREVISION'!$A$1:$KZ$3000,$C69,11+3*MIN(Y$3,$D$2-1)))))</f>
        <v/>
      </c>
      <c r="Z69" s="122">
        <f>IF(OR($C69="",$B$2="",$D$2=0),0,IF(Z$3&lt;0,0,N(INDEX('CURVA PREVISION'!$A$1:$KZ$3000,$C69,11+3*MIN(Z$3,$D$2-1)))))</f>
        <v/>
      </c>
      <c r="AA69" s="122">
        <f>IF(OR($C69="",$B$2="",$D$2=0),0,IF(AA$3&lt;0,0,N(INDEX('CURVA PREVISION'!$A$1:$KZ$3000,$C69,11+3*MIN(AA$3,$D$2-1)))))</f>
        <v/>
      </c>
      <c r="AB69" s="122">
        <f>IF(OR($C69="",$B$2="",$D$2=0),0,IF(AB$3&lt;0,0,N(INDEX('CURVA PREVISION'!$A$1:$KZ$3000,$C69,11+3*MIN(AB$3,$D$2-1)))))</f>
        <v/>
      </c>
      <c r="AC69" s="122">
        <f>IF(OR($C69="",$B$2="",$D$2=0),0,IF(AC$3&lt;0,0,N(INDEX('CURVA PREVISION'!$A$1:$KZ$3000,$C69,11+3*MIN(AC$3,$D$2-1)))))</f>
        <v/>
      </c>
      <c r="AD69" s="122">
        <f>IF(OR($C69="",$B$2="",$D$2=0),0,IF(AD$3&lt;0,0,N(INDEX('CURVA PREVISION'!$A$1:$KZ$3000,$C69,11+3*MIN(AD$3,$D$2-1)))))</f>
        <v/>
      </c>
      <c r="AE69" s="122">
        <f>IF(OR($C69="",$B$2="",$D$2=0),0,IF(AE$3&lt;0,0,N(INDEX('CURVA PREVISION'!$A$1:$KZ$3000,$C69,11+3*MIN(AE$3,$D$2-1)))))</f>
        <v/>
      </c>
      <c r="AF69" s="122">
        <f>IF(OR($C69="",$B$2="",$D$2=0),0,IF(AF$3&lt;0,0,N(INDEX('CURVA PREVISION'!$A$1:$KZ$3000,$C69,11+3*MIN(AF$3,$D$2-1)))))</f>
        <v/>
      </c>
      <c r="AG69" s="122">
        <f>IF(OR($C69="",$B$2="",$D$2=0),0,IF(AG$3&lt;0,0,N(INDEX('CURVA PREVISION'!$A$1:$KZ$3000,$C69,11+3*MIN(AG$3,$D$2-1)))))</f>
        <v/>
      </c>
      <c r="AH69" s="122">
        <f>IF(OR($C69="",$B$2="",$D$2=0),0,IF(AH$3&lt;0,0,N(INDEX('CURVA PREVISION'!$A$1:$KZ$3000,$C69,11+3*MIN(AH$3,$D$2-1)))))</f>
        <v/>
      </c>
      <c r="AI69" s="122">
        <f>IF(OR($C69="",$B$2="",$D$2=0),0,IF(AI$3&lt;0,0,N(INDEX('CURVA PREVISION'!$A$1:$KZ$3000,$C69,11+3*MIN(AI$3,$D$2-1)))))</f>
        <v/>
      </c>
      <c r="AJ69" s="122">
        <f>IF(OR($C69="",$B$2="",$D$2=0),0,IF(AJ$3&lt;0,0,N(INDEX('CURVA PREVISION'!$A$1:$KZ$3000,$C69,11+3*MIN(AJ$3,$D$2-1)))))</f>
        <v/>
      </c>
      <c r="AK69" s="122">
        <f>IF(OR($C69="",$B$2="",$D$2=0),0,IF(AK$3&lt;0,0,N(INDEX('CURVA PREVISION'!$A$1:$KZ$3000,$C69,11+3*MIN(AK$3,$D$2-1)))))</f>
        <v/>
      </c>
      <c r="AL69" s="122">
        <f>IF(OR($C69="",$B$2="",$D$2=0),0,IF(AL$3&lt;0,0,N(INDEX('CURVA PREVISION'!$A$1:$KZ$3000,$C69,11+3*MIN(AL$3,$D$2-1)))))</f>
        <v/>
      </c>
      <c r="AM69" s="122">
        <f>IF(OR($C69="",$B$2="",$D$2=0),0,IF(AM$3&lt;0,0,N(INDEX('CURVA PREVISION'!$A$1:$KZ$3000,$C69,11+3*MIN(AM$3,$D$2-1)))))</f>
        <v/>
      </c>
      <c r="AN69" s="122">
        <f>IF(OR($C69="",$B$2="",$D$2=0),0,IF(AN$3&lt;0,0,N(INDEX('CURVA PREVISION'!$A$1:$KZ$3000,$C69,11+3*MIN(AN$3,$D$2-1)))))</f>
        <v/>
      </c>
      <c r="AO69" s="122">
        <f>IF(OR($C69="",$B$2="",$D$2=0),0,IF(AO$3&lt;0,0,N(INDEX('CURVA PREVISION'!$A$1:$KZ$3000,$C69,11+3*MIN(AO$3,$D$2-1)))))</f>
        <v/>
      </c>
      <c r="AP69" s="122">
        <f>IF(OR($C69="",$B$2="",$D$2=0),0,IF(AP$3&lt;0,0,N(INDEX('CURVA PREVISION'!$A$1:$KZ$3000,$C69,11+3*MIN(AP$3,$D$2-1)))))</f>
        <v/>
      </c>
      <c r="AQ69" s="122">
        <f>IF(OR($C69="",$B$2="",$D$2=0),0,IF(AQ$3&lt;0,0,N(INDEX('CURVA PREVISION'!$A$1:$KZ$3000,$C69,11+3*MIN(AQ$3,$D$2-1)))))</f>
        <v/>
      </c>
      <c r="AR69" s="122">
        <f>IF(OR($C69="",$B$2="",$D$2=0),0,IF(AR$3&lt;0,0,N(INDEX('CURVA PREVISION'!$A$1:$KZ$3000,$C69,11+3*MIN(AR$3,$D$2-1)))))</f>
        <v/>
      </c>
      <c r="AS69" s="122">
        <f>IF(OR($C69="",$B$2="",$D$2=0),0,IF(AS$3&lt;0,0,N(INDEX('CURVA PREVISION'!$A$1:$KZ$3000,$C69,11+3*MIN(AS$3,$D$2-1)))))</f>
        <v/>
      </c>
      <c r="AT69" s="122">
        <f>IF(OR($C69="",$B$2="",$D$2=0),0,IF(AT$3&lt;0,0,N(INDEX('CURVA PREVISION'!$A$1:$KZ$3000,$C69,11+3*MIN(AT$3,$D$2-1)))))</f>
        <v/>
      </c>
      <c r="AU69" s="122">
        <f>IF(OR($C69="",$B$2="",$D$2=0),0,IF(AU$3&lt;0,0,N(INDEX('CURVA PREVISION'!$A$1:$KZ$3000,$C69,11+3*MIN(AU$3,$D$2-1)))))</f>
        <v/>
      </c>
      <c r="AV69" s="122">
        <f>IF(OR($C69="",$B$2="",$D$2=0),0,IF(AV$3&lt;0,0,N(INDEX('CURVA PREVISION'!$A$1:$KZ$3000,$C69,11+3*MIN(AV$3,$D$2-1)))))</f>
        <v/>
      </c>
      <c r="AW69" s="122">
        <f>IF(OR($C69="",$B$2="",$D$2=0),0,IF(AW$3&lt;0,0,N(INDEX('CURVA PREVISION'!$A$1:$KZ$3000,$C69,11+3*MIN(AW$3,$D$2-1)))))</f>
        <v/>
      </c>
      <c r="AX69" s="122">
        <f>IF(OR($C69="",$B$2="",$D$2=0),0,IF(AX$3&lt;0,0,N(INDEX('CURVA PREVISION'!$A$1:$KZ$3000,$C69,11+3*MIN(AX$3,$D$2-1)))))</f>
        <v/>
      </c>
      <c r="AY69" s="122">
        <f>IF(OR($C69="",$B$2="",$D$2=0),0,IF(AY$3&lt;0,0,N(INDEX('CURVA PREVISION'!$A$1:$KZ$3000,$C69,11+3*MIN(AY$3,$D$2-1)))))</f>
        <v/>
      </c>
      <c r="AZ69" s="122">
        <f>IF(OR($C69="",$B$2="",$D$2=0),0,IF(AZ$3&lt;0,0,N(INDEX('CURVA PREVISION'!$A$1:$KZ$3000,$C69,11+3*MIN(AZ$3,$D$2-1)))))</f>
        <v/>
      </c>
      <c r="BA69" s="122">
        <f>IF(OR($C69="",$B$2="",$D$2=0),0,IF(BA$3&lt;0,0,N(INDEX('CURVA PREVISION'!$A$1:$KZ$3000,$C69,11+3*MIN(BA$3,$D$2-1)))))</f>
        <v/>
      </c>
      <c r="BB69" s="122">
        <f>IF(OR($C69="",$B$2="",$D$2=0),0,IF(BB$3&lt;0,0,N(INDEX('CURVA PREVISION'!$A$1:$KZ$3000,$C69,11+3*MIN(BB$3,$D$2-1)))))</f>
        <v/>
      </c>
      <c r="BC69" s="122">
        <f>IF(OR($C69="",$B$2="",$D$2=0),0,IF(BC$3&lt;0,0,N(INDEX('CURVA PREVISION'!$A$1:$KZ$3000,$C69,11+3*MIN(BC$3,$D$2-1)))))</f>
        <v/>
      </c>
      <c r="BD69" s="122">
        <f>IF(OR($C69="",$B$2="",$D$2=0),0,IF(BD$3&lt;0,0,N(INDEX('CURVA PREVISION'!$A$1:$KZ$3000,$C69,11+3*MIN(BD$3,$D$2-1)))))</f>
        <v/>
      </c>
      <c r="BE69" s="122">
        <f>IF(OR($C69="",$B$2="",$D$2=0),0,IF(BE$3&lt;0,0,N(INDEX('CURVA PREVISION'!$A$1:$KZ$3000,$C69,11+3*MIN(BE$3,$D$2-1)))))</f>
        <v/>
      </c>
      <c r="BF69" s="122">
        <f>IF(OR($C69="",$B$2="",$D$2=0),0,IF(BF$3&lt;0,0,N(INDEX('CURVA PREVISION'!$A$1:$KZ$3000,$C69,11+3*MIN(BF$3,$D$2-1)))))</f>
        <v/>
      </c>
      <c r="BG69" s="122">
        <f>IF(OR($C69="",$B$2="",$D$2=0),0,IF(BG$3&lt;0,0,N(INDEX('CURVA PREVISION'!$A$1:$KZ$3000,$C69,11+3*MIN(BG$3,$D$2-1)))))</f>
        <v/>
      </c>
      <c r="BH69" s="122">
        <f>IF(OR($C69="",$B$2="",$D$2=0),0,IF(BH$3&lt;0,0,N(INDEX('CURVA PREVISION'!$A$1:$KZ$3000,$C69,11+3*MIN(BH$3,$D$2-1)))))</f>
        <v/>
      </c>
      <c r="BI69" s="122">
        <f>IF(OR($C69="",$B$2="",$D$2=0),0,IF(BI$3&lt;0,0,N(INDEX('CURVA PREVISION'!$A$1:$KZ$3000,$C69,11+3*MIN(BI$3,$D$2-1)))))</f>
        <v/>
      </c>
      <c r="BJ69" s="122">
        <f>IF(OR($C69="",$B$2="",$D$2=0),0,IF(BJ$3&lt;0,0,N(INDEX('CURVA PREVISION'!$A$1:$KZ$3000,$C69,11+3*MIN(BJ$3,$D$2-1)))))</f>
        <v/>
      </c>
      <c r="BK69" s="122">
        <f>IF(OR($C69="",$B$2="",$D$2=0),0,IF(BK$3&lt;0,0,N(INDEX('CURVA PREVISION'!$A$1:$KZ$3000,$C69,11+3*MIN(BK$3,$D$2-1)))))</f>
        <v/>
      </c>
      <c r="BL69" s="122">
        <f>IF(OR($C69="",$B$2="",$D$2=0),0,IF(BL$3&lt;0,0,N(INDEX('CURVA PREVISION'!$A$1:$KZ$3000,$C69,11+3*MIN(BL$3,$D$2-1)))))</f>
        <v/>
      </c>
      <c r="BM69" s="122">
        <f>IF(OR($C69="",$B$2="",$D$2=0),0,IF(BM$3&lt;0,0,N(INDEX('CURVA PREVISION'!$A$1:$KZ$3000,$C69,11+3*MIN(BM$3,$D$2-1)))))</f>
        <v/>
      </c>
      <c r="BN69" s="122">
        <f>IF(OR($C69="",$B$2="",$D$2=0),0,IF(BN$3&lt;0,0,N(INDEX('CURVA PREVISION'!$A$1:$KZ$3000,$C69,11+3*MIN(BN$3,$D$2-1)))))</f>
        <v/>
      </c>
      <c r="BO69" s="122">
        <f>IF(OR($C69="",$B$2="",$D$2=0),0,IF(BO$3&lt;0,0,N(INDEX('CURVA PREVISION'!$A$1:$KZ$3000,$C69,11+3*MIN(BO$3,$D$2-1)))))</f>
        <v/>
      </c>
      <c r="BP69" s="122">
        <f>IF(OR($C69="",$B$2="",$D$2=0),0,IF(BP$3&lt;0,0,N(INDEX('CURVA PREVISION'!$A$1:$KZ$3000,$C69,11+3*MIN(BP$3,$D$2-1)))))</f>
        <v/>
      </c>
      <c r="BQ69" s="122">
        <f>IF(OR($C69="",$B$2="",$D$2=0),0,IF(BQ$3&lt;0,0,N(INDEX('CURVA PREVISION'!$A$1:$KZ$3000,$C69,11+3*MIN(BQ$3,$D$2-1)))))</f>
        <v/>
      </c>
      <c r="BR69" s="122">
        <f>IF(OR($C69="",$B$2="",$D$2=0),0,IF(BR$3&lt;0,0,N(INDEX('CURVA PREVISION'!$A$1:$KZ$3000,$C69,11+3*MIN(BR$3,$D$2-1)))))</f>
        <v/>
      </c>
      <c r="BS69" s="122">
        <f>IF(OR($C69="",$B$2="",$D$2=0),0,IF(BS$3&lt;0,0,N(INDEX('CURVA PREVISION'!$A$1:$KZ$3000,$C69,11+3*MIN(BS$3,$D$2-1)))))</f>
        <v/>
      </c>
      <c r="BT69" s="122">
        <f>IF(OR($C69="",$B$2="",$D$2=0),0,IF(BT$3&lt;0,0,N(INDEX('CURVA PREVISION'!$A$1:$KZ$3000,$C69,11+3*MIN(BT$3,$D$2-1)))))</f>
        <v/>
      </c>
      <c r="BU69" s="122">
        <f>IF(OR($C69="",$B$2="",$D$2=0),0,IF(BU$3&lt;0,0,N(INDEX('CURVA PREVISION'!$A$1:$KZ$3000,$C69,11+3*MIN(BU$3,$D$2-1)))))</f>
        <v/>
      </c>
      <c r="BV69" s="122">
        <f>IF(OR($C69="",$B$2="",$D$2=0),0,IF(BV$3&lt;0,0,N(INDEX('CURVA PREVISION'!$A$1:$KZ$3000,$C69,11+3*MIN(BV$3,$D$2-1)))))</f>
        <v/>
      </c>
      <c r="BW69" s="122">
        <f>IF(OR($C69="",$B$2="",$D$2=0),0,IF(BW$3&lt;0,0,N(INDEX('CURVA PREVISION'!$A$1:$KZ$3000,$C69,11+3*MIN(BW$3,$D$2-1)))))</f>
        <v/>
      </c>
    </row>
    <row r="70">
      <c r="A70" s="51">
        <f>A28</f>
        <v/>
      </c>
      <c r="B70" s="51">
        <f>B28</f>
        <v/>
      </c>
      <c r="C70" s="68">
        <f>C28</f>
        <v/>
      </c>
      <c r="D70" s="122">
        <f>IF(OR($C70="",$B$2="",$D$2=0),0,IF(D$3&lt;0,0,N(INDEX('CURVA PREVISION'!$A$1:$KZ$3000,$C70,11+3*MIN(D$3,$D$2-1)))))</f>
        <v/>
      </c>
      <c r="E70" s="122">
        <f>IF(OR($C70="",$B$2="",$D$2=0),0,IF(E$3&lt;0,0,N(INDEX('CURVA PREVISION'!$A$1:$KZ$3000,$C70,11+3*MIN(E$3,$D$2-1)))))</f>
        <v/>
      </c>
      <c r="F70" s="122">
        <f>IF(OR($C70="",$B$2="",$D$2=0),0,IF(F$3&lt;0,0,N(INDEX('CURVA PREVISION'!$A$1:$KZ$3000,$C70,11+3*MIN(F$3,$D$2-1)))))</f>
        <v/>
      </c>
      <c r="G70" s="122">
        <f>IF(OR($C70="",$B$2="",$D$2=0),0,IF(G$3&lt;0,0,N(INDEX('CURVA PREVISION'!$A$1:$KZ$3000,$C70,11+3*MIN(G$3,$D$2-1)))))</f>
        <v/>
      </c>
      <c r="H70" s="122">
        <f>IF(OR($C70="",$B$2="",$D$2=0),0,IF(H$3&lt;0,0,N(INDEX('CURVA PREVISION'!$A$1:$KZ$3000,$C70,11+3*MIN(H$3,$D$2-1)))))</f>
        <v/>
      </c>
      <c r="I70" s="122">
        <f>IF(OR($C70="",$B$2="",$D$2=0),0,IF(I$3&lt;0,0,N(INDEX('CURVA PREVISION'!$A$1:$KZ$3000,$C70,11+3*MIN(I$3,$D$2-1)))))</f>
        <v/>
      </c>
      <c r="J70" s="122">
        <f>IF(OR($C70="",$B$2="",$D$2=0),0,IF(J$3&lt;0,0,N(INDEX('CURVA PREVISION'!$A$1:$KZ$3000,$C70,11+3*MIN(J$3,$D$2-1)))))</f>
        <v/>
      </c>
      <c r="K70" s="122">
        <f>IF(OR($C70="",$B$2="",$D$2=0),0,IF(K$3&lt;0,0,N(INDEX('CURVA PREVISION'!$A$1:$KZ$3000,$C70,11+3*MIN(K$3,$D$2-1)))))</f>
        <v/>
      </c>
      <c r="L70" s="122">
        <f>IF(OR($C70="",$B$2="",$D$2=0),0,IF(L$3&lt;0,0,N(INDEX('CURVA PREVISION'!$A$1:$KZ$3000,$C70,11+3*MIN(L$3,$D$2-1)))))</f>
        <v/>
      </c>
      <c r="M70" s="122">
        <f>IF(OR($C70="",$B$2="",$D$2=0),0,IF(M$3&lt;0,0,N(INDEX('CURVA PREVISION'!$A$1:$KZ$3000,$C70,11+3*MIN(M$3,$D$2-1)))))</f>
        <v/>
      </c>
      <c r="N70" s="122">
        <f>IF(OR($C70="",$B$2="",$D$2=0),0,IF(N$3&lt;0,0,N(INDEX('CURVA PREVISION'!$A$1:$KZ$3000,$C70,11+3*MIN(N$3,$D$2-1)))))</f>
        <v/>
      </c>
      <c r="O70" s="122">
        <f>IF(OR($C70="",$B$2="",$D$2=0),0,IF(O$3&lt;0,0,N(INDEX('CURVA PREVISION'!$A$1:$KZ$3000,$C70,11+3*MIN(O$3,$D$2-1)))))</f>
        <v/>
      </c>
      <c r="P70" s="122">
        <f>IF(OR($C70="",$B$2="",$D$2=0),0,IF(P$3&lt;0,0,N(INDEX('CURVA PREVISION'!$A$1:$KZ$3000,$C70,11+3*MIN(P$3,$D$2-1)))))</f>
        <v/>
      </c>
      <c r="Q70" s="122">
        <f>IF(OR($C70="",$B$2="",$D$2=0),0,IF(Q$3&lt;0,0,N(INDEX('CURVA PREVISION'!$A$1:$KZ$3000,$C70,11+3*MIN(Q$3,$D$2-1)))))</f>
        <v/>
      </c>
      <c r="R70" s="122">
        <f>IF(OR($C70="",$B$2="",$D$2=0),0,IF(R$3&lt;0,0,N(INDEX('CURVA PREVISION'!$A$1:$KZ$3000,$C70,11+3*MIN(R$3,$D$2-1)))))</f>
        <v/>
      </c>
      <c r="S70" s="122">
        <f>IF(OR($C70="",$B$2="",$D$2=0),0,IF(S$3&lt;0,0,N(INDEX('CURVA PREVISION'!$A$1:$KZ$3000,$C70,11+3*MIN(S$3,$D$2-1)))))</f>
        <v/>
      </c>
      <c r="T70" s="122">
        <f>IF(OR($C70="",$B$2="",$D$2=0),0,IF(T$3&lt;0,0,N(INDEX('CURVA PREVISION'!$A$1:$KZ$3000,$C70,11+3*MIN(T$3,$D$2-1)))))</f>
        <v/>
      </c>
      <c r="U70" s="122">
        <f>IF(OR($C70="",$B$2="",$D$2=0),0,IF(U$3&lt;0,0,N(INDEX('CURVA PREVISION'!$A$1:$KZ$3000,$C70,11+3*MIN(U$3,$D$2-1)))))</f>
        <v/>
      </c>
      <c r="V70" s="122">
        <f>IF(OR($C70="",$B$2="",$D$2=0),0,IF(V$3&lt;0,0,N(INDEX('CURVA PREVISION'!$A$1:$KZ$3000,$C70,11+3*MIN(V$3,$D$2-1)))))</f>
        <v/>
      </c>
      <c r="W70" s="122">
        <f>IF(OR($C70="",$B$2="",$D$2=0),0,IF(W$3&lt;0,0,N(INDEX('CURVA PREVISION'!$A$1:$KZ$3000,$C70,11+3*MIN(W$3,$D$2-1)))))</f>
        <v/>
      </c>
      <c r="X70" s="122">
        <f>IF(OR($C70="",$B$2="",$D$2=0),0,IF(X$3&lt;0,0,N(INDEX('CURVA PREVISION'!$A$1:$KZ$3000,$C70,11+3*MIN(X$3,$D$2-1)))))</f>
        <v/>
      </c>
      <c r="Y70" s="122">
        <f>IF(OR($C70="",$B$2="",$D$2=0),0,IF(Y$3&lt;0,0,N(INDEX('CURVA PREVISION'!$A$1:$KZ$3000,$C70,11+3*MIN(Y$3,$D$2-1)))))</f>
        <v/>
      </c>
      <c r="Z70" s="122">
        <f>IF(OR($C70="",$B$2="",$D$2=0),0,IF(Z$3&lt;0,0,N(INDEX('CURVA PREVISION'!$A$1:$KZ$3000,$C70,11+3*MIN(Z$3,$D$2-1)))))</f>
        <v/>
      </c>
      <c r="AA70" s="122">
        <f>IF(OR($C70="",$B$2="",$D$2=0),0,IF(AA$3&lt;0,0,N(INDEX('CURVA PREVISION'!$A$1:$KZ$3000,$C70,11+3*MIN(AA$3,$D$2-1)))))</f>
        <v/>
      </c>
      <c r="AB70" s="122">
        <f>IF(OR($C70="",$B$2="",$D$2=0),0,IF(AB$3&lt;0,0,N(INDEX('CURVA PREVISION'!$A$1:$KZ$3000,$C70,11+3*MIN(AB$3,$D$2-1)))))</f>
        <v/>
      </c>
      <c r="AC70" s="122">
        <f>IF(OR($C70="",$B$2="",$D$2=0),0,IF(AC$3&lt;0,0,N(INDEX('CURVA PREVISION'!$A$1:$KZ$3000,$C70,11+3*MIN(AC$3,$D$2-1)))))</f>
        <v/>
      </c>
      <c r="AD70" s="122">
        <f>IF(OR($C70="",$B$2="",$D$2=0),0,IF(AD$3&lt;0,0,N(INDEX('CURVA PREVISION'!$A$1:$KZ$3000,$C70,11+3*MIN(AD$3,$D$2-1)))))</f>
        <v/>
      </c>
      <c r="AE70" s="122">
        <f>IF(OR($C70="",$B$2="",$D$2=0),0,IF(AE$3&lt;0,0,N(INDEX('CURVA PREVISION'!$A$1:$KZ$3000,$C70,11+3*MIN(AE$3,$D$2-1)))))</f>
        <v/>
      </c>
      <c r="AF70" s="122">
        <f>IF(OR($C70="",$B$2="",$D$2=0),0,IF(AF$3&lt;0,0,N(INDEX('CURVA PREVISION'!$A$1:$KZ$3000,$C70,11+3*MIN(AF$3,$D$2-1)))))</f>
        <v/>
      </c>
      <c r="AG70" s="122">
        <f>IF(OR($C70="",$B$2="",$D$2=0),0,IF(AG$3&lt;0,0,N(INDEX('CURVA PREVISION'!$A$1:$KZ$3000,$C70,11+3*MIN(AG$3,$D$2-1)))))</f>
        <v/>
      </c>
      <c r="AH70" s="122">
        <f>IF(OR($C70="",$B$2="",$D$2=0),0,IF(AH$3&lt;0,0,N(INDEX('CURVA PREVISION'!$A$1:$KZ$3000,$C70,11+3*MIN(AH$3,$D$2-1)))))</f>
        <v/>
      </c>
      <c r="AI70" s="122">
        <f>IF(OR($C70="",$B$2="",$D$2=0),0,IF(AI$3&lt;0,0,N(INDEX('CURVA PREVISION'!$A$1:$KZ$3000,$C70,11+3*MIN(AI$3,$D$2-1)))))</f>
        <v/>
      </c>
      <c r="AJ70" s="122">
        <f>IF(OR($C70="",$B$2="",$D$2=0),0,IF(AJ$3&lt;0,0,N(INDEX('CURVA PREVISION'!$A$1:$KZ$3000,$C70,11+3*MIN(AJ$3,$D$2-1)))))</f>
        <v/>
      </c>
      <c r="AK70" s="122">
        <f>IF(OR($C70="",$B$2="",$D$2=0),0,IF(AK$3&lt;0,0,N(INDEX('CURVA PREVISION'!$A$1:$KZ$3000,$C70,11+3*MIN(AK$3,$D$2-1)))))</f>
        <v/>
      </c>
      <c r="AL70" s="122">
        <f>IF(OR($C70="",$B$2="",$D$2=0),0,IF(AL$3&lt;0,0,N(INDEX('CURVA PREVISION'!$A$1:$KZ$3000,$C70,11+3*MIN(AL$3,$D$2-1)))))</f>
        <v/>
      </c>
      <c r="AM70" s="122">
        <f>IF(OR($C70="",$B$2="",$D$2=0),0,IF(AM$3&lt;0,0,N(INDEX('CURVA PREVISION'!$A$1:$KZ$3000,$C70,11+3*MIN(AM$3,$D$2-1)))))</f>
        <v/>
      </c>
      <c r="AN70" s="122">
        <f>IF(OR($C70="",$B$2="",$D$2=0),0,IF(AN$3&lt;0,0,N(INDEX('CURVA PREVISION'!$A$1:$KZ$3000,$C70,11+3*MIN(AN$3,$D$2-1)))))</f>
        <v/>
      </c>
      <c r="AO70" s="122">
        <f>IF(OR($C70="",$B$2="",$D$2=0),0,IF(AO$3&lt;0,0,N(INDEX('CURVA PREVISION'!$A$1:$KZ$3000,$C70,11+3*MIN(AO$3,$D$2-1)))))</f>
        <v/>
      </c>
      <c r="AP70" s="122">
        <f>IF(OR($C70="",$B$2="",$D$2=0),0,IF(AP$3&lt;0,0,N(INDEX('CURVA PREVISION'!$A$1:$KZ$3000,$C70,11+3*MIN(AP$3,$D$2-1)))))</f>
        <v/>
      </c>
      <c r="AQ70" s="122">
        <f>IF(OR($C70="",$B$2="",$D$2=0),0,IF(AQ$3&lt;0,0,N(INDEX('CURVA PREVISION'!$A$1:$KZ$3000,$C70,11+3*MIN(AQ$3,$D$2-1)))))</f>
        <v/>
      </c>
      <c r="AR70" s="122">
        <f>IF(OR($C70="",$B$2="",$D$2=0),0,IF(AR$3&lt;0,0,N(INDEX('CURVA PREVISION'!$A$1:$KZ$3000,$C70,11+3*MIN(AR$3,$D$2-1)))))</f>
        <v/>
      </c>
      <c r="AS70" s="122">
        <f>IF(OR($C70="",$B$2="",$D$2=0),0,IF(AS$3&lt;0,0,N(INDEX('CURVA PREVISION'!$A$1:$KZ$3000,$C70,11+3*MIN(AS$3,$D$2-1)))))</f>
        <v/>
      </c>
      <c r="AT70" s="122">
        <f>IF(OR($C70="",$B$2="",$D$2=0),0,IF(AT$3&lt;0,0,N(INDEX('CURVA PREVISION'!$A$1:$KZ$3000,$C70,11+3*MIN(AT$3,$D$2-1)))))</f>
        <v/>
      </c>
      <c r="AU70" s="122">
        <f>IF(OR($C70="",$B$2="",$D$2=0),0,IF(AU$3&lt;0,0,N(INDEX('CURVA PREVISION'!$A$1:$KZ$3000,$C70,11+3*MIN(AU$3,$D$2-1)))))</f>
        <v/>
      </c>
      <c r="AV70" s="122">
        <f>IF(OR($C70="",$B$2="",$D$2=0),0,IF(AV$3&lt;0,0,N(INDEX('CURVA PREVISION'!$A$1:$KZ$3000,$C70,11+3*MIN(AV$3,$D$2-1)))))</f>
        <v/>
      </c>
      <c r="AW70" s="122">
        <f>IF(OR($C70="",$B$2="",$D$2=0),0,IF(AW$3&lt;0,0,N(INDEX('CURVA PREVISION'!$A$1:$KZ$3000,$C70,11+3*MIN(AW$3,$D$2-1)))))</f>
        <v/>
      </c>
      <c r="AX70" s="122">
        <f>IF(OR($C70="",$B$2="",$D$2=0),0,IF(AX$3&lt;0,0,N(INDEX('CURVA PREVISION'!$A$1:$KZ$3000,$C70,11+3*MIN(AX$3,$D$2-1)))))</f>
        <v/>
      </c>
      <c r="AY70" s="122">
        <f>IF(OR($C70="",$B$2="",$D$2=0),0,IF(AY$3&lt;0,0,N(INDEX('CURVA PREVISION'!$A$1:$KZ$3000,$C70,11+3*MIN(AY$3,$D$2-1)))))</f>
        <v/>
      </c>
      <c r="AZ70" s="122">
        <f>IF(OR($C70="",$B$2="",$D$2=0),0,IF(AZ$3&lt;0,0,N(INDEX('CURVA PREVISION'!$A$1:$KZ$3000,$C70,11+3*MIN(AZ$3,$D$2-1)))))</f>
        <v/>
      </c>
      <c r="BA70" s="122">
        <f>IF(OR($C70="",$B$2="",$D$2=0),0,IF(BA$3&lt;0,0,N(INDEX('CURVA PREVISION'!$A$1:$KZ$3000,$C70,11+3*MIN(BA$3,$D$2-1)))))</f>
        <v/>
      </c>
      <c r="BB70" s="122">
        <f>IF(OR($C70="",$B$2="",$D$2=0),0,IF(BB$3&lt;0,0,N(INDEX('CURVA PREVISION'!$A$1:$KZ$3000,$C70,11+3*MIN(BB$3,$D$2-1)))))</f>
        <v/>
      </c>
      <c r="BC70" s="122">
        <f>IF(OR($C70="",$B$2="",$D$2=0),0,IF(BC$3&lt;0,0,N(INDEX('CURVA PREVISION'!$A$1:$KZ$3000,$C70,11+3*MIN(BC$3,$D$2-1)))))</f>
        <v/>
      </c>
      <c r="BD70" s="122">
        <f>IF(OR($C70="",$B$2="",$D$2=0),0,IF(BD$3&lt;0,0,N(INDEX('CURVA PREVISION'!$A$1:$KZ$3000,$C70,11+3*MIN(BD$3,$D$2-1)))))</f>
        <v/>
      </c>
      <c r="BE70" s="122">
        <f>IF(OR($C70="",$B$2="",$D$2=0),0,IF(BE$3&lt;0,0,N(INDEX('CURVA PREVISION'!$A$1:$KZ$3000,$C70,11+3*MIN(BE$3,$D$2-1)))))</f>
        <v/>
      </c>
      <c r="BF70" s="122">
        <f>IF(OR($C70="",$B$2="",$D$2=0),0,IF(BF$3&lt;0,0,N(INDEX('CURVA PREVISION'!$A$1:$KZ$3000,$C70,11+3*MIN(BF$3,$D$2-1)))))</f>
        <v/>
      </c>
      <c r="BG70" s="122">
        <f>IF(OR($C70="",$B$2="",$D$2=0),0,IF(BG$3&lt;0,0,N(INDEX('CURVA PREVISION'!$A$1:$KZ$3000,$C70,11+3*MIN(BG$3,$D$2-1)))))</f>
        <v/>
      </c>
      <c r="BH70" s="122">
        <f>IF(OR($C70="",$B$2="",$D$2=0),0,IF(BH$3&lt;0,0,N(INDEX('CURVA PREVISION'!$A$1:$KZ$3000,$C70,11+3*MIN(BH$3,$D$2-1)))))</f>
        <v/>
      </c>
      <c r="BI70" s="122">
        <f>IF(OR($C70="",$B$2="",$D$2=0),0,IF(BI$3&lt;0,0,N(INDEX('CURVA PREVISION'!$A$1:$KZ$3000,$C70,11+3*MIN(BI$3,$D$2-1)))))</f>
        <v/>
      </c>
      <c r="BJ70" s="122">
        <f>IF(OR($C70="",$B$2="",$D$2=0),0,IF(BJ$3&lt;0,0,N(INDEX('CURVA PREVISION'!$A$1:$KZ$3000,$C70,11+3*MIN(BJ$3,$D$2-1)))))</f>
        <v/>
      </c>
      <c r="BK70" s="122">
        <f>IF(OR($C70="",$B$2="",$D$2=0),0,IF(BK$3&lt;0,0,N(INDEX('CURVA PREVISION'!$A$1:$KZ$3000,$C70,11+3*MIN(BK$3,$D$2-1)))))</f>
        <v/>
      </c>
      <c r="BL70" s="122">
        <f>IF(OR($C70="",$B$2="",$D$2=0),0,IF(BL$3&lt;0,0,N(INDEX('CURVA PREVISION'!$A$1:$KZ$3000,$C70,11+3*MIN(BL$3,$D$2-1)))))</f>
        <v/>
      </c>
      <c r="BM70" s="122">
        <f>IF(OR($C70="",$B$2="",$D$2=0),0,IF(BM$3&lt;0,0,N(INDEX('CURVA PREVISION'!$A$1:$KZ$3000,$C70,11+3*MIN(BM$3,$D$2-1)))))</f>
        <v/>
      </c>
      <c r="BN70" s="122">
        <f>IF(OR($C70="",$B$2="",$D$2=0),0,IF(BN$3&lt;0,0,N(INDEX('CURVA PREVISION'!$A$1:$KZ$3000,$C70,11+3*MIN(BN$3,$D$2-1)))))</f>
        <v/>
      </c>
      <c r="BO70" s="122">
        <f>IF(OR($C70="",$B$2="",$D$2=0),0,IF(BO$3&lt;0,0,N(INDEX('CURVA PREVISION'!$A$1:$KZ$3000,$C70,11+3*MIN(BO$3,$D$2-1)))))</f>
        <v/>
      </c>
      <c r="BP70" s="122">
        <f>IF(OR($C70="",$B$2="",$D$2=0),0,IF(BP$3&lt;0,0,N(INDEX('CURVA PREVISION'!$A$1:$KZ$3000,$C70,11+3*MIN(BP$3,$D$2-1)))))</f>
        <v/>
      </c>
      <c r="BQ70" s="122">
        <f>IF(OR($C70="",$B$2="",$D$2=0),0,IF(BQ$3&lt;0,0,N(INDEX('CURVA PREVISION'!$A$1:$KZ$3000,$C70,11+3*MIN(BQ$3,$D$2-1)))))</f>
        <v/>
      </c>
      <c r="BR70" s="122">
        <f>IF(OR($C70="",$B$2="",$D$2=0),0,IF(BR$3&lt;0,0,N(INDEX('CURVA PREVISION'!$A$1:$KZ$3000,$C70,11+3*MIN(BR$3,$D$2-1)))))</f>
        <v/>
      </c>
      <c r="BS70" s="122">
        <f>IF(OR($C70="",$B$2="",$D$2=0),0,IF(BS$3&lt;0,0,N(INDEX('CURVA PREVISION'!$A$1:$KZ$3000,$C70,11+3*MIN(BS$3,$D$2-1)))))</f>
        <v/>
      </c>
      <c r="BT70" s="122">
        <f>IF(OR($C70="",$B$2="",$D$2=0),0,IF(BT$3&lt;0,0,N(INDEX('CURVA PREVISION'!$A$1:$KZ$3000,$C70,11+3*MIN(BT$3,$D$2-1)))))</f>
        <v/>
      </c>
      <c r="BU70" s="122">
        <f>IF(OR($C70="",$B$2="",$D$2=0),0,IF(BU$3&lt;0,0,N(INDEX('CURVA PREVISION'!$A$1:$KZ$3000,$C70,11+3*MIN(BU$3,$D$2-1)))))</f>
        <v/>
      </c>
      <c r="BV70" s="122">
        <f>IF(OR($C70="",$B$2="",$D$2=0),0,IF(BV$3&lt;0,0,N(INDEX('CURVA PREVISION'!$A$1:$KZ$3000,$C70,11+3*MIN(BV$3,$D$2-1)))))</f>
        <v/>
      </c>
      <c r="BW70" s="122">
        <f>IF(OR($C70="",$B$2="",$D$2=0),0,IF(BW$3&lt;0,0,N(INDEX('CURVA PREVISION'!$A$1:$KZ$3000,$C70,11+3*MIN(BW$3,$D$2-1)))))</f>
        <v/>
      </c>
    </row>
    <row r="71">
      <c r="A71" s="51">
        <f>A29</f>
        <v/>
      </c>
      <c r="B71" s="51">
        <f>B29</f>
        <v/>
      </c>
      <c r="C71" s="68">
        <f>C29</f>
        <v/>
      </c>
      <c r="D71" s="122">
        <f>IF(OR($C71="",$B$2="",$D$2=0),0,IF(D$3&lt;0,0,N(INDEX('CURVA PREVISION'!$A$1:$KZ$3000,$C71,11+3*MIN(D$3,$D$2-1)))))</f>
        <v/>
      </c>
      <c r="E71" s="122">
        <f>IF(OR($C71="",$B$2="",$D$2=0),0,IF(E$3&lt;0,0,N(INDEX('CURVA PREVISION'!$A$1:$KZ$3000,$C71,11+3*MIN(E$3,$D$2-1)))))</f>
        <v/>
      </c>
      <c r="F71" s="122">
        <f>IF(OR($C71="",$B$2="",$D$2=0),0,IF(F$3&lt;0,0,N(INDEX('CURVA PREVISION'!$A$1:$KZ$3000,$C71,11+3*MIN(F$3,$D$2-1)))))</f>
        <v/>
      </c>
      <c r="G71" s="122">
        <f>IF(OR($C71="",$B$2="",$D$2=0),0,IF(G$3&lt;0,0,N(INDEX('CURVA PREVISION'!$A$1:$KZ$3000,$C71,11+3*MIN(G$3,$D$2-1)))))</f>
        <v/>
      </c>
      <c r="H71" s="122">
        <f>IF(OR($C71="",$B$2="",$D$2=0),0,IF(H$3&lt;0,0,N(INDEX('CURVA PREVISION'!$A$1:$KZ$3000,$C71,11+3*MIN(H$3,$D$2-1)))))</f>
        <v/>
      </c>
      <c r="I71" s="122">
        <f>IF(OR($C71="",$B$2="",$D$2=0),0,IF(I$3&lt;0,0,N(INDEX('CURVA PREVISION'!$A$1:$KZ$3000,$C71,11+3*MIN(I$3,$D$2-1)))))</f>
        <v/>
      </c>
      <c r="J71" s="122">
        <f>IF(OR($C71="",$B$2="",$D$2=0),0,IF(J$3&lt;0,0,N(INDEX('CURVA PREVISION'!$A$1:$KZ$3000,$C71,11+3*MIN(J$3,$D$2-1)))))</f>
        <v/>
      </c>
      <c r="K71" s="122">
        <f>IF(OR($C71="",$B$2="",$D$2=0),0,IF(K$3&lt;0,0,N(INDEX('CURVA PREVISION'!$A$1:$KZ$3000,$C71,11+3*MIN(K$3,$D$2-1)))))</f>
        <v/>
      </c>
      <c r="L71" s="122">
        <f>IF(OR($C71="",$B$2="",$D$2=0),0,IF(L$3&lt;0,0,N(INDEX('CURVA PREVISION'!$A$1:$KZ$3000,$C71,11+3*MIN(L$3,$D$2-1)))))</f>
        <v/>
      </c>
      <c r="M71" s="122">
        <f>IF(OR($C71="",$B$2="",$D$2=0),0,IF(M$3&lt;0,0,N(INDEX('CURVA PREVISION'!$A$1:$KZ$3000,$C71,11+3*MIN(M$3,$D$2-1)))))</f>
        <v/>
      </c>
      <c r="N71" s="122">
        <f>IF(OR($C71="",$B$2="",$D$2=0),0,IF(N$3&lt;0,0,N(INDEX('CURVA PREVISION'!$A$1:$KZ$3000,$C71,11+3*MIN(N$3,$D$2-1)))))</f>
        <v/>
      </c>
      <c r="O71" s="122">
        <f>IF(OR($C71="",$B$2="",$D$2=0),0,IF(O$3&lt;0,0,N(INDEX('CURVA PREVISION'!$A$1:$KZ$3000,$C71,11+3*MIN(O$3,$D$2-1)))))</f>
        <v/>
      </c>
      <c r="P71" s="122">
        <f>IF(OR($C71="",$B$2="",$D$2=0),0,IF(P$3&lt;0,0,N(INDEX('CURVA PREVISION'!$A$1:$KZ$3000,$C71,11+3*MIN(P$3,$D$2-1)))))</f>
        <v/>
      </c>
      <c r="Q71" s="122">
        <f>IF(OR($C71="",$B$2="",$D$2=0),0,IF(Q$3&lt;0,0,N(INDEX('CURVA PREVISION'!$A$1:$KZ$3000,$C71,11+3*MIN(Q$3,$D$2-1)))))</f>
        <v/>
      </c>
      <c r="R71" s="122">
        <f>IF(OR($C71="",$B$2="",$D$2=0),0,IF(R$3&lt;0,0,N(INDEX('CURVA PREVISION'!$A$1:$KZ$3000,$C71,11+3*MIN(R$3,$D$2-1)))))</f>
        <v/>
      </c>
      <c r="S71" s="122">
        <f>IF(OR($C71="",$B$2="",$D$2=0),0,IF(S$3&lt;0,0,N(INDEX('CURVA PREVISION'!$A$1:$KZ$3000,$C71,11+3*MIN(S$3,$D$2-1)))))</f>
        <v/>
      </c>
      <c r="T71" s="122">
        <f>IF(OR($C71="",$B$2="",$D$2=0),0,IF(T$3&lt;0,0,N(INDEX('CURVA PREVISION'!$A$1:$KZ$3000,$C71,11+3*MIN(T$3,$D$2-1)))))</f>
        <v/>
      </c>
      <c r="U71" s="122">
        <f>IF(OR($C71="",$B$2="",$D$2=0),0,IF(U$3&lt;0,0,N(INDEX('CURVA PREVISION'!$A$1:$KZ$3000,$C71,11+3*MIN(U$3,$D$2-1)))))</f>
        <v/>
      </c>
      <c r="V71" s="122">
        <f>IF(OR($C71="",$B$2="",$D$2=0),0,IF(V$3&lt;0,0,N(INDEX('CURVA PREVISION'!$A$1:$KZ$3000,$C71,11+3*MIN(V$3,$D$2-1)))))</f>
        <v/>
      </c>
      <c r="W71" s="122">
        <f>IF(OR($C71="",$B$2="",$D$2=0),0,IF(W$3&lt;0,0,N(INDEX('CURVA PREVISION'!$A$1:$KZ$3000,$C71,11+3*MIN(W$3,$D$2-1)))))</f>
        <v/>
      </c>
      <c r="X71" s="122">
        <f>IF(OR($C71="",$B$2="",$D$2=0),0,IF(X$3&lt;0,0,N(INDEX('CURVA PREVISION'!$A$1:$KZ$3000,$C71,11+3*MIN(X$3,$D$2-1)))))</f>
        <v/>
      </c>
      <c r="Y71" s="122">
        <f>IF(OR($C71="",$B$2="",$D$2=0),0,IF(Y$3&lt;0,0,N(INDEX('CURVA PREVISION'!$A$1:$KZ$3000,$C71,11+3*MIN(Y$3,$D$2-1)))))</f>
        <v/>
      </c>
      <c r="Z71" s="122">
        <f>IF(OR($C71="",$B$2="",$D$2=0),0,IF(Z$3&lt;0,0,N(INDEX('CURVA PREVISION'!$A$1:$KZ$3000,$C71,11+3*MIN(Z$3,$D$2-1)))))</f>
        <v/>
      </c>
      <c r="AA71" s="122">
        <f>IF(OR($C71="",$B$2="",$D$2=0),0,IF(AA$3&lt;0,0,N(INDEX('CURVA PREVISION'!$A$1:$KZ$3000,$C71,11+3*MIN(AA$3,$D$2-1)))))</f>
        <v/>
      </c>
      <c r="AB71" s="122">
        <f>IF(OR($C71="",$B$2="",$D$2=0),0,IF(AB$3&lt;0,0,N(INDEX('CURVA PREVISION'!$A$1:$KZ$3000,$C71,11+3*MIN(AB$3,$D$2-1)))))</f>
        <v/>
      </c>
      <c r="AC71" s="122">
        <f>IF(OR($C71="",$B$2="",$D$2=0),0,IF(AC$3&lt;0,0,N(INDEX('CURVA PREVISION'!$A$1:$KZ$3000,$C71,11+3*MIN(AC$3,$D$2-1)))))</f>
        <v/>
      </c>
      <c r="AD71" s="122">
        <f>IF(OR($C71="",$B$2="",$D$2=0),0,IF(AD$3&lt;0,0,N(INDEX('CURVA PREVISION'!$A$1:$KZ$3000,$C71,11+3*MIN(AD$3,$D$2-1)))))</f>
        <v/>
      </c>
      <c r="AE71" s="122">
        <f>IF(OR($C71="",$B$2="",$D$2=0),0,IF(AE$3&lt;0,0,N(INDEX('CURVA PREVISION'!$A$1:$KZ$3000,$C71,11+3*MIN(AE$3,$D$2-1)))))</f>
        <v/>
      </c>
      <c r="AF71" s="122">
        <f>IF(OR($C71="",$B$2="",$D$2=0),0,IF(AF$3&lt;0,0,N(INDEX('CURVA PREVISION'!$A$1:$KZ$3000,$C71,11+3*MIN(AF$3,$D$2-1)))))</f>
        <v/>
      </c>
      <c r="AG71" s="122">
        <f>IF(OR($C71="",$B$2="",$D$2=0),0,IF(AG$3&lt;0,0,N(INDEX('CURVA PREVISION'!$A$1:$KZ$3000,$C71,11+3*MIN(AG$3,$D$2-1)))))</f>
        <v/>
      </c>
      <c r="AH71" s="122">
        <f>IF(OR($C71="",$B$2="",$D$2=0),0,IF(AH$3&lt;0,0,N(INDEX('CURVA PREVISION'!$A$1:$KZ$3000,$C71,11+3*MIN(AH$3,$D$2-1)))))</f>
        <v/>
      </c>
      <c r="AI71" s="122">
        <f>IF(OR($C71="",$B$2="",$D$2=0),0,IF(AI$3&lt;0,0,N(INDEX('CURVA PREVISION'!$A$1:$KZ$3000,$C71,11+3*MIN(AI$3,$D$2-1)))))</f>
        <v/>
      </c>
      <c r="AJ71" s="122">
        <f>IF(OR($C71="",$B$2="",$D$2=0),0,IF(AJ$3&lt;0,0,N(INDEX('CURVA PREVISION'!$A$1:$KZ$3000,$C71,11+3*MIN(AJ$3,$D$2-1)))))</f>
        <v/>
      </c>
      <c r="AK71" s="122">
        <f>IF(OR($C71="",$B$2="",$D$2=0),0,IF(AK$3&lt;0,0,N(INDEX('CURVA PREVISION'!$A$1:$KZ$3000,$C71,11+3*MIN(AK$3,$D$2-1)))))</f>
        <v/>
      </c>
      <c r="AL71" s="122">
        <f>IF(OR($C71="",$B$2="",$D$2=0),0,IF(AL$3&lt;0,0,N(INDEX('CURVA PREVISION'!$A$1:$KZ$3000,$C71,11+3*MIN(AL$3,$D$2-1)))))</f>
        <v/>
      </c>
      <c r="AM71" s="122">
        <f>IF(OR($C71="",$B$2="",$D$2=0),0,IF(AM$3&lt;0,0,N(INDEX('CURVA PREVISION'!$A$1:$KZ$3000,$C71,11+3*MIN(AM$3,$D$2-1)))))</f>
        <v/>
      </c>
      <c r="AN71" s="122">
        <f>IF(OR($C71="",$B$2="",$D$2=0),0,IF(AN$3&lt;0,0,N(INDEX('CURVA PREVISION'!$A$1:$KZ$3000,$C71,11+3*MIN(AN$3,$D$2-1)))))</f>
        <v/>
      </c>
      <c r="AO71" s="122">
        <f>IF(OR($C71="",$B$2="",$D$2=0),0,IF(AO$3&lt;0,0,N(INDEX('CURVA PREVISION'!$A$1:$KZ$3000,$C71,11+3*MIN(AO$3,$D$2-1)))))</f>
        <v/>
      </c>
      <c r="AP71" s="122">
        <f>IF(OR($C71="",$B$2="",$D$2=0),0,IF(AP$3&lt;0,0,N(INDEX('CURVA PREVISION'!$A$1:$KZ$3000,$C71,11+3*MIN(AP$3,$D$2-1)))))</f>
        <v/>
      </c>
      <c r="AQ71" s="122">
        <f>IF(OR($C71="",$B$2="",$D$2=0),0,IF(AQ$3&lt;0,0,N(INDEX('CURVA PREVISION'!$A$1:$KZ$3000,$C71,11+3*MIN(AQ$3,$D$2-1)))))</f>
        <v/>
      </c>
      <c r="AR71" s="122">
        <f>IF(OR($C71="",$B$2="",$D$2=0),0,IF(AR$3&lt;0,0,N(INDEX('CURVA PREVISION'!$A$1:$KZ$3000,$C71,11+3*MIN(AR$3,$D$2-1)))))</f>
        <v/>
      </c>
      <c r="AS71" s="122">
        <f>IF(OR($C71="",$B$2="",$D$2=0),0,IF(AS$3&lt;0,0,N(INDEX('CURVA PREVISION'!$A$1:$KZ$3000,$C71,11+3*MIN(AS$3,$D$2-1)))))</f>
        <v/>
      </c>
      <c r="AT71" s="122">
        <f>IF(OR($C71="",$B$2="",$D$2=0),0,IF(AT$3&lt;0,0,N(INDEX('CURVA PREVISION'!$A$1:$KZ$3000,$C71,11+3*MIN(AT$3,$D$2-1)))))</f>
        <v/>
      </c>
      <c r="AU71" s="122">
        <f>IF(OR($C71="",$B$2="",$D$2=0),0,IF(AU$3&lt;0,0,N(INDEX('CURVA PREVISION'!$A$1:$KZ$3000,$C71,11+3*MIN(AU$3,$D$2-1)))))</f>
        <v/>
      </c>
      <c r="AV71" s="122">
        <f>IF(OR($C71="",$B$2="",$D$2=0),0,IF(AV$3&lt;0,0,N(INDEX('CURVA PREVISION'!$A$1:$KZ$3000,$C71,11+3*MIN(AV$3,$D$2-1)))))</f>
        <v/>
      </c>
      <c r="AW71" s="122">
        <f>IF(OR($C71="",$B$2="",$D$2=0),0,IF(AW$3&lt;0,0,N(INDEX('CURVA PREVISION'!$A$1:$KZ$3000,$C71,11+3*MIN(AW$3,$D$2-1)))))</f>
        <v/>
      </c>
      <c r="AX71" s="122">
        <f>IF(OR($C71="",$B$2="",$D$2=0),0,IF(AX$3&lt;0,0,N(INDEX('CURVA PREVISION'!$A$1:$KZ$3000,$C71,11+3*MIN(AX$3,$D$2-1)))))</f>
        <v/>
      </c>
      <c r="AY71" s="122">
        <f>IF(OR($C71="",$B$2="",$D$2=0),0,IF(AY$3&lt;0,0,N(INDEX('CURVA PREVISION'!$A$1:$KZ$3000,$C71,11+3*MIN(AY$3,$D$2-1)))))</f>
        <v/>
      </c>
      <c r="AZ71" s="122">
        <f>IF(OR($C71="",$B$2="",$D$2=0),0,IF(AZ$3&lt;0,0,N(INDEX('CURVA PREVISION'!$A$1:$KZ$3000,$C71,11+3*MIN(AZ$3,$D$2-1)))))</f>
        <v/>
      </c>
      <c r="BA71" s="122">
        <f>IF(OR($C71="",$B$2="",$D$2=0),0,IF(BA$3&lt;0,0,N(INDEX('CURVA PREVISION'!$A$1:$KZ$3000,$C71,11+3*MIN(BA$3,$D$2-1)))))</f>
        <v/>
      </c>
      <c r="BB71" s="122">
        <f>IF(OR($C71="",$B$2="",$D$2=0),0,IF(BB$3&lt;0,0,N(INDEX('CURVA PREVISION'!$A$1:$KZ$3000,$C71,11+3*MIN(BB$3,$D$2-1)))))</f>
        <v/>
      </c>
      <c r="BC71" s="122">
        <f>IF(OR($C71="",$B$2="",$D$2=0),0,IF(BC$3&lt;0,0,N(INDEX('CURVA PREVISION'!$A$1:$KZ$3000,$C71,11+3*MIN(BC$3,$D$2-1)))))</f>
        <v/>
      </c>
      <c r="BD71" s="122">
        <f>IF(OR($C71="",$B$2="",$D$2=0),0,IF(BD$3&lt;0,0,N(INDEX('CURVA PREVISION'!$A$1:$KZ$3000,$C71,11+3*MIN(BD$3,$D$2-1)))))</f>
        <v/>
      </c>
      <c r="BE71" s="122">
        <f>IF(OR($C71="",$B$2="",$D$2=0),0,IF(BE$3&lt;0,0,N(INDEX('CURVA PREVISION'!$A$1:$KZ$3000,$C71,11+3*MIN(BE$3,$D$2-1)))))</f>
        <v/>
      </c>
      <c r="BF71" s="122">
        <f>IF(OR($C71="",$B$2="",$D$2=0),0,IF(BF$3&lt;0,0,N(INDEX('CURVA PREVISION'!$A$1:$KZ$3000,$C71,11+3*MIN(BF$3,$D$2-1)))))</f>
        <v/>
      </c>
      <c r="BG71" s="122">
        <f>IF(OR($C71="",$B$2="",$D$2=0),0,IF(BG$3&lt;0,0,N(INDEX('CURVA PREVISION'!$A$1:$KZ$3000,$C71,11+3*MIN(BG$3,$D$2-1)))))</f>
        <v/>
      </c>
      <c r="BH71" s="122">
        <f>IF(OR($C71="",$B$2="",$D$2=0),0,IF(BH$3&lt;0,0,N(INDEX('CURVA PREVISION'!$A$1:$KZ$3000,$C71,11+3*MIN(BH$3,$D$2-1)))))</f>
        <v/>
      </c>
      <c r="BI71" s="122">
        <f>IF(OR($C71="",$B$2="",$D$2=0),0,IF(BI$3&lt;0,0,N(INDEX('CURVA PREVISION'!$A$1:$KZ$3000,$C71,11+3*MIN(BI$3,$D$2-1)))))</f>
        <v/>
      </c>
      <c r="BJ71" s="122">
        <f>IF(OR($C71="",$B$2="",$D$2=0),0,IF(BJ$3&lt;0,0,N(INDEX('CURVA PREVISION'!$A$1:$KZ$3000,$C71,11+3*MIN(BJ$3,$D$2-1)))))</f>
        <v/>
      </c>
      <c r="BK71" s="122">
        <f>IF(OR($C71="",$B$2="",$D$2=0),0,IF(BK$3&lt;0,0,N(INDEX('CURVA PREVISION'!$A$1:$KZ$3000,$C71,11+3*MIN(BK$3,$D$2-1)))))</f>
        <v/>
      </c>
      <c r="BL71" s="122">
        <f>IF(OR($C71="",$B$2="",$D$2=0),0,IF(BL$3&lt;0,0,N(INDEX('CURVA PREVISION'!$A$1:$KZ$3000,$C71,11+3*MIN(BL$3,$D$2-1)))))</f>
        <v/>
      </c>
      <c r="BM71" s="122">
        <f>IF(OR($C71="",$B$2="",$D$2=0),0,IF(BM$3&lt;0,0,N(INDEX('CURVA PREVISION'!$A$1:$KZ$3000,$C71,11+3*MIN(BM$3,$D$2-1)))))</f>
        <v/>
      </c>
      <c r="BN71" s="122">
        <f>IF(OR($C71="",$B$2="",$D$2=0),0,IF(BN$3&lt;0,0,N(INDEX('CURVA PREVISION'!$A$1:$KZ$3000,$C71,11+3*MIN(BN$3,$D$2-1)))))</f>
        <v/>
      </c>
      <c r="BO71" s="122">
        <f>IF(OR($C71="",$B$2="",$D$2=0),0,IF(BO$3&lt;0,0,N(INDEX('CURVA PREVISION'!$A$1:$KZ$3000,$C71,11+3*MIN(BO$3,$D$2-1)))))</f>
        <v/>
      </c>
      <c r="BP71" s="122">
        <f>IF(OR($C71="",$B$2="",$D$2=0),0,IF(BP$3&lt;0,0,N(INDEX('CURVA PREVISION'!$A$1:$KZ$3000,$C71,11+3*MIN(BP$3,$D$2-1)))))</f>
        <v/>
      </c>
      <c r="BQ71" s="122">
        <f>IF(OR($C71="",$B$2="",$D$2=0),0,IF(BQ$3&lt;0,0,N(INDEX('CURVA PREVISION'!$A$1:$KZ$3000,$C71,11+3*MIN(BQ$3,$D$2-1)))))</f>
        <v/>
      </c>
      <c r="BR71" s="122">
        <f>IF(OR($C71="",$B$2="",$D$2=0),0,IF(BR$3&lt;0,0,N(INDEX('CURVA PREVISION'!$A$1:$KZ$3000,$C71,11+3*MIN(BR$3,$D$2-1)))))</f>
        <v/>
      </c>
      <c r="BS71" s="122">
        <f>IF(OR($C71="",$B$2="",$D$2=0),0,IF(BS$3&lt;0,0,N(INDEX('CURVA PREVISION'!$A$1:$KZ$3000,$C71,11+3*MIN(BS$3,$D$2-1)))))</f>
        <v/>
      </c>
      <c r="BT71" s="122">
        <f>IF(OR($C71="",$B$2="",$D$2=0),0,IF(BT$3&lt;0,0,N(INDEX('CURVA PREVISION'!$A$1:$KZ$3000,$C71,11+3*MIN(BT$3,$D$2-1)))))</f>
        <v/>
      </c>
      <c r="BU71" s="122">
        <f>IF(OR($C71="",$B$2="",$D$2=0),0,IF(BU$3&lt;0,0,N(INDEX('CURVA PREVISION'!$A$1:$KZ$3000,$C71,11+3*MIN(BU$3,$D$2-1)))))</f>
        <v/>
      </c>
      <c r="BV71" s="122">
        <f>IF(OR($C71="",$B$2="",$D$2=0),0,IF(BV$3&lt;0,0,N(INDEX('CURVA PREVISION'!$A$1:$KZ$3000,$C71,11+3*MIN(BV$3,$D$2-1)))))</f>
        <v/>
      </c>
      <c r="BW71" s="122">
        <f>IF(OR($C71="",$B$2="",$D$2=0),0,IF(BW$3&lt;0,0,N(INDEX('CURVA PREVISION'!$A$1:$KZ$3000,$C71,11+3*MIN(BW$3,$D$2-1)))))</f>
        <v/>
      </c>
    </row>
    <row r="72">
      <c r="A72" s="51">
        <f>A30</f>
        <v/>
      </c>
      <c r="B72" s="51">
        <f>B30</f>
        <v/>
      </c>
      <c r="C72" s="68">
        <f>C30</f>
        <v/>
      </c>
      <c r="D72" s="122">
        <f>IF(OR($C72="",$B$2="",$D$2=0),0,IF(D$3&lt;0,0,N(INDEX('CURVA PREVISION'!$A$1:$KZ$3000,$C72,11+3*MIN(D$3,$D$2-1)))))</f>
        <v/>
      </c>
      <c r="E72" s="122">
        <f>IF(OR($C72="",$B$2="",$D$2=0),0,IF(E$3&lt;0,0,N(INDEX('CURVA PREVISION'!$A$1:$KZ$3000,$C72,11+3*MIN(E$3,$D$2-1)))))</f>
        <v/>
      </c>
      <c r="F72" s="122">
        <f>IF(OR($C72="",$B$2="",$D$2=0),0,IF(F$3&lt;0,0,N(INDEX('CURVA PREVISION'!$A$1:$KZ$3000,$C72,11+3*MIN(F$3,$D$2-1)))))</f>
        <v/>
      </c>
      <c r="G72" s="122">
        <f>IF(OR($C72="",$B$2="",$D$2=0),0,IF(G$3&lt;0,0,N(INDEX('CURVA PREVISION'!$A$1:$KZ$3000,$C72,11+3*MIN(G$3,$D$2-1)))))</f>
        <v/>
      </c>
      <c r="H72" s="122">
        <f>IF(OR($C72="",$B$2="",$D$2=0),0,IF(H$3&lt;0,0,N(INDEX('CURVA PREVISION'!$A$1:$KZ$3000,$C72,11+3*MIN(H$3,$D$2-1)))))</f>
        <v/>
      </c>
      <c r="I72" s="122">
        <f>IF(OR($C72="",$B$2="",$D$2=0),0,IF(I$3&lt;0,0,N(INDEX('CURVA PREVISION'!$A$1:$KZ$3000,$C72,11+3*MIN(I$3,$D$2-1)))))</f>
        <v/>
      </c>
      <c r="J72" s="122">
        <f>IF(OR($C72="",$B$2="",$D$2=0),0,IF(J$3&lt;0,0,N(INDEX('CURVA PREVISION'!$A$1:$KZ$3000,$C72,11+3*MIN(J$3,$D$2-1)))))</f>
        <v/>
      </c>
      <c r="K72" s="122">
        <f>IF(OR($C72="",$B$2="",$D$2=0),0,IF(K$3&lt;0,0,N(INDEX('CURVA PREVISION'!$A$1:$KZ$3000,$C72,11+3*MIN(K$3,$D$2-1)))))</f>
        <v/>
      </c>
      <c r="L72" s="122">
        <f>IF(OR($C72="",$B$2="",$D$2=0),0,IF(L$3&lt;0,0,N(INDEX('CURVA PREVISION'!$A$1:$KZ$3000,$C72,11+3*MIN(L$3,$D$2-1)))))</f>
        <v/>
      </c>
      <c r="M72" s="122">
        <f>IF(OR($C72="",$B$2="",$D$2=0),0,IF(M$3&lt;0,0,N(INDEX('CURVA PREVISION'!$A$1:$KZ$3000,$C72,11+3*MIN(M$3,$D$2-1)))))</f>
        <v/>
      </c>
      <c r="N72" s="122">
        <f>IF(OR($C72="",$B$2="",$D$2=0),0,IF(N$3&lt;0,0,N(INDEX('CURVA PREVISION'!$A$1:$KZ$3000,$C72,11+3*MIN(N$3,$D$2-1)))))</f>
        <v/>
      </c>
      <c r="O72" s="122">
        <f>IF(OR($C72="",$B$2="",$D$2=0),0,IF(O$3&lt;0,0,N(INDEX('CURVA PREVISION'!$A$1:$KZ$3000,$C72,11+3*MIN(O$3,$D$2-1)))))</f>
        <v/>
      </c>
      <c r="P72" s="122">
        <f>IF(OR($C72="",$B$2="",$D$2=0),0,IF(P$3&lt;0,0,N(INDEX('CURVA PREVISION'!$A$1:$KZ$3000,$C72,11+3*MIN(P$3,$D$2-1)))))</f>
        <v/>
      </c>
      <c r="Q72" s="122">
        <f>IF(OR($C72="",$B$2="",$D$2=0),0,IF(Q$3&lt;0,0,N(INDEX('CURVA PREVISION'!$A$1:$KZ$3000,$C72,11+3*MIN(Q$3,$D$2-1)))))</f>
        <v/>
      </c>
      <c r="R72" s="122">
        <f>IF(OR($C72="",$B$2="",$D$2=0),0,IF(R$3&lt;0,0,N(INDEX('CURVA PREVISION'!$A$1:$KZ$3000,$C72,11+3*MIN(R$3,$D$2-1)))))</f>
        <v/>
      </c>
      <c r="S72" s="122">
        <f>IF(OR($C72="",$B$2="",$D$2=0),0,IF(S$3&lt;0,0,N(INDEX('CURVA PREVISION'!$A$1:$KZ$3000,$C72,11+3*MIN(S$3,$D$2-1)))))</f>
        <v/>
      </c>
      <c r="T72" s="122">
        <f>IF(OR($C72="",$B$2="",$D$2=0),0,IF(T$3&lt;0,0,N(INDEX('CURVA PREVISION'!$A$1:$KZ$3000,$C72,11+3*MIN(T$3,$D$2-1)))))</f>
        <v/>
      </c>
      <c r="U72" s="122">
        <f>IF(OR($C72="",$B$2="",$D$2=0),0,IF(U$3&lt;0,0,N(INDEX('CURVA PREVISION'!$A$1:$KZ$3000,$C72,11+3*MIN(U$3,$D$2-1)))))</f>
        <v/>
      </c>
      <c r="V72" s="122">
        <f>IF(OR($C72="",$B$2="",$D$2=0),0,IF(V$3&lt;0,0,N(INDEX('CURVA PREVISION'!$A$1:$KZ$3000,$C72,11+3*MIN(V$3,$D$2-1)))))</f>
        <v/>
      </c>
      <c r="W72" s="122">
        <f>IF(OR($C72="",$B$2="",$D$2=0),0,IF(W$3&lt;0,0,N(INDEX('CURVA PREVISION'!$A$1:$KZ$3000,$C72,11+3*MIN(W$3,$D$2-1)))))</f>
        <v/>
      </c>
      <c r="X72" s="122">
        <f>IF(OR($C72="",$B$2="",$D$2=0),0,IF(X$3&lt;0,0,N(INDEX('CURVA PREVISION'!$A$1:$KZ$3000,$C72,11+3*MIN(X$3,$D$2-1)))))</f>
        <v/>
      </c>
      <c r="Y72" s="122">
        <f>IF(OR($C72="",$B$2="",$D$2=0),0,IF(Y$3&lt;0,0,N(INDEX('CURVA PREVISION'!$A$1:$KZ$3000,$C72,11+3*MIN(Y$3,$D$2-1)))))</f>
        <v/>
      </c>
      <c r="Z72" s="122">
        <f>IF(OR($C72="",$B$2="",$D$2=0),0,IF(Z$3&lt;0,0,N(INDEX('CURVA PREVISION'!$A$1:$KZ$3000,$C72,11+3*MIN(Z$3,$D$2-1)))))</f>
        <v/>
      </c>
      <c r="AA72" s="122">
        <f>IF(OR($C72="",$B$2="",$D$2=0),0,IF(AA$3&lt;0,0,N(INDEX('CURVA PREVISION'!$A$1:$KZ$3000,$C72,11+3*MIN(AA$3,$D$2-1)))))</f>
        <v/>
      </c>
      <c r="AB72" s="122">
        <f>IF(OR($C72="",$B$2="",$D$2=0),0,IF(AB$3&lt;0,0,N(INDEX('CURVA PREVISION'!$A$1:$KZ$3000,$C72,11+3*MIN(AB$3,$D$2-1)))))</f>
        <v/>
      </c>
      <c r="AC72" s="122">
        <f>IF(OR($C72="",$B$2="",$D$2=0),0,IF(AC$3&lt;0,0,N(INDEX('CURVA PREVISION'!$A$1:$KZ$3000,$C72,11+3*MIN(AC$3,$D$2-1)))))</f>
        <v/>
      </c>
      <c r="AD72" s="122">
        <f>IF(OR($C72="",$B$2="",$D$2=0),0,IF(AD$3&lt;0,0,N(INDEX('CURVA PREVISION'!$A$1:$KZ$3000,$C72,11+3*MIN(AD$3,$D$2-1)))))</f>
        <v/>
      </c>
      <c r="AE72" s="122">
        <f>IF(OR($C72="",$B$2="",$D$2=0),0,IF(AE$3&lt;0,0,N(INDEX('CURVA PREVISION'!$A$1:$KZ$3000,$C72,11+3*MIN(AE$3,$D$2-1)))))</f>
        <v/>
      </c>
      <c r="AF72" s="122">
        <f>IF(OR($C72="",$B$2="",$D$2=0),0,IF(AF$3&lt;0,0,N(INDEX('CURVA PREVISION'!$A$1:$KZ$3000,$C72,11+3*MIN(AF$3,$D$2-1)))))</f>
        <v/>
      </c>
      <c r="AG72" s="122">
        <f>IF(OR($C72="",$B$2="",$D$2=0),0,IF(AG$3&lt;0,0,N(INDEX('CURVA PREVISION'!$A$1:$KZ$3000,$C72,11+3*MIN(AG$3,$D$2-1)))))</f>
        <v/>
      </c>
      <c r="AH72" s="122">
        <f>IF(OR($C72="",$B$2="",$D$2=0),0,IF(AH$3&lt;0,0,N(INDEX('CURVA PREVISION'!$A$1:$KZ$3000,$C72,11+3*MIN(AH$3,$D$2-1)))))</f>
        <v/>
      </c>
      <c r="AI72" s="122">
        <f>IF(OR($C72="",$B$2="",$D$2=0),0,IF(AI$3&lt;0,0,N(INDEX('CURVA PREVISION'!$A$1:$KZ$3000,$C72,11+3*MIN(AI$3,$D$2-1)))))</f>
        <v/>
      </c>
      <c r="AJ72" s="122">
        <f>IF(OR($C72="",$B$2="",$D$2=0),0,IF(AJ$3&lt;0,0,N(INDEX('CURVA PREVISION'!$A$1:$KZ$3000,$C72,11+3*MIN(AJ$3,$D$2-1)))))</f>
        <v/>
      </c>
      <c r="AK72" s="122">
        <f>IF(OR($C72="",$B$2="",$D$2=0),0,IF(AK$3&lt;0,0,N(INDEX('CURVA PREVISION'!$A$1:$KZ$3000,$C72,11+3*MIN(AK$3,$D$2-1)))))</f>
        <v/>
      </c>
      <c r="AL72" s="122">
        <f>IF(OR($C72="",$B$2="",$D$2=0),0,IF(AL$3&lt;0,0,N(INDEX('CURVA PREVISION'!$A$1:$KZ$3000,$C72,11+3*MIN(AL$3,$D$2-1)))))</f>
        <v/>
      </c>
      <c r="AM72" s="122">
        <f>IF(OR($C72="",$B$2="",$D$2=0),0,IF(AM$3&lt;0,0,N(INDEX('CURVA PREVISION'!$A$1:$KZ$3000,$C72,11+3*MIN(AM$3,$D$2-1)))))</f>
        <v/>
      </c>
      <c r="AN72" s="122">
        <f>IF(OR($C72="",$B$2="",$D$2=0),0,IF(AN$3&lt;0,0,N(INDEX('CURVA PREVISION'!$A$1:$KZ$3000,$C72,11+3*MIN(AN$3,$D$2-1)))))</f>
        <v/>
      </c>
      <c r="AO72" s="122">
        <f>IF(OR($C72="",$B$2="",$D$2=0),0,IF(AO$3&lt;0,0,N(INDEX('CURVA PREVISION'!$A$1:$KZ$3000,$C72,11+3*MIN(AO$3,$D$2-1)))))</f>
        <v/>
      </c>
      <c r="AP72" s="122">
        <f>IF(OR($C72="",$B$2="",$D$2=0),0,IF(AP$3&lt;0,0,N(INDEX('CURVA PREVISION'!$A$1:$KZ$3000,$C72,11+3*MIN(AP$3,$D$2-1)))))</f>
        <v/>
      </c>
      <c r="AQ72" s="122">
        <f>IF(OR($C72="",$B$2="",$D$2=0),0,IF(AQ$3&lt;0,0,N(INDEX('CURVA PREVISION'!$A$1:$KZ$3000,$C72,11+3*MIN(AQ$3,$D$2-1)))))</f>
        <v/>
      </c>
      <c r="AR72" s="122">
        <f>IF(OR($C72="",$B$2="",$D$2=0),0,IF(AR$3&lt;0,0,N(INDEX('CURVA PREVISION'!$A$1:$KZ$3000,$C72,11+3*MIN(AR$3,$D$2-1)))))</f>
        <v/>
      </c>
      <c r="AS72" s="122">
        <f>IF(OR($C72="",$B$2="",$D$2=0),0,IF(AS$3&lt;0,0,N(INDEX('CURVA PREVISION'!$A$1:$KZ$3000,$C72,11+3*MIN(AS$3,$D$2-1)))))</f>
        <v/>
      </c>
      <c r="AT72" s="122">
        <f>IF(OR($C72="",$B$2="",$D$2=0),0,IF(AT$3&lt;0,0,N(INDEX('CURVA PREVISION'!$A$1:$KZ$3000,$C72,11+3*MIN(AT$3,$D$2-1)))))</f>
        <v/>
      </c>
      <c r="AU72" s="122">
        <f>IF(OR($C72="",$B$2="",$D$2=0),0,IF(AU$3&lt;0,0,N(INDEX('CURVA PREVISION'!$A$1:$KZ$3000,$C72,11+3*MIN(AU$3,$D$2-1)))))</f>
        <v/>
      </c>
      <c r="AV72" s="122">
        <f>IF(OR($C72="",$B$2="",$D$2=0),0,IF(AV$3&lt;0,0,N(INDEX('CURVA PREVISION'!$A$1:$KZ$3000,$C72,11+3*MIN(AV$3,$D$2-1)))))</f>
        <v/>
      </c>
      <c r="AW72" s="122">
        <f>IF(OR($C72="",$B$2="",$D$2=0),0,IF(AW$3&lt;0,0,N(INDEX('CURVA PREVISION'!$A$1:$KZ$3000,$C72,11+3*MIN(AW$3,$D$2-1)))))</f>
        <v/>
      </c>
      <c r="AX72" s="122">
        <f>IF(OR($C72="",$B$2="",$D$2=0),0,IF(AX$3&lt;0,0,N(INDEX('CURVA PREVISION'!$A$1:$KZ$3000,$C72,11+3*MIN(AX$3,$D$2-1)))))</f>
        <v/>
      </c>
      <c r="AY72" s="122">
        <f>IF(OR($C72="",$B$2="",$D$2=0),0,IF(AY$3&lt;0,0,N(INDEX('CURVA PREVISION'!$A$1:$KZ$3000,$C72,11+3*MIN(AY$3,$D$2-1)))))</f>
        <v/>
      </c>
      <c r="AZ72" s="122">
        <f>IF(OR($C72="",$B$2="",$D$2=0),0,IF(AZ$3&lt;0,0,N(INDEX('CURVA PREVISION'!$A$1:$KZ$3000,$C72,11+3*MIN(AZ$3,$D$2-1)))))</f>
        <v/>
      </c>
      <c r="BA72" s="122">
        <f>IF(OR($C72="",$B$2="",$D$2=0),0,IF(BA$3&lt;0,0,N(INDEX('CURVA PREVISION'!$A$1:$KZ$3000,$C72,11+3*MIN(BA$3,$D$2-1)))))</f>
        <v/>
      </c>
      <c r="BB72" s="122">
        <f>IF(OR($C72="",$B$2="",$D$2=0),0,IF(BB$3&lt;0,0,N(INDEX('CURVA PREVISION'!$A$1:$KZ$3000,$C72,11+3*MIN(BB$3,$D$2-1)))))</f>
        <v/>
      </c>
      <c r="BC72" s="122">
        <f>IF(OR($C72="",$B$2="",$D$2=0),0,IF(BC$3&lt;0,0,N(INDEX('CURVA PREVISION'!$A$1:$KZ$3000,$C72,11+3*MIN(BC$3,$D$2-1)))))</f>
        <v/>
      </c>
      <c r="BD72" s="122">
        <f>IF(OR($C72="",$B$2="",$D$2=0),0,IF(BD$3&lt;0,0,N(INDEX('CURVA PREVISION'!$A$1:$KZ$3000,$C72,11+3*MIN(BD$3,$D$2-1)))))</f>
        <v/>
      </c>
      <c r="BE72" s="122">
        <f>IF(OR($C72="",$B$2="",$D$2=0),0,IF(BE$3&lt;0,0,N(INDEX('CURVA PREVISION'!$A$1:$KZ$3000,$C72,11+3*MIN(BE$3,$D$2-1)))))</f>
        <v/>
      </c>
      <c r="BF72" s="122">
        <f>IF(OR($C72="",$B$2="",$D$2=0),0,IF(BF$3&lt;0,0,N(INDEX('CURVA PREVISION'!$A$1:$KZ$3000,$C72,11+3*MIN(BF$3,$D$2-1)))))</f>
        <v/>
      </c>
      <c r="BG72" s="122">
        <f>IF(OR($C72="",$B$2="",$D$2=0),0,IF(BG$3&lt;0,0,N(INDEX('CURVA PREVISION'!$A$1:$KZ$3000,$C72,11+3*MIN(BG$3,$D$2-1)))))</f>
        <v/>
      </c>
      <c r="BH72" s="122">
        <f>IF(OR($C72="",$B$2="",$D$2=0),0,IF(BH$3&lt;0,0,N(INDEX('CURVA PREVISION'!$A$1:$KZ$3000,$C72,11+3*MIN(BH$3,$D$2-1)))))</f>
        <v/>
      </c>
      <c r="BI72" s="122">
        <f>IF(OR($C72="",$B$2="",$D$2=0),0,IF(BI$3&lt;0,0,N(INDEX('CURVA PREVISION'!$A$1:$KZ$3000,$C72,11+3*MIN(BI$3,$D$2-1)))))</f>
        <v/>
      </c>
      <c r="BJ72" s="122">
        <f>IF(OR($C72="",$B$2="",$D$2=0),0,IF(BJ$3&lt;0,0,N(INDEX('CURVA PREVISION'!$A$1:$KZ$3000,$C72,11+3*MIN(BJ$3,$D$2-1)))))</f>
        <v/>
      </c>
      <c r="BK72" s="122">
        <f>IF(OR($C72="",$B$2="",$D$2=0),0,IF(BK$3&lt;0,0,N(INDEX('CURVA PREVISION'!$A$1:$KZ$3000,$C72,11+3*MIN(BK$3,$D$2-1)))))</f>
        <v/>
      </c>
      <c r="BL72" s="122">
        <f>IF(OR($C72="",$B$2="",$D$2=0),0,IF(BL$3&lt;0,0,N(INDEX('CURVA PREVISION'!$A$1:$KZ$3000,$C72,11+3*MIN(BL$3,$D$2-1)))))</f>
        <v/>
      </c>
      <c r="BM72" s="122">
        <f>IF(OR($C72="",$B$2="",$D$2=0),0,IF(BM$3&lt;0,0,N(INDEX('CURVA PREVISION'!$A$1:$KZ$3000,$C72,11+3*MIN(BM$3,$D$2-1)))))</f>
        <v/>
      </c>
      <c r="BN72" s="122">
        <f>IF(OR($C72="",$B$2="",$D$2=0),0,IF(BN$3&lt;0,0,N(INDEX('CURVA PREVISION'!$A$1:$KZ$3000,$C72,11+3*MIN(BN$3,$D$2-1)))))</f>
        <v/>
      </c>
      <c r="BO72" s="122">
        <f>IF(OR($C72="",$B$2="",$D$2=0),0,IF(BO$3&lt;0,0,N(INDEX('CURVA PREVISION'!$A$1:$KZ$3000,$C72,11+3*MIN(BO$3,$D$2-1)))))</f>
        <v/>
      </c>
      <c r="BP72" s="122">
        <f>IF(OR($C72="",$B$2="",$D$2=0),0,IF(BP$3&lt;0,0,N(INDEX('CURVA PREVISION'!$A$1:$KZ$3000,$C72,11+3*MIN(BP$3,$D$2-1)))))</f>
        <v/>
      </c>
      <c r="BQ72" s="122">
        <f>IF(OR($C72="",$B$2="",$D$2=0),0,IF(BQ$3&lt;0,0,N(INDEX('CURVA PREVISION'!$A$1:$KZ$3000,$C72,11+3*MIN(BQ$3,$D$2-1)))))</f>
        <v/>
      </c>
      <c r="BR72" s="122">
        <f>IF(OR($C72="",$B$2="",$D$2=0),0,IF(BR$3&lt;0,0,N(INDEX('CURVA PREVISION'!$A$1:$KZ$3000,$C72,11+3*MIN(BR$3,$D$2-1)))))</f>
        <v/>
      </c>
      <c r="BS72" s="122">
        <f>IF(OR($C72="",$B$2="",$D$2=0),0,IF(BS$3&lt;0,0,N(INDEX('CURVA PREVISION'!$A$1:$KZ$3000,$C72,11+3*MIN(BS$3,$D$2-1)))))</f>
        <v/>
      </c>
      <c r="BT72" s="122">
        <f>IF(OR($C72="",$B$2="",$D$2=0),0,IF(BT$3&lt;0,0,N(INDEX('CURVA PREVISION'!$A$1:$KZ$3000,$C72,11+3*MIN(BT$3,$D$2-1)))))</f>
        <v/>
      </c>
      <c r="BU72" s="122">
        <f>IF(OR($C72="",$B$2="",$D$2=0),0,IF(BU$3&lt;0,0,N(INDEX('CURVA PREVISION'!$A$1:$KZ$3000,$C72,11+3*MIN(BU$3,$D$2-1)))))</f>
        <v/>
      </c>
      <c r="BV72" s="122">
        <f>IF(OR($C72="",$B$2="",$D$2=0),0,IF(BV$3&lt;0,0,N(INDEX('CURVA PREVISION'!$A$1:$KZ$3000,$C72,11+3*MIN(BV$3,$D$2-1)))))</f>
        <v/>
      </c>
      <c r="BW72" s="122">
        <f>IF(OR($C72="",$B$2="",$D$2=0),0,IF(BW$3&lt;0,0,N(INDEX('CURVA PREVISION'!$A$1:$KZ$3000,$C72,11+3*MIN(BW$3,$D$2-1)))))</f>
        <v/>
      </c>
    </row>
    <row r="73">
      <c r="A73" s="51">
        <f>A31</f>
        <v/>
      </c>
      <c r="B73" s="51">
        <f>B31</f>
        <v/>
      </c>
      <c r="C73" s="68">
        <f>C31</f>
        <v/>
      </c>
      <c r="D73" s="122">
        <f>IF(OR($C73="",$B$2="",$D$2=0),0,IF(D$3&lt;0,0,N(INDEX('CURVA PREVISION'!$A$1:$KZ$3000,$C73,11+3*MIN(D$3,$D$2-1)))))</f>
        <v/>
      </c>
      <c r="E73" s="122">
        <f>IF(OR($C73="",$B$2="",$D$2=0),0,IF(E$3&lt;0,0,N(INDEX('CURVA PREVISION'!$A$1:$KZ$3000,$C73,11+3*MIN(E$3,$D$2-1)))))</f>
        <v/>
      </c>
      <c r="F73" s="122">
        <f>IF(OR($C73="",$B$2="",$D$2=0),0,IF(F$3&lt;0,0,N(INDEX('CURVA PREVISION'!$A$1:$KZ$3000,$C73,11+3*MIN(F$3,$D$2-1)))))</f>
        <v/>
      </c>
      <c r="G73" s="122">
        <f>IF(OR($C73="",$B$2="",$D$2=0),0,IF(G$3&lt;0,0,N(INDEX('CURVA PREVISION'!$A$1:$KZ$3000,$C73,11+3*MIN(G$3,$D$2-1)))))</f>
        <v/>
      </c>
      <c r="H73" s="122">
        <f>IF(OR($C73="",$B$2="",$D$2=0),0,IF(H$3&lt;0,0,N(INDEX('CURVA PREVISION'!$A$1:$KZ$3000,$C73,11+3*MIN(H$3,$D$2-1)))))</f>
        <v/>
      </c>
      <c r="I73" s="122">
        <f>IF(OR($C73="",$B$2="",$D$2=0),0,IF(I$3&lt;0,0,N(INDEX('CURVA PREVISION'!$A$1:$KZ$3000,$C73,11+3*MIN(I$3,$D$2-1)))))</f>
        <v/>
      </c>
      <c r="J73" s="122">
        <f>IF(OR($C73="",$B$2="",$D$2=0),0,IF(J$3&lt;0,0,N(INDEX('CURVA PREVISION'!$A$1:$KZ$3000,$C73,11+3*MIN(J$3,$D$2-1)))))</f>
        <v/>
      </c>
      <c r="K73" s="122">
        <f>IF(OR($C73="",$B$2="",$D$2=0),0,IF(K$3&lt;0,0,N(INDEX('CURVA PREVISION'!$A$1:$KZ$3000,$C73,11+3*MIN(K$3,$D$2-1)))))</f>
        <v/>
      </c>
      <c r="L73" s="122">
        <f>IF(OR($C73="",$B$2="",$D$2=0),0,IF(L$3&lt;0,0,N(INDEX('CURVA PREVISION'!$A$1:$KZ$3000,$C73,11+3*MIN(L$3,$D$2-1)))))</f>
        <v/>
      </c>
      <c r="M73" s="122">
        <f>IF(OR($C73="",$B$2="",$D$2=0),0,IF(M$3&lt;0,0,N(INDEX('CURVA PREVISION'!$A$1:$KZ$3000,$C73,11+3*MIN(M$3,$D$2-1)))))</f>
        <v/>
      </c>
      <c r="N73" s="122">
        <f>IF(OR($C73="",$B$2="",$D$2=0),0,IF(N$3&lt;0,0,N(INDEX('CURVA PREVISION'!$A$1:$KZ$3000,$C73,11+3*MIN(N$3,$D$2-1)))))</f>
        <v/>
      </c>
      <c r="O73" s="122">
        <f>IF(OR($C73="",$B$2="",$D$2=0),0,IF(O$3&lt;0,0,N(INDEX('CURVA PREVISION'!$A$1:$KZ$3000,$C73,11+3*MIN(O$3,$D$2-1)))))</f>
        <v/>
      </c>
      <c r="P73" s="122">
        <f>IF(OR($C73="",$B$2="",$D$2=0),0,IF(P$3&lt;0,0,N(INDEX('CURVA PREVISION'!$A$1:$KZ$3000,$C73,11+3*MIN(P$3,$D$2-1)))))</f>
        <v/>
      </c>
      <c r="Q73" s="122">
        <f>IF(OR($C73="",$B$2="",$D$2=0),0,IF(Q$3&lt;0,0,N(INDEX('CURVA PREVISION'!$A$1:$KZ$3000,$C73,11+3*MIN(Q$3,$D$2-1)))))</f>
        <v/>
      </c>
      <c r="R73" s="122">
        <f>IF(OR($C73="",$B$2="",$D$2=0),0,IF(R$3&lt;0,0,N(INDEX('CURVA PREVISION'!$A$1:$KZ$3000,$C73,11+3*MIN(R$3,$D$2-1)))))</f>
        <v/>
      </c>
      <c r="S73" s="122">
        <f>IF(OR($C73="",$B$2="",$D$2=0),0,IF(S$3&lt;0,0,N(INDEX('CURVA PREVISION'!$A$1:$KZ$3000,$C73,11+3*MIN(S$3,$D$2-1)))))</f>
        <v/>
      </c>
      <c r="T73" s="122">
        <f>IF(OR($C73="",$B$2="",$D$2=0),0,IF(T$3&lt;0,0,N(INDEX('CURVA PREVISION'!$A$1:$KZ$3000,$C73,11+3*MIN(T$3,$D$2-1)))))</f>
        <v/>
      </c>
      <c r="U73" s="122">
        <f>IF(OR($C73="",$B$2="",$D$2=0),0,IF(U$3&lt;0,0,N(INDEX('CURVA PREVISION'!$A$1:$KZ$3000,$C73,11+3*MIN(U$3,$D$2-1)))))</f>
        <v/>
      </c>
      <c r="V73" s="122">
        <f>IF(OR($C73="",$B$2="",$D$2=0),0,IF(V$3&lt;0,0,N(INDEX('CURVA PREVISION'!$A$1:$KZ$3000,$C73,11+3*MIN(V$3,$D$2-1)))))</f>
        <v/>
      </c>
      <c r="W73" s="122">
        <f>IF(OR($C73="",$B$2="",$D$2=0),0,IF(W$3&lt;0,0,N(INDEX('CURVA PREVISION'!$A$1:$KZ$3000,$C73,11+3*MIN(W$3,$D$2-1)))))</f>
        <v/>
      </c>
      <c r="X73" s="122">
        <f>IF(OR($C73="",$B$2="",$D$2=0),0,IF(X$3&lt;0,0,N(INDEX('CURVA PREVISION'!$A$1:$KZ$3000,$C73,11+3*MIN(X$3,$D$2-1)))))</f>
        <v/>
      </c>
      <c r="Y73" s="122">
        <f>IF(OR($C73="",$B$2="",$D$2=0),0,IF(Y$3&lt;0,0,N(INDEX('CURVA PREVISION'!$A$1:$KZ$3000,$C73,11+3*MIN(Y$3,$D$2-1)))))</f>
        <v/>
      </c>
      <c r="Z73" s="122">
        <f>IF(OR($C73="",$B$2="",$D$2=0),0,IF(Z$3&lt;0,0,N(INDEX('CURVA PREVISION'!$A$1:$KZ$3000,$C73,11+3*MIN(Z$3,$D$2-1)))))</f>
        <v/>
      </c>
      <c r="AA73" s="122">
        <f>IF(OR($C73="",$B$2="",$D$2=0),0,IF(AA$3&lt;0,0,N(INDEX('CURVA PREVISION'!$A$1:$KZ$3000,$C73,11+3*MIN(AA$3,$D$2-1)))))</f>
        <v/>
      </c>
      <c r="AB73" s="122">
        <f>IF(OR($C73="",$B$2="",$D$2=0),0,IF(AB$3&lt;0,0,N(INDEX('CURVA PREVISION'!$A$1:$KZ$3000,$C73,11+3*MIN(AB$3,$D$2-1)))))</f>
        <v/>
      </c>
      <c r="AC73" s="122">
        <f>IF(OR($C73="",$B$2="",$D$2=0),0,IF(AC$3&lt;0,0,N(INDEX('CURVA PREVISION'!$A$1:$KZ$3000,$C73,11+3*MIN(AC$3,$D$2-1)))))</f>
        <v/>
      </c>
      <c r="AD73" s="122">
        <f>IF(OR($C73="",$B$2="",$D$2=0),0,IF(AD$3&lt;0,0,N(INDEX('CURVA PREVISION'!$A$1:$KZ$3000,$C73,11+3*MIN(AD$3,$D$2-1)))))</f>
        <v/>
      </c>
      <c r="AE73" s="122">
        <f>IF(OR($C73="",$B$2="",$D$2=0),0,IF(AE$3&lt;0,0,N(INDEX('CURVA PREVISION'!$A$1:$KZ$3000,$C73,11+3*MIN(AE$3,$D$2-1)))))</f>
        <v/>
      </c>
      <c r="AF73" s="122">
        <f>IF(OR($C73="",$B$2="",$D$2=0),0,IF(AF$3&lt;0,0,N(INDEX('CURVA PREVISION'!$A$1:$KZ$3000,$C73,11+3*MIN(AF$3,$D$2-1)))))</f>
        <v/>
      </c>
      <c r="AG73" s="122">
        <f>IF(OR($C73="",$B$2="",$D$2=0),0,IF(AG$3&lt;0,0,N(INDEX('CURVA PREVISION'!$A$1:$KZ$3000,$C73,11+3*MIN(AG$3,$D$2-1)))))</f>
        <v/>
      </c>
      <c r="AH73" s="122">
        <f>IF(OR($C73="",$B$2="",$D$2=0),0,IF(AH$3&lt;0,0,N(INDEX('CURVA PREVISION'!$A$1:$KZ$3000,$C73,11+3*MIN(AH$3,$D$2-1)))))</f>
        <v/>
      </c>
      <c r="AI73" s="122">
        <f>IF(OR($C73="",$B$2="",$D$2=0),0,IF(AI$3&lt;0,0,N(INDEX('CURVA PREVISION'!$A$1:$KZ$3000,$C73,11+3*MIN(AI$3,$D$2-1)))))</f>
        <v/>
      </c>
      <c r="AJ73" s="122">
        <f>IF(OR($C73="",$B$2="",$D$2=0),0,IF(AJ$3&lt;0,0,N(INDEX('CURVA PREVISION'!$A$1:$KZ$3000,$C73,11+3*MIN(AJ$3,$D$2-1)))))</f>
        <v/>
      </c>
      <c r="AK73" s="122">
        <f>IF(OR($C73="",$B$2="",$D$2=0),0,IF(AK$3&lt;0,0,N(INDEX('CURVA PREVISION'!$A$1:$KZ$3000,$C73,11+3*MIN(AK$3,$D$2-1)))))</f>
        <v/>
      </c>
      <c r="AL73" s="122">
        <f>IF(OR($C73="",$B$2="",$D$2=0),0,IF(AL$3&lt;0,0,N(INDEX('CURVA PREVISION'!$A$1:$KZ$3000,$C73,11+3*MIN(AL$3,$D$2-1)))))</f>
        <v/>
      </c>
      <c r="AM73" s="122">
        <f>IF(OR($C73="",$B$2="",$D$2=0),0,IF(AM$3&lt;0,0,N(INDEX('CURVA PREVISION'!$A$1:$KZ$3000,$C73,11+3*MIN(AM$3,$D$2-1)))))</f>
        <v/>
      </c>
      <c r="AN73" s="122">
        <f>IF(OR($C73="",$B$2="",$D$2=0),0,IF(AN$3&lt;0,0,N(INDEX('CURVA PREVISION'!$A$1:$KZ$3000,$C73,11+3*MIN(AN$3,$D$2-1)))))</f>
        <v/>
      </c>
      <c r="AO73" s="122">
        <f>IF(OR($C73="",$B$2="",$D$2=0),0,IF(AO$3&lt;0,0,N(INDEX('CURVA PREVISION'!$A$1:$KZ$3000,$C73,11+3*MIN(AO$3,$D$2-1)))))</f>
        <v/>
      </c>
      <c r="AP73" s="122">
        <f>IF(OR($C73="",$B$2="",$D$2=0),0,IF(AP$3&lt;0,0,N(INDEX('CURVA PREVISION'!$A$1:$KZ$3000,$C73,11+3*MIN(AP$3,$D$2-1)))))</f>
        <v/>
      </c>
      <c r="AQ73" s="122">
        <f>IF(OR($C73="",$B$2="",$D$2=0),0,IF(AQ$3&lt;0,0,N(INDEX('CURVA PREVISION'!$A$1:$KZ$3000,$C73,11+3*MIN(AQ$3,$D$2-1)))))</f>
        <v/>
      </c>
      <c r="AR73" s="122">
        <f>IF(OR($C73="",$B$2="",$D$2=0),0,IF(AR$3&lt;0,0,N(INDEX('CURVA PREVISION'!$A$1:$KZ$3000,$C73,11+3*MIN(AR$3,$D$2-1)))))</f>
        <v/>
      </c>
      <c r="AS73" s="122">
        <f>IF(OR($C73="",$B$2="",$D$2=0),0,IF(AS$3&lt;0,0,N(INDEX('CURVA PREVISION'!$A$1:$KZ$3000,$C73,11+3*MIN(AS$3,$D$2-1)))))</f>
        <v/>
      </c>
      <c r="AT73" s="122">
        <f>IF(OR($C73="",$B$2="",$D$2=0),0,IF(AT$3&lt;0,0,N(INDEX('CURVA PREVISION'!$A$1:$KZ$3000,$C73,11+3*MIN(AT$3,$D$2-1)))))</f>
        <v/>
      </c>
      <c r="AU73" s="122">
        <f>IF(OR($C73="",$B$2="",$D$2=0),0,IF(AU$3&lt;0,0,N(INDEX('CURVA PREVISION'!$A$1:$KZ$3000,$C73,11+3*MIN(AU$3,$D$2-1)))))</f>
        <v/>
      </c>
      <c r="AV73" s="122">
        <f>IF(OR($C73="",$B$2="",$D$2=0),0,IF(AV$3&lt;0,0,N(INDEX('CURVA PREVISION'!$A$1:$KZ$3000,$C73,11+3*MIN(AV$3,$D$2-1)))))</f>
        <v/>
      </c>
      <c r="AW73" s="122">
        <f>IF(OR($C73="",$B$2="",$D$2=0),0,IF(AW$3&lt;0,0,N(INDEX('CURVA PREVISION'!$A$1:$KZ$3000,$C73,11+3*MIN(AW$3,$D$2-1)))))</f>
        <v/>
      </c>
      <c r="AX73" s="122">
        <f>IF(OR($C73="",$B$2="",$D$2=0),0,IF(AX$3&lt;0,0,N(INDEX('CURVA PREVISION'!$A$1:$KZ$3000,$C73,11+3*MIN(AX$3,$D$2-1)))))</f>
        <v/>
      </c>
      <c r="AY73" s="122">
        <f>IF(OR($C73="",$B$2="",$D$2=0),0,IF(AY$3&lt;0,0,N(INDEX('CURVA PREVISION'!$A$1:$KZ$3000,$C73,11+3*MIN(AY$3,$D$2-1)))))</f>
        <v/>
      </c>
      <c r="AZ73" s="122">
        <f>IF(OR($C73="",$B$2="",$D$2=0),0,IF(AZ$3&lt;0,0,N(INDEX('CURVA PREVISION'!$A$1:$KZ$3000,$C73,11+3*MIN(AZ$3,$D$2-1)))))</f>
        <v/>
      </c>
      <c r="BA73" s="122">
        <f>IF(OR($C73="",$B$2="",$D$2=0),0,IF(BA$3&lt;0,0,N(INDEX('CURVA PREVISION'!$A$1:$KZ$3000,$C73,11+3*MIN(BA$3,$D$2-1)))))</f>
        <v/>
      </c>
      <c r="BB73" s="122">
        <f>IF(OR($C73="",$B$2="",$D$2=0),0,IF(BB$3&lt;0,0,N(INDEX('CURVA PREVISION'!$A$1:$KZ$3000,$C73,11+3*MIN(BB$3,$D$2-1)))))</f>
        <v/>
      </c>
      <c r="BC73" s="122">
        <f>IF(OR($C73="",$B$2="",$D$2=0),0,IF(BC$3&lt;0,0,N(INDEX('CURVA PREVISION'!$A$1:$KZ$3000,$C73,11+3*MIN(BC$3,$D$2-1)))))</f>
        <v/>
      </c>
      <c r="BD73" s="122">
        <f>IF(OR($C73="",$B$2="",$D$2=0),0,IF(BD$3&lt;0,0,N(INDEX('CURVA PREVISION'!$A$1:$KZ$3000,$C73,11+3*MIN(BD$3,$D$2-1)))))</f>
        <v/>
      </c>
      <c r="BE73" s="122">
        <f>IF(OR($C73="",$B$2="",$D$2=0),0,IF(BE$3&lt;0,0,N(INDEX('CURVA PREVISION'!$A$1:$KZ$3000,$C73,11+3*MIN(BE$3,$D$2-1)))))</f>
        <v/>
      </c>
      <c r="BF73" s="122">
        <f>IF(OR($C73="",$B$2="",$D$2=0),0,IF(BF$3&lt;0,0,N(INDEX('CURVA PREVISION'!$A$1:$KZ$3000,$C73,11+3*MIN(BF$3,$D$2-1)))))</f>
        <v/>
      </c>
      <c r="BG73" s="122">
        <f>IF(OR($C73="",$B$2="",$D$2=0),0,IF(BG$3&lt;0,0,N(INDEX('CURVA PREVISION'!$A$1:$KZ$3000,$C73,11+3*MIN(BG$3,$D$2-1)))))</f>
        <v/>
      </c>
      <c r="BH73" s="122">
        <f>IF(OR($C73="",$B$2="",$D$2=0),0,IF(BH$3&lt;0,0,N(INDEX('CURVA PREVISION'!$A$1:$KZ$3000,$C73,11+3*MIN(BH$3,$D$2-1)))))</f>
        <v/>
      </c>
      <c r="BI73" s="122">
        <f>IF(OR($C73="",$B$2="",$D$2=0),0,IF(BI$3&lt;0,0,N(INDEX('CURVA PREVISION'!$A$1:$KZ$3000,$C73,11+3*MIN(BI$3,$D$2-1)))))</f>
        <v/>
      </c>
      <c r="BJ73" s="122">
        <f>IF(OR($C73="",$B$2="",$D$2=0),0,IF(BJ$3&lt;0,0,N(INDEX('CURVA PREVISION'!$A$1:$KZ$3000,$C73,11+3*MIN(BJ$3,$D$2-1)))))</f>
        <v/>
      </c>
      <c r="BK73" s="122">
        <f>IF(OR($C73="",$B$2="",$D$2=0),0,IF(BK$3&lt;0,0,N(INDEX('CURVA PREVISION'!$A$1:$KZ$3000,$C73,11+3*MIN(BK$3,$D$2-1)))))</f>
        <v/>
      </c>
      <c r="BL73" s="122">
        <f>IF(OR($C73="",$B$2="",$D$2=0),0,IF(BL$3&lt;0,0,N(INDEX('CURVA PREVISION'!$A$1:$KZ$3000,$C73,11+3*MIN(BL$3,$D$2-1)))))</f>
        <v/>
      </c>
      <c r="BM73" s="122">
        <f>IF(OR($C73="",$B$2="",$D$2=0),0,IF(BM$3&lt;0,0,N(INDEX('CURVA PREVISION'!$A$1:$KZ$3000,$C73,11+3*MIN(BM$3,$D$2-1)))))</f>
        <v/>
      </c>
      <c r="BN73" s="122">
        <f>IF(OR($C73="",$B$2="",$D$2=0),0,IF(BN$3&lt;0,0,N(INDEX('CURVA PREVISION'!$A$1:$KZ$3000,$C73,11+3*MIN(BN$3,$D$2-1)))))</f>
        <v/>
      </c>
      <c r="BO73" s="122">
        <f>IF(OR($C73="",$B$2="",$D$2=0),0,IF(BO$3&lt;0,0,N(INDEX('CURVA PREVISION'!$A$1:$KZ$3000,$C73,11+3*MIN(BO$3,$D$2-1)))))</f>
        <v/>
      </c>
      <c r="BP73" s="122">
        <f>IF(OR($C73="",$B$2="",$D$2=0),0,IF(BP$3&lt;0,0,N(INDEX('CURVA PREVISION'!$A$1:$KZ$3000,$C73,11+3*MIN(BP$3,$D$2-1)))))</f>
        <v/>
      </c>
      <c r="BQ73" s="122">
        <f>IF(OR($C73="",$B$2="",$D$2=0),0,IF(BQ$3&lt;0,0,N(INDEX('CURVA PREVISION'!$A$1:$KZ$3000,$C73,11+3*MIN(BQ$3,$D$2-1)))))</f>
        <v/>
      </c>
      <c r="BR73" s="122">
        <f>IF(OR($C73="",$B$2="",$D$2=0),0,IF(BR$3&lt;0,0,N(INDEX('CURVA PREVISION'!$A$1:$KZ$3000,$C73,11+3*MIN(BR$3,$D$2-1)))))</f>
        <v/>
      </c>
      <c r="BS73" s="122">
        <f>IF(OR($C73="",$B$2="",$D$2=0),0,IF(BS$3&lt;0,0,N(INDEX('CURVA PREVISION'!$A$1:$KZ$3000,$C73,11+3*MIN(BS$3,$D$2-1)))))</f>
        <v/>
      </c>
      <c r="BT73" s="122">
        <f>IF(OR($C73="",$B$2="",$D$2=0),0,IF(BT$3&lt;0,0,N(INDEX('CURVA PREVISION'!$A$1:$KZ$3000,$C73,11+3*MIN(BT$3,$D$2-1)))))</f>
        <v/>
      </c>
      <c r="BU73" s="122">
        <f>IF(OR($C73="",$B$2="",$D$2=0),0,IF(BU$3&lt;0,0,N(INDEX('CURVA PREVISION'!$A$1:$KZ$3000,$C73,11+3*MIN(BU$3,$D$2-1)))))</f>
        <v/>
      </c>
      <c r="BV73" s="122">
        <f>IF(OR($C73="",$B$2="",$D$2=0),0,IF(BV$3&lt;0,0,N(INDEX('CURVA PREVISION'!$A$1:$KZ$3000,$C73,11+3*MIN(BV$3,$D$2-1)))))</f>
        <v/>
      </c>
      <c r="BW73" s="122">
        <f>IF(OR($C73="",$B$2="",$D$2=0),0,IF(BW$3&lt;0,0,N(INDEX('CURVA PREVISION'!$A$1:$KZ$3000,$C73,11+3*MIN(BW$3,$D$2-1)))))</f>
        <v/>
      </c>
    </row>
    <row r="74">
      <c r="A74" s="51">
        <f>A32</f>
        <v/>
      </c>
      <c r="B74" s="51">
        <f>B32</f>
        <v/>
      </c>
      <c r="C74" s="68">
        <f>C32</f>
        <v/>
      </c>
      <c r="D74" s="122">
        <f>IF(OR($C74="",$B$2="",$D$2=0),0,IF(D$3&lt;0,0,N(INDEX('CURVA PREVISION'!$A$1:$KZ$3000,$C74,11+3*MIN(D$3,$D$2-1)))))</f>
        <v/>
      </c>
      <c r="E74" s="122">
        <f>IF(OR($C74="",$B$2="",$D$2=0),0,IF(E$3&lt;0,0,N(INDEX('CURVA PREVISION'!$A$1:$KZ$3000,$C74,11+3*MIN(E$3,$D$2-1)))))</f>
        <v/>
      </c>
      <c r="F74" s="122">
        <f>IF(OR($C74="",$B$2="",$D$2=0),0,IF(F$3&lt;0,0,N(INDEX('CURVA PREVISION'!$A$1:$KZ$3000,$C74,11+3*MIN(F$3,$D$2-1)))))</f>
        <v/>
      </c>
      <c r="G74" s="122">
        <f>IF(OR($C74="",$B$2="",$D$2=0),0,IF(G$3&lt;0,0,N(INDEX('CURVA PREVISION'!$A$1:$KZ$3000,$C74,11+3*MIN(G$3,$D$2-1)))))</f>
        <v/>
      </c>
      <c r="H74" s="122">
        <f>IF(OR($C74="",$B$2="",$D$2=0),0,IF(H$3&lt;0,0,N(INDEX('CURVA PREVISION'!$A$1:$KZ$3000,$C74,11+3*MIN(H$3,$D$2-1)))))</f>
        <v/>
      </c>
      <c r="I74" s="122">
        <f>IF(OR($C74="",$B$2="",$D$2=0),0,IF(I$3&lt;0,0,N(INDEX('CURVA PREVISION'!$A$1:$KZ$3000,$C74,11+3*MIN(I$3,$D$2-1)))))</f>
        <v/>
      </c>
      <c r="J74" s="122">
        <f>IF(OR($C74="",$B$2="",$D$2=0),0,IF(J$3&lt;0,0,N(INDEX('CURVA PREVISION'!$A$1:$KZ$3000,$C74,11+3*MIN(J$3,$D$2-1)))))</f>
        <v/>
      </c>
      <c r="K74" s="122">
        <f>IF(OR($C74="",$B$2="",$D$2=0),0,IF(K$3&lt;0,0,N(INDEX('CURVA PREVISION'!$A$1:$KZ$3000,$C74,11+3*MIN(K$3,$D$2-1)))))</f>
        <v/>
      </c>
      <c r="L74" s="122">
        <f>IF(OR($C74="",$B$2="",$D$2=0),0,IF(L$3&lt;0,0,N(INDEX('CURVA PREVISION'!$A$1:$KZ$3000,$C74,11+3*MIN(L$3,$D$2-1)))))</f>
        <v/>
      </c>
      <c r="M74" s="122">
        <f>IF(OR($C74="",$B$2="",$D$2=0),0,IF(M$3&lt;0,0,N(INDEX('CURVA PREVISION'!$A$1:$KZ$3000,$C74,11+3*MIN(M$3,$D$2-1)))))</f>
        <v/>
      </c>
      <c r="N74" s="122">
        <f>IF(OR($C74="",$B$2="",$D$2=0),0,IF(N$3&lt;0,0,N(INDEX('CURVA PREVISION'!$A$1:$KZ$3000,$C74,11+3*MIN(N$3,$D$2-1)))))</f>
        <v/>
      </c>
      <c r="O74" s="122">
        <f>IF(OR($C74="",$B$2="",$D$2=0),0,IF(O$3&lt;0,0,N(INDEX('CURVA PREVISION'!$A$1:$KZ$3000,$C74,11+3*MIN(O$3,$D$2-1)))))</f>
        <v/>
      </c>
      <c r="P74" s="122">
        <f>IF(OR($C74="",$B$2="",$D$2=0),0,IF(P$3&lt;0,0,N(INDEX('CURVA PREVISION'!$A$1:$KZ$3000,$C74,11+3*MIN(P$3,$D$2-1)))))</f>
        <v/>
      </c>
      <c r="Q74" s="122">
        <f>IF(OR($C74="",$B$2="",$D$2=0),0,IF(Q$3&lt;0,0,N(INDEX('CURVA PREVISION'!$A$1:$KZ$3000,$C74,11+3*MIN(Q$3,$D$2-1)))))</f>
        <v/>
      </c>
      <c r="R74" s="122">
        <f>IF(OR($C74="",$B$2="",$D$2=0),0,IF(R$3&lt;0,0,N(INDEX('CURVA PREVISION'!$A$1:$KZ$3000,$C74,11+3*MIN(R$3,$D$2-1)))))</f>
        <v/>
      </c>
      <c r="S74" s="122">
        <f>IF(OR($C74="",$B$2="",$D$2=0),0,IF(S$3&lt;0,0,N(INDEX('CURVA PREVISION'!$A$1:$KZ$3000,$C74,11+3*MIN(S$3,$D$2-1)))))</f>
        <v/>
      </c>
      <c r="T74" s="122">
        <f>IF(OR($C74="",$B$2="",$D$2=0),0,IF(T$3&lt;0,0,N(INDEX('CURVA PREVISION'!$A$1:$KZ$3000,$C74,11+3*MIN(T$3,$D$2-1)))))</f>
        <v/>
      </c>
      <c r="U74" s="122">
        <f>IF(OR($C74="",$B$2="",$D$2=0),0,IF(U$3&lt;0,0,N(INDEX('CURVA PREVISION'!$A$1:$KZ$3000,$C74,11+3*MIN(U$3,$D$2-1)))))</f>
        <v/>
      </c>
      <c r="V74" s="122">
        <f>IF(OR($C74="",$B$2="",$D$2=0),0,IF(V$3&lt;0,0,N(INDEX('CURVA PREVISION'!$A$1:$KZ$3000,$C74,11+3*MIN(V$3,$D$2-1)))))</f>
        <v/>
      </c>
      <c r="W74" s="122">
        <f>IF(OR($C74="",$B$2="",$D$2=0),0,IF(W$3&lt;0,0,N(INDEX('CURVA PREVISION'!$A$1:$KZ$3000,$C74,11+3*MIN(W$3,$D$2-1)))))</f>
        <v/>
      </c>
      <c r="X74" s="122">
        <f>IF(OR($C74="",$B$2="",$D$2=0),0,IF(X$3&lt;0,0,N(INDEX('CURVA PREVISION'!$A$1:$KZ$3000,$C74,11+3*MIN(X$3,$D$2-1)))))</f>
        <v/>
      </c>
      <c r="Y74" s="122">
        <f>IF(OR($C74="",$B$2="",$D$2=0),0,IF(Y$3&lt;0,0,N(INDEX('CURVA PREVISION'!$A$1:$KZ$3000,$C74,11+3*MIN(Y$3,$D$2-1)))))</f>
        <v/>
      </c>
      <c r="Z74" s="122">
        <f>IF(OR($C74="",$B$2="",$D$2=0),0,IF(Z$3&lt;0,0,N(INDEX('CURVA PREVISION'!$A$1:$KZ$3000,$C74,11+3*MIN(Z$3,$D$2-1)))))</f>
        <v/>
      </c>
      <c r="AA74" s="122">
        <f>IF(OR($C74="",$B$2="",$D$2=0),0,IF(AA$3&lt;0,0,N(INDEX('CURVA PREVISION'!$A$1:$KZ$3000,$C74,11+3*MIN(AA$3,$D$2-1)))))</f>
        <v/>
      </c>
      <c r="AB74" s="122">
        <f>IF(OR($C74="",$B$2="",$D$2=0),0,IF(AB$3&lt;0,0,N(INDEX('CURVA PREVISION'!$A$1:$KZ$3000,$C74,11+3*MIN(AB$3,$D$2-1)))))</f>
        <v/>
      </c>
      <c r="AC74" s="122">
        <f>IF(OR($C74="",$B$2="",$D$2=0),0,IF(AC$3&lt;0,0,N(INDEX('CURVA PREVISION'!$A$1:$KZ$3000,$C74,11+3*MIN(AC$3,$D$2-1)))))</f>
        <v/>
      </c>
      <c r="AD74" s="122">
        <f>IF(OR($C74="",$B$2="",$D$2=0),0,IF(AD$3&lt;0,0,N(INDEX('CURVA PREVISION'!$A$1:$KZ$3000,$C74,11+3*MIN(AD$3,$D$2-1)))))</f>
        <v/>
      </c>
      <c r="AE74" s="122">
        <f>IF(OR($C74="",$B$2="",$D$2=0),0,IF(AE$3&lt;0,0,N(INDEX('CURVA PREVISION'!$A$1:$KZ$3000,$C74,11+3*MIN(AE$3,$D$2-1)))))</f>
        <v/>
      </c>
      <c r="AF74" s="122">
        <f>IF(OR($C74="",$B$2="",$D$2=0),0,IF(AF$3&lt;0,0,N(INDEX('CURVA PREVISION'!$A$1:$KZ$3000,$C74,11+3*MIN(AF$3,$D$2-1)))))</f>
        <v/>
      </c>
      <c r="AG74" s="122">
        <f>IF(OR($C74="",$B$2="",$D$2=0),0,IF(AG$3&lt;0,0,N(INDEX('CURVA PREVISION'!$A$1:$KZ$3000,$C74,11+3*MIN(AG$3,$D$2-1)))))</f>
        <v/>
      </c>
      <c r="AH74" s="122">
        <f>IF(OR($C74="",$B$2="",$D$2=0),0,IF(AH$3&lt;0,0,N(INDEX('CURVA PREVISION'!$A$1:$KZ$3000,$C74,11+3*MIN(AH$3,$D$2-1)))))</f>
        <v/>
      </c>
      <c r="AI74" s="122">
        <f>IF(OR($C74="",$B$2="",$D$2=0),0,IF(AI$3&lt;0,0,N(INDEX('CURVA PREVISION'!$A$1:$KZ$3000,$C74,11+3*MIN(AI$3,$D$2-1)))))</f>
        <v/>
      </c>
      <c r="AJ74" s="122">
        <f>IF(OR($C74="",$B$2="",$D$2=0),0,IF(AJ$3&lt;0,0,N(INDEX('CURVA PREVISION'!$A$1:$KZ$3000,$C74,11+3*MIN(AJ$3,$D$2-1)))))</f>
        <v/>
      </c>
      <c r="AK74" s="122">
        <f>IF(OR($C74="",$B$2="",$D$2=0),0,IF(AK$3&lt;0,0,N(INDEX('CURVA PREVISION'!$A$1:$KZ$3000,$C74,11+3*MIN(AK$3,$D$2-1)))))</f>
        <v/>
      </c>
      <c r="AL74" s="122">
        <f>IF(OR($C74="",$B$2="",$D$2=0),0,IF(AL$3&lt;0,0,N(INDEX('CURVA PREVISION'!$A$1:$KZ$3000,$C74,11+3*MIN(AL$3,$D$2-1)))))</f>
        <v/>
      </c>
      <c r="AM74" s="122">
        <f>IF(OR($C74="",$B$2="",$D$2=0),0,IF(AM$3&lt;0,0,N(INDEX('CURVA PREVISION'!$A$1:$KZ$3000,$C74,11+3*MIN(AM$3,$D$2-1)))))</f>
        <v/>
      </c>
      <c r="AN74" s="122">
        <f>IF(OR($C74="",$B$2="",$D$2=0),0,IF(AN$3&lt;0,0,N(INDEX('CURVA PREVISION'!$A$1:$KZ$3000,$C74,11+3*MIN(AN$3,$D$2-1)))))</f>
        <v/>
      </c>
      <c r="AO74" s="122">
        <f>IF(OR($C74="",$B$2="",$D$2=0),0,IF(AO$3&lt;0,0,N(INDEX('CURVA PREVISION'!$A$1:$KZ$3000,$C74,11+3*MIN(AO$3,$D$2-1)))))</f>
        <v/>
      </c>
      <c r="AP74" s="122">
        <f>IF(OR($C74="",$B$2="",$D$2=0),0,IF(AP$3&lt;0,0,N(INDEX('CURVA PREVISION'!$A$1:$KZ$3000,$C74,11+3*MIN(AP$3,$D$2-1)))))</f>
        <v/>
      </c>
      <c r="AQ74" s="122">
        <f>IF(OR($C74="",$B$2="",$D$2=0),0,IF(AQ$3&lt;0,0,N(INDEX('CURVA PREVISION'!$A$1:$KZ$3000,$C74,11+3*MIN(AQ$3,$D$2-1)))))</f>
        <v/>
      </c>
      <c r="AR74" s="122">
        <f>IF(OR($C74="",$B$2="",$D$2=0),0,IF(AR$3&lt;0,0,N(INDEX('CURVA PREVISION'!$A$1:$KZ$3000,$C74,11+3*MIN(AR$3,$D$2-1)))))</f>
        <v/>
      </c>
      <c r="AS74" s="122">
        <f>IF(OR($C74="",$B$2="",$D$2=0),0,IF(AS$3&lt;0,0,N(INDEX('CURVA PREVISION'!$A$1:$KZ$3000,$C74,11+3*MIN(AS$3,$D$2-1)))))</f>
        <v/>
      </c>
      <c r="AT74" s="122">
        <f>IF(OR($C74="",$B$2="",$D$2=0),0,IF(AT$3&lt;0,0,N(INDEX('CURVA PREVISION'!$A$1:$KZ$3000,$C74,11+3*MIN(AT$3,$D$2-1)))))</f>
        <v/>
      </c>
      <c r="AU74" s="122">
        <f>IF(OR($C74="",$B$2="",$D$2=0),0,IF(AU$3&lt;0,0,N(INDEX('CURVA PREVISION'!$A$1:$KZ$3000,$C74,11+3*MIN(AU$3,$D$2-1)))))</f>
        <v/>
      </c>
      <c r="AV74" s="122">
        <f>IF(OR($C74="",$B$2="",$D$2=0),0,IF(AV$3&lt;0,0,N(INDEX('CURVA PREVISION'!$A$1:$KZ$3000,$C74,11+3*MIN(AV$3,$D$2-1)))))</f>
        <v/>
      </c>
      <c r="AW74" s="122">
        <f>IF(OR($C74="",$B$2="",$D$2=0),0,IF(AW$3&lt;0,0,N(INDEX('CURVA PREVISION'!$A$1:$KZ$3000,$C74,11+3*MIN(AW$3,$D$2-1)))))</f>
        <v/>
      </c>
      <c r="AX74" s="122">
        <f>IF(OR($C74="",$B$2="",$D$2=0),0,IF(AX$3&lt;0,0,N(INDEX('CURVA PREVISION'!$A$1:$KZ$3000,$C74,11+3*MIN(AX$3,$D$2-1)))))</f>
        <v/>
      </c>
      <c r="AY74" s="122">
        <f>IF(OR($C74="",$B$2="",$D$2=0),0,IF(AY$3&lt;0,0,N(INDEX('CURVA PREVISION'!$A$1:$KZ$3000,$C74,11+3*MIN(AY$3,$D$2-1)))))</f>
        <v/>
      </c>
      <c r="AZ74" s="122">
        <f>IF(OR($C74="",$B$2="",$D$2=0),0,IF(AZ$3&lt;0,0,N(INDEX('CURVA PREVISION'!$A$1:$KZ$3000,$C74,11+3*MIN(AZ$3,$D$2-1)))))</f>
        <v/>
      </c>
      <c r="BA74" s="122">
        <f>IF(OR($C74="",$B$2="",$D$2=0),0,IF(BA$3&lt;0,0,N(INDEX('CURVA PREVISION'!$A$1:$KZ$3000,$C74,11+3*MIN(BA$3,$D$2-1)))))</f>
        <v/>
      </c>
      <c r="BB74" s="122">
        <f>IF(OR($C74="",$B$2="",$D$2=0),0,IF(BB$3&lt;0,0,N(INDEX('CURVA PREVISION'!$A$1:$KZ$3000,$C74,11+3*MIN(BB$3,$D$2-1)))))</f>
        <v/>
      </c>
      <c r="BC74" s="122">
        <f>IF(OR($C74="",$B$2="",$D$2=0),0,IF(BC$3&lt;0,0,N(INDEX('CURVA PREVISION'!$A$1:$KZ$3000,$C74,11+3*MIN(BC$3,$D$2-1)))))</f>
        <v/>
      </c>
      <c r="BD74" s="122">
        <f>IF(OR($C74="",$B$2="",$D$2=0),0,IF(BD$3&lt;0,0,N(INDEX('CURVA PREVISION'!$A$1:$KZ$3000,$C74,11+3*MIN(BD$3,$D$2-1)))))</f>
        <v/>
      </c>
      <c r="BE74" s="122">
        <f>IF(OR($C74="",$B$2="",$D$2=0),0,IF(BE$3&lt;0,0,N(INDEX('CURVA PREVISION'!$A$1:$KZ$3000,$C74,11+3*MIN(BE$3,$D$2-1)))))</f>
        <v/>
      </c>
      <c r="BF74" s="122">
        <f>IF(OR($C74="",$B$2="",$D$2=0),0,IF(BF$3&lt;0,0,N(INDEX('CURVA PREVISION'!$A$1:$KZ$3000,$C74,11+3*MIN(BF$3,$D$2-1)))))</f>
        <v/>
      </c>
      <c r="BG74" s="122">
        <f>IF(OR($C74="",$B$2="",$D$2=0),0,IF(BG$3&lt;0,0,N(INDEX('CURVA PREVISION'!$A$1:$KZ$3000,$C74,11+3*MIN(BG$3,$D$2-1)))))</f>
        <v/>
      </c>
      <c r="BH74" s="122">
        <f>IF(OR($C74="",$B$2="",$D$2=0),0,IF(BH$3&lt;0,0,N(INDEX('CURVA PREVISION'!$A$1:$KZ$3000,$C74,11+3*MIN(BH$3,$D$2-1)))))</f>
        <v/>
      </c>
      <c r="BI74" s="122">
        <f>IF(OR($C74="",$B$2="",$D$2=0),0,IF(BI$3&lt;0,0,N(INDEX('CURVA PREVISION'!$A$1:$KZ$3000,$C74,11+3*MIN(BI$3,$D$2-1)))))</f>
        <v/>
      </c>
      <c r="BJ74" s="122">
        <f>IF(OR($C74="",$B$2="",$D$2=0),0,IF(BJ$3&lt;0,0,N(INDEX('CURVA PREVISION'!$A$1:$KZ$3000,$C74,11+3*MIN(BJ$3,$D$2-1)))))</f>
        <v/>
      </c>
      <c r="BK74" s="122">
        <f>IF(OR($C74="",$B$2="",$D$2=0),0,IF(BK$3&lt;0,0,N(INDEX('CURVA PREVISION'!$A$1:$KZ$3000,$C74,11+3*MIN(BK$3,$D$2-1)))))</f>
        <v/>
      </c>
      <c r="BL74" s="122">
        <f>IF(OR($C74="",$B$2="",$D$2=0),0,IF(BL$3&lt;0,0,N(INDEX('CURVA PREVISION'!$A$1:$KZ$3000,$C74,11+3*MIN(BL$3,$D$2-1)))))</f>
        <v/>
      </c>
      <c r="BM74" s="122">
        <f>IF(OR($C74="",$B$2="",$D$2=0),0,IF(BM$3&lt;0,0,N(INDEX('CURVA PREVISION'!$A$1:$KZ$3000,$C74,11+3*MIN(BM$3,$D$2-1)))))</f>
        <v/>
      </c>
      <c r="BN74" s="122">
        <f>IF(OR($C74="",$B$2="",$D$2=0),0,IF(BN$3&lt;0,0,N(INDEX('CURVA PREVISION'!$A$1:$KZ$3000,$C74,11+3*MIN(BN$3,$D$2-1)))))</f>
        <v/>
      </c>
      <c r="BO74" s="122">
        <f>IF(OR($C74="",$B$2="",$D$2=0),0,IF(BO$3&lt;0,0,N(INDEX('CURVA PREVISION'!$A$1:$KZ$3000,$C74,11+3*MIN(BO$3,$D$2-1)))))</f>
        <v/>
      </c>
      <c r="BP74" s="122">
        <f>IF(OR($C74="",$B$2="",$D$2=0),0,IF(BP$3&lt;0,0,N(INDEX('CURVA PREVISION'!$A$1:$KZ$3000,$C74,11+3*MIN(BP$3,$D$2-1)))))</f>
        <v/>
      </c>
      <c r="BQ74" s="122">
        <f>IF(OR($C74="",$B$2="",$D$2=0),0,IF(BQ$3&lt;0,0,N(INDEX('CURVA PREVISION'!$A$1:$KZ$3000,$C74,11+3*MIN(BQ$3,$D$2-1)))))</f>
        <v/>
      </c>
      <c r="BR74" s="122">
        <f>IF(OR($C74="",$B$2="",$D$2=0),0,IF(BR$3&lt;0,0,N(INDEX('CURVA PREVISION'!$A$1:$KZ$3000,$C74,11+3*MIN(BR$3,$D$2-1)))))</f>
        <v/>
      </c>
      <c r="BS74" s="122">
        <f>IF(OR($C74="",$B$2="",$D$2=0),0,IF(BS$3&lt;0,0,N(INDEX('CURVA PREVISION'!$A$1:$KZ$3000,$C74,11+3*MIN(BS$3,$D$2-1)))))</f>
        <v/>
      </c>
      <c r="BT74" s="122">
        <f>IF(OR($C74="",$B$2="",$D$2=0),0,IF(BT$3&lt;0,0,N(INDEX('CURVA PREVISION'!$A$1:$KZ$3000,$C74,11+3*MIN(BT$3,$D$2-1)))))</f>
        <v/>
      </c>
      <c r="BU74" s="122">
        <f>IF(OR($C74="",$B$2="",$D$2=0),0,IF(BU$3&lt;0,0,N(INDEX('CURVA PREVISION'!$A$1:$KZ$3000,$C74,11+3*MIN(BU$3,$D$2-1)))))</f>
        <v/>
      </c>
      <c r="BV74" s="122">
        <f>IF(OR($C74="",$B$2="",$D$2=0),0,IF(BV$3&lt;0,0,N(INDEX('CURVA PREVISION'!$A$1:$KZ$3000,$C74,11+3*MIN(BV$3,$D$2-1)))))</f>
        <v/>
      </c>
      <c r="BW74" s="122">
        <f>IF(OR($C74="",$B$2="",$D$2=0),0,IF(BW$3&lt;0,0,N(INDEX('CURVA PREVISION'!$A$1:$KZ$3000,$C74,11+3*MIN(BW$3,$D$2-1)))))</f>
        <v/>
      </c>
    </row>
    <row r="75">
      <c r="A75" s="51">
        <f>A33</f>
        <v/>
      </c>
      <c r="B75" s="51">
        <f>B33</f>
        <v/>
      </c>
      <c r="C75" s="68">
        <f>C33</f>
        <v/>
      </c>
      <c r="D75" s="122">
        <f>IF(OR($C75="",$B$2="",$D$2=0),0,IF(D$3&lt;0,0,N(INDEX('CURVA PREVISION'!$A$1:$KZ$3000,$C75,11+3*MIN(D$3,$D$2-1)))))</f>
        <v/>
      </c>
      <c r="E75" s="122">
        <f>IF(OR($C75="",$B$2="",$D$2=0),0,IF(E$3&lt;0,0,N(INDEX('CURVA PREVISION'!$A$1:$KZ$3000,$C75,11+3*MIN(E$3,$D$2-1)))))</f>
        <v/>
      </c>
      <c r="F75" s="122">
        <f>IF(OR($C75="",$B$2="",$D$2=0),0,IF(F$3&lt;0,0,N(INDEX('CURVA PREVISION'!$A$1:$KZ$3000,$C75,11+3*MIN(F$3,$D$2-1)))))</f>
        <v/>
      </c>
      <c r="G75" s="122">
        <f>IF(OR($C75="",$B$2="",$D$2=0),0,IF(G$3&lt;0,0,N(INDEX('CURVA PREVISION'!$A$1:$KZ$3000,$C75,11+3*MIN(G$3,$D$2-1)))))</f>
        <v/>
      </c>
      <c r="H75" s="122">
        <f>IF(OR($C75="",$B$2="",$D$2=0),0,IF(H$3&lt;0,0,N(INDEX('CURVA PREVISION'!$A$1:$KZ$3000,$C75,11+3*MIN(H$3,$D$2-1)))))</f>
        <v/>
      </c>
      <c r="I75" s="122">
        <f>IF(OR($C75="",$B$2="",$D$2=0),0,IF(I$3&lt;0,0,N(INDEX('CURVA PREVISION'!$A$1:$KZ$3000,$C75,11+3*MIN(I$3,$D$2-1)))))</f>
        <v/>
      </c>
      <c r="J75" s="122">
        <f>IF(OR($C75="",$B$2="",$D$2=0),0,IF(J$3&lt;0,0,N(INDEX('CURVA PREVISION'!$A$1:$KZ$3000,$C75,11+3*MIN(J$3,$D$2-1)))))</f>
        <v/>
      </c>
      <c r="K75" s="122">
        <f>IF(OR($C75="",$B$2="",$D$2=0),0,IF(K$3&lt;0,0,N(INDEX('CURVA PREVISION'!$A$1:$KZ$3000,$C75,11+3*MIN(K$3,$D$2-1)))))</f>
        <v/>
      </c>
      <c r="L75" s="122">
        <f>IF(OR($C75="",$B$2="",$D$2=0),0,IF(L$3&lt;0,0,N(INDEX('CURVA PREVISION'!$A$1:$KZ$3000,$C75,11+3*MIN(L$3,$D$2-1)))))</f>
        <v/>
      </c>
      <c r="M75" s="122">
        <f>IF(OR($C75="",$B$2="",$D$2=0),0,IF(M$3&lt;0,0,N(INDEX('CURVA PREVISION'!$A$1:$KZ$3000,$C75,11+3*MIN(M$3,$D$2-1)))))</f>
        <v/>
      </c>
      <c r="N75" s="122">
        <f>IF(OR($C75="",$B$2="",$D$2=0),0,IF(N$3&lt;0,0,N(INDEX('CURVA PREVISION'!$A$1:$KZ$3000,$C75,11+3*MIN(N$3,$D$2-1)))))</f>
        <v/>
      </c>
      <c r="O75" s="122">
        <f>IF(OR($C75="",$B$2="",$D$2=0),0,IF(O$3&lt;0,0,N(INDEX('CURVA PREVISION'!$A$1:$KZ$3000,$C75,11+3*MIN(O$3,$D$2-1)))))</f>
        <v/>
      </c>
      <c r="P75" s="122">
        <f>IF(OR($C75="",$B$2="",$D$2=0),0,IF(P$3&lt;0,0,N(INDEX('CURVA PREVISION'!$A$1:$KZ$3000,$C75,11+3*MIN(P$3,$D$2-1)))))</f>
        <v/>
      </c>
      <c r="Q75" s="122">
        <f>IF(OR($C75="",$B$2="",$D$2=0),0,IF(Q$3&lt;0,0,N(INDEX('CURVA PREVISION'!$A$1:$KZ$3000,$C75,11+3*MIN(Q$3,$D$2-1)))))</f>
        <v/>
      </c>
      <c r="R75" s="122">
        <f>IF(OR($C75="",$B$2="",$D$2=0),0,IF(R$3&lt;0,0,N(INDEX('CURVA PREVISION'!$A$1:$KZ$3000,$C75,11+3*MIN(R$3,$D$2-1)))))</f>
        <v/>
      </c>
      <c r="S75" s="122">
        <f>IF(OR($C75="",$B$2="",$D$2=0),0,IF(S$3&lt;0,0,N(INDEX('CURVA PREVISION'!$A$1:$KZ$3000,$C75,11+3*MIN(S$3,$D$2-1)))))</f>
        <v/>
      </c>
      <c r="T75" s="122">
        <f>IF(OR($C75="",$B$2="",$D$2=0),0,IF(T$3&lt;0,0,N(INDEX('CURVA PREVISION'!$A$1:$KZ$3000,$C75,11+3*MIN(T$3,$D$2-1)))))</f>
        <v/>
      </c>
      <c r="U75" s="122">
        <f>IF(OR($C75="",$B$2="",$D$2=0),0,IF(U$3&lt;0,0,N(INDEX('CURVA PREVISION'!$A$1:$KZ$3000,$C75,11+3*MIN(U$3,$D$2-1)))))</f>
        <v/>
      </c>
      <c r="V75" s="122">
        <f>IF(OR($C75="",$B$2="",$D$2=0),0,IF(V$3&lt;0,0,N(INDEX('CURVA PREVISION'!$A$1:$KZ$3000,$C75,11+3*MIN(V$3,$D$2-1)))))</f>
        <v/>
      </c>
      <c r="W75" s="122">
        <f>IF(OR($C75="",$B$2="",$D$2=0),0,IF(W$3&lt;0,0,N(INDEX('CURVA PREVISION'!$A$1:$KZ$3000,$C75,11+3*MIN(W$3,$D$2-1)))))</f>
        <v/>
      </c>
      <c r="X75" s="122">
        <f>IF(OR($C75="",$B$2="",$D$2=0),0,IF(X$3&lt;0,0,N(INDEX('CURVA PREVISION'!$A$1:$KZ$3000,$C75,11+3*MIN(X$3,$D$2-1)))))</f>
        <v/>
      </c>
      <c r="Y75" s="122">
        <f>IF(OR($C75="",$B$2="",$D$2=0),0,IF(Y$3&lt;0,0,N(INDEX('CURVA PREVISION'!$A$1:$KZ$3000,$C75,11+3*MIN(Y$3,$D$2-1)))))</f>
        <v/>
      </c>
      <c r="Z75" s="122">
        <f>IF(OR($C75="",$B$2="",$D$2=0),0,IF(Z$3&lt;0,0,N(INDEX('CURVA PREVISION'!$A$1:$KZ$3000,$C75,11+3*MIN(Z$3,$D$2-1)))))</f>
        <v/>
      </c>
      <c r="AA75" s="122">
        <f>IF(OR($C75="",$B$2="",$D$2=0),0,IF(AA$3&lt;0,0,N(INDEX('CURVA PREVISION'!$A$1:$KZ$3000,$C75,11+3*MIN(AA$3,$D$2-1)))))</f>
        <v/>
      </c>
      <c r="AB75" s="122">
        <f>IF(OR($C75="",$B$2="",$D$2=0),0,IF(AB$3&lt;0,0,N(INDEX('CURVA PREVISION'!$A$1:$KZ$3000,$C75,11+3*MIN(AB$3,$D$2-1)))))</f>
        <v/>
      </c>
      <c r="AC75" s="122">
        <f>IF(OR($C75="",$B$2="",$D$2=0),0,IF(AC$3&lt;0,0,N(INDEX('CURVA PREVISION'!$A$1:$KZ$3000,$C75,11+3*MIN(AC$3,$D$2-1)))))</f>
        <v/>
      </c>
      <c r="AD75" s="122">
        <f>IF(OR($C75="",$B$2="",$D$2=0),0,IF(AD$3&lt;0,0,N(INDEX('CURVA PREVISION'!$A$1:$KZ$3000,$C75,11+3*MIN(AD$3,$D$2-1)))))</f>
        <v/>
      </c>
      <c r="AE75" s="122">
        <f>IF(OR($C75="",$B$2="",$D$2=0),0,IF(AE$3&lt;0,0,N(INDEX('CURVA PREVISION'!$A$1:$KZ$3000,$C75,11+3*MIN(AE$3,$D$2-1)))))</f>
        <v/>
      </c>
      <c r="AF75" s="122">
        <f>IF(OR($C75="",$B$2="",$D$2=0),0,IF(AF$3&lt;0,0,N(INDEX('CURVA PREVISION'!$A$1:$KZ$3000,$C75,11+3*MIN(AF$3,$D$2-1)))))</f>
        <v/>
      </c>
      <c r="AG75" s="122">
        <f>IF(OR($C75="",$B$2="",$D$2=0),0,IF(AG$3&lt;0,0,N(INDEX('CURVA PREVISION'!$A$1:$KZ$3000,$C75,11+3*MIN(AG$3,$D$2-1)))))</f>
        <v/>
      </c>
      <c r="AH75" s="122">
        <f>IF(OR($C75="",$B$2="",$D$2=0),0,IF(AH$3&lt;0,0,N(INDEX('CURVA PREVISION'!$A$1:$KZ$3000,$C75,11+3*MIN(AH$3,$D$2-1)))))</f>
        <v/>
      </c>
      <c r="AI75" s="122">
        <f>IF(OR($C75="",$B$2="",$D$2=0),0,IF(AI$3&lt;0,0,N(INDEX('CURVA PREVISION'!$A$1:$KZ$3000,$C75,11+3*MIN(AI$3,$D$2-1)))))</f>
        <v/>
      </c>
      <c r="AJ75" s="122">
        <f>IF(OR($C75="",$B$2="",$D$2=0),0,IF(AJ$3&lt;0,0,N(INDEX('CURVA PREVISION'!$A$1:$KZ$3000,$C75,11+3*MIN(AJ$3,$D$2-1)))))</f>
        <v/>
      </c>
      <c r="AK75" s="122">
        <f>IF(OR($C75="",$B$2="",$D$2=0),0,IF(AK$3&lt;0,0,N(INDEX('CURVA PREVISION'!$A$1:$KZ$3000,$C75,11+3*MIN(AK$3,$D$2-1)))))</f>
        <v/>
      </c>
      <c r="AL75" s="122">
        <f>IF(OR($C75="",$B$2="",$D$2=0),0,IF(AL$3&lt;0,0,N(INDEX('CURVA PREVISION'!$A$1:$KZ$3000,$C75,11+3*MIN(AL$3,$D$2-1)))))</f>
        <v/>
      </c>
      <c r="AM75" s="122">
        <f>IF(OR($C75="",$B$2="",$D$2=0),0,IF(AM$3&lt;0,0,N(INDEX('CURVA PREVISION'!$A$1:$KZ$3000,$C75,11+3*MIN(AM$3,$D$2-1)))))</f>
        <v/>
      </c>
      <c r="AN75" s="122">
        <f>IF(OR($C75="",$B$2="",$D$2=0),0,IF(AN$3&lt;0,0,N(INDEX('CURVA PREVISION'!$A$1:$KZ$3000,$C75,11+3*MIN(AN$3,$D$2-1)))))</f>
        <v/>
      </c>
      <c r="AO75" s="122">
        <f>IF(OR($C75="",$B$2="",$D$2=0),0,IF(AO$3&lt;0,0,N(INDEX('CURVA PREVISION'!$A$1:$KZ$3000,$C75,11+3*MIN(AO$3,$D$2-1)))))</f>
        <v/>
      </c>
      <c r="AP75" s="122">
        <f>IF(OR($C75="",$B$2="",$D$2=0),0,IF(AP$3&lt;0,0,N(INDEX('CURVA PREVISION'!$A$1:$KZ$3000,$C75,11+3*MIN(AP$3,$D$2-1)))))</f>
        <v/>
      </c>
      <c r="AQ75" s="122">
        <f>IF(OR($C75="",$B$2="",$D$2=0),0,IF(AQ$3&lt;0,0,N(INDEX('CURVA PREVISION'!$A$1:$KZ$3000,$C75,11+3*MIN(AQ$3,$D$2-1)))))</f>
        <v/>
      </c>
      <c r="AR75" s="122">
        <f>IF(OR($C75="",$B$2="",$D$2=0),0,IF(AR$3&lt;0,0,N(INDEX('CURVA PREVISION'!$A$1:$KZ$3000,$C75,11+3*MIN(AR$3,$D$2-1)))))</f>
        <v/>
      </c>
      <c r="AS75" s="122">
        <f>IF(OR($C75="",$B$2="",$D$2=0),0,IF(AS$3&lt;0,0,N(INDEX('CURVA PREVISION'!$A$1:$KZ$3000,$C75,11+3*MIN(AS$3,$D$2-1)))))</f>
        <v/>
      </c>
      <c r="AT75" s="122">
        <f>IF(OR($C75="",$B$2="",$D$2=0),0,IF(AT$3&lt;0,0,N(INDEX('CURVA PREVISION'!$A$1:$KZ$3000,$C75,11+3*MIN(AT$3,$D$2-1)))))</f>
        <v/>
      </c>
      <c r="AU75" s="122">
        <f>IF(OR($C75="",$B$2="",$D$2=0),0,IF(AU$3&lt;0,0,N(INDEX('CURVA PREVISION'!$A$1:$KZ$3000,$C75,11+3*MIN(AU$3,$D$2-1)))))</f>
        <v/>
      </c>
      <c r="AV75" s="122">
        <f>IF(OR($C75="",$B$2="",$D$2=0),0,IF(AV$3&lt;0,0,N(INDEX('CURVA PREVISION'!$A$1:$KZ$3000,$C75,11+3*MIN(AV$3,$D$2-1)))))</f>
        <v/>
      </c>
      <c r="AW75" s="122">
        <f>IF(OR($C75="",$B$2="",$D$2=0),0,IF(AW$3&lt;0,0,N(INDEX('CURVA PREVISION'!$A$1:$KZ$3000,$C75,11+3*MIN(AW$3,$D$2-1)))))</f>
        <v/>
      </c>
      <c r="AX75" s="122">
        <f>IF(OR($C75="",$B$2="",$D$2=0),0,IF(AX$3&lt;0,0,N(INDEX('CURVA PREVISION'!$A$1:$KZ$3000,$C75,11+3*MIN(AX$3,$D$2-1)))))</f>
        <v/>
      </c>
      <c r="AY75" s="122">
        <f>IF(OR($C75="",$B$2="",$D$2=0),0,IF(AY$3&lt;0,0,N(INDEX('CURVA PREVISION'!$A$1:$KZ$3000,$C75,11+3*MIN(AY$3,$D$2-1)))))</f>
        <v/>
      </c>
      <c r="AZ75" s="122">
        <f>IF(OR($C75="",$B$2="",$D$2=0),0,IF(AZ$3&lt;0,0,N(INDEX('CURVA PREVISION'!$A$1:$KZ$3000,$C75,11+3*MIN(AZ$3,$D$2-1)))))</f>
        <v/>
      </c>
      <c r="BA75" s="122">
        <f>IF(OR($C75="",$B$2="",$D$2=0),0,IF(BA$3&lt;0,0,N(INDEX('CURVA PREVISION'!$A$1:$KZ$3000,$C75,11+3*MIN(BA$3,$D$2-1)))))</f>
        <v/>
      </c>
      <c r="BB75" s="122">
        <f>IF(OR($C75="",$B$2="",$D$2=0),0,IF(BB$3&lt;0,0,N(INDEX('CURVA PREVISION'!$A$1:$KZ$3000,$C75,11+3*MIN(BB$3,$D$2-1)))))</f>
        <v/>
      </c>
      <c r="BC75" s="122">
        <f>IF(OR($C75="",$B$2="",$D$2=0),0,IF(BC$3&lt;0,0,N(INDEX('CURVA PREVISION'!$A$1:$KZ$3000,$C75,11+3*MIN(BC$3,$D$2-1)))))</f>
        <v/>
      </c>
      <c r="BD75" s="122">
        <f>IF(OR($C75="",$B$2="",$D$2=0),0,IF(BD$3&lt;0,0,N(INDEX('CURVA PREVISION'!$A$1:$KZ$3000,$C75,11+3*MIN(BD$3,$D$2-1)))))</f>
        <v/>
      </c>
      <c r="BE75" s="122">
        <f>IF(OR($C75="",$B$2="",$D$2=0),0,IF(BE$3&lt;0,0,N(INDEX('CURVA PREVISION'!$A$1:$KZ$3000,$C75,11+3*MIN(BE$3,$D$2-1)))))</f>
        <v/>
      </c>
      <c r="BF75" s="122">
        <f>IF(OR($C75="",$B$2="",$D$2=0),0,IF(BF$3&lt;0,0,N(INDEX('CURVA PREVISION'!$A$1:$KZ$3000,$C75,11+3*MIN(BF$3,$D$2-1)))))</f>
        <v/>
      </c>
      <c r="BG75" s="122">
        <f>IF(OR($C75="",$B$2="",$D$2=0),0,IF(BG$3&lt;0,0,N(INDEX('CURVA PREVISION'!$A$1:$KZ$3000,$C75,11+3*MIN(BG$3,$D$2-1)))))</f>
        <v/>
      </c>
      <c r="BH75" s="122">
        <f>IF(OR($C75="",$B$2="",$D$2=0),0,IF(BH$3&lt;0,0,N(INDEX('CURVA PREVISION'!$A$1:$KZ$3000,$C75,11+3*MIN(BH$3,$D$2-1)))))</f>
        <v/>
      </c>
      <c r="BI75" s="122">
        <f>IF(OR($C75="",$B$2="",$D$2=0),0,IF(BI$3&lt;0,0,N(INDEX('CURVA PREVISION'!$A$1:$KZ$3000,$C75,11+3*MIN(BI$3,$D$2-1)))))</f>
        <v/>
      </c>
      <c r="BJ75" s="122">
        <f>IF(OR($C75="",$B$2="",$D$2=0),0,IF(BJ$3&lt;0,0,N(INDEX('CURVA PREVISION'!$A$1:$KZ$3000,$C75,11+3*MIN(BJ$3,$D$2-1)))))</f>
        <v/>
      </c>
      <c r="BK75" s="122">
        <f>IF(OR($C75="",$B$2="",$D$2=0),0,IF(BK$3&lt;0,0,N(INDEX('CURVA PREVISION'!$A$1:$KZ$3000,$C75,11+3*MIN(BK$3,$D$2-1)))))</f>
        <v/>
      </c>
      <c r="BL75" s="122">
        <f>IF(OR($C75="",$B$2="",$D$2=0),0,IF(BL$3&lt;0,0,N(INDEX('CURVA PREVISION'!$A$1:$KZ$3000,$C75,11+3*MIN(BL$3,$D$2-1)))))</f>
        <v/>
      </c>
      <c r="BM75" s="122">
        <f>IF(OR($C75="",$B$2="",$D$2=0),0,IF(BM$3&lt;0,0,N(INDEX('CURVA PREVISION'!$A$1:$KZ$3000,$C75,11+3*MIN(BM$3,$D$2-1)))))</f>
        <v/>
      </c>
      <c r="BN75" s="122">
        <f>IF(OR($C75="",$B$2="",$D$2=0),0,IF(BN$3&lt;0,0,N(INDEX('CURVA PREVISION'!$A$1:$KZ$3000,$C75,11+3*MIN(BN$3,$D$2-1)))))</f>
        <v/>
      </c>
      <c r="BO75" s="122">
        <f>IF(OR($C75="",$B$2="",$D$2=0),0,IF(BO$3&lt;0,0,N(INDEX('CURVA PREVISION'!$A$1:$KZ$3000,$C75,11+3*MIN(BO$3,$D$2-1)))))</f>
        <v/>
      </c>
      <c r="BP75" s="122">
        <f>IF(OR($C75="",$B$2="",$D$2=0),0,IF(BP$3&lt;0,0,N(INDEX('CURVA PREVISION'!$A$1:$KZ$3000,$C75,11+3*MIN(BP$3,$D$2-1)))))</f>
        <v/>
      </c>
      <c r="BQ75" s="122">
        <f>IF(OR($C75="",$B$2="",$D$2=0),0,IF(BQ$3&lt;0,0,N(INDEX('CURVA PREVISION'!$A$1:$KZ$3000,$C75,11+3*MIN(BQ$3,$D$2-1)))))</f>
        <v/>
      </c>
      <c r="BR75" s="122">
        <f>IF(OR($C75="",$B$2="",$D$2=0),0,IF(BR$3&lt;0,0,N(INDEX('CURVA PREVISION'!$A$1:$KZ$3000,$C75,11+3*MIN(BR$3,$D$2-1)))))</f>
        <v/>
      </c>
      <c r="BS75" s="122">
        <f>IF(OR($C75="",$B$2="",$D$2=0),0,IF(BS$3&lt;0,0,N(INDEX('CURVA PREVISION'!$A$1:$KZ$3000,$C75,11+3*MIN(BS$3,$D$2-1)))))</f>
        <v/>
      </c>
      <c r="BT75" s="122">
        <f>IF(OR($C75="",$B$2="",$D$2=0),0,IF(BT$3&lt;0,0,N(INDEX('CURVA PREVISION'!$A$1:$KZ$3000,$C75,11+3*MIN(BT$3,$D$2-1)))))</f>
        <v/>
      </c>
      <c r="BU75" s="122">
        <f>IF(OR($C75="",$B$2="",$D$2=0),0,IF(BU$3&lt;0,0,N(INDEX('CURVA PREVISION'!$A$1:$KZ$3000,$C75,11+3*MIN(BU$3,$D$2-1)))))</f>
        <v/>
      </c>
      <c r="BV75" s="122">
        <f>IF(OR($C75="",$B$2="",$D$2=0),0,IF(BV$3&lt;0,0,N(INDEX('CURVA PREVISION'!$A$1:$KZ$3000,$C75,11+3*MIN(BV$3,$D$2-1)))))</f>
        <v/>
      </c>
      <c r="BW75" s="122">
        <f>IF(OR($C75="",$B$2="",$D$2=0),0,IF(BW$3&lt;0,0,N(INDEX('CURVA PREVISION'!$A$1:$KZ$3000,$C75,11+3*MIN(BW$3,$D$2-1)))))</f>
        <v/>
      </c>
    </row>
    <row r="76">
      <c r="A76" s="51">
        <f>A34</f>
        <v/>
      </c>
      <c r="B76" s="51">
        <f>B34</f>
        <v/>
      </c>
      <c r="C76" s="68">
        <f>C34</f>
        <v/>
      </c>
      <c r="D76" s="122">
        <f>IF(OR($C76="",$B$2="",$D$2=0),0,IF(D$3&lt;0,0,N(INDEX('CURVA PREVISION'!$A$1:$KZ$3000,$C76,11+3*MIN(D$3,$D$2-1)))))</f>
        <v/>
      </c>
      <c r="E76" s="122">
        <f>IF(OR($C76="",$B$2="",$D$2=0),0,IF(E$3&lt;0,0,N(INDEX('CURVA PREVISION'!$A$1:$KZ$3000,$C76,11+3*MIN(E$3,$D$2-1)))))</f>
        <v/>
      </c>
      <c r="F76" s="122">
        <f>IF(OR($C76="",$B$2="",$D$2=0),0,IF(F$3&lt;0,0,N(INDEX('CURVA PREVISION'!$A$1:$KZ$3000,$C76,11+3*MIN(F$3,$D$2-1)))))</f>
        <v/>
      </c>
      <c r="G76" s="122">
        <f>IF(OR($C76="",$B$2="",$D$2=0),0,IF(G$3&lt;0,0,N(INDEX('CURVA PREVISION'!$A$1:$KZ$3000,$C76,11+3*MIN(G$3,$D$2-1)))))</f>
        <v/>
      </c>
      <c r="H76" s="122">
        <f>IF(OR($C76="",$B$2="",$D$2=0),0,IF(H$3&lt;0,0,N(INDEX('CURVA PREVISION'!$A$1:$KZ$3000,$C76,11+3*MIN(H$3,$D$2-1)))))</f>
        <v/>
      </c>
      <c r="I76" s="122">
        <f>IF(OR($C76="",$B$2="",$D$2=0),0,IF(I$3&lt;0,0,N(INDEX('CURVA PREVISION'!$A$1:$KZ$3000,$C76,11+3*MIN(I$3,$D$2-1)))))</f>
        <v/>
      </c>
      <c r="J76" s="122">
        <f>IF(OR($C76="",$B$2="",$D$2=0),0,IF(J$3&lt;0,0,N(INDEX('CURVA PREVISION'!$A$1:$KZ$3000,$C76,11+3*MIN(J$3,$D$2-1)))))</f>
        <v/>
      </c>
      <c r="K76" s="122">
        <f>IF(OR($C76="",$B$2="",$D$2=0),0,IF(K$3&lt;0,0,N(INDEX('CURVA PREVISION'!$A$1:$KZ$3000,$C76,11+3*MIN(K$3,$D$2-1)))))</f>
        <v/>
      </c>
      <c r="L76" s="122">
        <f>IF(OR($C76="",$B$2="",$D$2=0),0,IF(L$3&lt;0,0,N(INDEX('CURVA PREVISION'!$A$1:$KZ$3000,$C76,11+3*MIN(L$3,$D$2-1)))))</f>
        <v/>
      </c>
      <c r="M76" s="122">
        <f>IF(OR($C76="",$B$2="",$D$2=0),0,IF(M$3&lt;0,0,N(INDEX('CURVA PREVISION'!$A$1:$KZ$3000,$C76,11+3*MIN(M$3,$D$2-1)))))</f>
        <v/>
      </c>
      <c r="N76" s="122">
        <f>IF(OR($C76="",$B$2="",$D$2=0),0,IF(N$3&lt;0,0,N(INDEX('CURVA PREVISION'!$A$1:$KZ$3000,$C76,11+3*MIN(N$3,$D$2-1)))))</f>
        <v/>
      </c>
      <c r="O76" s="122">
        <f>IF(OR($C76="",$B$2="",$D$2=0),0,IF(O$3&lt;0,0,N(INDEX('CURVA PREVISION'!$A$1:$KZ$3000,$C76,11+3*MIN(O$3,$D$2-1)))))</f>
        <v/>
      </c>
      <c r="P76" s="122">
        <f>IF(OR($C76="",$B$2="",$D$2=0),0,IF(P$3&lt;0,0,N(INDEX('CURVA PREVISION'!$A$1:$KZ$3000,$C76,11+3*MIN(P$3,$D$2-1)))))</f>
        <v/>
      </c>
      <c r="Q76" s="122">
        <f>IF(OR($C76="",$B$2="",$D$2=0),0,IF(Q$3&lt;0,0,N(INDEX('CURVA PREVISION'!$A$1:$KZ$3000,$C76,11+3*MIN(Q$3,$D$2-1)))))</f>
        <v/>
      </c>
      <c r="R76" s="122">
        <f>IF(OR($C76="",$B$2="",$D$2=0),0,IF(R$3&lt;0,0,N(INDEX('CURVA PREVISION'!$A$1:$KZ$3000,$C76,11+3*MIN(R$3,$D$2-1)))))</f>
        <v/>
      </c>
      <c r="S76" s="122">
        <f>IF(OR($C76="",$B$2="",$D$2=0),0,IF(S$3&lt;0,0,N(INDEX('CURVA PREVISION'!$A$1:$KZ$3000,$C76,11+3*MIN(S$3,$D$2-1)))))</f>
        <v/>
      </c>
      <c r="T76" s="122">
        <f>IF(OR($C76="",$B$2="",$D$2=0),0,IF(T$3&lt;0,0,N(INDEX('CURVA PREVISION'!$A$1:$KZ$3000,$C76,11+3*MIN(T$3,$D$2-1)))))</f>
        <v/>
      </c>
      <c r="U76" s="122">
        <f>IF(OR($C76="",$B$2="",$D$2=0),0,IF(U$3&lt;0,0,N(INDEX('CURVA PREVISION'!$A$1:$KZ$3000,$C76,11+3*MIN(U$3,$D$2-1)))))</f>
        <v/>
      </c>
      <c r="V76" s="122">
        <f>IF(OR($C76="",$B$2="",$D$2=0),0,IF(V$3&lt;0,0,N(INDEX('CURVA PREVISION'!$A$1:$KZ$3000,$C76,11+3*MIN(V$3,$D$2-1)))))</f>
        <v/>
      </c>
      <c r="W76" s="122">
        <f>IF(OR($C76="",$B$2="",$D$2=0),0,IF(W$3&lt;0,0,N(INDEX('CURVA PREVISION'!$A$1:$KZ$3000,$C76,11+3*MIN(W$3,$D$2-1)))))</f>
        <v/>
      </c>
      <c r="X76" s="122">
        <f>IF(OR($C76="",$B$2="",$D$2=0),0,IF(X$3&lt;0,0,N(INDEX('CURVA PREVISION'!$A$1:$KZ$3000,$C76,11+3*MIN(X$3,$D$2-1)))))</f>
        <v/>
      </c>
      <c r="Y76" s="122">
        <f>IF(OR($C76="",$B$2="",$D$2=0),0,IF(Y$3&lt;0,0,N(INDEX('CURVA PREVISION'!$A$1:$KZ$3000,$C76,11+3*MIN(Y$3,$D$2-1)))))</f>
        <v/>
      </c>
      <c r="Z76" s="122">
        <f>IF(OR($C76="",$B$2="",$D$2=0),0,IF(Z$3&lt;0,0,N(INDEX('CURVA PREVISION'!$A$1:$KZ$3000,$C76,11+3*MIN(Z$3,$D$2-1)))))</f>
        <v/>
      </c>
      <c r="AA76" s="122">
        <f>IF(OR($C76="",$B$2="",$D$2=0),0,IF(AA$3&lt;0,0,N(INDEX('CURVA PREVISION'!$A$1:$KZ$3000,$C76,11+3*MIN(AA$3,$D$2-1)))))</f>
        <v/>
      </c>
      <c r="AB76" s="122">
        <f>IF(OR($C76="",$B$2="",$D$2=0),0,IF(AB$3&lt;0,0,N(INDEX('CURVA PREVISION'!$A$1:$KZ$3000,$C76,11+3*MIN(AB$3,$D$2-1)))))</f>
        <v/>
      </c>
      <c r="AC76" s="122">
        <f>IF(OR($C76="",$B$2="",$D$2=0),0,IF(AC$3&lt;0,0,N(INDEX('CURVA PREVISION'!$A$1:$KZ$3000,$C76,11+3*MIN(AC$3,$D$2-1)))))</f>
        <v/>
      </c>
      <c r="AD76" s="122">
        <f>IF(OR($C76="",$B$2="",$D$2=0),0,IF(AD$3&lt;0,0,N(INDEX('CURVA PREVISION'!$A$1:$KZ$3000,$C76,11+3*MIN(AD$3,$D$2-1)))))</f>
        <v/>
      </c>
      <c r="AE76" s="122">
        <f>IF(OR($C76="",$B$2="",$D$2=0),0,IF(AE$3&lt;0,0,N(INDEX('CURVA PREVISION'!$A$1:$KZ$3000,$C76,11+3*MIN(AE$3,$D$2-1)))))</f>
        <v/>
      </c>
      <c r="AF76" s="122">
        <f>IF(OR($C76="",$B$2="",$D$2=0),0,IF(AF$3&lt;0,0,N(INDEX('CURVA PREVISION'!$A$1:$KZ$3000,$C76,11+3*MIN(AF$3,$D$2-1)))))</f>
        <v/>
      </c>
      <c r="AG76" s="122">
        <f>IF(OR($C76="",$B$2="",$D$2=0),0,IF(AG$3&lt;0,0,N(INDEX('CURVA PREVISION'!$A$1:$KZ$3000,$C76,11+3*MIN(AG$3,$D$2-1)))))</f>
        <v/>
      </c>
      <c r="AH76" s="122">
        <f>IF(OR($C76="",$B$2="",$D$2=0),0,IF(AH$3&lt;0,0,N(INDEX('CURVA PREVISION'!$A$1:$KZ$3000,$C76,11+3*MIN(AH$3,$D$2-1)))))</f>
        <v/>
      </c>
      <c r="AI76" s="122">
        <f>IF(OR($C76="",$B$2="",$D$2=0),0,IF(AI$3&lt;0,0,N(INDEX('CURVA PREVISION'!$A$1:$KZ$3000,$C76,11+3*MIN(AI$3,$D$2-1)))))</f>
        <v/>
      </c>
      <c r="AJ76" s="122">
        <f>IF(OR($C76="",$B$2="",$D$2=0),0,IF(AJ$3&lt;0,0,N(INDEX('CURVA PREVISION'!$A$1:$KZ$3000,$C76,11+3*MIN(AJ$3,$D$2-1)))))</f>
        <v/>
      </c>
      <c r="AK76" s="122">
        <f>IF(OR($C76="",$B$2="",$D$2=0),0,IF(AK$3&lt;0,0,N(INDEX('CURVA PREVISION'!$A$1:$KZ$3000,$C76,11+3*MIN(AK$3,$D$2-1)))))</f>
        <v/>
      </c>
      <c r="AL76" s="122">
        <f>IF(OR($C76="",$B$2="",$D$2=0),0,IF(AL$3&lt;0,0,N(INDEX('CURVA PREVISION'!$A$1:$KZ$3000,$C76,11+3*MIN(AL$3,$D$2-1)))))</f>
        <v/>
      </c>
      <c r="AM76" s="122">
        <f>IF(OR($C76="",$B$2="",$D$2=0),0,IF(AM$3&lt;0,0,N(INDEX('CURVA PREVISION'!$A$1:$KZ$3000,$C76,11+3*MIN(AM$3,$D$2-1)))))</f>
        <v/>
      </c>
      <c r="AN76" s="122">
        <f>IF(OR($C76="",$B$2="",$D$2=0),0,IF(AN$3&lt;0,0,N(INDEX('CURVA PREVISION'!$A$1:$KZ$3000,$C76,11+3*MIN(AN$3,$D$2-1)))))</f>
        <v/>
      </c>
      <c r="AO76" s="122">
        <f>IF(OR($C76="",$B$2="",$D$2=0),0,IF(AO$3&lt;0,0,N(INDEX('CURVA PREVISION'!$A$1:$KZ$3000,$C76,11+3*MIN(AO$3,$D$2-1)))))</f>
        <v/>
      </c>
      <c r="AP76" s="122">
        <f>IF(OR($C76="",$B$2="",$D$2=0),0,IF(AP$3&lt;0,0,N(INDEX('CURVA PREVISION'!$A$1:$KZ$3000,$C76,11+3*MIN(AP$3,$D$2-1)))))</f>
        <v/>
      </c>
      <c r="AQ76" s="122">
        <f>IF(OR($C76="",$B$2="",$D$2=0),0,IF(AQ$3&lt;0,0,N(INDEX('CURVA PREVISION'!$A$1:$KZ$3000,$C76,11+3*MIN(AQ$3,$D$2-1)))))</f>
        <v/>
      </c>
      <c r="AR76" s="122">
        <f>IF(OR($C76="",$B$2="",$D$2=0),0,IF(AR$3&lt;0,0,N(INDEX('CURVA PREVISION'!$A$1:$KZ$3000,$C76,11+3*MIN(AR$3,$D$2-1)))))</f>
        <v/>
      </c>
      <c r="AS76" s="122">
        <f>IF(OR($C76="",$B$2="",$D$2=0),0,IF(AS$3&lt;0,0,N(INDEX('CURVA PREVISION'!$A$1:$KZ$3000,$C76,11+3*MIN(AS$3,$D$2-1)))))</f>
        <v/>
      </c>
      <c r="AT76" s="122">
        <f>IF(OR($C76="",$B$2="",$D$2=0),0,IF(AT$3&lt;0,0,N(INDEX('CURVA PREVISION'!$A$1:$KZ$3000,$C76,11+3*MIN(AT$3,$D$2-1)))))</f>
        <v/>
      </c>
      <c r="AU76" s="122">
        <f>IF(OR($C76="",$B$2="",$D$2=0),0,IF(AU$3&lt;0,0,N(INDEX('CURVA PREVISION'!$A$1:$KZ$3000,$C76,11+3*MIN(AU$3,$D$2-1)))))</f>
        <v/>
      </c>
      <c r="AV76" s="122">
        <f>IF(OR($C76="",$B$2="",$D$2=0),0,IF(AV$3&lt;0,0,N(INDEX('CURVA PREVISION'!$A$1:$KZ$3000,$C76,11+3*MIN(AV$3,$D$2-1)))))</f>
        <v/>
      </c>
      <c r="AW76" s="122">
        <f>IF(OR($C76="",$B$2="",$D$2=0),0,IF(AW$3&lt;0,0,N(INDEX('CURVA PREVISION'!$A$1:$KZ$3000,$C76,11+3*MIN(AW$3,$D$2-1)))))</f>
        <v/>
      </c>
      <c r="AX76" s="122">
        <f>IF(OR($C76="",$B$2="",$D$2=0),0,IF(AX$3&lt;0,0,N(INDEX('CURVA PREVISION'!$A$1:$KZ$3000,$C76,11+3*MIN(AX$3,$D$2-1)))))</f>
        <v/>
      </c>
      <c r="AY76" s="122">
        <f>IF(OR($C76="",$B$2="",$D$2=0),0,IF(AY$3&lt;0,0,N(INDEX('CURVA PREVISION'!$A$1:$KZ$3000,$C76,11+3*MIN(AY$3,$D$2-1)))))</f>
        <v/>
      </c>
      <c r="AZ76" s="122">
        <f>IF(OR($C76="",$B$2="",$D$2=0),0,IF(AZ$3&lt;0,0,N(INDEX('CURVA PREVISION'!$A$1:$KZ$3000,$C76,11+3*MIN(AZ$3,$D$2-1)))))</f>
        <v/>
      </c>
      <c r="BA76" s="122">
        <f>IF(OR($C76="",$B$2="",$D$2=0),0,IF(BA$3&lt;0,0,N(INDEX('CURVA PREVISION'!$A$1:$KZ$3000,$C76,11+3*MIN(BA$3,$D$2-1)))))</f>
        <v/>
      </c>
      <c r="BB76" s="122">
        <f>IF(OR($C76="",$B$2="",$D$2=0),0,IF(BB$3&lt;0,0,N(INDEX('CURVA PREVISION'!$A$1:$KZ$3000,$C76,11+3*MIN(BB$3,$D$2-1)))))</f>
        <v/>
      </c>
      <c r="BC76" s="122">
        <f>IF(OR($C76="",$B$2="",$D$2=0),0,IF(BC$3&lt;0,0,N(INDEX('CURVA PREVISION'!$A$1:$KZ$3000,$C76,11+3*MIN(BC$3,$D$2-1)))))</f>
        <v/>
      </c>
      <c r="BD76" s="122">
        <f>IF(OR($C76="",$B$2="",$D$2=0),0,IF(BD$3&lt;0,0,N(INDEX('CURVA PREVISION'!$A$1:$KZ$3000,$C76,11+3*MIN(BD$3,$D$2-1)))))</f>
        <v/>
      </c>
      <c r="BE76" s="122">
        <f>IF(OR($C76="",$B$2="",$D$2=0),0,IF(BE$3&lt;0,0,N(INDEX('CURVA PREVISION'!$A$1:$KZ$3000,$C76,11+3*MIN(BE$3,$D$2-1)))))</f>
        <v/>
      </c>
      <c r="BF76" s="122">
        <f>IF(OR($C76="",$B$2="",$D$2=0),0,IF(BF$3&lt;0,0,N(INDEX('CURVA PREVISION'!$A$1:$KZ$3000,$C76,11+3*MIN(BF$3,$D$2-1)))))</f>
        <v/>
      </c>
      <c r="BG76" s="122">
        <f>IF(OR($C76="",$B$2="",$D$2=0),0,IF(BG$3&lt;0,0,N(INDEX('CURVA PREVISION'!$A$1:$KZ$3000,$C76,11+3*MIN(BG$3,$D$2-1)))))</f>
        <v/>
      </c>
      <c r="BH76" s="122">
        <f>IF(OR($C76="",$B$2="",$D$2=0),0,IF(BH$3&lt;0,0,N(INDEX('CURVA PREVISION'!$A$1:$KZ$3000,$C76,11+3*MIN(BH$3,$D$2-1)))))</f>
        <v/>
      </c>
      <c r="BI76" s="122">
        <f>IF(OR($C76="",$B$2="",$D$2=0),0,IF(BI$3&lt;0,0,N(INDEX('CURVA PREVISION'!$A$1:$KZ$3000,$C76,11+3*MIN(BI$3,$D$2-1)))))</f>
        <v/>
      </c>
      <c r="BJ76" s="122">
        <f>IF(OR($C76="",$B$2="",$D$2=0),0,IF(BJ$3&lt;0,0,N(INDEX('CURVA PREVISION'!$A$1:$KZ$3000,$C76,11+3*MIN(BJ$3,$D$2-1)))))</f>
        <v/>
      </c>
      <c r="BK76" s="122">
        <f>IF(OR($C76="",$B$2="",$D$2=0),0,IF(BK$3&lt;0,0,N(INDEX('CURVA PREVISION'!$A$1:$KZ$3000,$C76,11+3*MIN(BK$3,$D$2-1)))))</f>
        <v/>
      </c>
      <c r="BL76" s="122">
        <f>IF(OR($C76="",$B$2="",$D$2=0),0,IF(BL$3&lt;0,0,N(INDEX('CURVA PREVISION'!$A$1:$KZ$3000,$C76,11+3*MIN(BL$3,$D$2-1)))))</f>
        <v/>
      </c>
      <c r="BM76" s="122">
        <f>IF(OR($C76="",$B$2="",$D$2=0),0,IF(BM$3&lt;0,0,N(INDEX('CURVA PREVISION'!$A$1:$KZ$3000,$C76,11+3*MIN(BM$3,$D$2-1)))))</f>
        <v/>
      </c>
      <c r="BN76" s="122">
        <f>IF(OR($C76="",$B$2="",$D$2=0),0,IF(BN$3&lt;0,0,N(INDEX('CURVA PREVISION'!$A$1:$KZ$3000,$C76,11+3*MIN(BN$3,$D$2-1)))))</f>
        <v/>
      </c>
      <c r="BO76" s="122">
        <f>IF(OR($C76="",$B$2="",$D$2=0),0,IF(BO$3&lt;0,0,N(INDEX('CURVA PREVISION'!$A$1:$KZ$3000,$C76,11+3*MIN(BO$3,$D$2-1)))))</f>
        <v/>
      </c>
      <c r="BP76" s="122">
        <f>IF(OR($C76="",$B$2="",$D$2=0),0,IF(BP$3&lt;0,0,N(INDEX('CURVA PREVISION'!$A$1:$KZ$3000,$C76,11+3*MIN(BP$3,$D$2-1)))))</f>
        <v/>
      </c>
      <c r="BQ76" s="122">
        <f>IF(OR($C76="",$B$2="",$D$2=0),0,IF(BQ$3&lt;0,0,N(INDEX('CURVA PREVISION'!$A$1:$KZ$3000,$C76,11+3*MIN(BQ$3,$D$2-1)))))</f>
        <v/>
      </c>
      <c r="BR76" s="122">
        <f>IF(OR($C76="",$B$2="",$D$2=0),0,IF(BR$3&lt;0,0,N(INDEX('CURVA PREVISION'!$A$1:$KZ$3000,$C76,11+3*MIN(BR$3,$D$2-1)))))</f>
        <v/>
      </c>
      <c r="BS76" s="122">
        <f>IF(OR($C76="",$B$2="",$D$2=0),0,IF(BS$3&lt;0,0,N(INDEX('CURVA PREVISION'!$A$1:$KZ$3000,$C76,11+3*MIN(BS$3,$D$2-1)))))</f>
        <v/>
      </c>
      <c r="BT76" s="122">
        <f>IF(OR($C76="",$B$2="",$D$2=0),0,IF(BT$3&lt;0,0,N(INDEX('CURVA PREVISION'!$A$1:$KZ$3000,$C76,11+3*MIN(BT$3,$D$2-1)))))</f>
        <v/>
      </c>
      <c r="BU76" s="122">
        <f>IF(OR($C76="",$B$2="",$D$2=0),0,IF(BU$3&lt;0,0,N(INDEX('CURVA PREVISION'!$A$1:$KZ$3000,$C76,11+3*MIN(BU$3,$D$2-1)))))</f>
        <v/>
      </c>
      <c r="BV76" s="122">
        <f>IF(OR($C76="",$B$2="",$D$2=0),0,IF(BV$3&lt;0,0,N(INDEX('CURVA PREVISION'!$A$1:$KZ$3000,$C76,11+3*MIN(BV$3,$D$2-1)))))</f>
        <v/>
      </c>
      <c r="BW76" s="122">
        <f>IF(OR($C76="",$B$2="",$D$2=0),0,IF(BW$3&lt;0,0,N(INDEX('CURVA PREVISION'!$A$1:$KZ$3000,$C76,11+3*MIN(BW$3,$D$2-1)))))</f>
        <v/>
      </c>
    </row>
    <row r="77">
      <c r="A77" s="51">
        <f>A35</f>
        <v/>
      </c>
      <c r="B77" s="51">
        <f>B35</f>
        <v/>
      </c>
      <c r="C77" s="68">
        <f>C35</f>
        <v/>
      </c>
      <c r="D77" s="122">
        <f>IF(OR($C77="",$B$2="",$D$2=0),0,IF(D$3&lt;0,0,N(INDEX('CURVA PREVISION'!$A$1:$KZ$3000,$C77,11+3*MIN(D$3,$D$2-1)))))</f>
        <v/>
      </c>
      <c r="E77" s="122">
        <f>IF(OR($C77="",$B$2="",$D$2=0),0,IF(E$3&lt;0,0,N(INDEX('CURVA PREVISION'!$A$1:$KZ$3000,$C77,11+3*MIN(E$3,$D$2-1)))))</f>
        <v/>
      </c>
      <c r="F77" s="122">
        <f>IF(OR($C77="",$B$2="",$D$2=0),0,IF(F$3&lt;0,0,N(INDEX('CURVA PREVISION'!$A$1:$KZ$3000,$C77,11+3*MIN(F$3,$D$2-1)))))</f>
        <v/>
      </c>
      <c r="G77" s="122">
        <f>IF(OR($C77="",$B$2="",$D$2=0),0,IF(G$3&lt;0,0,N(INDEX('CURVA PREVISION'!$A$1:$KZ$3000,$C77,11+3*MIN(G$3,$D$2-1)))))</f>
        <v/>
      </c>
      <c r="H77" s="122">
        <f>IF(OR($C77="",$B$2="",$D$2=0),0,IF(H$3&lt;0,0,N(INDEX('CURVA PREVISION'!$A$1:$KZ$3000,$C77,11+3*MIN(H$3,$D$2-1)))))</f>
        <v/>
      </c>
      <c r="I77" s="122">
        <f>IF(OR($C77="",$B$2="",$D$2=0),0,IF(I$3&lt;0,0,N(INDEX('CURVA PREVISION'!$A$1:$KZ$3000,$C77,11+3*MIN(I$3,$D$2-1)))))</f>
        <v/>
      </c>
      <c r="J77" s="122">
        <f>IF(OR($C77="",$B$2="",$D$2=0),0,IF(J$3&lt;0,0,N(INDEX('CURVA PREVISION'!$A$1:$KZ$3000,$C77,11+3*MIN(J$3,$D$2-1)))))</f>
        <v/>
      </c>
      <c r="K77" s="122">
        <f>IF(OR($C77="",$B$2="",$D$2=0),0,IF(K$3&lt;0,0,N(INDEX('CURVA PREVISION'!$A$1:$KZ$3000,$C77,11+3*MIN(K$3,$D$2-1)))))</f>
        <v/>
      </c>
      <c r="L77" s="122">
        <f>IF(OR($C77="",$B$2="",$D$2=0),0,IF(L$3&lt;0,0,N(INDEX('CURVA PREVISION'!$A$1:$KZ$3000,$C77,11+3*MIN(L$3,$D$2-1)))))</f>
        <v/>
      </c>
      <c r="M77" s="122">
        <f>IF(OR($C77="",$B$2="",$D$2=0),0,IF(M$3&lt;0,0,N(INDEX('CURVA PREVISION'!$A$1:$KZ$3000,$C77,11+3*MIN(M$3,$D$2-1)))))</f>
        <v/>
      </c>
      <c r="N77" s="122">
        <f>IF(OR($C77="",$B$2="",$D$2=0),0,IF(N$3&lt;0,0,N(INDEX('CURVA PREVISION'!$A$1:$KZ$3000,$C77,11+3*MIN(N$3,$D$2-1)))))</f>
        <v/>
      </c>
      <c r="O77" s="122">
        <f>IF(OR($C77="",$B$2="",$D$2=0),0,IF(O$3&lt;0,0,N(INDEX('CURVA PREVISION'!$A$1:$KZ$3000,$C77,11+3*MIN(O$3,$D$2-1)))))</f>
        <v/>
      </c>
      <c r="P77" s="122">
        <f>IF(OR($C77="",$B$2="",$D$2=0),0,IF(P$3&lt;0,0,N(INDEX('CURVA PREVISION'!$A$1:$KZ$3000,$C77,11+3*MIN(P$3,$D$2-1)))))</f>
        <v/>
      </c>
      <c r="Q77" s="122">
        <f>IF(OR($C77="",$B$2="",$D$2=0),0,IF(Q$3&lt;0,0,N(INDEX('CURVA PREVISION'!$A$1:$KZ$3000,$C77,11+3*MIN(Q$3,$D$2-1)))))</f>
        <v/>
      </c>
      <c r="R77" s="122">
        <f>IF(OR($C77="",$B$2="",$D$2=0),0,IF(R$3&lt;0,0,N(INDEX('CURVA PREVISION'!$A$1:$KZ$3000,$C77,11+3*MIN(R$3,$D$2-1)))))</f>
        <v/>
      </c>
      <c r="S77" s="122">
        <f>IF(OR($C77="",$B$2="",$D$2=0),0,IF(S$3&lt;0,0,N(INDEX('CURVA PREVISION'!$A$1:$KZ$3000,$C77,11+3*MIN(S$3,$D$2-1)))))</f>
        <v/>
      </c>
      <c r="T77" s="122">
        <f>IF(OR($C77="",$B$2="",$D$2=0),0,IF(T$3&lt;0,0,N(INDEX('CURVA PREVISION'!$A$1:$KZ$3000,$C77,11+3*MIN(T$3,$D$2-1)))))</f>
        <v/>
      </c>
      <c r="U77" s="122">
        <f>IF(OR($C77="",$B$2="",$D$2=0),0,IF(U$3&lt;0,0,N(INDEX('CURVA PREVISION'!$A$1:$KZ$3000,$C77,11+3*MIN(U$3,$D$2-1)))))</f>
        <v/>
      </c>
      <c r="V77" s="122">
        <f>IF(OR($C77="",$B$2="",$D$2=0),0,IF(V$3&lt;0,0,N(INDEX('CURVA PREVISION'!$A$1:$KZ$3000,$C77,11+3*MIN(V$3,$D$2-1)))))</f>
        <v/>
      </c>
      <c r="W77" s="122">
        <f>IF(OR($C77="",$B$2="",$D$2=0),0,IF(W$3&lt;0,0,N(INDEX('CURVA PREVISION'!$A$1:$KZ$3000,$C77,11+3*MIN(W$3,$D$2-1)))))</f>
        <v/>
      </c>
      <c r="X77" s="122">
        <f>IF(OR($C77="",$B$2="",$D$2=0),0,IF(X$3&lt;0,0,N(INDEX('CURVA PREVISION'!$A$1:$KZ$3000,$C77,11+3*MIN(X$3,$D$2-1)))))</f>
        <v/>
      </c>
      <c r="Y77" s="122">
        <f>IF(OR($C77="",$B$2="",$D$2=0),0,IF(Y$3&lt;0,0,N(INDEX('CURVA PREVISION'!$A$1:$KZ$3000,$C77,11+3*MIN(Y$3,$D$2-1)))))</f>
        <v/>
      </c>
      <c r="Z77" s="122">
        <f>IF(OR($C77="",$B$2="",$D$2=0),0,IF(Z$3&lt;0,0,N(INDEX('CURVA PREVISION'!$A$1:$KZ$3000,$C77,11+3*MIN(Z$3,$D$2-1)))))</f>
        <v/>
      </c>
      <c r="AA77" s="122">
        <f>IF(OR($C77="",$B$2="",$D$2=0),0,IF(AA$3&lt;0,0,N(INDEX('CURVA PREVISION'!$A$1:$KZ$3000,$C77,11+3*MIN(AA$3,$D$2-1)))))</f>
        <v/>
      </c>
      <c r="AB77" s="122">
        <f>IF(OR($C77="",$B$2="",$D$2=0),0,IF(AB$3&lt;0,0,N(INDEX('CURVA PREVISION'!$A$1:$KZ$3000,$C77,11+3*MIN(AB$3,$D$2-1)))))</f>
        <v/>
      </c>
      <c r="AC77" s="122">
        <f>IF(OR($C77="",$B$2="",$D$2=0),0,IF(AC$3&lt;0,0,N(INDEX('CURVA PREVISION'!$A$1:$KZ$3000,$C77,11+3*MIN(AC$3,$D$2-1)))))</f>
        <v/>
      </c>
      <c r="AD77" s="122">
        <f>IF(OR($C77="",$B$2="",$D$2=0),0,IF(AD$3&lt;0,0,N(INDEX('CURVA PREVISION'!$A$1:$KZ$3000,$C77,11+3*MIN(AD$3,$D$2-1)))))</f>
        <v/>
      </c>
      <c r="AE77" s="122">
        <f>IF(OR($C77="",$B$2="",$D$2=0),0,IF(AE$3&lt;0,0,N(INDEX('CURVA PREVISION'!$A$1:$KZ$3000,$C77,11+3*MIN(AE$3,$D$2-1)))))</f>
        <v/>
      </c>
      <c r="AF77" s="122">
        <f>IF(OR($C77="",$B$2="",$D$2=0),0,IF(AF$3&lt;0,0,N(INDEX('CURVA PREVISION'!$A$1:$KZ$3000,$C77,11+3*MIN(AF$3,$D$2-1)))))</f>
        <v/>
      </c>
      <c r="AG77" s="122">
        <f>IF(OR($C77="",$B$2="",$D$2=0),0,IF(AG$3&lt;0,0,N(INDEX('CURVA PREVISION'!$A$1:$KZ$3000,$C77,11+3*MIN(AG$3,$D$2-1)))))</f>
        <v/>
      </c>
      <c r="AH77" s="122">
        <f>IF(OR($C77="",$B$2="",$D$2=0),0,IF(AH$3&lt;0,0,N(INDEX('CURVA PREVISION'!$A$1:$KZ$3000,$C77,11+3*MIN(AH$3,$D$2-1)))))</f>
        <v/>
      </c>
      <c r="AI77" s="122">
        <f>IF(OR($C77="",$B$2="",$D$2=0),0,IF(AI$3&lt;0,0,N(INDEX('CURVA PREVISION'!$A$1:$KZ$3000,$C77,11+3*MIN(AI$3,$D$2-1)))))</f>
        <v/>
      </c>
      <c r="AJ77" s="122">
        <f>IF(OR($C77="",$B$2="",$D$2=0),0,IF(AJ$3&lt;0,0,N(INDEX('CURVA PREVISION'!$A$1:$KZ$3000,$C77,11+3*MIN(AJ$3,$D$2-1)))))</f>
        <v/>
      </c>
      <c r="AK77" s="122">
        <f>IF(OR($C77="",$B$2="",$D$2=0),0,IF(AK$3&lt;0,0,N(INDEX('CURVA PREVISION'!$A$1:$KZ$3000,$C77,11+3*MIN(AK$3,$D$2-1)))))</f>
        <v/>
      </c>
      <c r="AL77" s="122">
        <f>IF(OR($C77="",$B$2="",$D$2=0),0,IF(AL$3&lt;0,0,N(INDEX('CURVA PREVISION'!$A$1:$KZ$3000,$C77,11+3*MIN(AL$3,$D$2-1)))))</f>
        <v/>
      </c>
      <c r="AM77" s="122">
        <f>IF(OR($C77="",$B$2="",$D$2=0),0,IF(AM$3&lt;0,0,N(INDEX('CURVA PREVISION'!$A$1:$KZ$3000,$C77,11+3*MIN(AM$3,$D$2-1)))))</f>
        <v/>
      </c>
      <c r="AN77" s="122">
        <f>IF(OR($C77="",$B$2="",$D$2=0),0,IF(AN$3&lt;0,0,N(INDEX('CURVA PREVISION'!$A$1:$KZ$3000,$C77,11+3*MIN(AN$3,$D$2-1)))))</f>
        <v/>
      </c>
      <c r="AO77" s="122">
        <f>IF(OR($C77="",$B$2="",$D$2=0),0,IF(AO$3&lt;0,0,N(INDEX('CURVA PREVISION'!$A$1:$KZ$3000,$C77,11+3*MIN(AO$3,$D$2-1)))))</f>
        <v/>
      </c>
      <c r="AP77" s="122">
        <f>IF(OR($C77="",$B$2="",$D$2=0),0,IF(AP$3&lt;0,0,N(INDEX('CURVA PREVISION'!$A$1:$KZ$3000,$C77,11+3*MIN(AP$3,$D$2-1)))))</f>
        <v/>
      </c>
      <c r="AQ77" s="122">
        <f>IF(OR($C77="",$B$2="",$D$2=0),0,IF(AQ$3&lt;0,0,N(INDEX('CURVA PREVISION'!$A$1:$KZ$3000,$C77,11+3*MIN(AQ$3,$D$2-1)))))</f>
        <v/>
      </c>
      <c r="AR77" s="122">
        <f>IF(OR($C77="",$B$2="",$D$2=0),0,IF(AR$3&lt;0,0,N(INDEX('CURVA PREVISION'!$A$1:$KZ$3000,$C77,11+3*MIN(AR$3,$D$2-1)))))</f>
        <v/>
      </c>
      <c r="AS77" s="122">
        <f>IF(OR($C77="",$B$2="",$D$2=0),0,IF(AS$3&lt;0,0,N(INDEX('CURVA PREVISION'!$A$1:$KZ$3000,$C77,11+3*MIN(AS$3,$D$2-1)))))</f>
        <v/>
      </c>
      <c r="AT77" s="122">
        <f>IF(OR($C77="",$B$2="",$D$2=0),0,IF(AT$3&lt;0,0,N(INDEX('CURVA PREVISION'!$A$1:$KZ$3000,$C77,11+3*MIN(AT$3,$D$2-1)))))</f>
        <v/>
      </c>
      <c r="AU77" s="122">
        <f>IF(OR($C77="",$B$2="",$D$2=0),0,IF(AU$3&lt;0,0,N(INDEX('CURVA PREVISION'!$A$1:$KZ$3000,$C77,11+3*MIN(AU$3,$D$2-1)))))</f>
        <v/>
      </c>
      <c r="AV77" s="122">
        <f>IF(OR($C77="",$B$2="",$D$2=0),0,IF(AV$3&lt;0,0,N(INDEX('CURVA PREVISION'!$A$1:$KZ$3000,$C77,11+3*MIN(AV$3,$D$2-1)))))</f>
        <v/>
      </c>
      <c r="AW77" s="122">
        <f>IF(OR($C77="",$B$2="",$D$2=0),0,IF(AW$3&lt;0,0,N(INDEX('CURVA PREVISION'!$A$1:$KZ$3000,$C77,11+3*MIN(AW$3,$D$2-1)))))</f>
        <v/>
      </c>
      <c r="AX77" s="122">
        <f>IF(OR($C77="",$B$2="",$D$2=0),0,IF(AX$3&lt;0,0,N(INDEX('CURVA PREVISION'!$A$1:$KZ$3000,$C77,11+3*MIN(AX$3,$D$2-1)))))</f>
        <v/>
      </c>
      <c r="AY77" s="122">
        <f>IF(OR($C77="",$B$2="",$D$2=0),0,IF(AY$3&lt;0,0,N(INDEX('CURVA PREVISION'!$A$1:$KZ$3000,$C77,11+3*MIN(AY$3,$D$2-1)))))</f>
        <v/>
      </c>
      <c r="AZ77" s="122">
        <f>IF(OR($C77="",$B$2="",$D$2=0),0,IF(AZ$3&lt;0,0,N(INDEX('CURVA PREVISION'!$A$1:$KZ$3000,$C77,11+3*MIN(AZ$3,$D$2-1)))))</f>
        <v/>
      </c>
      <c r="BA77" s="122">
        <f>IF(OR($C77="",$B$2="",$D$2=0),0,IF(BA$3&lt;0,0,N(INDEX('CURVA PREVISION'!$A$1:$KZ$3000,$C77,11+3*MIN(BA$3,$D$2-1)))))</f>
        <v/>
      </c>
      <c r="BB77" s="122">
        <f>IF(OR($C77="",$B$2="",$D$2=0),0,IF(BB$3&lt;0,0,N(INDEX('CURVA PREVISION'!$A$1:$KZ$3000,$C77,11+3*MIN(BB$3,$D$2-1)))))</f>
        <v/>
      </c>
      <c r="BC77" s="122">
        <f>IF(OR($C77="",$B$2="",$D$2=0),0,IF(BC$3&lt;0,0,N(INDEX('CURVA PREVISION'!$A$1:$KZ$3000,$C77,11+3*MIN(BC$3,$D$2-1)))))</f>
        <v/>
      </c>
      <c r="BD77" s="122">
        <f>IF(OR($C77="",$B$2="",$D$2=0),0,IF(BD$3&lt;0,0,N(INDEX('CURVA PREVISION'!$A$1:$KZ$3000,$C77,11+3*MIN(BD$3,$D$2-1)))))</f>
        <v/>
      </c>
      <c r="BE77" s="122">
        <f>IF(OR($C77="",$B$2="",$D$2=0),0,IF(BE$3&lt;0,0,N(INDEX('CURVA PREVISION'!$A$1:$KZ$3000,$C77,11+3*MIN(BE$3,$D$2-1)))))</f>
        <v/>
      </c>
      <c r="BF77" s="122">
        <f>IF(OR($C77="",$B$2="",$D$2=0),0,IF(BF$3&lt;0,0,N(INDEX('CURVA PREVISION'!$A$1:$KZ$3000,$C77,11+3*MIN(BF$3,$D$2-1)))))</f>
        <v/>
      </c>
      <c r="BG77" s="122">
        <f>IF(OR($C77="",$B$2="",$D$2=0),0,IF(BG$3&lt;0,0,N(INDEX('CURVA PREVISION'!$A$1:$KZ$3000,$C77,11+3*MIN(BG$3,$D$2-1)))))</f>
        <v/>
      </c>
      <c r="BH77" s="122">
        <f>IF(OR($C77="",$B$2="",$D$2=0),0,IF(BH$3&lt;0,0,N(INDEX('CURVA PREVISION'!$A$1:$KZ$3000,$C77,11+3*MIN(BH$3,$D$2-1)))))</f>
        <v/>
      </c>
      <c r="BI77" s="122">
        <f>IF(OR($C77="",$B$2="",$D$2=0),0,IF(BI$3&lt;0,0,N(INDEX('CURVA PREVISION'!$A$1:$KZ$3000,$C77,11+3*MIN(BI$3,$D$2-1)))))</f>
        <v/>
      </c>
      <c r="BJ77" s="122">
        <f>IF(OR($C77="",$B$2="",$D$2=0),0,IF(BJ$3&lt;0,0,N(INDEX('CURVA PREVISION'!$A$1:$KZ$3000,$C77,11+3*MIN(BJ$3,$D$2-1)))))</f>
        <v/>
      </c>
      <c r="BK77" s="122">
        <f>IF(OR($C77="",$B$2="",$D$2=0),0,IF(BK$3&lt;0,0,N(INDEX('CURVA PREVISION'!$A$1:$KZ$3000,$C77,11+3*MIN(BK$3,$D$2-1)))))</f>
        <v/>
      </c>
      <c r="BL77" s="122">
        <f>IF(OR($C77="",$B$2="",$D$2=0),0,IF(BL$3&lt;0,0,N(INDEX('CURVA PREVISION'!$A$1:$KZ$3000,$C77,11+3*MIN(BL$3,$D$2-1)))))</f>
        <v/>
      </c>
      <c r="BM77" s="122">
        <f>IF(OR($C77="",$B$2="",$D$2=0),0,IF(BM$3&lt;0,0,N(INDEX('CURVA PREVISION'!$A$1:$KZ$3000,$C77,11+3*MIN(BM$3,$D$2-1)))))</f>
        <v/>
      </c>
      <c r="BN77" s="122">
        <f>IF(OR($C77="",$B$2="",$D$2=0),0,IF(BN$3&lt;0,0,N(INDEX('CURVA PREVISION'!$A$1:$KZ$3000,$C77,11+3*MIN(BN$3,$D$2-1)))))</f>
        <v/>
      </c>
      <c r="BO77" s="122">
        <f>IF(OR($C77="",$B$2="",$D$2=0),0,IF(BO$3&lt;0,0,N(INDEX('CURVA PREVISION'!$A$1:$KZ$3000,$C77,11+3*MIN(BO$3,$D$2-1)))))</f>
        <v/>
      </c>
      <c r="BP77" s="122">
        <f>IF(OR($C77="",$B$2="",$D$2=0),0,IF(BP$3&lt;0,0,N(INDEX('CURVA PREVISION'!$A$1:$KZ$3000,$C77,11+3*MIN(BP$3,$D$2-1)))))</f>
        <v/>
      </c>
      <c r="BQ77" s="122">
        <f>IF(OR($C77="",$B$2="",$D$2=0),0,IF(BQ$3&lt;0,0,N(INDEX('CURVA PREVISION'!$A$1:$KZ$3000,$C77,11+3*MIN(BQ$3,$D$2-1)))))</f>
        <v/>
      </c>
      <c r="BR77" s="122">
        <f>IF(OR($C77="",$B$2="",$D$2=0),0,IF(BR$3&lt;0,0,N(INDEX('CURVA PREVISION'!$A$1:$KZ$3000,$C77,11+3*MIN(BR$3,$D$2-1)))))</f>
        <v/>
      </c>
      <c r="BS77" s="122">
        <f>IF(OR($C77="",$B$2="",$D$2=0),0,IF(BS$3&lt;0,0,N(INDEX('CURVA PREVISION'!$A$1:$KZ$3000,$C77,11+3*MIN(BS$3,$D$2-1)))))</f>
        <v/>
      </c>
      <c r="BT77" s="122">
        <f>IF(OR($C77="",$B$2="",$D$2=0),0,IF(BT$3&lt;0,0,N(INDEX('CURVA PREVISION'!$A$1:$KZ$3000,$C77,11+3*MIN(BT$3,$D$2-1)))))</f>
        <v/>
      </c>
      <c r="BU77" s="122">
        <f>IF(OR($C77="",$B$2="",$D$2=0),0,IF(BU$3&lt;0,0,N(INDEX('CURVA PREVISION'!$A$1:$KZ$3000,$C77,11+3*MIN(BU$3,$D$2-1)))))</f>
        <v/>
      </c>
      <c r="BV77" s="122">
        <f>IF(OR($C77="",$B$2="",$D$2=0),0,IF(BV$3&lt;0,0,N(INDEX('CURVA PREVISION'!$A$1:$KZ$3000,$C77,11+3*MIN(BV$3,$D$2-1)))))</f>
        <v/>
      </c>
      <c r="BW77" s="122">
        <f>IF(OR($C77="",$B$2="",$D$2=0),0,IF(BW$3&lt;0,0,N(INDEX('CURVA PREVISION'!$A$1:$KZ$3000,$C77,11+3*MIN(BW$3,$D$2-1)))))</f>
        <v/>
      </c>
    </row>
    <row r="78">
      <c r="A78" s="51">
        <f>A36</f>
        <v/>
      </c>
      <c r="B78" s="51">
        <f>B36</f>
        <v/>
      </c>
      <c r="C78" s="68">
        <f>C36</f>
        <v/>
      </c>
      <c r="D78" s="122">
        <f>IF(OR($C78="",$B$2="",$D$2=0),0,IF(D$3&lt;0,0,N(INDEX('CURVA PREVISION'!$A$1:$KZ$3000,$C78,11+3*MIN(D$3,$D$2-1)))))</f>
        <v/>
      </c>
      <c r="E78" s="122">
        <f>IF(OR($C78="",$B$2="",$D$2=0),0,IF(E$3&lt;0,0,N(INDEX('CURVA PREVISION'!$A$1:$KZ$3000,$C78,11+3*MIN(E$3,$D$2-1)))))</f>
        <v/>
      </c>
      <c r="F78" s="122">
        <f>IF(OR($C78="",$B$2="",$D$2=0),0,IF(F$3&lt;0,0,N(INDEX('CURVA PREVISION'!$A$1:$KZ$3000,$C78,11+3*MIN(F$3,$D$2-1)))))</f>
        <v/>
      </c>
      <c r="G78" s="122">
        <f>IF(OR($C78="",$B$2="",$D$2=0),0,IF(G$3&lt;0,0,N(INDEX('CURVA PREVISION'!$A$1:$KZ$3000,$C78,11+3*MIN(G$3,$D$2-1)))))</f>
        <v/>
      </c>
      <c r="H78" s="122">
        <f>IF(OR($C78="",$B$2="",$D$2=0),0,IF(H$3&lt;0,0,N(INDEX('CURVA PREVISION'!$A$1:$KZ$3000,$C78,11+3*MIN(H$3,$D$2-1)))))</f>
        <v/>
      </c>
      <c r="I78" s="122">
        <f>IF(OR($C78="",$B$2="",$D$2=0),0,IF(I$3&lt;0,0,N(INDEX('CURVA PREVISION'!$A$1:$KZ$3000,$C78,11+3*MIN(I$3,$D$2-1)))))</f>
        <v/>
      </c>
      <c r="J78" s="122">
        <f>IF(OR($C78="",$B$2="",$D$2=0),0,IF(J$3&lt;0,0,N(INDEX('CURVA PREVISION'!$A$1:$KZ$3000,$C78,11+3*MIN(J$3,$D$2-1)))))</f>
        <v/>
      </c>
      <c r="K78" s="122">
        <f>IF(OR($C78="",$B$2="",$D$2=0),0,IF(K$3&lt;0,0,N(INDEX('CURVA PREVISION'!$A$1:$KZ$3000,$C78,11+3*MIN(K$3,$D$2-1)))))</f>
        <v/>
      </c>
      <c r="L78" s="122">
        <f>IF(OR($C78="",$B$2="",$D$2=0),0,IF(L$3&lt;0,0,N(INDEX('CURVA PREVISION'!$A$1:$KZ$3000,$C78,11+3*MIN(L$3,$D$2-1)))))</f>
        <v/>
      </c>
      <c r="M78" s="122">
        <f>IF(OR($C78="",$B$2="",$D$2=0),0,IF(M$3&lt;0,0,N(INDEX('CURVA PREVISION'!$A$1:$KZ$3000,$C78,11+3*MIN(M$3,$D$2-1)))))</f>
        <v/>
      </c>
      <c r="N78" s="122">
        <f>IF(OR($C78="",$B$2="",$D$2=0),0,IF(N$3&lt;0,0,N(INDEX('CURVA PREVISION'!$A$1:$KZ$3000,$C78,11+3*MIN(N$3,$D$2-1)))))</f>
        <v/>
      </c>
      <c r="O78" s="122">
        <f>IF(OR($C78="",$B$2="",$D$2=0),0,IF(O$3&lt;0,0,N(INDEX('CURVA PREVISION'!$A$1:$KZ$3000,$C78,11+3*MIN(O$3,$D$2-1)))))</f>
        <v/>
      </c>
      <c r="P78" s="122">
        <f>IF(OR($C78="",$B$2="",$D$2=0),0,IF(P$3&lt;0,0,N(INDEX('CURVA PREVISION'!$A$1:$KZ$3000,$C78,11+3*MIN(P$3,$D$2-1)))))</f>
        <v/>
      </c>
      <c r="Q78" s="122">
        <f>IF(OR($C78="",$B$2="",$D$2=0),0,IF(Q$3&lt;0,0,N(INDEX('CURVA PREVISION'!$A$1:$KZ$3000,$C78,11+3*MIN(Q$3,$D$2-1)))))</f>
        <v/>
      </c>
      <c r="R78" s="122">
        <f>IF(OR($C78="",$B$2="",$D$2=0),0,IF(R$3&lt;0,0,N(INDEX('CURVA PREVISION'!$A$1:$KZ$3000,$C78,11+3*MIN(R$3,$D$2-1)))))</f>
        <v/>
      </c>
      <c r="S78" s="122">
        <f>IF(OR($C78="",$B$2="",$D$2=0),0,IF(S$3&lt;0,0,N(INDEX('CURVA PREVISION'!$A$1:$KZ$3000,$C78,11+3*MIN(S$3,$D$2-1)))))</f>
        <v/>
      </c>
      <c r="T78" s="122">
        <f>IF(OR($C78="",$B$2="",$D$2=0),0,IF(T$3&lt;0,0,N(INDEX('CURVA PREVISION'!$A$1:$KZ$3000,$C78,11+3*MIN(T$3,$D$2-1)))))</f>
        <v/>
      </c>
      <c r="U78" s="122">
        <f>IF(OR($C78="",$B$2="",$D$2=0),0,IF(U$3&lt;0,0,N(INDEX('CURVA PREVISION'!$A$1:$KZ$3000,$C78,11+3*MIN(U$3,$D$2-1)))))</f>
        <v/>
      </c>
      <c r="V78" s="122">
        <f>IF(OR($C78="",$B$2="",$D$2=0),0,IF(V$3&lt;0,0,N(INDEX('CURVA PREVISION'!$A$1:$KZ$3000,$C78,11+3*MIN(V$3,$D$2-1)))))</f>
        <v/>
      </c>
      <c r="W78" s="122">
        <f>IF(OR($C78="",$B$2="",$D$2=0),0,IF(W$3&lt;0,0,N(INDEX('CURVA PREVISION'!$A$1:$KZ$3000,$C78,11+3*MIN(W$3,$D$2-1)))))</f>
        <v/>
      </c>
      <c r="X78" s="122">
        <f>IF(OR($C78="",$B$2="",$D$2=0),0,IF(X$3&lt;0,0,N(INDEX('CURVA PREVISION'!$A$1:$KZ$3000,$C78,11+3*MIN(X$3,$D$2-1)))))</f>
        <v/>
      </c>
      <c r="Y78" s="122">
        <f>IF(OR($C78="",$B$2="",$D$2=0),0,IF(Y$3&lt;0,0,N(INDEX('CURVA PREVISION'!$A$1:$KZ$3000,$C78,11+3*MIN(Y$3,$D$2-1)))))</f>
        <v/>
      </c>
      <c r="Z78" s="122">
        <f>IF(OR($C78="",$B$2="",$D$2=0),0,IF(Z$3&lt;0,0,N(INDEX('CURVA PREVISION'!$A$1:$KZ$3000,$C78,11+3*MIN(Z$3,$D$2-1)))))</f>
        <v/>
      </c>
      <c r="AA78" s="122">
        <f>IF(OR($C78="",$B$2="",$D$2=0),0,IF(AA$3&lt;0,0,N(INDEX('CURVA PREVISION'!$A$1:$KZ$3000,$C78,11+3*MIN(AA$3,$D$2-1)))))</f>
        <v/>
      </c>
      <c r="AB78" s="122">
        <f>IF(OR($C78="",$B$2="",$D$2=0),0,IF(AB$3&lt;0,0,N(INDEX('CURVA PREVISION'!$A$1:$KZ$3000,$C78,11+3*MIN(AB$3,$D$2-1)))))</f>
        <v/>
      </c>
      <c r="AC78" s="122">
        <f>IF(OR($C78="",$B$2="",$D$2=0),0,IF(AC$3&lt;0,0,N(INDEX('CURVA PREVISION'!$A$1:$KZ$3000,$C78,11+3*MIN(AC$3,$D$2-1)))))</f>
        <v/>
      </c>
      <c r="AD78" s="122">
        <f>IF(OR($C78="",$B$2="",$D$2=0),0,IF(AD$3&lt;0,0,N(INDEX('CURVA PREVISION'!$A$1:$KZ$3000,$C78,11+3*MIN(AD$3,$D$2-1)))))</f>
        <v/>
      </c>
      <c r="AE78" s="122">
        <f>IF(OR($C78="",$B$2="",$D$2=0),0,IF(AE$3&lt;0,0,N(INDEX('CURVA PREVISION'!$A$1:$KZ$3000,$C78,11+3*MIN(AE$3,$D$2-1)))))</f>
        <v/>
      </c>
      <c r="AF78" s="122">
        <f>IF(OR($C78="",$B$2="",$D$2=0),0,IF(AF$3&lt;0,0,N(INDEX('CURVA PREVISION'!$A$1:$KZ$3000,$C78,11+3*MIN(AF$3,$D$2-1)))))</f>
        <v/>
      </c>
      <c r="AG78" s="122">
        <f>IF(OR($C78="",$B$2="",$D$2=0),0,IF(AG$3&lt;0,0,N(INDEX('CURVA PREVISION'!$A$1:$KZ$3000,$C78,11+3*MIN(AG$3,$D$2-1)))))</f>
        <v/>
      </c>
      <c r="AH78" s="122">
        <f>IF(OR($C78="",$B$2="",$D$2=0),0,IF(AH$3&lt;0,0,N(INDEX('CURVA PREVISION'!$A$1:$KZ$3000,$C78,11+3*MIN(AH$3,$D$2-1)))))</f>
        <v/>
      </c>
      <c r="AI78" s="122">
        <f>IF(OR($C78="",$B$2="",$D$2=0),0,IF(AI$3&lt;0,0,N(INDEX('CURVA PREVISION'!$A$1:$KZ$3000,$C78,11+3*MIN(AI$3,$D$2-1)))))</f>
        <v/>
      </c>
      <c r="AJ78" s="122">
        <f>IF(OR($C78="",$B$2="",$D$2=0),0,IF(AJ$3&lt;0,0,N(INDEX('CURVA PREVISION'!$A$1:$KZ$3000,$C78,11+3*MIN(AJ$3,$D$2-1)))))</f>
        <v/>
      </c>
      <c r="AK78" s="122">
        <f>IF(OR($C78="",$B$2="",$D$2=0),0,IF(AK$3&lt;0,0,N(INDEX('CURVA PREVISION'!$A$1:$KZ$3000,$C78,11+3*MIN(AK$3,$D$2-1)))))</f>
        <v/>
      </c>
      <c r="AL78" s="122">
        <f>IF(OR($C78="",$B$2="",$D$2=0),0,IF(AL$3&lt;0,0,N(INDEX('CURVA PREVISION'!$A$1:$KZ$3000,$C78,11+3*MIN(AL$3,$D$2-1)))))</f>
        <v/>
      </c>
      <c r="AM78" s="122">
        <f>IF(OR($C78="",$B$2="",$D$2=0),0,IF(AM$3&lt;0,0,N(INDEX('CURVA PREVISION'!$A$1:$KZ$3000,$C78,11+3*MIN(AM$3,$D$2-1)))))</f>
        <v/>
      </c>
      <c r="AN78" s="122">
        <f>IF(OR($C78="",$B$2="",$D$2=0),0,IF(AN$3&lt;0,0,N(INDEX('CURVA PREVISION'!$A$1:$KZ$3000,$C78,11+3*MIN(AN$3,$D$2-1)))))</f>
        <v/>
      </c>
      <c r="AO78" s="122">
        <f>IF(OR($C78="",$B$2="",$D$2=0),0,IF(AO$3&lt;0,0,N(INDEX('CURVA PREVISION'!$A$1:$KZ$3000,$C78,11+3*MIN(AO$3,$D$2-1)))))</f>
        <v/>
      </c>
      <c r="AP78" s="122">
        <f>IF(OR($C78="",$B$2="",$D$2=0),0,IF(AP$3&lt;0,0,N(INDEX('CURVA PREVISION'!$A$1:$KZ$3000,$C78,11+3*MIN(AP$3,$D$2-1)))))</f>
        <v/>
      </c>
      <c r="AQ78" s="122">
        <f>IF(OR($C78="",$B$2="",$D$2=0),0,IF(AQ$3&lt;0,0,N(INDEX('CURVA PREVISION'!$A$1:$KZ$3000,$C78,11+3*MIN(AQ$3,$D$2-1)))))</f>
        <v/>
      </c>
      <c r="AR78" s="122">
        <f>IF(OR($C78="",$B$2="",$D$2=0),0,IF(AR$3&lt;0,0,N(INDEX('CURVA PREVISION'!$A$1:$KZ$3000,$C78,11+3*MIN(AR$3,$D$2-1)))))</f>
        <v/>
      </c>
      <c r="AS78" s="122">
        <f>IF(OR($C78="",$B$2="",$D$2=0),0,IF(AS$3&lt;0,0,N(INDEX('CURVA PREVISION'!$A$1:$KZ$3000,$C78,11+3*MIN(AS$3,$D$2-1)))))</f>
        <v/>
      </c>
      <c r="AT78" s="122">
        <f>IF(OR($C78="",$B$2="",$D$2=0),0,IF(AT$3&lt;0,0,N(INDEX('CURVA PREVISION'!$A$1:$KZ$3000,$C78,11+3*MIN(AT$3,$D$2-1)))))</f>
        <v/>
      </c>
      <c r="AU78" s="122">
        <f>IF(OR($C78="",$B$2="",$D$2=0),0,IF(AU$3&lt;0,0,N(INDEX('CURVA PREVISION'!$A$1:$KZ$3000,$C78,11+3*MIN(AU$3,$D$2-1)))))</f>
        <v/>
      </c>
      <c r="AV78" s="122">
        <f>IF(OR($C78="",$B$2="",$D$2=0),0,IF(AV$3&lt;0,0,N(INDEX('CURVA PREVISION'!$A$1:$KZ$3000,$C78,11+3*MIN(AV$3,$D$2-1)))))</f>
        <v/>
      </c>
      <c r="AW78" s="122">
        <f>IF(OR($C78="",$B$2="",$D$2=0),0,IF(AW$3&lt;0,0,N(INDEX('CURVA PREVISION'!$A$1:$KZ$3000,$C78,11+3*MIN(AW$3,$D$2-1)))))</f>
        <v/>
      </c>
      <c r="AX78" s="122">
        <f>IF(OR($C78="",$B$2="",$D$2=0),0,IF(AX$3&lt;0,0,N(INDEX('CURVA PREVISION'!$A$1:$KZ$3000,$C78,11+3*MIN(AX$3,$D$2-1)))))</f>
        <v/>
      </c>
      <c r="AY78" s="122">
        <f>IF(OR($C78="",$B$2="",$D$2=0),0,IF(AY$3&lt;0,0,N(INDEX('CURVA PREVISION'!$A$1:$KZ$3000,$C78,11+3*MIN(AY$3,$D$2-1)))))</f>
        <v/>
      </c>
      <c r="AZ78" s="122">
        <f>IF(OR($C78="",$B$2="",$D$2=0),0,IF(AZ$3&lt;0,0,N(INDEX('CURVA PREVISION'!$A$1:$KZ$3000,$C78,11+3*MIN(AZ$3,$D$2-1)))))</f>
        <v/>
      </c>
      <c r="BA78" s="122">
        <f>IF(OR($C78="",$B$2="",$D$2=0),0,IF(BA$3&lt;0,0,N(INDEX('CURVA PREVISION'!$A$1:$KZ$3000,$C78,11+3*MIN(BA$3,$D$2-1)))))</f>
        <v/>
      </c>
      <c r="BB78" s="122">
        <f>IF(OR($C78="",$B$2="",$D$2=0),0,IF(BB$3&lt;0,0,N(INDEX('CURVA PREVISION'!$A$1:$KZ$3000,$C78,11+3*MIN(BB$3,$D$2-1)))))</f>
        <v/>
      </c>
      <c r="BC78" s="122">
        <f>IF(OR($C78="",$B$2="",$D$2=0),0,IF(BC$3&lt;0,0,N(INDEX('CURVA PREVISION'!$A$1:$KZ$3000,$C78,11+3*MIN(BC$3,$D$2-1)))))</f>
        <v/>
      </c>
      <c r="BD78" s="122">
        <f>IF(OR($C78="",$B$2="",$D$2=0),0,IF(BD$3&lt;0,0,N(INDEX('CURVA PREVISION'!$A$1:$KZ$3000,$C78,11+3*MIN(BD$3,$D$2-1)))))</f>
        <v/>
      </c>
      <c r="BE78" s="122">
        <f>IF(OR($C78="",$B$2="",$D$2=0),0,IF(BE$3&lt;0,0,N(INDEX('CURVA PREVISION'!$A$1:$KZ$3000,$C78,11+3*MIN(BE$3,$D$2-1)))))</f>
        <v/>
      </c>
      <c r="BF78" s="122">
        <f>IF(OR($C78="",$B$2="",$D$2=0),0,IF(BF$3&lt;0,0,N(INDEX('CURVA PREVISION'!$A$1:$KZ$3000,$C78,11+3*MIN(BF$3,$D$2-1)))))</f>
        <v/>
      </c>
      <c r="BG78" s="122">
        <f>IF(OR($C78="",$B$2="",$D$2=0),0,IF(BG$3&lt;0,0,N(INDEX('CURVA PREVISION'!$A$1:$KZ$3000,$C78,11+3*MIN(BG$3,$D$2-1)))))</f>
        <v/>
      </c>
      <c r="BH78" s="122">
        <f>IF(OR($C78="",$B$2="",$D$2=0),0,IF(BH$3&lt;0,0,N(INDEX('CURVA PREVISION'!$A$1:$KZ$3000,$C78,11+3*MIN(BH$3,$D$2-1)))))</f>
        <v/>
      </c>
      <c r="BI78" s="122">
        <f>IF(OR($C78="",$B$2="",$D$2=0),0,IF(BI$3&lt;0,0,N(INDEX('CURVA PREVISION'!$A$1:$KZ$3000,$C78,11+3*MIN(BI$3,$D$2-1)))))</f>
        <v/>
      </c>
      <c r="BJ78" s="122">
        <f>IF(OR($C78="",$B$2="",$D$2=0),0,IF(BJ$3&lt;0,0,N(INDEX('CURVA PREVISION'!$A$1:$KZ$3000,$C78,11+3*MIN(BJ$3,$D$2-1)))))</f>
        <v/>
      </c>
      <c r="BK78" s="122">
        <f>IF(OR($C78="",$B$2="",$D$2=0),0,IF(BK$3&lt;0,0,N(INDEX('CURVA PREVISION'!$A$1:$KZ$3000,$C78,11+3*MIN(BK$3,$D$2-1)))))</f>
        <v/>
      </c>
      <c r="BL78" s="122">
        <f>IF(OR($C78="",$B$2="",$D$2=0),0,IF(BL$3&lt;0,0,N(INDEX('CURVA PREVISION'!$A$1:$KZ$3000,$C78,11+3*MIN(BL$3,$D$2-1)))))</f>
        <v/>
      </c>
      <c r="BM78" s="122">
        <f>IF(OR($C78="",$B$2="",$D$2=0),0,IF(BM$3&lt;0,0,N(INDEX('CURVA PREVISION'!$A$1:$KZ$3000,$C78,11+3*MIN(BM$3,$D$2-1)))))</f>
        <v/>
      </c>
      <c r="BN78" s="122">
        <f>IF(OR($C78="",$B$2="",$D$2=0),0,IF(BN$3&lt;0,0,N(INDEX('CURVA PREVISION'!$A$1:$KZ$3000,$C78,11+3*MIN(BN$3,$D$2-1)))))</f>
        <v/>
      </c>
      <c r="BO78" s="122">
        <f>IF(OR($C78="",$B$2="",$D$2=0),0,IF(BO$3&lt;0,0,N(INDEX('CURVA PREVISION'!$A$1:$KZ$3000,$C78,11+3*MIN(BO$3,$D$2-1)))))</f>
        <v/>
      </c>
      <c r="BP78" s="122">
        <f>IF(OR($C78="",$B$2="",$D$2=0),0,IF(BP$3&lt;0,0,N(INDEX('CURVA PREVISION'!$A$1:$KZ$3000,$C78,11+3*MIN(BP$3,$D$2-1)))))</f>
        <v/>
      </c>
      <c r="BQ78" s="122">
        <f>IF(OR($C78="",$B$2="",$D$2=0),0,IF(BQ$3&lt;0,0,N(INDEX('CURVA PREVISION'!$A$1:$KZ$3000,$C78,11+3*MIN(BQ$3,$D$2-1)))))</f>
        <v/>
      </c>
      <c r="BR78" s="122">
        <f>IF(OR($C78="",$B$2="",$D$2=0),0,IF(BR$3&lt;0,0,N(INDEX('CURVA PREVISION'!$A$1:$KZ$3000,$C78,11+3*MIN(BR$3,$D$2-1)))))</f>
        <v/>
      </c>
      <c r="BS78" s="122">
        <f>IF(OR($C78="",$B$2="",$D$2=0),0,IF(BS$3&lt;0,0,N(INDEX('CURVA PREVISION'!$A$1:$KZ$3000,$C78,11+3*MIN(BS$3,$D$2-1)))))</f>
        <v/>
      </c>
      <c r="BT78" s="122">
        <f>IF(OR($C78="",$B$2="",$D$2=0),0,IF(BT$3&lt;0,0,N(INDEX('CURVA PREVISION'!$A$1:$KZ$3000,$C78,11+3*MIN(BT$3,$D$2-1)))))</f>
        <v/>
      </c>
      <c r="BU78" s="122">
        <f>IF(OR($C78="",$B$2="",$D$2=0),0,IF(BU$3&lt;0,0,N(INDEX('CURVA PREVISION'!$A$1:$KZ$3000,$C78,11+3*MIN(BU$3,$D$2-1)))))</f>
        <v/>
      </c>
      <c r="BV78" s="122">
        <f>IF(OR($C78="",$B$2="",$D$2=0),0,IF(BV$3&lt;0,0,N(INDEX('CURVA PREVISION'!$A$1:$KZ$3000,$C78,11+3*MIN(BV$3,$D$2-1)))))</f>
        <v/>
      </c>
      <c r="BW78" s="122">
        <f>IF(OR($C78="",$B$2="",$D$2=0),0,IF(BW$3&lt;0,0,N(INDEX('CURVA PREVISION'!$A$1:$KZ$3000,$C78,11+3*MIN(BW$3,$D$2-1)))))</f>
        <v/>
      </c>
    </row>
    <row r="79">
      <c r="A79" s="51">
        <f>A37</f>
        <v/>
      </c>
      <c r="B79" s="51">
        <f>B37</f>
        <v/>
      </c>
      <c r="C79" s="68">
        <f>C37</f>
        <v/>
      </c>
      <c r="D79" s="122">
        <f>IF(OR($C79="",$B$2="",$D$2=0),0,IF(D$3&lt;0,0,N(INDEX('CURVA PREVISION'!$A$1:$KZ$3000,$C79,11+3*MIN(D$3,$D$2-1)))))</f>
        <v/>
      </c>
      <c r="E79" s="122">
        <f>IF(OR($C79="",$B$2="",$D$2=0),0,IF(E$3&lt;0,0,N(INDEX('CURVA PREVISION'!$A$1:$KZ$3000,$C79,11+3*MIN(E$3,$D$2-1)))))</f>
        <v/>
      </c>
      <c r="F79" s="122">
        <f>IF(OR($C79="",$B$2="",$D$2=0),0,IF(F$3&lt;0,0,N(INDEX('CURVA PREVISION'!$A$1:$KZ$3000,$C79,11+3*MIN(F$3,$D$2-1)))))</f>
        <v/>
      </c>
      <c r="G79" s="122">
        <f>IF(OR($C79="",$B$2="",$D$2=0),0,IF(G$3&lt;0,0,N(INDEX('CURVA PREVISION'!$A$1:$KZ$3000,$C79,11+3*MIN(G$3,$D$2-1)))))</f>
        <v/>
      </c>
      <c r="H79" s="122">
        <f>IF(OR($C79="",$B$2="",$D$2=0),0,IF(H$3&lt;0,0,N(INDEX('CURVA PREVISION'!$A$1:$KZ$3000,$C79,11+3*MIN(H$3,$D$2-1)))))</f>
        <v/>
      </c>
      <c r="I79" s="122">
        <f>IF(OR($C79="",$B$2="",$D$2=0),0,IF(I$3&lt;0,0,N(INDEX('CURVA PREVISION'!$A$1:$KZ$3000,$C79,11+3*MIN(I$3,$D$2-1)))))</f>
        <v/>
      </c>
      <c r="J79" s="122">
        <f>IF(OR($C79="",$B$2="",$D$2=0),0,IF(J$3&lt;0,0,N(INDEX('CURVA PREVISION'!$A$1:$KZ$3000,$C79,11+3*MIN(J$3,$D$2-1)))))</f>
        <v/>
      </c>
      <c r="K79" s="122">
        <f>IF(OR($C79="",$B$2="",$D$2=0),0,IF(K$3&lt;0,0,N(INDEX('CURVA PREVISION'!$A$1:$KZ$3000,$C79,11+3*MIN(K$3,$D$2-1)))))</f>
        <v/>
      </c>
      <c r="L79" s="122">
        <f>IF(OR($C79="",$B$2="",$D$2=0),0,IF(L$3&lt;0,0,N(INDEX('CURVA PREVISION'!$A$1:$KZ$3000,$C79,11+3*MIN(L$3,$D$2-1)))))</f>
        <v/>
      </c>
      <c r="M79" s="122">
        <f>IF(OR($C79="",$B$2="",$D$2=0),0,IF(M$3&lt;0,0,N(INDEX('CURVA PREVISION'!$A$1:$KZ$3000,$C79,11+3*MIN(M$3,$D$2-1)))))</f>
        <v/>
      </c>
      <c r="N79" s="122">
        <f>IF(OR($C79="",$B$2="",$D$2=0),0,IF(N$3&lt;0,0,N(INDEX('CURVA PREVISION'!$A$1:$KZ$3000,$C79,11+3*MIN(N$3,$D$2-1)))))</f>
        <v/>
      </c>
      <c r="O79" s="122">
        <f>IF(OR($C79="",$B$2="",$D$2=0),0,IF(O$3&lt;0,0,N(INDEX('CURVA PREVISION'!$A$1:$KZ$3000,$C79,11+3*MIN(O$3,$D$2-1)))))</f>
        <v/>
      </c>
      <c r="P79" s="122">
        <f>IF(OR($C79="",$B$2="",$D$2=0),0,IF(P$3&lt;0,0,N(INDEX('CURVA PREVISION'!$A$1:$KZ$3000,$C79,11+3*MIN(P$3,$D$2-1)))))</f>
        <v/>
      </c>
      <c r="Q79" s="122">
        <f>IF(OR($C79="",$B$2="",$D$2=0),0,IF(Q$3&lt;0,0,N(INDEX('CURVA PREVISION'!$A$1:$KZ$3000,$C79,11+3*MIN(Q$3,$D$2-1)))))</f>
        <v/>
      </c>
      <c r="R79" s="122">
        <f>IF(OR($C79="",$B$2="",$D$2=0),0,IF(R$3&lt;0,0,N(INDEX('CURVA PREVISION'!$A$1:$KZ$3000,$C79,11+3*MIN(R$3,$D$2-1)))))</f>
        <v/>
      </c>
      <c r="S79" s="122">
        <f>IF(OR($C79="",$B$2="",$D$2=0),0,IF(S$3&lt;0,0,N(INDEX('CURVA PREVISION'!$A$1:$KZ$3000,$C79,11+3*MIN(S$3,$D$2-1)))))</f>
        <v/>
      </c>
      <c r="T79" s="122">
        <f>IF(OR($C79="",$B$2="",$D$2=0),0,IF(T$3&lt;0,0,N(INDEX('CURVA PREVISION'!$A$1:$KZ$3000,$C79,11+3*MIN(T$3,$D$2-1)))))</f>
        <v/>
      </c>
      <c r="U79" s="122">
        <f>IF(OR($C79="",$B$2="",$D$2=0),0,IF(U$3&lt;0,0,N(INDEX('CURVA PREVISION'!$A$1:$KZ$3000,$C79,11+3*MIN(U$3,$D$2-1)))))</f>
        <v/>
      </c>
      <c r="V79" s="122">
        <f>IF(OR($C79="",$B$2="",$D$2=0),0,IF(V$3&lt;0,0,N(INDEX('CURVA PREVISION'!$A$1:$KZ$3000,$C79,11+3*MIN(V$3,$D$2-1)))))</f>
        <v/>
      </c>
      <c r="W79" s="122">
        <f>IF(OR($C79="",$B$2="",$D$2=0),0,IF(W$3&lt;0,0,N(INDEX('CURVA PREVISION'!$A$1:$KZ$3000,$C79,11+3*MIN(W$3,$D$2-1)))))</f>
        <v/>
      </c>
      <c r="X79" s="122">
        <f>IF(OR($C79="",$B$2="",$D$2=0),0,IF(X$3&lt;0,0,N(INDEX('CURVA PREVISION'!$A$1:$KZ$3000,$C79,11+3*MIN(X$3,$D$2-1)))))</f>
        <v/>
      </c>
      <c r="Y79" s="122">
        <f>IF(OR($C79="",$B$2="",$D$2=0),0,IF(Y$3&lt;0,0,N(INDEX('CURVA PREVISION'!$A$1:$KZ$3000,$C79,11+3*MIN(Y$3,$D$2-1)))))</f>
        <v/>
      </c>
      <c r="Z79" s="122">
        <f>IF(OR($C79="",$B$2="",$D$2=0),0,IF(Z$3&lt;0,0,N(INDEX('CURVA PREVISION'!$A$1:$KZ$3000,$C79,11+3*MIN(Z$3,$D$2-1)))))</f>
        <v/>
      </c>
      <c r="AA79" s="122">
        <f>IF(OR($C79="",$B$2="",$D$2=0),0,IF(AA$3&lt;0,0,N(INDEX('CURVA PREVISION'!$A$1:$KZ$3000,$C79,11+3*MIN(AA$3,$D$2-1)))))</f>
        <v/>
      </c>
      <c r="AB79" s="122">
        <f>IF(OR($C79="",$B$2="",$D$2=0),0,IF(AB$3&lt;0,0,N(INDEX('CURVA PREVISION'!$A$1:$KZ$3000,$C79,11+3*MIN(AB$3,$D$2-1)))))</f>
        <v/>
      </c>
      <c r="AC79" s="122">
        <f>IF(OR($C79="",$B$2="",$D$2=0),0,IF(AC$3&lt;0,0,N(INDEX('CURVA PREVISION'!$A$1:$KZ$3000,$C79,11+3*MIN(AC$3,$D$2-1)))))</f>
        <v/>
      </c>
      <c r="AD79" s="122">
        <f>IF(OR($C79="",$B$2="",$D$2=0),0,IF(AD$3&lt;0,0,N(INDEX('CURVA PREVISION'!$A$1:$KZ$3000,$C79,11+3*MIN(AD$3,$D$2-1)))))</f>
        <v/>
      </c>
      <c r="AE79" s="122">
        <f>IF(OR($C79="",$B$2="",$D$2=0),0,IF(AE$3&lt;0,0,N(INDEX('CURVA PREVISION'!$A$1:$KZ$3000,$C79,11+3*MIN(AE$3,$D$2-1)))))</f>
        <v/>
      </c>
      <c r="AF79" s="122">
        <f>IF(OR($C79="",$B$2="",$D$2=0),0,IF(AF$3&lt;0,0,N(INDEX('CURVA PREVISION'!$A$1:$KZ$3000,$C79,11+3*MIN(AF$3,$D$2-1)))))</f>
        <v/>
      </c>
      <c r="AG79" s="122">
        <f>IF(OR($C79="",$B$2="",$D$2=0),0,IF(AG$3&lt;0,0,N(INDEX('CURVA PREVISION'!$A$1:$KZ$3000,$C79,11+3*MIN(AG$3,$D$2-1)))))</f>
        <v/>
      </c>
      <c r="AH79" s="122">
        <f>IF(OR($C79="",$B$2="",$D$2=0),0,IF(AH$3&lt;0,0,N(INDEX('CURVA PREVISION'!$A$1:$KZ$3000,$C79,11+3*MIN(AH$3,$D$2-1)))))</f>
        <v/>
      </c>
      <c r="AI79" s="122">
        <f>IF(OR($C79="",$B$2="",$D$2=0),0,IF(AI$3&lt;0,0,N(INDEX('CURVA PREVISION'!$A$1:$KZ$3000,$C79,11+3*MIN(AI$3,$D$2-1)))))</f>
        <v/>
      </c>
      <c r="AJ79" s="122">
        <f>IF(OR($C79="",$B$2="",$D$2=0),0,IF(AJ$3&lt;0,0,N(INDEX('CURVA PREVISION'!$A$1:$KZ$3000,$C79,11+3*MIN(AJ$3,$D$2-1)))))</f>
        <v/>
      </c>
      <c r="AK79" s="122">
        <f>IF(OR($C79="",$B$2="",$D$2=0),0,IF(AK$3&lt;0,0,N(INDEX('CURVA PREVISION'!$A$1:$KZ$3000,$C79,11+3*MIN(AK$3,$D$2-1)))))</f>
        <v/>
      </c>
      <c r="AL79" s="122">
        <f>IF(OR($C79="",$B$2="",$D$2=0),0,IF(AL$3&lt;0,0,N(INDEX('CURVA PREVISION'!$A$1:$KZ$3000,$C79,11+3*MIN(AL$3,$D$2-1)))))</f>
        <v/>
      </c>
      <c r="AM79" s="122">
        <f>IF(OR($C79="",$B$2="",$D$2=0),0,IF(AM$3&lt;0,0,N(INDEX('CURVA PREVISION'!$A$1:$KZ$3000,$C79,11+3*MIN(AM$3,$D$2-1)))))</f>
        <v/>
      </c>
      <c r="AN79" s="122">
        <f>IF(OR($C79="",$B$2="",$D$2=0),0,IF(AN$3&lt;0,0,N(INDEX('CURVA PREVISION'!$A$1:$KZ$3000,$C79,11+3*MIN(AN$3,$D$2-1)))))</f>
        <v/>
      </c>
      <c r="AO79" s="122">
        <f>IF(OR($C79="",$B$2="",$D$2=0),0,IF(AO$3&lt;0,0,N(INDEX('CURVA PREVISION'!$A$1:$KZ$3000,$C79,11+3*MIN(AO$3,$D$2-1)))))</f>
        <v/>
      </c>
      <c r="AP79" s="122">
        <f>IF(OR($C79="",$B$2="",$D$2=0),0,IF(AP$3&lt;0,0,N(INDEX('CURVA PREVISION'!$A$1:$KZ$3000,$C79,11+3*MIN(AP$3,$D$2-1)))))</f>
        <v/>
      </c>
      <c r="AQ79" s="122">
        <f>IF(OR($C79="",$B$2="",$D$2=0),0,IF(AQ$3&lt;0,0,N(INDEX('CURVA PREVISION'!$A$1:$KZ$3000,$C79,11+3*MIN(AQ$3,$D$2-1)))))</f>
        <v/>
      </c>
      <c r="AR79" s="122">
        <f>IF(OR($C79="",$B$2="",$D$2=0),0,IF(AR$3&lt;0,0,N(INDEX('CURVA PREVISION'!$A$1:$KZ$3000,$C79,11+3*MIN(AR$3,$D$2-1)))))</f>
        <v/>
      </c>
      <c r="AS79" s="122">
        <f>IF(OR($C79="",$B$2="",$D$2=0),0,IF(AS$3&lt;0,0,N(INDEX('CURVA PREVISION'!$A$1:$KZ$3000,$C79,11+3*MIN(AS$3,$D$2-1)))))</f>
        <v/>
      </c>
      <c r="AT79" s="122">
        <f>IF(OR($C79="",$B$2="",$D$2=0),0,IF(AT$3&lt;0,0,N(INDEX('CURVA PREVISION'!$A$1:$KZ$3000,$C79,11+3*MIN(AT$3,$D$2-1)))))</f>
        <v/>
      </c>
      <c r="AU79" s="122">
        <f>IF(OR($C79="",$B$2="",$D$2=0),0,IF(AU$3&lt;0,0,N(INDEX('CURVA PREVISION'!$A$1:$KZ$3000,$C79,11+3*MIN(AU$3,$D$2-1)))))</f>
        <v/>
      </c>
      <c r="AV79" s="122">
        <f>IF(OR($C79="",$B$2="",$D$2=0),0,IF(AV$3&lt;0,0,N(INDEX('CURVA PREVISION'!$A$1:$KZ$3000,$C79,11+3*MIN(AV$3,$D$2-1)))))</f>
        <v/>
      </c>
      <c r="AW79" s="122">
        <f>IF(OR($C79="",$B$2="",$D$2=0),0,IF(AW$3&lt;0,0,N(INDEX('CURVA PREVISION'!$A$1:$KZ$3000,$C79,11+3*MIN(AW$3,$D$2-1)))))</f>
        <v/>
      </c>
      <c r="AX79" s="122">
        <f>IF(OR($C79="",$B$2="",$D$2=0),0,IF(AX$3&lt;0,0,N(INDEX('CURVA PREVISION'!$A$1:$KZ$3000,$C79,11+3*MIN(AX$3,$D$2-1)))))</f>
        <v/>
      </c>
      <c r="AY79" s="122">
        <f>IF(OR($C79="",$B$2="",$D$2=0),0,IF(AY$3&lt;0,0,N(INDEX('CURVA PREVISION'!$A$1:$KZ$3000,$C79,11+3*MIN(AY$3,$D$2-1)))))</f>
        <v/>
      </c>
      <c r="AZ79" s="122">
        <f>IF(OR($C79="",$B$2="",$D$2=0),0,IF(AZ$3&lt;0,0,N(INDEX('CURVA PREVISION'!$A$1:$KZ$3000,$C79,11+3*MIN(AZ$3,$D$2-1)))))</f>
        <v/>
      </c>
      <c r="BA79" s="122">
        <f>IF(OR($C79="",$B$2="",$D$2=0),0,IF(BA$3&lt;0,0,N(INDEX('CURVA PREVISION'!$A$1:$KZ$3000,$C79,11+3*MIN(BA$3,$D$2-1)))))</f>
        <v/>
      </c>
      <c r="BB79" s="122">
        <f>IF(OR($C79="",$B$2="",$D$2=0),0,IF(BB$3&lt;0,0,N(INDEX('CURVA PREVISION'!$A$1:$KZ$3000,$C79,11+3*MIN(BB$3,$D$2-1)))))</f>
        <v/>
      </c>
      <c r="BC79" s="122">
        <f>IF(OR($C79="",$B$2="",$D$2=0),0,IF(BC$3&lt;0,0,N(INDEX('CURVA PREVISION'!$A$1:$KZ$3000,$C79,11+3*MIN(BC$3,$D$2-1)))))</f>
        <v/>
      </c>
      <c r="BD79" s="122">
        <f>IF(OR($C79="",$B$2="",$D$2=0),0,IF(BD$3&lt;0,0,N(INDEX('CURVA PREVISION'!$A$1:$KZ$3000,$C79,11+3*MIN(BD$3,$D$2-1)))))</f>
        <v/>
      </c>
      <c r="BE79" s="122">
        <f>IF(OR($C79="",$B$2="",$D$2=0),0,IF(BE$3&lt;0,0,N(INDEX('CURVA PREVISION'!$A$1:$KZ$3000,$C79,11+3*MIN(BE$3,$D$2-1)))))</f>
        <v/>
      </c>
      <c r="BF79" s="122">
        <f>IF(OR($C79="",$B$2="",$D$2=0),0,IF(BF$3&lt;0,0,N(INDEX('CURVA PREVISION'!$A$1:$KZ$3000,$C79,11+3*MIN(BF$3,$D$2-1)))))</f>
        <v/>
      </c>
      <c r="BG79" s="122">
        <f>IF(OR($C79="",$B$2="",$D$2=0),0,IF(BG$3&lt;0,0,N(INDEX('CURVA PREVISION'!$A$1:$KZ$3000,$C79,11+3*MIN(BG$3,$D$2-1)))))</f>
        <v/>
      </c>
      <c r="BH79" s="122">
        <f>IF(OR($C79="",$B$2="",$D$2=0),0,IF(BH$3&lt;0,0,N(INDEX('CURVA PREVISION'!$A$1:$KZ$3000,$C79,11+3*MIN(BH$3,$D$2-1)))))</f>
        <v/>
      </c>
      <c r="BI79" s="122">
        <f>IF(OR($C79="",$B$2="",$D$2=0),0,IF(BI$3&lt;0,0,N(INDEX('CURVA PREVISION'!$A$1:$KZ$3000,$C79,11+3*MIN(BI$3,$D$2-1)))))</f>
        <v/>
      </c>
      <c r="BJ79" s="122">
        <f>IF(OR($C79="",$B$2="",$D$2=0),0,IF(BJ$3&lt;0,0,N(INDEX('CURVA PREVISION'!$A$1:$KZ$3000,$C79,11+3*MIN(BJ$3,$D$2-1)))))</f>
        <v/>
      </c>
      <c r="BK79" s="122">
        <f>IF(OR($C79="",$B$2="",$D$2=0),0,IF(BK$3&lt;0,0,N(INDEX('CURVA PREVISION'!$A$1:$KZ$3000,$C79,11+3*MIN(BK$3,$D$2-1)))))</f>
        <v/>
      </c>
      <c r="BL79" s="122">
        <f>IF(OR($C79="",$B$2="",$D$2=0),0,IF(BL$3&lt;0,0,N(INDEX('CURVA PREVISION'!$A$1:$KZ$3000,$C79,11+3*MIN(BL$3,$D$2-1)))))</f>
        <v/>
      </c>
      <c r="BM79" s="122">
        <f>IF(OR($C79="",$B$2="",$D$2=0),0,IF(BM$3&lt;0,0,N(INDEX('CURVA PREVISION'!$A$1:$KZ$3000,$C79,11+3*MIN(BM$3,$D$2-1)))))</f>
        <v/>
      </c>
      <c r="BN79" s="122">
        <f>IF(OR($C79="",$B$2="",$D$2=0),0,IF(BN$3&lt;0,0,N(INDEX('CURVA PREVISION'!$A$1:$KZ$3000,$C79,11+3*MIN(BN$3,$D$2-1)))))</f>
        <v/>
      </c>
      <c r="BO79" s="122">
        <f>IF(OR($C79="",$B$2="",$D$2=0),0,IF(BO$3&lt;0,0,N(INDEX('CURVA PREVISION'!$A$1:$KZ$3000,$C79,11+3*MIN(BO$3,$D$2-1)))))</f>
        <v/>
      </c>
      <c r="BP79" s="122">
        <f>IF(OR($C79="",$B$2="",$D$2=0),0,IF(BP$3&lt;0,0,N(INDEX('CURVA PREVISION'!$A$1:$KZ$3000,$C79,11+3*MIN(BP$3,$D$2-1)))))</f>
        <v/>
      </c>
      <c r="BQ79" s="122">
        <f>IF(OR($C79="",$B$2="",$D$2=0),0,IF(BQ$3&lt;0,0,N(INDEX('CURVA PREVISION'!$A$1:$KZ$3000,$C79,11+3*MIN(BQ$3,$D$2-1)))))</f>
        <v/>
      </c>
      <c r="BR79" s="122">
        <f>IF(OR($C79="",$B$2="",$D$2=0),0,IF(BR$3&lt;0,0,N(INDEX('CURVA PREVISION'!$A$1:$KZ$3000,$C79,11+3*MIN(BR$3,$D$2-1)))))</f>
        <v/>
      </c>
      <c r="BS79" s="122">
        <f>IF(OR($C79="",$B$2="",$D$2=0),0,IF(BS$3&lt;0,0,N(INDEX('CURVA PREVISION'!$A$1:$KZ$3000,$C79,11+3*MIN(BS$3,$D$2-1)))))</f>
        <v/>
      </c>
      <c r="BT79" s="122">
        <f>IF(OR($C79="",$B$2="",$D$2=0),0,IF(BT$3&lt;0,0,N(INDEX('CURVA PREVISION'!$A$1:$KZ$3000,$C79,11+3*MIN(BT$3,$D$2-1)))))</f>
        <v/>
      </c>
      <c r="BU79" s="122">
        <f>IF(OR($C79="",$B$2="",$D$2=0),0,IF(BU$3&lt;0,0,N(INDEX('CURVA PREVISION'!$A$1:$KZ$3000,$C79,11+3*MIN(BU$3,$D$2-1)))))</f>
        <v/>
      </c>
      <c r="BV79" s="122">
        <f>IF(OR($C79="",$B$2="",$D$2=0),0,IF(BV$3&lt;0,0,N(INDEX('CURVA PREVISION'!$A$1:$KZ$3000,$C79,11+3*MIN(BV$3,$D$2-1)))))</f>
        <v/>
      </c>
      <c r="BW79" s="122">
        <f>IF(OR($C79="",$B$2="",$D$2=0),0,IF(BW$3&lt;0,0,N(INDEX('CURVA PREVISION'!$A$1:$KZ$3000,$C79,11+3*MIN(BW$3,$D$2-1)))))</f>
        <v/>
      </c>
    </row>
    <row r="80">
      <c r="A80" s="51">
        <f>A38</f>
        <v/>
      </c>
      <c r="B80" s="51">
        <f>B38</f>
        <v/>
      </c>
      <c r="C80" s="68">
        <f>C38</f>
        <v/>
      </c>
      <c r="D80" s="122">
        <f>IF(OR($C80="",$B$2="",$D$2=0),0,IF(D$3&lt;0,0,N(INDEX('CURVA PREVISION'!$A$1:$KZ$3000,$C80,11+3*MIN(D$3,$D$2-1)))))</f>
        <v/>
      </c>
      <c r="E80" s="122">
        <f>IF(OR($C80="",$B$2="",$D$2=0),0,IF(E$3&lt;0,0,N(INDEX('CURVA PREVISION'!$A$1:$KZ$3000,$C80,11+3*MIN(E$3,$D$2-1)))))</f>
        <v/>
      </c>
      <c r="F80" s="122">
        <f>IF(OR($C80="",$B$2="",$D$2=0),0,IF(F$3&lt;0,0,N(INDEX('CURVA PREVISION'!$A$1:$KZ$3000,$C80,11+3*MIN(F$3,$D$2-1)))))</f>
        <v/>
      </c>
      <c r="G80" s="122">
        <f>IF(OR($C80="",$B$2="",$D$2=0),0,IF(G$3&lt;0,0,N(INDEX('CURVA PREVISION'!$A$1:$KZ$3000,$C80,11+3*MIN(G$3,$D$2-1)))))</f>
        <v/>
      </c>
      <c r="H80" s="122">
        <f>IF(OR($C80="",$B$2="",$D$2=0),0,IF(H$3&lt;0,0,N(INDEX('CURVA PREVISION'!$A$1:$KZ$3000,$C80,11+3*MIN(H$3,$D$2-1)))))</f>
        <v/>
      </c>
      <c r="I80" s="122">
        <f>IF(OR($C80="",$B$2="",$D$2=0),0,IF(I$3&lt;0,0,N(INDEX('CURVA PREVISION'!$A$1:$KZ$3000,$C80,11+3*MIN(I$3,$D$2-1)))))</f>
        <v/>
      </c>
      <c r="J80" s="122">
        <f>IF(OR($C80="",$B$2="",$D$2=0),0,IF(J$3&lt;0,0,N(INDEX('CURVA PREVISION'!$A$1:$KZ$3000,$C80,11+3*MIN(J$3,$D$2-1)))))</f>
        <v/>
      </c>
      <c r="K80" s="122">
        <f>IF(OR($C80="",$B$2="",$D$2=0),0,IF(K$3&lt;0,0,N(INDEX('CURVA PREVISION'!$A$1:$KZ$3000,$C80,11+3*MIN(K$3,$D$2-1)))))</f>
        <v/>
      </c>
      <c r="L80" s="122">
        <f>IF(OR($C80="",$B$2="",$D$2=0),0,IF(L$3&lt;0,0,N(INDEX('CURVA PREVISION'!$A$1:$KZ$3000,$C80,11+3*MIN(L$3,$D$2-1)))))</f>
        <v/>
      </c>
      <c r="M80" s="122">
        <f>IF(OR($C80="",$B$2="",$D$2=0),0,IF(M$3&lt;0,0,N(INDEX('CURVA PREVISION'!$A$1:$KZ$3000,$C80,11+3*MIN(M$3,$D$2-1)))))</f>
        <v/>
      </c>
      <c r="N80" s="122">
        <f>IF(OR($C80="",$B$2="",$D$2=0),0,IF(N$3&lt;0,0,N(INDEX('CURVA PREVISION'!$A$1:$KZ$3000,$C80,11+3*MIN(N$3,$D$2-1)))))</f>
        <v/>
      </c>
      <c r="O80" s="122">
        <f>IF(OR($C80="",$B$2="",$D$2=0),0,IF(O$3&lt;0,0,N(INDEX('CURVA PREVISION'!$A$1:$KZ$3000,$C80,11+3*MIN(O$3,$D$2-1)))))</f>
        <v/>
      </c>
      <c r="P80" s="122">
        <f>IF(OR($C80="",$B$2="",$D$2=0),0,IF(P$3&lt;0,0,N(INDEX('CURVA PREVISION'!$A$1:$KZ$3000,$C80,11+3*MIN(P$3,$D$2-1)))))</f>
        <v/>
      </c>
      <c r="Q80" s="122">
        <f>IF(OR($C80="",$B$2="",$D$2=0),0,IF(Q$3&lt;0,0,N(INDEX('CURVA PREVISION'!$A$1:$KZ$3000,$C80,11+3*MIN(Q$3,$D$2-1)))))</f>
        <v/>
      </c>
      <c r="R80" s="122">
        <f>IF(OR($C80="",$B$2="",$D$2=0),0,IF(R$3&lt;0,0,N(INDEX('CURVA PREVISION'!$A$1:$KZ$3000,$C80,11+3*MIN(R$3,$D$2-1)))))</f>
        <v/>
      </c>
      <c r="S80" s="122">
        <f>IF(OR($C80="",$B$2="",$D$2=0),0,IF(S$3&lt;0,0,N(INDEX('CURVA PREVISION'!$A$1:$KZ$3000,$C80,11+3*MIN(S$3,$D$2-1)))))</f>
        <v/>
      </c>
      <c r="T80" s="122">
        <f>IF(OR($C80="",$B$2="",$D$2=0),0,IF(T$3&lt;0,0,N(INDEX('CURVA PREVISION'!$A$1:$KZ$3000,$C80,11+3*MIN(T$3,$D$2-1)))))</f>
        <v/>
      </c>
      <c r="U80" s="122">
        <f>IF(OR($C80="",$B$2="",$D$2=0),0,IF(U$3&lt;0,0,N(INDEX('CURVA PREVISION'!$A$1:$KZ$3000,$C80,11+3*MIN(U$3,$D$2-1)))))</f>
        <v/>
      </c>
      <c r="V80" s="122">
        <f>IF(OR($C80="",$B$2="",$D$2=0),0,IF(V$3&lt;0,0,N(INDEX('CURVA PREVISION'!$A$1:$KZ$3000,$C80,11+3*MIN(V$3,$D$2-1)))))</f>
        <v/>
      </c>
      <c r="W80" s="122">
        <f>IF(OR($C80="",$B$2="",$D$2=0),0,IF(W$3&lt;0,0,N(INDEX('CURVA PREVISION'!$A$1:$KZ$3000,$C80,11+3*MIN(W$3,$D$2-1)))))</f>
        <v/>
      </c>
      <c r="X80" s="122">
        <f>IF(OR($C80="",$B$2="",$D$2=0),0,IF(X$3&lt;0,0,N(INDEX('CURVA PREVISION'!$A$1:$KZ$3000,$C80,11+3*MIN(X$3,$D$2-1)))))</f>
        <v/>
      </c>
      <c r="Y80" s="122">
        <f>IF(OR($C80="",$B$2="",$D$2=0),0,IF(Y$3&lt;0,0,N(INDEX('CURVA PREVISION'!$A$1:$KZ$3000,$C80,11+3*MIN(Y$3,$D$2-1)))))</f>
        <v/>
      </c>
      <c r="Z80" s="122">
        <f>IF(OR($C80="",$B$2="",$D$2=0),0,IF(Z$3&lt;0,0,N(INDEX('CURVA PREVISION'!$A$1:$KZ$3000,$C80,11+3*MIN(Z$3,$D$2-1)))))</f>
        <v/>
      </c>
      <c r="AA80" s="122">
        <f>IF(OR($C80="",$B$2="",$D$2=0),0,IF(AA$3&lt;0,0,N(INDEX('CURVA PREVISION'!$A$1:$KZ$3000,$C80,11+3*MIN(AA$3,$D$2-1)))))</f>
        <v/>
      </c>
      <c r="AB80" s="122">
        <f>IF(OR($C80="",$B$2="",$D$2=0),0,IF(AB$3&lt;0,0,N(INDEX('CURVA PREVISION'!$A$1:$KZ$3000,$C80,11+3*MIN(AB$3,$D$2-1)))))</f>
        <v/>
      </c>
      <c r="AC80" s="122">
        <f>IF(OR($C80="",$B$2="",$D$2=0),0,IF(AC$3&lt;0,0,N(INDEX('CURVA PREVISION'!$A$1:$KZ$3000,$C80,11+3*MIN(AC$3,$D$2-1)))))</f>
        <v/>
      </c>
      <c r="AD80" s="122">
        <f>IF(OR($C80="",$B$2="",$D$2=0),0,IF(AD$3&lt;0,0,N(INDEX('CURVA PREVISION'!$A$1:$KZ$3000,$C80,11+3*MIN(AD$3,$D$2-1)))))</f>
        <v/>
      </c>
      <c r="AE80" s="122">
        <f>IF(OR($C80="",$B$2="",$D$2=0),0,IF(AE$3&lt;0,0,N(INDEX('CURVA PREVISION'!$A$1:$KZ$3000,$C80,11+3*MIN(AE$3,$D$2-1)))))</f>
        <v/>
      </c>
      <c r="AF80" s="122">
        <f>IF(OR($C80="",$B$2="",$D$2=0),0,IF(AF$3&lt;0,0,N(INDEX('CURVA PREVISION'!$A$1:$KZ$3000,$C80,11+3*MIN(AF$3,$D$2-1)))))</f>
        <v/>
      </c>
      <c r="AG80" s="122">
        <f>IF(OR($C80="",$B$2="",$D$2=0),0,IF(AG$3&lt;0,0,N(INDEX('CURVA PREVISION'!$A$1:$KZ$3000,$C80,11+3*MIN(AG$3,$D$2-1)))))</f>
        <v/>
      </c>
      <c r="AH80" s="122">
        <f>IF(OR($C80="",$B$2="",$D$2=0),0,IF(AH$3&lt;0,0,N(INDEX('CURVA PREVISION'!$A$1:$KZ$3000,$C80,11+3*MIN(AH$3,$D$2-1)))))</f>
        <v/>
      </c>
      <c r="AI80" s="122">
        <f>IF(OR($C80="",$B$2="",$D$2=0),0,IF(AI$3&lt;0,0,N(INDEX('CURVA PREVISION'!$A$1:$KZ$3000,$C80,11+3*MIN(AI$3,$D$2-1)))))</f>
        <v/>
      </c>
      <c r="AJ80" s="122">
        <f>IF(OR($C80="",$B$2="",$D$2=0),0,IF(AJ$3&lt;0,0,N(INDEX('CURVA PREVISION'!$A$1:$KZ$3000,$C80,11+3*MIN(AJ$3,$D$2-1)))))</f>
        <v/>
      </c>
      <c r="AK80" s="122">
        <f>IF(OR($C80="",$B$2="",$D$2=0),0,IF(AK$3&lt;0,0,N(INDEX('CURVA PREVISION'!$A$1:$KZ$3000,$C80,11+3*MIN(AK$3,$D$2-1)))))</f>
        <v/>
      </c>
      <c r="AL80" s="122">
        <f>IF(OR($C80="",$B$2="",$D$2=0),0,IF(AL$3&lt;0,0,N(INDEX('CURVA PREVISION'!$A$1:$KZ$3000,$C80,11+3*MIN(AL$3,$D$2-1)))))</f>
        <v/>
      </c>
      <c r="AM80" s="122">
        <f>IF(OR($C80="",$B$2="",$D$2=0),0,IF(AM$3&lt;0,0,N(INDEX('CURVA PREVISION'!$A$1:$KZ$3000,$C80,11+3*MIN(AM$3,$D$2-1)))))</f>
        <v/>
      </c>
      <c r="AN80" s="122">
        <f>IF(OR($C80="",$B$2="",$D$2=0),0,IF(AN$3&lt;0,0,N(INDEX('CURVA PREVISION'!$A$1:$KZ$3000,$C80,11+3*MIN(AN$3,$D$2-1)))))</f>
        <v/>
      </c>
      <c r="AO80" s="122">
        <f>IF(OR($C80="",$B$2="",$D$2=0),0,IF(AO$3&lt;0,0,N(INDEX('CURVA PREVISION'!$A$1:$KZ$3000,$C80,11+3*MIN(AO$3,$D$2-1)))))</f>
        <v/>
      </c>
      <c r="AP80" s="122">
        <f>IF(OR($C80="",$B$2="",$D$2=0),0,IF(AP$3&lt;0,0,N(INDEX('CURVA PREVISION'!$A$1:$KZ$3000,$C80,11+3*MIN(AP$3,$D$2-1)))))</f>
        <v/>
      </c>
      <c r="AQ80" s="122">
        <f>IF(OR($C80="",$B$2="",$D$2=0),0,IF(AQ$3&lt;0,0,N(INDEX('CURVA PREVISION'!$A$1:$KZ$3000,$C80,11+3*MIN(AQ$3,$D$2-1)))))</f>
        <v/>
      </c>
      <c r="AR80" s="122">
        <f>IF(OR($C80="",$B$2="",$D$2=0),0,IF(AR$3&lt;0,0,N(INDEX('CURVA PREVISION'!$A$1:$KZ$3000,$C80,11+3*MIN(AR$3,$D$2-1)))))</f>
        <v/>
      </c>
      <c r="AS80" s="122">
        <f>IF(OR($C80="",$B$2="",$D$2=0),0,IF(AS$3&lt;0,0,N(INDEX('CURVA PREVISION'!$A$1:$KZ$3000,$C80,11+3*MIN(AS$3,$D$2-1)))))</f>
        <v/>
      </c>
      <c r="AT80" s="122">
        <f>IF(OR($C80="",$B$2="",$D$2=0),0,IF(AT$3&lt;0,0,N(INDEX('CURVA PREVISION'!$A$1:$KZ$3000,$C80,11+3*MIN(AT$3,$D$2-1)))))</f>
        <v/>
      </c>
      <c r="AU80" s="122">
        <f>IF(OR($C80="",$B$2="",$D$2=0),0,IF(AU$3&lt;0,0,N(INDEX('CURVA PREVISION'!$A$1:$KZ$3000,$C80,11+3*MIN(AU$3,$D$2-1)))))</f>
        <v/>
      </c>
      <c r="AV80" s="122">
        <f>IF(OR($C80="",$B$2="",$D$2=0),0,IF(AV$3&lt;0,0,N(INDEX('CURVA PREVISION'!$A$1:$KZ$3000,$C80,11+3*MIN(AV$3,$D$2-1)))))</f>
        <v/>
      </c>
      <c r="AW80" s="122">
        <f>IF(OR($C80="",$B$2="",$D$2=0),0,IF(AW$3&lt;0,0,N(INDEX('CURVA PREVISION'!$A$1:$KZ$3000,$C80,11+3*MIN(AW$3,$D$2-1)))))</f>
        <v/>
      </c>
      <c r="AX80" s="122">
        <f>IF(OR($C80="",$B$2="",$D$2=0),0,IF(AX$3&lt;0,0,N(INDEX('CURVA PREVISION'!$A$1:$KZ$3000,$C80,11+3*MIN(AX$3,$D$2-1)))))</f>
        <v/>
      </c>
      <c r="AY80" s="122">
        <f>IF(OR($C80="",$B$2="",$D$2=0),0,IF(AY$3&lt;0,0,N(INDEX('CURVA PREVISION'!$A$1:$KZ$3000,$C80,11+3*MIN(AY$3,$D$2-1)))))</f>
        <v/>
      </c>
      <c r="AZ80" s="122">
        <f>IF(OR($C80="",$B$2="",$D$2=0),0,IF(AZ$3&lt;0,0,N(INDEX('CURVA PREVISION'!$A$1:$KZ$3000,$C80,11+3*MIN(AZ$3,$D$2-1)))))</f>
        <v/>
      </c>
      <c r="BA80" s="122">
        <f>IF(OR($C80="",$B$2="",$D$2=0),0,IF(BA$3&lt;0,0,N(INDEX('CURVA PREVISION'!$A$1:$KZ$3000,$C80,11+3*MIN(BA$3,$D$2-1)))))</f>
        <v/>
      </c>
      <c r="BB80" s="122">
        <f>IF(OR($C80="",$B$2="",$D$2=0),0,IF(BB$3&lt;0,0,N(INDEX('CURVA PREVISION'!$A$1:$KZ$3000,$C80,11+3*MIN(BB$3,$D$2-1)))))</f>
        <v/>
      </c>
      <c r="BC80" s="122">
        <f>IF(OR($C80="",$B$2="",$D$2=0),0,IF(BC$3&lt;0,0,N(INDEX('CURVA PREVISION'!$A$1:$KZ$3000,$C80,11+3*MIN(BC$3,$D$2-1)))))</f>
        <v/>
      </c>
      <c r="BD80" s="122">
        <f>IF(OR($C80="",$B$2="",$D$2=0),0,IF(BD$3&lt;0,0,N(INDEX('CURVA PREVISION'!$A$1:$KZ$3000,$C80,11+3*MIN(BD$3,$D$2-1)))))</f>
        <v/>
      </c>
      <c r="BE80" s="122">
        <f>IF(OR($C80="",$B$2="",$D$2=0),0,IF(BE$3&lt;0,0,N(INDEX('CURVA PREVISION'!$A$1:$KZ$3000,$C80,11+3*MIN(BE$3,$D$2-1)))))</f>
        <v/>
      </c>
      <c r="BF80" s="122">
        <f>IF(OR($C80="",$B$2="",$D$2=0),0,IF(BF$3&lt;0,0,N(INDEX('CURVA PREVISION'!$A$1:$KZ$3000,$C80,11+3*MIN(BF$3,$D$2-1)))))</f>
        <v/>
      </c>
      <c r="BG80" s="122">
        <f>IF(OR($C80="",$B$2="",$D$2=0),0,IF(BG$3&lt;0,0,N(INDEX('CURVA PREVISION'!$A$1:$KZ$3000,$C80,11+3*MIN(BG$3,$D$2-1)))))</f>
        <v/>
      </c>
      <c r="BH80" s="122">
        <f>IF(OR($C80="",$B$2="",$D$2=0),0,IF(BH$3&lt;0,0,N(INDEX('CURVA PREVISION'!$A$1:$KZ$3000,$C80,11+3*MIN(BH$3,$D$2-1)))))</f>
        <v/>
      </c>
      <c r="BI80" s="122">
        <f>IF(OR($C80="",$B$2="",$D$2=0),0,IF(BI$3&lt;0,0,N(INDEX('CURVA PREVISION'!$A$1:$KZ$3000,$C80,11+3*MIN(BI$3,$D$2-1)))))</f>
        <v/>
      </c>
      <c r="BJ80" s="122">
        <f>IF(OR($C80="",$B$2="",$D$2=0),0,IF(BJ$3&lt;0,0,N(INDEX('CURVA PREVISION'!$A$1:$KZ$3000,$C80,11+3*MIN(BJ$3,$D$2-1)))))</f>
        <v/>
      </c>
      <c r="BK80" s="122">
        <f>IF(OR($C80="",$B$2="",$D$2=0),0,IF(BK$3&lt;0,0,N(INDEX('CURVA PREVISION'!$A$1:$KZ$3000,$C80,11+3*MIN(BK$3,$D$2-1)))))</f>
        <v/>
      </c>
      <c r="BL80" s="122">
        <f>IF(OR($C80="",$B$2="",$D$2=0),0,IF(BL$3&lt;0,0,N(INDEX('CURVA PREVISION'!$A$1:$KZ$3000,$C80,11+3*MIN(BL$3,$D$2-1)))))</f>
        <v/>
      </c>
      <c r="BM80" s="122">
        <f>IF(OR($C80="",$B$2="",$D$2=0),0,IF(BM$3&lt;0,0,N(INDEX('CURVA PREVISION'!$A$1:$KZ$3000,$C80,11+3*MIN(BM$3,$D$2-1)))))</f>
        <v/>
      </c>
      <c r="BN80" s="122">
        <f>IF(OR($C80="",$B$2="",$D$2=0),0,IF(BN$3&lt;0,0,N(INDEX('CURVA PREVISION'!$A$1:$KZ$3000,$C80,11+3*MIN(BN$3,$D$2-1)))))</f>
        <v/>
      </c>
      <c r="BO80" s="122">
        <f>IF(OR($C80="",$B$2="",$D$2=0),0,IF(BO$3&lt;0,0,N(INDEX('CURVA PREVISION'!$A$1:$KZ$3000,$C80,11+3*MIN(BO$3,$D$2-1)))))</f>
        <v/>
      </c>
      <c r="BP80" s="122">
        <f>IF(OR($C80="",$B$2="",$D$2=0),0,IF(BP$3&lt;0,0,N(INDEX('CURVA PREVISION'!$A$1:$KZ$3000,$C80,11+3*MIN(BP$3,$D$2-1)))))</f>
        <v/>
      </c>
      <c r="BQ80" s="122">
        <f>IF(OR($C80="",$B$2="",$D$2=0),0,IF(BQ$3&lt;0,0,N(INDEX('CURVA PREVISION'!$A$1:$KZ$3000,$C80,11+3*MIN(BQ$3,$D$2-1)))))</f>
        <v/>
      </c>
      <c r="BR80" s="122">
        <f>IF(OR($C80="",$B$2="",$D$2=0),0,IF(BR$3&lt;0,0,N(INDEX('CURVA PREVISION'!$A$1:$KZ$3000,$C80,11+3*MIN(BR$3,$D$2-1)))))</f>
        <v/>
      </c>
      <c r="BS80" s="122">
        <f>IF(OR($C80="",$B$2="",$D$2=0),0,IF(BS$3&lt;0,0,N(INDEX('CURVA PREVISION'!$A$1:$KZ$3000,$C80,11+3*MIN(BS$3,$D$2-1)))))</f>
        <v/>
      </c>
      <c r="BT80" s="122">
        <f>IF(OR($C80="",$B$2="",$D$2=0),0,IF(BT$3&lt;0,0,N(INDEX('CURVA PREVISION'!$A$1:$KZ$3000,$C80,11+3*MIN(BT$3,$D$2-1)))))</f>
        <v/>
      </c>
      <c r="BU80" s="122">
        <f>IF(OR($C80="",$B$2="",$D$2=0),0,IF(BU$3&lt;0,0,N(INDEX('CURVA PREVISION'!$A$1:$KZ$3000,$C80,11+3*MIN(BU$3,$D$2-1)))))</f>
        <v/>
      </c>
      <c r="BV80" s="122">
        <f>IF(OR($C80="",$B$2="",$D$2=0),0,IF(BV$3&lt;0,0,N(INDEX('CURVA PREVISION'!$A$1:$KZ$3000,$C80,11+3*MIN(BV$3,$D$2-1)))))</f>
        <v/>
      </c>
      <c r="BW80" s="122">
        <f>IF(OR($C80="",$B$2="",$D$2=0),0,IF(BW$3&lt;0,0,N(INDEX('CURVA PREVISION'!$A$1:$KZ$3000,$C80,11+3*MIN(BW$3,$D$2-1)))))</f>
        <v/>
      </c>
    </row>
    <row r="81">
      <c r="A81" s="51">
        <f>A39</f>
        <v/>
      </c>
      <c r="B81" s="51">
        <f>B39</f>
        <v/>
      </c>
      <c r="C81" s="68">
        <f>C39</f>
        <v/>
      </c>
      <c r="D81" s="122">
        <f>IF(OR($C81="",$B$2="",$D$2=0),0,IF(D$3&lt;0,0,N(INDEX('CURVA PREVISION'!$A$1:$KZ$3000,$C81,11+3*MIN(D$3,$D$2-1)))))</f>
        <v/>
      </c>
      <c r="E81" s="122">
        <f>IF(OR($C81="",$B$2="",$D$2=0),0,IF(E$3&lt;0,0,N(INDEX('CURVA PREVISION'!$A$1:$KZ$3000,$C81,11+3*MIN(E$3,$D$2-1)))))</f>
        <v/>
      </c>
      <c r="F81" s="122">
        <f>IF(OR($C81="",$B$2="",$D$2=0),0,IF(F$3&lt;0,0,N(INDEX('CURVA PREVISION'!$A$1:$KZ$3000,$C81,11+3*MIN(F$3,$D$2-1)))))</f>
        <v/>
      </c>
      <c r="G81" s="122">
        <f>IF(OR($C81="",$B$2="",$D$2=0),0,IF(G$3&lt;0,0,N(INDEX('CURVA PREVISION'!$A$1:$KZ$3000,$C81,11+3*MIN(G$3,$D$2-1)))))</f>
        <v/>
      </c>
      <c r="H81" s="122">
        <f>IF(OR($C81="",$B$2="",$D$2=0),0,IF(H$3&lt;0,0,N(INDEX('CURVA PREVISION'!$A$1:$KZ$3000,$C81,11+3*MIN(H$3,$D$2-1)))))</f>
        <v/>
      </c>
      <c r="I81" s="122">
        <f>IF(OR($C81="",$B$2="",$D$2=0),0,IF(I$3&lt;0,0,N(INDEX('CURVA PREVISION'!$A$1:$KZ$3000,$C81,11+3*MIN(I$3,$D$2-1)))))</f>
        <v/>
      </c>
      <c r="J81" s="122">
        <f>IF(OR($C81="",$B$2="",$D$2=0),0,IF(J$3&lt;0,0,N(INDEX('CURVA PREVISION'!$A$1:$KZ$3000,$C81,11+3*MIN(J$3,$D$2-1)))))</f>
        <v/>
      </c>
      <c r="K81" s="122">
        <f>IF(OR($C81="",$B$2="",$D$2=0),0,IF(K$3&lt;0,0,N(INDEX('CURVA PREVISION'!$A$1:$KZ$3000,$C81,11+3*MIN(K$3,$D$2-1)))))</f>
        <v/>
      </c>
      <c r="L81" s="122">
        <f>IF(OR($C81="",$B$2="",$D$2=0),0,IF(L$3&lt;0,0,N(INDEX('CURVA PREVISION'!$A$1:$KZ$3000,$C81,11+3*MIN(L$3,$D$2-1)))))</f>
        <v/>
      </c>
      <c r="M81" s="122">
        <f>IF(OR($C81="",$B$2="",$D$2=0),0,IF(M$3&lt;0,0,N(INDEX('CURVA PREVISION'!$A$1:$KZ$3000,$C81,11+3*MIN(M$3,$D$2-1)))))</f>
        <v/>
      </c>
      <c r="N81" s="122">
        <f>IF(OR($C81="",$B$2="",$D$2=0),0,IF(N$3&lt;0,0,N(INDEX('CURVA PREVISION'!$A$1:$KZ$3000,$C81,11+3*MIN(N$3,$D$2-1)))))</f>
        <v/>
      </c>
      <c r="O81" s="122">
        <f>IF(OR($C81="",$B$2="",$D$2=0),0,IF(O$3&lt;0,0,N(INDEX('CURVA PREVISION'!$A$1:$KZ$3000,$C81,11+3*MIN(O$3,$D$2-1)))))</f>
        <v/>
      </c>
      <c r="P81" s="122">
        <f>IF(OR($C81="",$B$2="",$D$2=0),0,IF(P$3&lt;0,0,N(INDEX('CURVA PREVISION'!$A$1:$KZ$3000,$C81,11+3*MIN(P$3,$D$2-1)))))</f>
        <v/>
      </c>
      <c r="Q81" s="122">
        <f>IF(OR($C81="",$B$2="",$D$2=0),0,IF(Q$3&lt;0,0,N(INDEX('CURVA PREVISION'!$A$1:$KZ$3000,$C81,11+3*MIN(Q$3,$D$2-1)))))</f>
        <v/>
      </c>
      <c r="R81" s="122">
        <f>IF(OR($C81="",$B$2="",$D$2=0),0,IF(R$3&lt;0,0,N(INDEX('CURVA PREVISION'!$A$1:$KZ$3000,$C81,11+3*MIN(R$3,$D$2-1)))))</f>
        <v/>
      </c>
      <c r="S81" s="122">
        <f>IF(OR($C81="",$B$2="",$D$2=0),0,IF(S$3&lt;0,0,N(INDEX('CURVA PREVISION'!$A$1:$KZ$3000,$C81,11+3*MIN(S$3,$D$2-1)))))</f>
        <v/>
      </c>
      <c r="T81" s="122">
        <f>IF(OR($C81="",$B$2="",$D$2=0),0,IF(T$3&lt;0,0,N(INDEX('CURVA PREVISION'!$A$1:$KZ$3000,$C81,11+3*MIN(T$3,$D$2-1)))))</f>
        <v/>
      </c>
      <c r="U81" s="122">
        <f>IF(OR($C81="",$B$2="",$D$2=0),0,IF(U$3&lt;0,0,N(INDEX('CURVA PREVISION'!$A$1:$KZ$3000,$C81,11+3*MIN(U$3,$D$2-1)))))</f>
        <v/>
      </c>
      <c r="V81" s="122">
        <f>IF(OR($C81="",$B$2="",$D$2=0),0,IF(V$3&lt;0,0,N(INDEX('CURVA PREVISION'!$A$1:$KZ$3000,$C81,11+3*MIN(V$3,$D$2-1)))))</f>
        <v/>
      </c>
      <c r="W81" s="122">
        <f>IF(OR($C81="",$B$2="",$D$2=0),0,IF(W$3&lt;0,0,N(INDEX('CURVA PREVISION'!$A$1:$KZ$3000,$C81,11+3*MIN(W$3,$D$2-1)))))</f>
        <v/>
      </c>
      <c r="X81" s="122">
        <f>IF(OR($C81="",$B$2="",$D$2=0),0,IF(X$3&lt;0,0,N(INDEX('CURVA PREVISION'!$A$1:$KZ$3000,$C81,11+3*MIN(X$3,$D$2-1)))))</f>
        <v/>
      </c>
      <c r="Y81" s="122">
        <f>IF(OR($C81="",$B$2="",$D$2=0),0,IF(Y$3&lt;0,0,N(INDEX('CURVA PREVISION'!$A$1:$KZ$3000,$C81,11+3*MIN(Y$3,$D$2-1)))))</f>
        <v/>
      </c>
      <c r="Z81" s="122">
        <f>IF(OR($C81="",$B$2="",$D$2=0),0,IF(Z$3&lt;0,0,N(INDEX('CURVA PREVISION'!$A$1:$KZ$3000,$C81,11+3*MIN(Z$3,$D$2-1)))))</f>
        <v/>
      </c>
      <c r="AA81" s="122">
        <f>IF(OR($C81="",$B$2="",$D$2=0),0,IF(AA$3&lt;0,0,N(INDEX('CURVA PREVISION'!$A$1:$KZ$3000,$C81,11+3*MIN(AA$3,$D$2-1)))))</f>
        <v/>
      </c>
      <c r="AB81" s="122">
        <f>IF(OR($C81="",$B$2="",$D$2=0),0,IF(AB$3&lt;0,0,N(INDEX('CURVA PREVISION'!$A$1:$KZ$3000,$C81,11+3*MIN(AB$3,$D$2-1)))))</f>
        <v/>
      </c>
      <c r="AC81" s="122">
        <f>IF(OR($C81="",$B$2="",$D$2=0),0,IF(AC$3&lt;0,0,N(INDEX('CURVA PREVISION'!$A$1:$KZ$3000,$C81,11+3*MIN(AC$3,$D$2-1)))))</f>
        <v/>
      </c>
      <c r="AD81" s="122">
        <f>IF(OR($C81="",$B$2="",$D$2=0),0,IF(AD$3&lt;0,0,N(INDEX('CURVA PREVISION'!$A$1:$KZ$3000,$C81,11+3*MIN(AD$3,$D$2-1)))))</f>
        <v/>
      </c>
      <c r="AE81" s="122">
        <f>IF(OR($C81="",$B$2="",$D$2=0),0,IF(AE$3&lt;0,0,N(INDEX('CURVA PREVISION'!$A$1:$KZ$3000,$C81,11+3*MIN(AE$3,$D$2-1)))))</f>
        <v/>
      </c>
      <c r="AF81" s="122">
        <f>IF(OR($C81="",$B$2="",$D$2=0),0,IF(AF$3&lt;0,0,N(INDEX('CURVA PREVISION'!$A$1:$KZ$3000,$C81,11+3*MIN(AF$3,$D$2-1)))))</f>
        <v/>
      </c>
      <c r="AG81" s="122">
        <f>IF(OR($C81="",$B$2="",$D$2=0),0,IF(AG$3&lt;0,0,N(INDEX('CURVA PREVISION'!$A$1:$KZ$3000,$C81,11+3*MIN(AG$3,$D$2-1)))))</f>
        <v/>
      </c>
      <c r="AH81" s="122">
        <f>IF(OR($C81="",$B$2="",$D$2=0),0,IF(AH$3&lt;0,0,N(INDEX('CURVA PREVISION'!$A$1:$KZ$3000,$C81,11+3*MIN(AH$3,$D$2-1)))))</f>
        <v/>
      </c>
      <c r="AI81" s="122">
        <f>IF(OR($C81="",$B$2="",$D$2=0),0,IF(AI$3&lt;0,0,N(INDEX('CURVA PREVISION'!$A$1:$KZ$3000,$C81,11+3*MIN(AI$3,$D$2-1)))))</f>
        <v/>
      </c>
      <c r="AJ81" s="122">
        <f>IF(OR($C81="",$B$2="",$D$2=0),0,IF(AJ$3&lt;0,0,N(INDEX('CURVA PREVISION'!$A$1:$KZ$3000,$C81,11+3*MIN(AJ$3,$D$2-1)))))</f>
        <v/>
      </c>
      <c r="AK81" s="122">
        <f>IF(OR($C81="",$B$2="",$D$2=0),0,IF(AK$3&lt;0,0,N(INDEX('CURVA PREVISION'!$A$1:$KZ$3000,$C81,11+3*MIN(AK$3,$D$2-1)))))</f>
        <v/>
      </c>
      <c r="AL81" s="122">
        <f>IF(OR($C81="",$B$2="",$D$2=0),0,IF(AL$3&lt;0,0,N(INDEX('CURVA PREVISION'!$A$1:$KZ$3000,$C81,11+3*MIN(AL$3,$D$2-1)))))</f>
        <v/>
      </c>
      <c r="AM81" s="122">
        <f>IF(OR($C81="",$B$2="",$D$2=0),0,IF(AM$3&lt;0,0,N(INDEX('CURVA PREVISION'!$A$1:$KZ$3000,$C81,11+3*MIN(AM$3,$D$2-1)))))</f>
        <v/>
      </c>
      <c r="AN81" s="122">
        <f>IF(OR($C81="",$B$2="",$D$2=0),0,IF(AN$3&lt;0,0,N(INDEX('CURVA PREVISION'!$A$1:$KZ$3000,$C81,11+3*MIN(AN$3,$D$2-1)))))</f>
        <v/>
      </c>
      <c r="AO81" s="122">
        <f>IF(OR($C81="",$B$2="",$D$2=0),0,IF(AO$3&lt;0,0,N(INDEX('CURVA PREVISION'!$A$1:$KZ$3000,$C81,11+3*MIN(AO$3,$D$2-1)))))</f>
        <v/>
      </c>
      <c r="AP81" s="122">
        <f>IF(OR($C81="",$B$2="",$D$2=0),0,IF(AP$3&lt;0,0,N(INDEX('CURVA PREVISION'!$A$1:$KZ$3000,$C81,11+3*MIN(AP$3,$D$2-1)))))</f>
        <v/>
      </c>
      <c r="AQ81" s="122">
        <f>IF(OR($C81="",$B$2="",$D$2=0),0,IF(AQ$3&lt;0,0,N(INDEX('CURVA PREVISION'!$A$1:$KZ$3000,$C81,11+3*MIN(AQ$3,$D$2-1)))))</f>
        <v/>
      </c>
      <c r="AR81" s="122">
        <f>IF(OR($C81="",$B$2="",$D$2=0),0,IF(AR$3&lt;0,0,N(INDEX('CURVA PREVISION'!$A$1:$KZ$3000,$C81,11+3*MIN(AR$3,$D$2-1)))))</f>
        <v/>
      </c>
      <c r="AS81" s="122">
        <f>IF(OR($C81="",$B$2="",$D$2=0),0,IF(AS$3&lt;0,0,N(INDEX('CURVA PREVISION'!$A$1:$KZ$3000,$C81,11+3*MIN(AS$3,$D$2-1)))))</f>
        <v/>
      </c>
      <c r="AT81" s="122">
        <f>IF(OR($C81="",$B$2="",$D$2=0),0,IF(AT$3&lt;0,0,N(INDEX('CURVA PREVISION'!$A$1:$KZ$3000,$C81,11+3*MIN(AT$3,$D$2-1)))))</f>
        <v/>
      </c>
      <c r="AU81" s="122">
        <f>IF(OR($C81="",$B$2="",$D$2=0),0,IF(AU$3&lt;0,0,N(INDEX('CURVA PREVISION'!$A$1:$KZ$3000,$C81,11+3*MIN(AU$3,$D$2-1)))))</f>
        <v/>
      </c>
      <c r="AV81" s="122">
        <f>IF(OR($C81="",$B$2="",$D$2=0),0,IF(AV$3&lt;0,0,N(INDEX('CURVA PREVISION'!$A$1:$KZ$3000,$C81,11+3*MIN(AV$3,$D$2-1)))))</f>
        <v/>
      </c>
      <c r="AW81" s="122">
        <f>IF(OR($C81="",$B$2="",$D$2=0),0,IF(AW$3&lt;0,0,N(INDEX('CURVA PREVISION'!$A$1:$KZ$3000,$C81,11+3*MIN(AW$3,$D$2-1)))))</f>
        <v/>
      </c>
      <c r="AX81" s="122">
        <f>IF(OR($C81="",$B$2="",$D$2=0),0,IF(AX$3&lt;0,0,N(INDEX('CURVA PREVISION'!$A$1:$KZ$3000,$C81,11+3*MIN(AX$3,$D$2-1)))))</f>
        <v/>
      </c>
      <c r="AY81" s="122">
        <f>IF(OR($C81="",$B$2="",$D$2=0),0,IF(AY$3&lt;0,0,N(INDEX('CURVA PREVISION'!$A$1:$KZ$3000,$C81,11+3*MIN(AY$3,$D$2-1)))))</f>
        <v/>
      </c>
      <c r="AZ81" s="122">
        <f>IF(OR($C81="",$B$2="",$D$2=0),0,IF(AZ$3&lt;0,0,N(INDEX('CURVA PREVISION'!$A$1:$KZ$3000,$C81,11+3*MIN(AZ$3,$D$2-1)))))</f>
        <v/>
      </c>
      <c r="BA81" s="122">
        <f>IF(OR($C81="",$B$2="",$D$2=0),0,IF(BA$3&lt;0,0,N(INDEX('CURVA PREVISION'!$A$1:$KZ$3000,$C81,11+3*MIN(BA$3,$D$2-1)))))</f>
        <v/>
      </c>
      <c r="BB81" s="122">
        <f>IF(OR($C81="",$B$2="",$D$2=0),0,IF(BB$3&lt;0,0,N(INDEX('CURVA PREVISION'!$A$1:$KZ$3000,$C81,11+3*MIN(BB$3,$D$2-1)))))</f>
        <v/>
      </c>
      <c r="BC81" s="122">
        <f>IF(OR($C81="",$B$2="",$D$2=0),0,IF(BC$3&lt;0,0,N(INDEX('CURVA PREVISION'!$A$1:$KZ$3000,$C81,11+3*MIN(BC$3,$D$2-1)))))</f>
        <v/>
      </c>
      <c r="BD81" s="122">
        <f>IF(OR($C81="",$B$2="",$D$2=0),0,IF(BD$3&lt;0,0,N(INDEX('CURVA PREVISION'!$A$1:$KZ$3000,$C81,11+3*MIN(BD$3,$D$2-1)))))</f>
        <v/>
      </c>
      <c r="BE81" s="122">
        <f>IF(OR($C81="",$B$2="",$D$2=0),0,IF(BE$3&lt;0,0,N(INDEX('CURVA PREVISION'!$A$1:$KZ$3000,$C81,11+3*MIN(BE$3,$D$2-1)))))</f>
        <v/>
      </c>
      <c r="BF81" s="122">
        <f>IF(OR($C81="",$B$2="",$D$2=0),0,IF(BF$3&lt;0,0,N(INDEX('CURVA PREVISION'!$A$1:$KZ$3000,$C81,11+3*MIN(BF$3,$D$2-1)))))</f>
        <v/>
      </c>
      <c r="BG81" s="122">
        <f>IF(OR($C81="",$B$2="",$D$2=0),0,IF(BG$3&lt;0,0,N(INDEX('CURVA PREVISION'!$A$1:$KZ$3000,$C81,11+3*MIN(BG$3,$D$2-1)))))</f>
        <v/>
      </c>
      <c r="BH81" s="122">
        <f>IF(OR($C81="",$B$2="",$D$2=0),0,IF(BH$3&lt;0,0,N(INDEX('CURVA PREVISION'!$A$1:$KZ$3000,$C81,11+3*MIN(BH$3,$D$2-1)))))</f>
        <v/>
      </c>
      <c r="BI81" s="122">
        <f>IF(OR($C81="",$B$2="",$D$2=0),0,IF(BI$3&lt;0,0,N(INDEX('CURVA PREVISION'!$A$1:$KZ$3000,$C81,11+3*MIN(BI$3,$D$2-1)))))</f>
        <v/>
      </c>
      <c r="BJ81" s="122">
        <f>IF(OR($C81="",$B$2="",$D$2=0),0,IF(BJ$3&lt;0,0,N(INDEX('CURVA PREVISION'!$A$1:$KZ$3000,$C81,11+3*MIN(BJ$3,$D$2-1)))))</f>
        <v/>
      </c>
      <c r="BK81" s="122">
        <f>IF(OR($C81="",$B$2="",$D$2=0),0,IF(BK$3&lt;0,0,N(INDEX('CURVA PREVISION'!$A$1:$KZ$3000,$C81,11+3*MIN(BK$3,$D$2-1)))))</f>
        <v/>
      </c>
      <c r="BL81" s="122">
        <f>IF(OR($C81="",$B$2="",$D$2=0),0,IF(BL$3&lt;0,0,N(INDEX('CURVA PREVISION'!$A$1:$KZ$3000,$C81,11+3*MIN(BL$3,$D$2-1)))))</f>
        <v/>
      </c>
      <c r="BM81" s="122">
        <f>IF(OR($C81="",$B$2="",$D$2=0),0,IF(BM$3&lt;0,0,N(INDEX('CURVA PREVISION'!$A$1:$KZ$3000,$C81,11+3*MIN(BM$3,$D$2-1)))))</f>
        <v/>
      </c>
      <c r="BN81" s="122">
        <f>IF(OR($C81="",$B$2="",$D$2=0),0,IF(BN$3&lt;0,0,N(INDEX('CURVA PREVISION'!$A$1:$KZ$3000,$C81,11+3*MIN(BN$3,$D$2-1)))))</f>
        <v/>
      </c>
      <c r="BO81" s="122">
        <f>IF(OR($C81="",$B$2="",$D$2=0),0,IF(BO$3&lt;0,0,N(INDEX('CURVA PREVISION'!$A$1:$KZ$3000,$C81,11+3*MIN(BO$3,$D$2-1)))))</f>
        <v/>
      </c>
      <c r="BP81" s="122">
        <f>IF(OR($C81="",$B$2="",$D$2=0),0,IF(BP$3&lt;0,0,N(INDEX('CURVA PREVISION'!$A$1:$KZ$3000,$C81,11+3*MIN(BP$3,$D$2-1)))))</f>
        <v/>
      </c>
      <c r="BQ81" s="122">
        <f>IF(OR($C81="",$B$2="",$D$2=0),0,IF(BQ$3&lt;0,0,N(INDEX('CURVA PREVISION'!$A$1:$KZ$3000,$C81,11+3*MIN(BQ$3,$D$2-1)))))</f>
        <v/>
      </c>
      <c r="BR81" s="122">
        <f>IF(OR($C81="",$B$2="",$D$2=0),0,IF(BR$3&lt;0,0,N(INDEX('CURVA PREVISION'!$A$1:$KZ$3000,$C81,11+3*MIN(BR$3,$D$2-1)))))</f>
        <v/>
      </c>
      <c r="BS81" s="122">
        <f>IF(OR($C81="",$B$2="",$D$2=0),0,IF(BS$3&lt;0,0,N(INDEX('CURVA PREVISION'!$A$1:$KZ$3000,$C81,11+3*MIN(BS$3,$D$2-1)))))</f>
        <v/>
      </c>
      <c r="BT81" s="122">
        <f>IF(OR($C81="",$B$2="",$D$2=0),0,IF(BT$3&lt;0,0,N(INDEX('CURVA PREVISION'!$A$1:$KZ$3000,$C81,11+3*MIN(BT$3,$D$2-1)))))</f>
        <v/>
      </c>
      <c r="BU81" s="122">
        <f>IF(OR($C81="",$B$2="",$D$2=0),0,IF(BU$3&lt;0,0,N(INDEX('CURVA PREVISION'!$A$1:$KZ$3000,$C81,11+3*MIN(BU$3,$D$2-1)))))</f>
        <v/>
      </c>
      <c r="BV81" s="122">
        <f>IF(OR($C81="",$B$2="",$D$2=0),0,IF(BV$3&lt;0,0,N(INDEX('CURVA PREVISION'!$A$1:$KZ$3000,$C81,11+3*MIN(BV$3,$D$2-1)))))</f>
        <v/>
      </c>
      <c r="BW81" s="122">
        <f>IF(OR($C81="",$B$2="",$D$2=0),0,IF(BW$3&lt;0,0,N(INDEX('CURVA PREVISION'!$A$1:$KZ$3000,$C81,11+3*MIN(BW$3,$D$2-1)))))</f>
        <v/>
      </c>
    </row>
    <row r="82">
      <c r="A82" s="51">
        <f>A40</f>
        <v/>
      </c>
      <c r="B82" s="51">
        <f>B40</f>
        <v/>
      </c>
      <c r="C82" s="68">
        <f>C40</f>
        <v/>
      </c>
      <c r="D82" s="122">
        <f>IF(OR($C82="",$B$2="",$D$2=0),0,IF(D$3&lt;0,0,N(INDEX('CURVA PREVISION'!$A$1:$KZ$3000,$C82,11+3*MIN(D$3,$D$2-1)))))</f>
        <v/>
      </c>
      <c r="E82" s="122">
        <f>IF(OR($C82="",$B$2="",$D$2=0),0,IF(E$3&lt;0,0,N(INDEX('CURVA PREVISION'!$A$1:$KZ$3000,$C82,11+3*MIN(E$3,$D$2-1)))))</f>
        <v/>
      </c>
      <c r="F82" s="122">
        <f>IF(OR($C82="",$B$2="",$D$2=0),0,IF(F$3&lt;0,0,N(INDEX('CURVA PREVISION'!$A$1:$KZ$3000,$C82,11+3*MIN(F$3,$D$2-1)))))</f>
        <v/>
      </c>
      <c r="G82" s="122">
        <f>IF(OR($C82="",$B$2="",$D$2=0),0,IF(G$3&lt;0,0,N(INDEX('CURVA PREVISION'!$A$1:$KZ$3000,$C82,11+3*MIN(G$3,$D$2-1)))))</f>
        <v/>
      </c>
      <c r="H82" s="122">
        <f>IF(OR($C82="",$B$2="",$D$2=0),0,IF(H$3&lt;0,0,N(INDEX('CURVA PREVISION'!$A$1:$KZ$3000,$C82,11+3*MIN(H$3,$D$2-1)))))</f>
        <v/>
      </c>
      <c r="I82" s="122">
        <f>IF(OR($C82="",$B$2="",$D$2=0),0,IF(I$3&lt;0,0,N(INDEX('CURVA PREVISION'!$A$1:$KZ$3000,$C82,11+3*MIN(I$3,$D$2-1)))))</f>
        <v/>
      </c>
      <c r="J82" s="122">
        <f>IF(OR($C82="",$B$2="",$D$2=0),0,IF(J$3&lt;0,0,N(INDEX('CURVA PREVISION'!$A$1:$KZ$3000,$C82,11+3*MIN(J$3,$D$2-1)))))</f>
        <v/>
      </c>
      <c r="K82" s="122">
        <f>IF(OR($C82="",$B$2="",$D$2=0),0,IF(K$3&lt;0,0,N(INDEX('CURVA PREVISION'!$A$1:$KZ$3000,$C82,11+3*MIN(K$3,$D$2-1)))))</f>
        <v/>
      </c>
      <c r="L82" s="122">
        <f>IF(OR($C82="",$B$2="",$D$2=0),0,IF(L$3&lt;0,0,N(INDEX('CURVA PREVISION'!$A$1:$KZ$3000,$C82,11+3*MIN(L$3,$D$2-1)))))</f>
        <v/>
      </c>
      <c r="M82" s="122">
        <f>IF(OR($C82="",$B$2="",$D$2=0),0,IF(M$3&lt;0,0,N(INDEX('CURVA PREVISION'!$A$1:$KZ$3000,$C82,11+3*MIN(M$3,$D$2-1)))))</f>
        <v/>
      </c>
      <c r="N82" s="122">
        <f>IF(OR($C82="",$B$2="",$D$2=0),0,IF(N$3&lt;0,0,N(INDEX('CURVA PREVISION'!$A$1:$KZ$3000,$C82,11+3*MIN(N$3,$D$2-1)))))</f>
        <v/>
      </c>
      <c r="O82" s="122">
        <f>IF(OR($C82="",$B$2="",$D$2=0),0,IF(O$3&lt;0,0,N(INDEX('CURVA PREVISION'!$A$1:$KZ$3000,$C82,11+3*MIN(O$3,$D$2-1)))))</f>
        <v/>
      </c>
      <c r="P82" s="122">
        <f>IF(OR($C82="",$B$2="",$D$2=0),0,IF(P$3&lt;0,0,N(INDEX('CURVA PREVISION'!$A$1:$KZ$3000,$C82,11+3*MIN(P$3,$D$2-1)))))</f>
        <v/>
      </c>
      <c r="Q82" s="122">
        <f>IF(OR($C82="",$B$2="",$D$2=0),0,IF(Q$3&lt;0,0,N(INDEX('CURVA PREVISION'!$A$1:$KZ$3000,$C82,11+3*MIN(Q$3,$D$2-1)))))</f>
        <v/>
      </c>
      <c r="R82" s="122">
        <f>IF(OR($C82="",$B$2="",$D$2=0),0,IF(R$3&lt;0,0,N(INDEX('CURVA PREVISION'!$A$1:$KZ$3000,$C82,11+3*MIN(R$3,$D$2-1)))))</f>
        <v/>
      </c>
      <c r="S82" s="122">
        <f>IF(OR($C82="",$B$2="",$D$2=0),0,IF(S$3&lt;0,0,N(INDEX('CURVA PREVISION'!$A$1:$KZ$3000,$C82,11+3*MIN(S$3,$D$2-1)))))</f>
        <v/>
      </c>
      <c r="T82" s="122">
        <f>IF(OR($C82="",$B$2="",$D$2=0),0,IF(T$3&lt;0,0,N(INDEX('CURVA PREVISION'!$A$1:$KZ$3000,$C82,11+3*MIN(T$3,$D$2-1)))))</f>
        <v/>
      </c>
      <c r="U82" s="122">
        <f>IF(OR($C82="",$B$2="",$D$2=0),0,IF(U$3&lt;0,0,N(INDEX('CURVA PREVISION'!$A$1:$KZ$3000,$C82,11+3*MIN(U$3,$D$2-1)))))</f>
        <v/>
      </c>
      <c r="V82" s="122">
        <f>IF(OR($C82="",$B$2="",$D$2=0),0,IF(V$3&lt;0,0,N(INDEX('CURVA PREVISION'!$A$1:$KZ$3000,$C82,11+3*MIN(V$3,$D$2-1)))))</f>
        <v/>
      </c>
      <c r="W82" s="122">
        <f>IF(OR($C82="",$B$2="",$D$2=0),0,IF(W$3&lt;0,0,N(INDEX('CURVA PREVISION'!$A$1:$KZ$3000,$C82,11+3*MIN(W$3,$D$2-1)))))</f>
        <v/>
      </c>
      <c r="X82" s="122">
        <f>IF(OR($C82="",$B$2="",$D$2=0),0,IF(X$3&lt;0,0,N(INDEX('CURVA PREVISION'!$A$1:$KZ$3000,$C82,11+3*MIN(X$3,$D$2-1)))))</f>
        <v/>
      </c>
      <c r="Y82" s="122">
        <f>IF(OR($C82="",$B$2="",$D$2=0),0,IF(Y$3&lt;0,0,N(INDEX('CURVA PREVISION'!$A$1:$KZ$3000,$C82,11+3*MIN(Y$3,$D$2-1)))))</f>
        <v/>
      </c>
      <c r="Z82" s="122">
        <f>IF(OR($C82="",$B$2="",$D$2=0),0,IF(Z$3&lt;0,0,N(INDEX('CURVA PREVISION'!$A$1:$KZ$3000,$C82,11+3*MIN(Z$3,$D$2-1)))))</f>
        <v/>
      </c>
      <c r="AA82" s="122">
        <f>IF(OR($C82="",$B$2="",$D$2=0),0,IF(AA$3&lt;0,0,N(INDEX('CURVA PREVISION'!$A$1:$KZ$3000,$C82,11+3*MIN(AA$3,$D$2-1)))))</f>
        <v/>
      </c>
      <c r="AB82" s="122">
        <f>IF(OR($C82="",$B$2="",$D$2=0),0,IF(AB$3&lt;0,0,N(INDEX('CURVA PREVISION'!$A$1:$KZ$3000,$C82,11+3*MIN(AB$3,$D$2-1)))))</f>
        <v/>
      </c>
      <c r="AC82" s="122">
        <f>IF(OR($C82="",$B$2="",$D$2=0),0,IF(AC$3&lt;0,0,N(INDEX('CURVA PREVISION'!$A$1:$KZ$3000,$C82,11+3*MIN(AC$3,$D$2-1)))))</f>
        <v/>
      </c>
      <c r="AD82" s="122">
        <f>IF(OR($C82="",$B$2="",$D$2=0),0,IF(AD$3&lt;0,0,N(INDEX('CURVA PREVISION'!$A$1:$KZ$3000,$C82,11+3*MIN(AD$3,$D$2-1)))))</f>
        <v/>
      </c>
      <c r="AE82" s="122">
        <f>IF(OR($C82="",$B$2="",$D$2=0),0,IF(AE$3&lt;0,0,N(INDEX('CURVA PREVISION'!$A$1:$KZ$3000,$C82,11+3*MIN(AE$3,$D$2-1)))))</f>
        <v/>
      </c>
      <c r="AF82" s="122">
        <f>IF(OR($C82="",$B$2="",$D$2=0),0,IF(AF$3&lt;0,0,N(INDEX('CURVA PREVISION'!$A$1:$KZ$3000,$C82,11+3*MIN(AF$3,$D$2-1)))))</f>
        <v/>
      </c>
      <c r="AG82" s="122">
        <f>IF(OR($C82="",$B$2="",$D$2=0),0,IF(AG$3&lt;0,0,N(INDEX('CURVA PREVISION'!$A$1:$KZ$3000,$C82,11+3*MIN(AG$3,$D$2-1)))))</f>
        <v/>
      </c>
      <c r="AH82" s="122">
        <f>IF(OR($C82="",$B$2="",$D$2=0),0,IF(AH$3&lt;0,0,N(INDEX('CURVA PREVISION'!$A$1:$KZ$3000,$C82,11+3*MIN(AH$3,$D$2-1)))))</f>
        <v/>
      </c>
      <c r="AI82" s="122">
        <f>IF(OR($C82="",$B$2="",$D$2=0),0,IF(AI$3&lt;0,0,N(INDEX('CURVA PREVISION'!$A$1:$KZ$3000,$C82,11+3*MIN(AI$3,$D$2-1)))))</f>
        <v/>
      </c>
      <c r="AJ82" s="122">
        <f>IF(OR($C82="",$B$2="",$D$2=0),0,IF(AJ$3&lt;0,0,N(INDEX('CURVA PREVISION'!$A$1:$KZ$3000,$C82,11+3*MIN(AJ$3,$D$2-1)))))</f>
        <v/>
      </c>
      <c r="AK82" s="122">
        <f>IF(OR($C82="",$B$2="",$D$2=0),0,IF(AK$3&lt;0,0,N(INDEX('CURVA PREVISION'!$A$1:$KZ$3000,$C82,11+3*MIN(AK$3,$D$2-1)))))</f>
        <v/>
      </c>
      <c r="AL82" s="122">
        <f>IF(OR($C82="",$B$2="",$D$2=0),0,IF(AL$3&lt;0,0,N(INDEX('CURVA PREVISION'!$A$1:$KZ$3000,$C82,11+3*MIN(AL$3,$D$2-1)))))</f>
        <v/>
      </c>
      <c r="AM82" s="122">
        <f>IF(OR($C82="",$B$2="",$D$2=0),0,IF(AM$3&lt;0,0,N(INDEX('CURVA PREVISION'!$A$1:$KZ$3000,$C82,11+3*MIN(AM$3,$D$2-1)))))</f>
        <v/>
      </c>
      <c r="AN82" s="122">
        <f>IF(OR($C82="",$B$2="",$D$2=0),0,IF(AN$3&lt;0,0,N(INDEX('CURVA PREVISION'!$A$1:$KZ$3000,$C82,11+3*MIN(AN$3,$D$2-1)))))</f>
        <v/>
      </c>
      <c r="AO82" s="122">
        <f>IF(OR($C82="",$B$2="",$D$2=0),0,IF(AO$3&lt;0,0,N(INDEX('CURVA PREVISION'!$A$1:$KZ$3000,$C82,11+3*MIN(AO$3,$D$2-1)))))</f>
        <v/>
      </c>
      <c r="AP82" s="122">
        <f>IF(OR($C82="",$B$2="",$D$2=0),0,IF(AP$3&lt;0,0,N(INDEX('CURVA PREVISION'!$A$1:$KZ$3000,$C82,11+3*MIN(AP$3,$D$2-1)))))</f>
        <v/>
      </c>
      <c r="AQ82" s="122">
        <f>IF(OR($C82="",$B$2="",$D$2=0),0,IF(AQ$3&lt;0,0,N(INDEX('CURVA PREVISION'!$A$1:$KZ$3000,$C82,11+3*MIN(AQ$3,$D$2-1)))))</f>
        <v/>
      </c>
      <c r="AR82" s="122">
        <f>IF(OR($C82="",$B$2="",$D$2=0),0,IF(AR$3&lt;0,0,N(INDEX('CURVA PREVISION'!$A$1:$KZ$3000,$C82,11+3*MIN(AR$3,$D$2-1)))))</f>
        <v/>
      </c>
      <c r="AS82" s="122">
        <f>IF(OR($C82="",$B$2="",$D$2=0),0,IF(AS$3&lt;0,0,N(INDEX('CURVA PREVISION'!$A$1:$KZ$3000,$C82,11+3*MIN(AS$3,$D$2-1)))))</f>
        <v/>
      </c>
      <c r="AT82" s="122">
        <f>IF(OR($C82="",$B$2="",$D$2=0),0,IF(AT$3&lt;0,0,N(INDEX('CURVA PREVISION'!$A$1:$KZ$3000,$C82,11+3*MIN(AT$3,$D$2-1)))))</f>
        <v/>
      </c>
      <c r="AU82" s="122">
        <f>IF(OR($C82="",$B$2="",$D$2=0),0,IF(AU$3&lt;0,0,N(INDEX('CURVA PREVISION'!$A$1:$KZ$3000,$C82,11+3*MIN(AU$3,$D$2-1)))))</f>
        <v/>
      </c>
      <c r="AV82" s="122">
        <f>IF(OR($C82="",$B$2="",$D$2=0),0,IF(AV$3&lt;0,0,N(INDEX('CURVA PREVISION'!$A$1:$KZ$3000,$C82,11+3*MIN(AV$3,$D$2-1)))))</f>
        <v/>
      </c>
      <c r="AW82" s="122">
        <f>IF(OR($C82="",$B$2="",$D$2=0),0,IF(AW$3&lt;0,0,N(INDEX('CURVA PREVISION'!$A$1:$KZ$3000,$C82,11+3*MIN(AW$3,$D$2-1)))))</f>
        <v/>
      </c>
      <c r="AX82" s="122">
        <f>IF(OR($C82="",$B$2="",$D$2=0),0,IF(AX$3&lt;0,0,N(INDEX('CURVA PREVISION'!$A$1:$KZ$3000,$C82,11+3*MIN(AX$3,$D$2-1)))))</f>
        <v/>
      </c>
      <c r="AY82" s="122">
        <f>IF(OR($C82="",$B$2="",$D$2=0),0,IF(AY$3&lt;0,0,N(INDEX('CURVA PREVISION'!$A$1:$KZ$3000,$C82,11+3*MIN(AY$3,$D$2-1)))))</f>
        <v/>
      </c>
      <c r="AZ82" s="122">
        <f>IF(OR($C82="",$B$2="",$D$2=0),0,IF(AZ$3&lt;0,0,N(INDEX('CURVA PREVISION'!$A$1:$KZ$3000,$C82,11+3*MIN(AZ$3,$D$2-1)))))</f>
        <v/>
      </c>
      <c r="BA82" s="122">
        <f>IF(OR($C82="",$B$2="",$D$2=0),0,IF(BA$3&lt;0,0,N(INDEX('CURVA PREVISION'!$A$1:$KZ$3000,$C82,11+3*MIN(BA$3,$D$2-1)))))</f>
        <v/>
      </c>
      <c r="BB82" s="122">
        <f>IF(OR($C82="",$B$2="",$D$2=0),0,IF(BB$3&lt;0,0,N(INDEX('CURVA PREVISION'!$A$1:$KZ$3000,$C82,11+3*MIN(BB$3,$D$2-1)))))</f>
        <v/>
      </c>
      <c r="BC82" s="122">
        <f>IF(OR($C82="",$B$2="",$D$2=0),0,IF(BC$3&lt;0,0,N(INDEX('CURVA PREVISION'!$A$1:$KZ$3000,$C82,11+3*MIN(BC$3,$D$2-1)))))</f>
        <v/>
      </c>
      <c r="BD82" s="122">
        <f>IF(OR($C82="",$B$2="",$D$2=0),0,IF(BD$3&lt;0,0,N(INDEX('CURVA PREVISION'!$A$1:$KZ$3000,$C82,11+3*MIN(BD$3,$D$2-1)))))</f>
        <v/>
      </c>
      <c r="BE82" s="122">
        <f>IF(OR($C82="",$B$2="",$D$2=0),0,IF(BE$3&lt;0,0,N(INDEX('CURVA PREVISION'!$A$1:$KZ$3000,$C82,11+3*MIN(BE$3,$D$2-1)))))</f>
        <v/>
      </c>
      <c r="BF82" s="122">
        <f>IF(OR($C82="",$B$2="",$D$2=0),0,IF(BF$3&lt;0,0,N(INDEX('CURVA PREVISION'!$A$1:$KZ$3000,$C82,11+3*MIN(BF$3,$D$2-1)))))</f>
        <v/>
      </c>
      <c r="BG82" s="122">
        <f>IF(OR($C82="",$B$2="",$D$2=0),0,IF(BG$3&lt;0,0,N(INDEX('CURVA PREVISION'!$A$1:$KZ$3000,$C82,11+3*MIN(BG$3,$D$2-1)))))</f>
        <v/>
      </c>
      <c r="BH82" s="122">
        <f>IF(OR($C82="",$B$2="",$D$2=0),0,IF(BH$3&lt;0,0,N(INDEX('CURVA PREVISION'!$A$1:$KZ$3000,$C82,11+3*MIN(BH$3,$D$2-1)))))</f>
        <v/>
      </c>
      <c r="BI82" s="122">
        <f>IF(OR($C82="",$B$2="",$D$2=0),0,IF(BI$3&lt;0,0,N(INDEX('CURVA PREVISION'!$A$1:$KZ$3000,$C82,11+3*MIN(BI$3,$D$2-1)))))</f>
        <v/>
      </c>
      <c r="BJ82" s="122">
        <f>IF(OR($C82="",$B$2="",$D$2=0),0,IF(BJ$3&lt;0,0,N(INDEX('CURVA PREVISION'!$A$1:$KZ$3000,$C82,11+3*MIN(BJ$3,$D$2-1)))))</f>
        <v/>
      </c>
      <c r="BK82" s="122">
        <f>IF(OR($C82="",$B$2="",$D$2=0),0,IF(BK$3&lt;0,0,N(INDEX('CURVA PREVISION'!$A$1:$KZ$3000,$C82,11+3*MIN(BK$3,$D$2-1)))))</f>
        <v/>
      </c>
      <c r="BL82" s="122">
        <f>IF(OR($C82="",$B$2="",$D$2=0),0,IF(BL$3&lt;0,0,N(INDEX('CURVA PREVISION'!$A$1:$KZ$3000,$C82,11+3*MIN(BL$3,$D$2-1)))))</f>
        <v/>
      </c>
      <c r="BM82" s="122">
        <f>IF(OR($C82="",$B$2="",$D$2=0),0,IF(BM$3&lt;0,0,N(INDEX('CURVA PREVISION'!$A$1:$KZ$3000,$C82,11+3*MIN(BM$3,$D$2-1)))))</f>
        <v/>
      </c>
      <c r="BN82" s="122">
        <f>IF(OR($C82="",$B$2="",$D$2=0),0,IF(BN$3&lt;0,0,N(INDEX('CURVA PREVISION'!$A$1:$KZ$3000,$C82,11+3*MIN(BN$3,$D$2-1)))))</f>
        <v/>
      </c>
      <c r="BO82" s="122">
        <f>IF(OR($C82="",$B$2="",$D$2=0),0,IF(BO$3&lt;0,0,N(INDEX('CURVA PREVISION'!$A$1:$KZ$3000,$C82,11+3*MIN(BO$3,$D$2-1)))))</f>
        <v/>
      </c>
      <c r="BP82" s="122">
        <f>IF(OR($C82="",$B$2="",$D$2=0),0,IF(BP$3&lt;0,0,N(INDEX('CURVA PREVISION'!$A$1:$KZ$3000,$C82,11+3*MIN(BP$3,$D$2-1)))))</f>
        <v/>
      </c>
      <c r="BQ82" s="122">
        <f>IF(OR($C82="",$B$2="",$D$2=0),0,IF(BQ$3&lt;0,0,N(INDEX('CURVA PREVISION'!$A$1:$KZ$3000,$C82,11+3*MIN(BQ$3,$D$2-1)))))</f>
        <v/>
      </c>
      <c r="BR82" s="122">
        <f>IF(OR($C82="",$B$2="",$D$2=0),0,IF(BR$3&lt;0,0,N(INDEX('CURVA PREVISION'!$A$1:$KZ$3000,$C82,11+3*MIN(BR$3,$D$2-1)))))</f>
        <v/>
      </c>
      <c r="BS82" s="122">
        <f>IF(OR($C82="",$B$2="",$D$2=0),0,IF(BS$3&lt;0,0,N(INDEX('CURVA PREVISION'!$A$1:$KZ$3000,$C82,11+3*MIN(BS$3,$D$2-1)))))</f>
        <v/>
      </c>
      <c r="BT82" s="122">
        <f>IF(OR($C82="",$B$2="",$D$2=0),0,IF(BT$3&lt;0,0,N(INDEX('CURVA PREVISION'!$A$1:$KZ$3000,$C82,11+3*MIN(BT$3,$D$2-1)))))</f>
        <v/>
      </c>
      <c r="BU82" s="122">
        <f>IF(OR($C82="",$B$2="",$D$2=0),0,IF(BU$3&lt;0,0,N(INDEX('CURVA PREVISION'!$A$1:$KZ$3000,$C82,11+3*MIN(BU$3,$D$2-1)))))</f>
        <v/>
      </c>
      <c r="BV82" s="122">
        <f>IF(OR($C82="",$B$2="",$D$2=0),0,IF(BV$3&lt;0,0,N(INDEX('CURVA PREVISION'!$A$1:$KZ$3000,$C82,11+3*MIN(BV$3,$D$2-1)))))</f>
        <v/>
      </c>
      <c r="BW82" s="122">
        <f>IF(OR($C82="",$B$2="",$D$2=0),0,IF(BW$3&lt;0,0,N(INDEX('CURVA PREVISION'!$A$1:$KZ$3000,$C82,11+3*MIN(BW$3,$D$2-1)))))</f>
        <v/>
      </c>
    </row>
    <row r="83">
      <c r="A83" s="51">
        <f>A41</f>
        <v/>
      </c>
      <c r="B83" s="51">
        <f>B41</f>
        <v/>
      </c>
      <c r="C83" s="68">
        <f>C41</f>
        <v/>
      </c>
      <c r="D83" s="122">
        <f>IF(OR($C83="",$B$2="",$D$2=0),0,IF(D$3&lt;0,0,N(INDEX('CURVA PREVISION'!$A$1:$KZ$3000,$C83,11+3*MIN(D$3,$D$2-1)))))</f>
        <v/>
      </c>
      <c r="E83" s="122">
        <f>IF(OR($C83="",$B$2="",$D$2=0),0,IF(E$3&lt;0,0,N(INDEX('CURVA PREVISION'!$A$1:$KZ$3000,$C83,11+3*MIN(E$3,$D$2-1)))))</f>
        <v/>
      </c>
      <c r="F83" s="122">
        <f>IF(OR($C83="",$B$2="",$D$2=0),0,IF(F$3&lt;0,0,N(INDEX('CURVA PREVISION'!$A$1:$KZ$3000,$C83,11+3*MIN(F$3,$D$2-1)))))</f>
        <v/>
      </c>
      <c r="G83" s="122">
        <f>IF(OR($C83="",$B$2="",$D$2=0),0,IF(G$3&lt;0,0,N(INDEX('CURVA PREVISION'!$A$1:$KZ$3000,$C83,11+3*MIN(G$3,$D$2-1)))))</f>
        <v/>
      </c>
      <c r="H83" s="122">
        <f>IF(OR($C83="",$B$2="",$D$2=0),0,IF(H$3&lt;0,0,N(INDEX('CURVA PREVISION'!$A$1:$KZ$3000,$C83,11+3*MIN(H$3,$D$2-1)))))</f>
        <v/>
      </c>
      <c r="I83" s="122">
        <f>IF(OR($C83="",$B$2="",$D$2=0),0,IF(I$3&lt;0,0,N(INDEX('CURVA PREVISION'!$A$1:$KZ$3000,$C83,11+3*MIN(I$3,$D$2-1)))))</f>
        <v/>
      </c>
      <c r="J83" s="122">
        <f>IF(OR($C83="",$B$2="",$D$2=0),0,IF(J$3&lt;0,0,N(INDEX('CURVA PREVISION'!$A$1:$KZ$3000,$C83,11+3*MIN(J$3,$D$2-1)))))</f>
        <v/>
      </c>
      <c r="K83" s="122">
        <f>IF(OR($C83="",$B$2="",$D$2=0),0,IF(K$3&lt;0,0,N(INDEX('CURVA PREVISION'!$A$1:$KZ$3000,$C83,11+3*MIN(K$3,$D$2-1)))))</f>
        <v/>
      </c>
      <c r="L83" s="122">
        <f>IF(OR($C83="",$B$2="",$D$2=0),0,IF(L$3&lt;0,0,N(INDEX('CURVA PREVISION'!$A$1:$KZ$3000,$C83,11+3*MIN(L$3,$D$2-1)))))</f>
        <v/>
      </c>
      <c r="M83" s="122">
        <f>IF(OR($C83="",$B$2="",$D$2=0),0,IF(M$3&lt;0,0,N(INDEX('CURVA PREVISION'!$A$1:$KZ$3000,$C83,11+3*MIN(M$3,$D$2-1)))))</f>
        <v/>
      </c>
      <c r="N83" s="122">
        <f>IF(OR($C83="",$B$2="",$D$2=0),0,IF(N$3&lt;0,0,N(INDEX('CURVA PREVISION'!$A$1:$KZ$3000,$C83,11+3*MIN(N$3,$D$2-1)))))</f>
        <v/>
      </c>
      <c r="O83" s="122">
        <f>IF(OR($C83="",$B$2="",$D$2=0),0,IF(O$3&lt;0,0,N(INDEX('CURVA PREVISION'!$A$1:$KZ$3000,$C83,11+3*MIN(O$3,$D$2-1)))))</f>
        <v/>
      </c>
      <c r="P83" s="122">
        <f>IF(OR($C83="",$B$2="",$D$2=0),0,IF(P$3&lt;0,0,N(INDEX('CURVA PREVISION'!$A$1:$KZ$3000,$C83,11+3*MIN(P$3,$D$2-1)))))</f>
        <v/>
      </c>
      <c r="Q83" s="122">
        <f>IF(OR($C83="",$B$2="",$D$2=0),0,IF(Q$3&lt;0,0,N(INDEX('CURVA PREVISION'!$A$1:$KZ$3000,$C83,11+3*MIN(Q$3,$D$2-1)))))</f>
        <v/>
      </c>
      <c r="R83" s="122">
        <f>IF(OR($C83="",$B$2="",$D$2=0),0,IF(R$3&lt;0,0,N(INDEX('CURVA PREVISION'!$A$1:$KZ$3000,$C83,11+3*MIN(R$3,$D$2-1)))))</f>
        <v/>
      </c>
      <c r="S83" s="122">
        <f>IF(OR($C83="",$B$2="",$D$2=0),0,IF(S$3&lt;0,0,N(INDEX('CURVA PREVISION'!$A$1:$KZ$3000,$C83,11+3*MIN(S$3,$D$2-1)))))</f>
        <v/>
      </c>
      <c r="T83" s="122">
        <f>IF(OR($C83="",$B$2="",$D$2=0),0,IF(T$3&lt;0,0,N(INDEX('CURVA PREVISION'!$A$1:$KZ$3000,$C83,11+3*MIN(T$3,$D$2-1)))))</f>
        <v/>
      </c>
      <c r="U83" s="122">
        <f>IF(OR($C83="",$B$2="",$D$2=0),0,IF(U$3&lt;0,0,N(INDEX('CURVA PREVISION'!$A$1:$KZ$3000,$C83,11+3*MIN(U$3,$D$2-1)))))</f>
        <v/>
      </c>
      <c r="V83" s="122">
        <f>IF(OR($C83="",$B$2="",$D$2=0),0,IF(V$3&lt;0,0,N(INDEX('CURVA PREVISION'!$A$1:$KZ$3000,$C83,11+3*MIN(V$3,$D$2-1)))))</f>
        <v/>
      </c>
      <c r="W83" s="122">
        <f>IF(OR($C83="",$B$2="",$D$2=0),0,IF(W$3&lt;0,0,N(INDEX('CURVA PREVISION'!$A$1:$KZ$3000,$C83,11+3*MIN(W$3,$D$2-1)))))</f>
        <v/>
      </c>
      <c r="X83" s="122">
        <f>IF(OR($C83="",$B$2="",$D$2=0),0,IF(X$3&lt;0,0,N(INDEX('CURVA PREVISION'!$A$1:$KZ$3000,$C83,11+3*MIN(X$3,$D$2-1)))))</f>
        <v/>
      </c>
      <c r="Y83" s="122">
        <f>IF(OR($C83="",$B$2="",$D$2=0),0,IF(Y$3&lt;0,0,N(INDEX('CURVA PREVISION'!$A$1:$KZ$3000,$C83,11+3*MIN(Y$3,$D$2-1)))))</f>
        <v/>
      </c>
      <c r="Z83" s="122">
        <f>IF(OR($C83="",$B$2="",$D$2=0),0,IF(Z$3&lt;0,0,N(INDEX('CURVA PREVISION'!$A$1:$KZ$3000,$C83,11+3*MIN(Z$3,$D$2-1)))))</f>
        <v/>
      </c>
      <c r="AA83" s="122">
        <f>IF(OR($C83="",$B$2="",$D$2=0),0,IF(AA$3&lt;0,0,N(INDEX('CURVA PREVISION'!$A$1:$KZ$3000,$C83,11+3*MIN(AA$3,$D$2-1)))))</f>
        <v/>
      </c>
      <c r="AB83" s="122">
        <f>IF(OR($C83="",$B$2="",$D$2=0),0,IF(AB$3&lt;0,0,N(INDEX('CURVA PREVISION'!$A$1:$KZ$3000,$C83,11+3*MIN(AB$3,$D$2-1)))))</f>
        <v/>
      </c>
      <c r="AC83" s="122">
        <f>IF(OR($C83="",$B$2="",$D$2=0),0,IF(AC$3&lt;0,0,N(INDEX('CURVA PREVISION'!$A$1:$KZ$3000,$C83,11+3*MIN(AC$3,$D$2-1)))))</f>
        <v/>
      </c>
      <c r="AD83" s="122">
        <f>IF(OR($C83="",$B$2="",$D$2=0),0,IF(AD$3&lt;0,0,N(INDEX('CURVA PREVISION'!$A$1:$KZ$3000,$C83,11+3*MIN(AD$3,$D$2-1)))))</f>
        <v/>
      </c>
      <c r="AE83" s="122">
        <f>IF(OR($C83="",$B$2="",$D$2=0),0,IF(AE$3&lt;0,0,N(INDEX('CURVA PREVISION'!$A$1:$KZ$3000,$C83,11+3*MIN(AE$3,$D$2-1)))))</f>
        <v/>
      </c>
      <c r="AF83" s="122">
        <f>IF(OR($C83="",$B$2="",$D$2=0),0,IF(AF$3&lt;0,0,N(INDEX('CURVA PREVISION'!$A$1:$KZ$3000,$C83,11+3*MIN(AF$3,$D$2-1)))))</f>
        <v/>
      </c>
      <c r="AG83" s="122">
        <f>IF(OR($C83="",$B$2="",$D$2=0),0,IF(AG$3&lt;0,0,N(INDEX('CURVA PREVISION'!$A$1:$KZ$3000,$C83,11+3*MIN(AG$3,$D$2-1)))))</f>
        <v/>
      </c>
      <c r="AH83" s="122">
        <f>IF(OR($C83="",$B$2="",$D$2=0),0,IF(AH$3&lt;0,0,N(INDEX('CURVA PREVISION'!$A$1:$KZ$3000,$C83,11+3*MIN(AH$3,$D$2-1)))))</f>
        <v/>
      </c>
      <c r="AI83" s="122">
        <f>IF(OR($C83="",$B$2="",$D$2=0),0,IF(AI$3&lt;0,0,N(INDEX('CURVA PREVISION'!$A$1:$KZ$3000,$C83,11+3*MIN(AI$3,$D$2-1)))))</f>
        <v/>
      </c>
      <c r="AJ83" s="122">
        <f>IF(OR($C83="",$B$2="",$D$2=0),0,IF(AJ$3&lt;0,0,N(INDEX('CURVA PREVISION'!$A$1:$KZ$3000,$C83,11+3*MIN(AJ$3,$D$2-1)))))</f>
        <v/>
      </c>
      <c r="AK83" s="122">
        <f>IF(OR($C83="",$B$2="",$D$2=0),0,IF(AK$3&lt;0,0,N(INDEX('CURVA PREVISION'!$A$1:$KZ$3000,$C83,11+3*MIN(AK$3,$D$2-1)))))</f>
        <v/>
      </c>
      <c r="AL83" s="122">
        <f>IF(OR($C83="",$B$2="",$D$2=0),0,IF(AL$3&lt;0,0,N(INDEX('CURVA PREVISION'!$A$1:$KZ$3000,$C83,11+3*MIN(AL$3,$D$2-1)))))</f>
        <v/>
      </c>
      <c r="AM83" s="122">
        <f>IF(OR($C83="",$B$2="",$D$2=0),0,IF(AM$3&lt;0,0,N(INDEX('CURVA PREVISION'!$A$1:$KZ$3000,$C83,11+3*MIN(AM$3,$D$2-1)))))</f>
        <v/>
      </c>
      <c r="AN83" s="122">
        <f>IF(OR($C83="",$B$2="",$D$2=0),0,IF(AN$3&lt;0,0,N(INDEX('CURVA PREVISION'!$A$1:$KZ$3000,$C83,11+3*MIN(AN$3,$D$2-1)))))</f>
        <v/>
      </c>
      <c r="AO83" s="122">
        <f>IF(OR($C83="",$B$2="",$D$2=0),0,IF(AO$3&lt;0,0,N(INDEX('CURVA PREVISION'!$A$1:$KZ$3000,$C83,11+3*MIN(AO$3,$D$2-1)))))</f>
        <v/>
      </c>
      <c r="AP83" s="122">
        <f>IF(OR($C83="",$B$2="",$D$2=0),0,IF(AP$3&lt;0,0,N(INDEX('CURVA PREVISION'!$A$1:$KZ$3000,$C83,11+3*MIN(AP$3,$D$2-1)))))</f>
        <v/>
      </c>
      <c r="AQ83" s="122">
        <f>IF(OR($C83="",$B$2="",$D$2=0),0,IF(AQ$3&lt;0,0,N(INDEX('CURVA PREVISION'!$A$1:$KZ$3000,$C83,11+3*MIN(AQ$3,$D$2-1)))))</f>
        <v/>
      </c>
      <c r="AR83" s="122">
        <f>IF(OR($C83="",$B$2="",$D$2=0),0,IF(AR$3&lt;0,0,N(INDEX('CURVA PREVISION'!$A$1:$KZ$3000,$C83,11+3*MIN(AR$3,$D$2-1)))))</f>
        <v/>
      </c>
      <c r="AS83" s="122">
        <f>IF(OR($C83="",$B$2="",$D$2=0),0,IF(AS$3&lt;0,0,N(INDEX('CURVA PREVISION'!$A$1:$KZ$3000,$C83,11+3*MIN(AS$3,$D$2-1)))))</f>
        <v/>
      </c>
      <c r="AT83" s="122">
        <f>IF(OR($C83="",$B$2="",$D$2=0),0,IF(AT$3&lt;0,0,N(INDEX('CURVA PREVISION'!$A$1:$KZ$3000,$C83,11+3*MIN(AT$3,$D$2-1)))))</f>
        <v/>
      </c>
      <c r="AU83" s="122">
        <f>IF(OR($C83="",$B$2="",$D$2=0),0,IF(AU$3&lt;0,0,N(INDEX('CURVA PREVISION'!$A$1:$KZ$3000,$C83,11+3*MIN(AU$3,$D$2-1)))))</f>
        <v/>
      </c>
      <c r="AV83" s="122">
        <f>IF(OR($C83="",$B$2="",$D$2=0),0,IF(AV$3&lt;0,0,N(INDEX('CURVA PREVISION'!$A$1:$KZ$3000,$C83,11+3*MIN(AV$3,$D$2-1)))))</f>
        <v/>
      </c>
      <c r="AW83" s="122">
        <f>IF(OR($C83="",$B$2="",$D$2=0),0,IF(AW$3&lt;0,0,N(INDEX('CURVA PREVISION'!$A$1:$KZ$3000,$C83,11+3*MIN(AW$3,$D$2-1)))))</f>
        <v/>
      </c>
      <c r="AX83" s="122">
        <f>IF(OR($C83="",$B$2="",$D$2=0),0,IF(AX$3&lt;0,0,N(INDEX('CURVA PREVISION'!$A$1:$KZ$3000,$C83,11+3*MIN(AX$3,$D$2-1)))))</f>
        <v/>
      </c>
      <c r="AY83" s="122">
        <f>IF(OR($C83="",$B$2="",$D$2=0),0,IF(AY$3&lt;0,0,N(INDEX('CURVA PREVISION'!$A$1:$KZ$3000,$C83,11+3*MIN(AY$3,$D$2-1)))))</f>
        <v/>
      </c>
      <c r="AZ83" s="122">
        <f>IF(OR($C83="",$B$2="",$D$2=0),0,IF(AZ$3&lt;0,0,N(INDEX('CURVA PREVISION'!$A$1:$KZ$3000,$C83,11+3*MIN(AZ$3,$D$2-1)))))</f>
        <v/>
      </c>
      <c r="BA83" s="122">
        <f>IF(OR($C83="",$B$2="",$D$2=0),0,IF(BA$3&lt;0,0,N(INDEX('CURVA PREVISION'!$A$1:$KZ$3000,$C83,11+3*MIN(BA$3,$D$2-1)))))</f>
        <v/>
      </c>
      <c r="BB83" s="122">
        <f>IF(OR($C83="",$B$2="",$D$2=0),0,IF(BB$3&lt;0,0,N(INDEX('CURVA PREVISION'!$A$1:$KZ$3000,$C83,11+3*MIN(BB$3,$D$2-1)))))</f>
        <v/>
      </c>
      <c r="BC83" s="122">
        <f>IF(OR($C83="",$B$2="",$D$2=0),0,IF(BC$3&lt;0,0,N(INDEX('CURVA PREVISION'!$A$1:$KZ$3000,$C83,11+3*MIN(BC$3,$D$2-1)))))</f>
        <v/>
      </c>
      <c r="BD83" s="122">
        <f>IF(OR($C83="",$B$2="",$D$2=0),0,IF(BD$3&lt;0,0,N(INDEX('CURVA PREVISION'!$A$1:$KZ$3000,$C83,11+3*MIN(BD$3,$D$2-1)))))</f>
        <v/>
      </c>
      <c r="BE83" s="122">
        <f>IF(OR($C83="",$B$2="",$D$2=0),0,IF(BE$3&lt;0,0,N(INDEX('CURVA PREVISION'!$A$1:$KZ$3000,$C83,11+3*MIN(BE$3,$D$2-1)))))</f>
        <v/>
      </c>
      <c r="BF83" s="122">
        <f>IF(OR($C83="",$B$2="",$D$2=0),0,IF(BF$3&lt;0,0,N(INDEX('CURVA PREVISION'!$A$1:$KZ$3000,$C83,11+3*MIN(BF$3,$D$2-1)))))</f>
        <v/>
      </c>
      <c r="BG83" s="122">
        <f>IF(OR($C83="",$B$2="",$D$2=0),0,IF(BG$3&lt;0,0,N(INDEX('CURVA PREVISION'!$A$1:$KZ$3000,$C83,11+3*MIN(BG$3,$D$2-1)))))</f>
        <v/>
      </c>
      <c r="BH83" s="122">
        <f>IF(OR($C83="",$B$2="",$D$2=0),0,IF(BH$3&lt;0,0,N(INDEX('CURVA PREVISION'!$A$1:$KZ$3000,$C83,11+3*MIN(BH$3,$D$2-1)))))</f>
        <v/>
      </c>
      <c r="BI83" s="122">
        <f>IF(OR($C83="",$B$2="",$D$2=0),0,IF(BI$3&lt;0,0,N(INDEX('CURVA PREVISION'!$A$1:$KZ$3000,$C83,11+3*MIN(BI$3,$D$2-1)))))</f>
        <v/>
      </c>
      <c r="BJ83" s="122">
        <f>IF(OR($C83="",$B$2="",$D$2=0),0,IF(BJ$3&lt;0,0,N(INDEX('CURVA PREVISION'!$A$1:$KZ$3000,$C83,11+3*MIN(BJ$3,$D$2-1)))))</f>
        <v/>
      </c>
      <c r="BK83" s="122">
        <f>IF(OR($C83="",$B$2="",$D$2=0),0,IF(BK$3&lt;0,0,N(INDEX('CURVA PREVISION'!$A$1:$KZ$3000,$C83,11+3*MIN(BK$3,$D$2-1)))))</f>
        <v/>
      </c>
      <c r="BL83" s="122">
        <f>IF(OR($C83="",$B$2="",$D$2=0),0,IF(BL$3&lt;0,0,N(INDEX('CURVA PREVISION'!$A$1:$KZ$3000,$C83,11+3*MIN(BL$3,$D$2-1)))))</f>
        <v/>
      </c>
      <c r="BM83" s="122">
        <f>IF(OR($C83="",$B$2="",$D$2=0),0,IF(BM$3&lt;0,0,N(INDEX('CURVA PREVISION'!$A$1:$KZ$3000,$C83,11+3*MIN(BM$3,$D$2-1)))))</f>
        <v/>
      </c>
      <c r="BN83" s="122">
        <f>IF(OR($C83="",$B$2="",$D$2=0),0,IF(BN$3&lt;0,0,N(INDEX('CURVA PREVISION'!$A$1:$KZ$3000,$C83,11+3*MIN(BN$3,$D$2-1)))))</f>
        <v/>
      </c>
      <c r="BO83" s="122">
        <f>IF(OR($C83="",$B$2="",$D$2=0),0,IF(BO$3&lt;0,0,N(INDEX('CURVA PREVISION'!$A$1:$KZ$3000,$C83,11+3*MIN(BO$3,$D$2-1)))))</f>
        <v/>
      </c>
      <c r="BP83" s="122">
        <f>IF(OR($C83="",$B$2="",$D$2=0),0,IF(BP$3&lt;0,0,N(INDEX('CURVA PREVISION'!$A$1:$KZ$3000,$C83,11+3*MIN(BP$3,$D$2-1)))))</f>
        <v/>
      </c>
      <c r="BQ83" s="122">
        <f>IF(OR($C83="",$B$2="",$D$2=0),0,IF(BQ$3&lt;0,0,N(INDEX('CURVA PREVISION'!$A$1:$KZ$3000,$C83,11+3*MIN(BQ$3,$D$2-1)))))</f>
        <v/>
      </c>
      <c r="BR83" s="122">
        <f>IF(OR($C83="",$B$2="",$D$2=0),0,IF(BR$3&lt;0,0,N(INDEX('CURVA PREVISION'!$A$1:$KZ$3000,$C83,11+3*MIN(BR$3,$D$2-1)))))</f>
        <v/>
      </c>
      <c r="BS83" s="122">
        <f>IF(OR($C83="",$B$2="",$D$2=0),0,IF(BS$3&lt;0,0,N(INDEX('CURVA PREVISION'!$A$1:$KZ$3000,$C83,11+3*MIN(BS$3,$D$2-1)))))</f>
        <v/>
      </c>
      <c r="BT83" s="122">
        <f>IF(OR($C83="",$B$2="",$D$2=0),0,IF(BT$3&lt;0,0,N(INDEX('CURVA PREVISION'!$A$1:$KZ$3000,$C83,11+3*MIN(BT$3,$D$2-1)))))</f>
        <v/>
      </c>
      <c r="BU83" s="122">
        <f>IF(OR($C83="",$B$2="",$D$2=0),0,IF(BU$3&lt;0,0,N(INDEX('CURVA PREVISION'!$A$1:$KZ$3000,$C83,11+3*MIN(BU$3,$D$2-1)))))</f>
        <v/>
      </c>
      <c r="BV83" s="122">
        <f>IF(OR($C83="",$B$2="",$D$2=0),0,IF(BV$3&lt;0,0,N(INDEX('CURVA PREVISION'!$A$1:$KZ$3000,$C83,11+3*MIN(BV$3,$D$2-1)))))</f>
        <v/>
      </c>
      <c r="BW83" s="122">
        <f>IF(OR($C83="",$B$2="",$D$2=0),0,IF(BW$3&lt;0,0,N(INDEX('CURVA PREVISION'!$A$1:$KZ$3000,$C83,11+3*MIN(BW$3,$D$2-1)))))</f>
        <v/>
      </c>
    </row>
    <row r="84">
      <c r="A84" s="51">
        <f>A42</f>
        <v/>
      </c>
      <c r="B84" s="51">
        <f>B42</f>
        <v/>
      </c>
      <c r="C84" s="68">
        <f>C42</f>
        <v/>
      </c>
      <c r="D84" s="122">
        <f>IF(OR($C84="",$B$2="",$D$2=0),0,IF(D$3&lt;0,0,N(INDEX('CURVA PREVISION'!$A$1:$KZ$3000,$C84,11+3*MIN(D$3,$D$2-1)))))</f>
        <v/>
      </c>
      <c r="E84" s="122">
        <f>IF(OR($C84="",$B$2="",$D$2=0),0,IF(E$3&lt;0,0,N(INDEX('CURVA PREVISION'!$A$1:$KZ$3000,$C84,11+3*MIN(E$3,$D$2-1)))))</f>
        <v/>
      </c>
      <c r="F84" s="122">
        <f>IF(OR($C84="",$B$2="",$D$2=0),0,IF(F$3&lt;0,0,N(INDEX('CURVA PREVISION'!$A$1:$KZ$3000,$C84,11+3*MIN(F$3,$D$2-1)))))</f>
        <v/>
      </c>
      <c r="G84" s="122">
        <f>IF(OR($C84="",$B$2="",$D$2=0),0,IF(G$3&lt;0,0,N(INDEX('CURVA PREVISION'!$A$1:$KZ$3000,$C84,11+3*MIN(G$3,$D$2-1)))))</f>
        <v/>
      </c>
      <c r="H84" s="122">
        <f>IF(OR($C84="",$B$2="",$D$2=0),0,IF(H$3&lt;0,0,N(INDEX('CURVA PREVISION'!$A$1:$KZ$3000,$C84,11+3*MIN(H$3,$D$2-1)))))</f>
        <v/>
      </c>
      <c r="I84" s="122">
        <f>IF(OR($C84="",$B$2="",$D$2=0),0,IF(I$3&lt;0,0,N(INDEX('CURVA PREVISION'!$A$1:$KZ$3000,$C84,11+3*MIN(I$3,$D$2-1)))))</f>
        <v/>
      </c>
      <c r="J84" s="122">
        <f>IF(OR($C84="",$B$2="",$D$2=0),0,IF(J$3&lt;0,0,N(INDEX('CURVA PREVISION'!$A$1:$KZ$3000,$C84,11+3*MIN(J$3,$D$2-1)))))</f>
        <v/>
      </c>
      <c r="K84" s="122">
        <f>IF(OR($C84="",$B$2="",$D$2=0),0,IF(K$3&lt;0,0,N(INDEX('CURVA PREVISION'!$A$1:$KZ$3000,$C84,11+3*MIN(K$3,$D$2-1)))))</f>
        <v/>
      </c>
      <c r="L84" s="122">
        <f>IF(OR($C84="",$B$2="",$D$2=0),0,IF(L$3&lt;0,0,N(INDEX('CURVA PREVISION'!$A$1:$KZ$3000,$C84,11+3*MIN(L$3,$D$2-1)))))</f>
        <v/>
      </c>
      <c r="M84" s="122">
        <f>IF(OR($C84="",$B$2="",$D$2=0),0,IF(M$3&lt;0,0,N(INDEX('CURVA PREVISION'!$A$1:$KZ$3000,$C84,11+3*MIN(M$3,$D$2-1)))))</f>
        <v/>
      </c>
      <c r="N84" s="122">
        <f>IF(OR($C84="",$B$2="",$D$2=0),0,IF(N$3&lt;0,0,N(INDEX('CURVA PREVISION'!$A$1:$KZ$3000,$C84,11+3*MIN(N$3,$D$2-1)))))</f>
        <v/>
      </c>
      <c r="O84" s="122">
        <f>IF(OR($C84="",$B$2="",$D$2=0),0,IF(O$3&lt;0,0,N(INDEX('CURVA PREVISION'!$A$1:$KZ$3000,$C84,11+3*MIN(O$3,$D$2-1)))))</f>
        <v/>
      </c>
      <c r="P84" s="122">
        <f>IF(OR($C84="",$B$2="",$D$2=0),0,IF(P$3&lt;0,0,N(INDEX('CURVA PREVISION'!$A$1:$KZ$3000,$C84,11+3*MIN(P$3,$D$2-1)))))</f>
        <v/>
      </c>
      <c r="Q84" s="122">
        <f>IF(OR($C84="",$B$2="",$D$2=0),0,IF(Q$3&lt;0,0,N(INDEX('CURVA PREVISION'!$A$1:$KZ$3000,$C84,11+3*MIN(Q$3,$D$2-1)))))</f>
        <v/>
      </c>
      <c r="R84" s="122">
        <f>IF(OR($C84="",$B$2="",$D$2=0),0,IF(R$3&lt;0,0,N(INDEX('CURVA PREVISION'!$A$1:$KZ$3000,$C84,11+3*MIN(R$3,$D$2-1)))))</f>
        <v/>
      </c>
      <c r="S84" s="122">
        <f>IF(OR($C84="",$B$2="",$D$2=0),0,IF(S$3&lt;0,0,N(INDEX('CURVA PREVISION'!$A$1:$KZ$3000,$C84,11+3*MIN(S$3,$D$2-1)))))</f>
        <v/>
      </c>
      <c r="T84" s="122">
        <f>IF(OR($C84="",$B$2="",$D$2=0),0,IF(T$3&lt;0,0,N(INDEX('CURVA PREVISION'!$A$1:$KZ$3000,$C84,11+3*MIN(T$3,$D$2-1)))))</f>
        <v/>
      </c>
      <c r="U84" s="122">
        <f>IF(OR($C84="",$B$2="",$D$2=0),0,IF(U$3&lt;0,0,N(INDEX('CURVA PREVISION'!$A$1:$KZ$3000,$C84,11+3*MIN(U$3,$D$2-1)))))</f>
        <v/>
      </c>
      <c r="V84" s="122">
        <f>IF(OR($C84="",$B$2="",$D$2=0),0,IF(V$3&lt;0,0,N(INDEX('CURVA PREVISION'!$A$1:$KZ$3000,$C84,11+3*MIN(V$3,$D$2-1)))))</f>
        <v/>
      </c>
      <c r="W84" s="122">
        <f>IF(OR($C84="",$B$2="",$D$2=0),0,IF(W$3&lt;0,0,N(INDEX('CURVA PREVISION'!$A$1:$KZ$3000,$C84,11+3*MIN(W$3,$D$2-1)))))</f>
        <v/>
      </c>
      <c r="X84" s="122">
        <f>IF(OR($C84="",$B$2="",$D$2=0),0,IF(X$3&lt;0,0,N(INDEX('CURVA PREVISION'!$A$1:$KZ$3000,$C84,11+3*MIN(X$3,$D$2-1)))))</f>
        <v/>
      </c>
      <c r="Y84" s="122">
        <f>IF(OR($C84="",$B$2="",$D$2=0),0,IF(Y$3&lt;0,0,N(INDEX('CURVA PREVISION'!$A$1:$KZ$3000,$C84,11+3*MIN(Y$3,$D$2-1)))))</f>
        <v/>
      </c>
      <c r="Z84" s="122">
        <f>IF(OR($C84="",$B$2="",$D$2=0),0,IF(Z$3&lt;0,0,N(INDEX('CURVA PREVISION'!$A$1:$KZ$3000,$C84,11+3*MIN(Z$3,$D$2-1)))))</f>
        <v/>
      </c>
      <c r="AA84" s="122">
        <f>IF(OR($C84="",$B$2="",$D$2=0),0,IF(AA$3&lt;0,0,N(INDEX('CURVA PREVISION'!$A$1:$KZ$3000,$C84,11+3*MIN(AA$3,$D$2-1)))))</f>
        <v/>
      </c>
      <c r="AB84" s="122">
        <f>IF(OR($C84="",$B$2="",$D$2=0),0,IF(AB$3&lt;0,0,N(INDEX('CURVA PREVISION'!$A$1:$KZ$3000,$C84,11+3*MIN(AB$3,$D$2-1)))))</f>
        <v/>
      </c>
      <c r="AC84" s="122">
        <f>IF(OR($C84="",$B$2="",$D$2=0),0,IF(AC$3&lt;0,0,N(INDEX('CURVA PREVISION'!$A$1:$KZ$3000,$C84,11+3*MIN(AC$3,$D$2-1)))))</f>
        <v/>
      </c>
      <c r="AD84" s="122">
        <f>IF(OR($C84="",$B$2="",$D$2=0),0,IF(AD$3&lt;0,0,N(INDEX('CURVA PREVISION'!$A$1:$KZ$3000,$C84,11+3*MIN(AD$3,$D$2-1)))))</f>
        <v/>
      </c>
      <c r="AE84" s="122">
        <f>IF(OR($C84="",$B$2="",$D$2=0),0,IF(AE$3&lt;0,0,N(INDEX('CURVA PREVISION'!$A$1:$KZ$3000,$C84,11+3*MIN(AE$3,$D$2-1)))))</f>
        <v/>
      </c>
      <c r="AF84" s="122">
        <f>IF(OR($C84="",$B$2="",$D$2=0),0,IF(AF$3&lt;0,0,N(INDEX('CURVA PREVISION'!$A$1:$KZ$3000,$C84,11+3*MIN(AF$3,$D$2-1)))))</f>
        <v/>
      </c>
      <c r="AG84" s="122">
        <f>IF(OR($C84="",$B$2="",$D$2=0),0,IF(AG$3&lt;0,0,N(INDEX('CURVA PREVISION'!$A$1:$KZ$3000,$C84,11+3*MIN(AG$3,$D$2-1)))))</f>
        <v/>
      </c>
      <c r="AH84" s="122">
        <f>IF(OR($C84="",$B$2="",$D$2=0),0,IF(AH$3&lt;0,0,N(INDEX('CURVA PREVISION'!$A$1:$KZ$3000,$C84,11+3*MIN(AH$3,$D$2-1)))))</f>
        <v/>
      </c>
      <c r="AI84" s="122">
        <f>IF(OR($C84="",$B$2="",$D$2=0),0,IF(AI$3&lt;0,0,N(INDEX('CURVA PREVISION'!$A$1:$KZ$3000,$C84,11+3*MIN(AI$3,$D$2-1)))))</f>
        <v/>
      </c>
      <c r="AJ84" s="122">
        <f>IF(OR($C84="",$B$2="",$D$2=0),0,IF(AJ$3&lt;0,0,N(INDEX('CURVA PREVISION'!$A$1:$KZ$3000,$C84,11+3*MIN(AJ$3,$D$2-1)))))</f>
        <v/>
      </c>
      <c r="AK84" s="122">
        <f>IF(OR($C84="",$B$2="",$D$2=0),0,IF(AK$3&lt;0,0,N(INDEX('CURVA PREVISION'!$A$1:$KZ$3000,$C84,11+3*MIN(AK$3,$D$2-1)))))</f>
        <v/>
      </c>
      <c r="AL84" s="122">
        <f>IF(OR($C84="",$B$2="",$D$2=0),0,IF(AL$3&lt;0,0,N(INDEX('CURVA PREVISION'!$A$1:$KZ$3000,$C84,11+3*MIN(AL$3,$D$2-1)))))</f>
        <v/>
      </c>
      <c r="AM84" s="122">
        <f>IF(OR($C84="",$B$2="",$D$2=0),0,IF(AM$3&lt;0,0,N(INDEX('CURVA PREVISION'!$A$1:$KZ$3000,$C84,11+3*MIN(AM$3,$D$2-1)))))</f>
        <v/>
      </c>
      <c r="AN84" s="122">
        <f>IF(OR($C84="",$B$2="",$D$2=0),0,IF(AN$3&lt;0,0,N(INDEX('CURVA PREVISION'!$A$1:$KZ$3000,$C84,11+3*MIN(AN$3,$D$2-1)))))</f>
        <v/>
      </c>
      <c r="AO84" s="122">
        <f>IF(OR($C84="",$B$2="",$D$2=0),0,IF(AO$3&lt;0,0,N(INDEX('CURVA PREVISION'!$A$1:$KZ$3000,$C84,11+3*MIN(AO$3,$D$2-1)))))</f>
        <v/>
      </c>
      <c r="AP84" s="122">
        <f>IF(OR($C84="",$B$2="",$D$2=0),0,IF(AP$3&lt;0,0,N(INDEX('CURVA PREVISION'!$A$1:$KZ$3000,$C84,11+3*MIN(AP$3,$D$2-1)))))</f>
        <v/>
      </c>
      <c r="AQ84" s="122">
        <f>IF(OR($C84="",$B$2="",$D$2=0),0,IF(AQ$3&lt;0,0,N(INDEX('CURVA PREVISION'!$A$1:$KZ$3000,$C84,11+3*MIN(AQ$3,$D$2-1)))))</f>
        <v/>
      </c>
      <c r="AR84" s="122">
        <f>IF(OR($C84="",$B$2="",$D$2=0),0,IF(AR$3&lt;0,0,N(INDEX('CURVA PREVISION'!$A$1:$KZ$3000,$C84,11+3*MIN(AR$3,$D$2-1)))))</f>
        <v/>
      </c>
      <c r="AS84" s="122">
        <f>IF(OR($C84="",$B$2="",$D$2=0),0,IF(AS$3&lt;0,0,N(INDEX('CURVA PREVISION'!$A$1:$KZ$3000,$C84,11+3*MIN(AS$3,$D$2-1)))))</f>
        <v/>
      </c>
      <c r="AT84" s="122">
        <f>IF(OR($C84="",$B$2="",$D$2=0),0,IF(AT$3&lt;0,0,N(INDEX('CURVA PREVISION'!$A$1:$KZ$3000,$C84,11+3*MIN(AT$3,$D$2-1)))))</f>
        <v/>
      </c>
      <c r="AU84" s="122">
        <f>IF(OR($C84="",$B$2="",$D$2=0),0,IF(AU$3&lt;0,0,N(INDEX('CURVA PREVISION'!$A$1:$KZ$3000,$C84,11+3*MIN(AU$3,$D$2-1)))))</f>
        <v/>
      </c>
      <c r="AV84" s="122">
        <f>IF(OR($C84="",$B$2="",$D$2=0),0,IF(AV$3&lt;0,0,N(INDEX('CURVA PREVISION'!$A$1:$KZ$3000,$C84,11+3*MIN(AV$3,$D$2-1)))))</f>
        <v/>
      </c>
      <c r="AW84" s="122">
        <f>IF(OR($C84="",$B$2="",$D$2=0),0,IF(AW$3&lt;0,0,N(INDEX('CURVA PREVISION'!$A$1:$KZ$3000,$C84,11+3*MIN(AW$3,$D$2-1)))))</f>
        <v/>
      </c>
      <c r="AX84" s="122">
        <f>IF(OR($C84="",$B$2="",$D$2=0),0,IF(AX$3&lt;0,0,N(INDEX('CURVA PREVISION'!$A$1:$KZ$3000,$C84,11+3*MIN(AX$3,$D$2-1)))))</f>
        <v/>
      </c>
      <c r="AY84" s="122">
        <f>IF(OR($C84="",$B$2="",$D$2=0),0,IF(AY$3&lt;0,0,N(INDEX('CURVA PREVISION'!$A$1:$KZ$3000,$C84,11+3*MIN(AY$3,$D$2-1)))))</f>
        <v/>
      </c>
      <c r="AZ84" s="122">
        <f>IF(OR($C84="",$B$2="",$D$2=0),0,IF(AZ$3&lt;0,0,N(INDEX('CURVA PREVISION'!$A$1:$KZ$3000,$C84,11+3*MIN(AZ$3,$D$2-1)))))</f>
        <v/>
      </c>
      <c r="BA84" s="122">
        <f>IF(OR($C84="",$B$2="",$D$2=0),0,IF(BA$3&lt;0,0,N(INDEX('CURVA PREVISION'!$A$1:$KZ$3000,$C84,11+3*MIN(BA$3,$D$2-1)))))</f>
        <v/>
      </c>
      <c r="BB84" s="122">
        <f>IF(OR($C84="",$B$2="",$D$2=0),0,IF(BB$3&lt;0,0,N(INDEX('CURVA PREVISION'!$A$1:$KZ$3000,$C84,11+3*MIN(BB$3,$D$2-1)))))</f>
        <v/>
      </c>
      <c r="BC84" s="122">
        <f>IF(OR($C84="",$B$2="",$D$2=0),0,IF(BC$3&lt;0,0,N(INDEX('CURVA PREVISION'!$A$1:$KZ$3000,$C84,11+3*MIN(BC$3,$D$2-1)))))</f>
        <v/>
      </c>
      <c r="BD84" s="122">
        <f>IF(OR($C84="",$B$2="",$D$2=0),0,IF(BD$3&lt;0,0,N(INDEX('CURVA PREVISION'!$A$1:$KZ$3000,$C84,11+3*MIN(BD$3,$D$2-1)))))</f>
        <v/>
      </c>
      <c r="BE84" s="122">
        <f>IF(OR($C84="",$B$2="",$D$2=0),0,IF(BE$3&lt;0,0,N(INDEX('CURVA PREVISION'!$A$1:$KZ$3000,$C84,11+3*MIN(BE$3,$D$2-1)))))</f>
        <v/>
      </c>
      <c r="BF84" s="122">
        <f>IF(OR($C84="",$B$2="",$D$2=0),0,IF(BF$3&lt;0,0,N(INDEX('CURVA PREVISION'!$A$1:$KZ$3000,$C84,11+3*MIN(BF$3,$D$2-1)))))</f>
        <v/>
      </c>
      <c r="BG84" s="122">
        <f>IF(OR($C84="",$B$2="",$D$2=0),0,IF(BG$3&lt;0,0,N(INDEX('CURVA PREVISION'!$A$1:$KZ$3000,$C84,11+3*MIN(BG$3,$D$2-1)))))</f>
        <v/>
      </c>
      <c r="BH84" s="122">
        <f>IF(OR($C84="",$B$2="",$D$2=0),0,IF(BH$3&lt;0,0,N(INDEX('CURVA PREVISION'!$A$1:$KZ$3000,$C84,11+3*MIN(BH$3,$D$2-1)))))</f>
        <v/>
      </c>
      <c r="BI84" s="122">
        <f>IF(OR($C84="",$B$2="",$D$2=0),0,IF(BI$3&lt;0,0,N(INDEX('CURVA PREVISION'!$A$1:$KZ$3000,$C84,11+3*MIN(BI$3,$D$2-1)))))</f>
        <v/>
      </c>
      <c r="BJ84" s="122">
        <f>IF(OR($C84="",$B$2="",$D$2=0),0,IF(BJ$3&lt;0,0,N(INDEX('CURVA PREVISION'!$A$1:$KZ$3000,$C84,11+3*MIN(BJ$3,$D$2-1)))))</f>
        <v/>
      </c>
      <c r="BK84" s="122">
        <f>IF(OR($C84="",$B$2="",$D$2=0),0,IF(BK$3&lt;0,0,N(INDEX('CURVA PREVISION'!$A$1:$KZ$3000,$C84,11+3*MIN(BK$3,$D$2-1)))))</f>
        <v/>
      </c>
      <c r="BL84" s="122">
        <f>IF(OR($C84="",$B$2="",$D$2=0),0,IF(BL$3&lt;0,0,N(INDEX('CURVA PREVISION'!$A$1:$KZ$3000,$C84,11+3*MIN(BL$3,$D$2-1)))))</f>
        <v/>
      </c>
      <c r="BM84" s="122">
        <f>IF(OR($C84="",$B$2="",$D$2=0),0,IF(BM$3&lt;0,0,N(INDEX('CURVA PREVISION'!$A$1:$KZ$3000,$C84,11+3*MIN(BM$3,$D$2-1)))))</f>
        <v/>
      </c>
      <c r="BN84" s="122">
        <f>IF(OR($C84="",$B$2="",$D$2=0),0,IF(BN$3&lt;0,0,N(INDEX('CURVA PREVISION'!$A$1:$KZ$3000,$C84,11+3*MIN(BN$3,$D$2-1)))))</f>
        <v/>
      </c>
      <c r="BO84" s="122">
        <f>IF(OR($C84="",$B$2="",$D$2=0),0,IF(BO$3&lt;0,0,N(INDEX('CURVA PREVISION'!$A$1:$KZ$3000,$C84,11+3*MIN(BO$3,$D$2-1)))))</f>
        <v/>
      </c>
      <c r="BP84" s="122">
        <f>IF(OR($C84="",$B$2="",$D$2=0),0,IF(BP$3&lt;0,0,N(INDEX('CURVA PREVISION'!$A$1:$KZ$3000,$C84,11+3*MIN(BP$3,$D$2-1)))))</f>
        <v/>
      </c>
      <c r="BQ84" s="122">
        <f>IF(OR($C84="",$B$2="",$D$2=0),0,IF(BQ$3&lt;0,0,N(INDEX('CURVA PREVISION'!$A$1:$KZ$3000,$C84,11+3*MIN(BQ$3,$D$2-1)))))</f>
        <v/>
      </c>
      <c r="BR84" s="122">
        <f>IF(OR($C84="",$B$2="",$D$2=0),0,IF(BR$3&lt;0,0,N(INDEX('CURVA PREVISION'!$A$1:$KZ$3000,$C84,11+3*MIN(BR$3,$D$2-1)))))</f>
        <v/>
      </c>
      <c r="BS84" s="122">
        <f>IF(OR($C84="",$B$2="",$D$2=0),0,IF(BS$3&lt;0,0,N(INDEX('CURVA PREVISION'!$A$1:$KZ$3000,$C84,11+3*MIN(BS$3,$D$2-1)))))</f>
        <v/>
      </c>
      <c r="BT84" s="122">
        <f>IF(OR($C84="",$B$2="",$D$2=0),0,IF(BT$3&lt;0,0,N(INDEX('CURVA PREVISION'!$A$1:$KZ$3000,$C84,11+3*MIN(BT$3,$D$2-1)))))</f>
        <v/>
      </c>
      <c r="BU84" s="122">
        <f>IF(OR($C84="",$B$2="",$D$2=0),0,IF(BU$3&lt;0,0,N(INDEX('CURVA PREVISION'!$A$1:$KZ$3000,$C84,11+3*MIN(BU$3,$D$2-1)))))</f>
        <v/>
      </c>
      <c r="BV84" s="122">
        <f>IF(OR($C84="",$B$2="",$D$2=0),0,IF(BV$3&lt;0,0,N(INDEX('CURVA PREVISION'!$A$1:$KZ$3000,$C84,11+3*MIN(BV$3,$D$2-1)))))</f>
        <v/>
      </c>
      <c r="BW84" s="122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3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</row>
    <row r="2">
      <c r="A2" s="2" t="inlineStr">
        <is>
          <t>Grupos do ERP sem correspondência →</t>
        </is>
      </c>
      <c r="C2" s="68">
        <f>SUMPRODUCT(('DADOS BRUTOS'!$A$3:$A$500&lt;&gt;"")*(COUNTIF($B$5:$C$42,'DADOS BRUTOS'!$A$3:$A$500)=0)*(COUNTIF($A$50:$A$69,'DADOS BRUTOS'!$A$3:$A$500)=0))</f>
        <v/>
      </c>
      <c r="CB2" s="115" t="inlineStr">
        <is>
          <t>CÁLCULO AUXILIAR — soma por coluna da aba DADOS BRUTOS (não editar)</t>
        </is>
      </c>
    </row>
    <row r="3">
      <c r="D3" s="115" t="inlineStr">
        <is>
          <t>Acu até →</t>
        </is>
      </c>
      <c r="CB3" s="115">
        <f>"B"</f>
        <v/>
      </c>
      <c r="CC3" s="115">
        <f>"C"</f>
        <v/>
      </c>
      <c r="CD3" s="115">
        <f>"D"</f>
        <v/>
      </c>
      <c r="CE3" s="115">
        <f>"E"</f>
        <v/>
      </c>
      <c r="CF3" s="115">
        <f>"F"</f>
        <v/>
      </c>
      <c r="CG3" s="115">
        <f>"G"</f>
        <v/>
      </c>
      <c r="CH3" s="115">
        <f>"H"</f>
        <v/>
      </c>
      <c r="CI3" s="115">
        <f>"I"</f>
        <v/>
      </c>
      <c r="CJ3" s="115">
        <f>"J"</f>
        <v/>
      </c>
      <c r="CK3" s="115">
        <f>"K"</f>
        <v/>
      </c>
      <c r="CL3" s="115">
        <f>"L"</f>
        <v/>
      </c>
      <c r="CM3" s="115">
        <f>"M"</f>
        <v/>
      </c>
      <c r="CN3" s="115">
        <f>"N"</f>
        <v/>
      </c>
      <c r="CO3" s="115">
        <f>"O"</f>
        <v/>
      </c>
      <c r="CP3" s="115">
        <f>"P"</f>
        <v/>
      </c>
      <c r="CQ3" s="115">
        <f>"Q"</f>
        <v/>
      </c>
      <c r="CR3" s="115">
        <f>"R"</f>
        <v/>
      </c>
      <c r="CS3" s="115">
        <f>"S"</f>
        <v/>
      </c>
      <c r="CT3" s="115">
        <f>"T"</f>
        <v/>
      </c>
      <c r="CU3" s="115">
        <f>"U"</f>
        <v/>
      </c>
      <c r="CV3" s="115">
        <f>"V"</f>
        <v/>
      </c>
      <c r="CW3" s="115">
        <f>"W"</f>
        <v/>
      </c>
      <c r="CX3" s="115">
        <f>"X"</f>
        <v/>
      </c>
      <c r="CY3" s="115">
        <f>"Y"</f>
        <v/>
      </c>
      <c r="CZ3" s="115">
        <f>"Z"</f>
        <v/>
      </c>
      <c r="DA3" s="115">
        <f>"AA"</f>
        <v/>
      </c>
      <c r="DB3" s="115">
        <f>"AB"</f>
        <v/>
      </c>
      <c r="DC3" s="115">
        <f>"AC"</f>
        <v/>
      </c>
      <c r="DD3" s="115">
        <f>"AD"</f>
        <v/>
      </c>
      <c r="DE3" s="115">
        <f>"AE"</f>
        <v/>
      </c>
      <c r="DF3" s="115">
        <f>"AF"</f>
        <v/>
      </c>
      <c r="DG3" s="115">
        <f>"AG"</f>
        <v/>
      </c>
      <c r="DH3" s="115">
        <f>"AH"</f>
        <v/>
      </c>
      <c r="DI3" s="115">
        <f>"AI"</f>
        <v/>
      </c>
      <c r="DJ3" s="115">
        <f>"AJ"</f>
        <v/>
      </c>
      <c r="DK3" s="115">
        <f>"AK"</f>
        <v/>
      </c>
      <c r="DL3" s="115">
        <f>"AL"</f>
        <v/>
      </c>
      <c r="DM3" s="115">
        <f>"AM"</f>
        <v/>
      </c>
      <c r="DN3" s="115">
        <f>"AN"</f>
        <v/>
      </c>
      <c r="DO3" s="115">
        <f>"AO"</f>
        <v/>
      </c>
      <c r="DP3" s="115">
        <f>"AP"</f>
        <v/>
      </c>
      <c r="DQ3" s="115">
        <f>"AQ"</f>
        <v/>
      </c>
      <c r="DR3" s="115">
        <f>"AR"</f>
        <v/>
      </c>
      <c r="DS3" s="115">
        <f>"AS"</f>
        <v/>
      </c>
      <c r="DT3" s="115">
        <f>"AT"</f>
        <v/>
      </c>
      <c r="DU3" s="115">
        <f>"AU"</f>
        <v/>
      </c>
      <c r="DV3" s="115">
        <f>"AV"</f>
        <v/>
      </c>
      <c r="DW3" s="115">
        <f>"AW"</f>
        <v/>
      </c>
      <c r="DX3" s="115">
        <f>"AX"</f>
        <v/>
      </c>
      <c r="DY3" s="115">
        <f>"AY"</f>
        <v/>
      </c>
      <c r="DZ3" s="115">
        <f>"AZ"</f>
        <v/>
      </c>
      <c r="EA3" s="115">
        <f>"BA"</f>
        <v/>
      </c>
      <c r="EB3" s="115">
        <f>"BB"</f>
        <v/>
      </c>
      <c r="EC3" s="115">
        <f>"BC"</f>
        <v/>
      </c>
      <c r="ED3" s="115">
        <f>"BD"</f>
        <v/>
      </c>
      <c r="EE3" s="115">
        <f>"BE"</f>
        <v/>
      </c>
      <c r="EF3" s="115">
        <f>"BF"</f>
        <v/>
      </c>
      <c r="EG3" s="115">
        <f>"BG"</f>
        <v/>
      </c>
      <c r="EH3" s="115">
        <f>"BH"</f>
        <v/>
      </c>
      <c r="EI3" s="115">
        <f>"BI"</f>
        <v/>
      </c>
      <c r="EJ3" s="115">
        <f>"BJ"</f>
        <v/>
      </c>
      <c r="EK3" s="115">
        <f>"BK"</f>
        <v/>
      </c>
      <c r="EL3" s="115">
        <f>"BL"</f>
        <v/>
      </c>
      <c r="EM3" s="115">
        <f>"BM"</f>
        <v/>
      </c>
      <c r="EN3" s="115">
        <f>"BN"</f>
        <v/>
      </c>
      <c r="EO3" s="115">
        <f>"BO"</f>
        <v/>
      </c>
      <c r="EP3" s="115">
        <f>"BP"</f>
        <v/>
      </c>
      <c r="EQ3" s="115">
        <f>"BQ"</f>
        <v/>
      </c>
      <c r="ER3" s="115">
        <f>"BR"</f>
        <v/>
      </c>
      <c r="ES3" s="115">
        <f>"BS"</f>
        <v/>
      </c>
      <c r="ET3" s="115">
        <f>"BT"</f>
        <v/>
      </c>
      <c r="EU3" s="115">
        <f>"BU"</f>
        <v/>
      </c>
      <c r="EV3" s="115">
        <f>"BV"</f>
        <v/>
      </c>
      <c r="EW3" s="115">
        <f>"BW"</f>
        <v/>
      </c>
      <c r="EX3" s="115">
        <f>"BX"</f>
        <v/>
      </c>
      <c r="EY3" s="115">
        <f>"BY"</f>
        <v/>
      </c>
      <c r="EZ3" s="115">
        <f>"BZ"</f>
        <v/>
      </c>
      <c r="FA3" s="115">
        <f>"CA"</f>
        <v/>
      </c>
      <c r="FB3" s="115">
        <f>"CB"</f>
        <v/>
      </c>
      <c r="FC3" s="115">
        <f>"CC"</f>
        <v/>
      </c>
      <c r="FD3" s="115">
        <f>"CD"</f>
        <v/>
      </c>
      <c r="FE3" s="115">
        <f>"CE"</f>
        <v/>
      </c>
      <c r="FF3" s="115">
        <f>"CF"</f>
        <v/>
      </c>
      <c r="FG3" s="115">
        <f>"CG"</f>
        <v/>
      </c>
      <c r="FH3" s="115">
        <f>"CH"</f>
        <v/>
      </c>
      <c r="FI3" s="115">
        <f>"CI"</f>
        <v/>
      </c>
      <c r="FJ3" s="115">
        <f>"CJ"</f>
        <v/>
      </c>
      <c r="FK3" s="115">
        <f>"CK"</f>
        <v/>
      </c>
      <c r="FL3" s="115">
        <f>"CL"</f>
        <v/>
      </c>
      <c r="FM3" s="115">
        <f>"CM"</f>
        <v/>
      </c>
      <c r="FN3" s="115">
        <f>"CN"</f>
        <v/>
      </c>
      <c r="FO3" s="115">
        <f>"CO"</f>
        <v/>
      </c>
      <c r="FP3" s="115">
        <f>"CP"</f>
        <v/>
      </c>
      <c r="FQ3" s="115">
        <f>"CQ"</f>
        <v/>
      </c>
      <c r="FR3" s="115">
        <f>"CR"</f>
        <v/>
      </c>
      <c r="FS3" s="115">
        <f>"CS"</f>
        <v/>
      </c>
      <c r="FT3" s="115">
        <f>"CT"</f>
        <v/>
      </c>
      <c r="FU3" s="115">
        <f>"CU"</f>
        <v/>
      </c>
      <c r="FV3" s="115">
        <f>"CV"</f>
        <v/>
      </c>
      <c r="FW3" s="115">
        <f>"CW"</f>
        <v/>
      </c>
      <c r="FX3" s="115">
        <f>"CX"</f>
        <v/>
      </c>
      <c r="FY3" s="115">
        <f>"CY"</f>
        <v/>
      </c>
      <c r="FZ3" s="115">
        <f>"CZ"</f>
        <v/>
      </c>
      <c r="GA3" s="115">
        <f>"DA"</f>
        <v/>
      </c>
      <c r="GB3" s="115">
        <f>"DB"</f>
        <v/>
      </c>
      <c r="GC3" s="115">
        <f>"DC"</f>
        <v/>
      </c>
      <c r="GD3" s="115">
        <f>"DD"</f>
        <v/>
      </c>
      <c r="GE3" s="115">
        <f>"DE"</f>
        <v/>
      </c>
      <c r="GF3" s="115">
        <f>"DF"</f>
        <v/>
      </c>
      <c r="GG3" s="115">
        <f>"DG"</f>
        <v/>
      </c>
      <c r="GH3" s="115">
        <f>"DH"</f>
        <v/>
      </c>
      <c r="GI3" s="115">
        <f>"DI"</f>
        <v/>
      </c>
      <c r="GJ3" s="115">
        <f>"DJ"</f>
        <v/>
      </c>
      <c r="GK3" s="115">
        <f>"DK"</f>
        <v/>
      </c>
      <c r="GL3" s="115">
        <f>"DL"</f>
        <v/>
      </c>
      <c r="GM3" s="115">
        <f>"DM"</f>
        <v/>
      </c>
      <c r="GN3" s="115">
        <f>"DN"</f>
        <v/>
      </c>
      <c r="GO3" s="115">
        <f>"DO"</f>
        <v/>
      </c>
      <c r="GP3" s="115">
        <f>"DP"</f>
        <v/>
      </c>
      <c r="GQ3" s="115">
        <f>"DQ"</f>
        <v/>
      </c>
      <c r="GR3" s="115">
        <f>"DR"</f>
        <v/>
      </c>
      <c r="GS3" s="115">
        <f>"DS"</f>
        <v/>
      </c>
      <c r="GT3" s="115">
        <f>"DT"</f>
        <v/>
      </c>
      <c r="GU3" s="115">
        <f>"DU"</f>
        <v/>
      </c>
      <c r="GV3" s="115">
        <f>"DV"</f>
        <v/>
      </c>
      <c r="GW3" s="115">
        <f>"DW"</f>
        <v/>
      </c>
      <c r="GX3" s="115">
        <f>"DX"</f>
        <v/>
      </c>
      <c r="GY3" s="115">
        <f>"DY"</f>
        <v/>
      </c>
      <c r="GZ3" s="115">
        <f>"DZ"</f>
        <v/>
      </c>
      <c r="HA3" s="115">
        <f>"EA"</f>
        <v/>
      </c>
      <c r="HB3" s="115">
        <f>"EB"</f>
        <v/>
      </c>
      <c r="HC3" s="115">
        <f>"EC"</f>
        <v/>
      </c>
      <c r="HD3" s="115">
        <f>"ED"</f>
        <v/>
      </c>
      <c r="HE3" s="115">
        <f>"EE"</f>
        <v/>
      </c>
      <c r="HF3" s="115">
        <f>"EF"</f>
        <v/>
      </c>
      <c r="HG3" s="115">
        <f>"EG"</f>
        <v/>
      </c>
      <c r="HH3" s="115">
        <f>"EH"</f>
        <v/>
      </c>
      <c r="HI3" s="115">
        <f>"EI"</f>
        <v/>
      </c>
      <c r="HJ3" s="115">
        <f>"EJ"</f>
        <v/>
      </c>
      <c r="HK3" s="115">
        <f>"EK"</f>
        <v/>
      </c>
      <c r="HL3" s="115">
        <f>"EL"</f>
        <v/>
      </c>
      <c r="HM3" s="115">
        <f>"EM"</f>
        <v/>
      </c>
      <c r="HN3" s="115">
        <f>"EN"</f>
        <v/>
      </c>
      <c r="HO3" s="115">
        <f>"EO"</f>
        <v/>
      </c>
      <c r="HP3" s="115">
        <f>"EP"</f>
        <v/>
      </c>
      <c r="HQ3" s="115">
        <f>"EQ"</f>
        <v/>
      </c>
      <c r="HR3" s="115">
        <f>"ER"</f>
        <v/>
      </c>
      <c r="HS3" s="115">
        <f>"ES"</f>
        <v/>
      </c>
      <c r="HT3" s="115">
        <f>"ET"</f>
        <v/>
      </c>
      <c r="HU3" s="115">
        <f>"EU"</f>
        <v/>
      </c>
      <c r="HV3" s="115">
        <f>"EV"</f>
        <v/>
      </c>
      <c r="HW3" s="115">
        <f>"EW"</f>
        <v/>
      </c>
      <c r="HX3" s="115">
        <f>"EX"</f>
        <v/>
      </c>
      <c r="HY3" s="115">
        <f>"EY"</f>
        <v/>
      </c>
      <c r="HZ3" s="115">
        <f>"EZ"</f>
        <v/>
      </c>
      <c r="IA3" s="115">
        <f>"FA"</f>
        <v/>
      </c>
      <c r="IB3" s="115">
        <f>"FB"</f>
        <v/>
      </c>
      <c r="IC3" s="115">
        <f>"FC"</f>
        <v/>
      </c>
      <c r="ID3" s="115">
        <f>"FD"</f>
        <v/>
      </c>
      <c r="IE3" s="115">
        <f>"FE"</f>
        <v/>
      </c>
      <c r="IF3" s="115">
        <f>"FF"</f>
        <v/>
      </c>
      <c r="IG3" s="115">
        <f>"FG"</f>
        <v/>
      </c>
      <c r="IH3" s="115">
        <f>"FH"</f>
        <v/>
      </c>
      <c r="II3" s="115">
        <f>"FI"</f>
        <v/>
      </c>
      <c r="IJ3" s="115">
        <f>"FJ"</f>
        <v/>
      </c>
      <c r="IK3" s="115">
        <f>"FK"</f>
        <v/>
      </c>
      <c r="IL3" s="115">
        <f>"FL"</f>
        <v/>
      </c>
      <c r="IM3" s="115">
        <f>"FM"</f>
        <v/>
      </c>
      <c r="IN3" s="115">
        <f>"FN"</f>
        <v/>
      </c>
      <c r="IO3" s="115">
        <f>"FO"</f>
        <v/>
      </c>
      <c r="IP3" s="115">
        <f>"FP"</f>
        <v/>
      </c>
      <c r="IQ3" s="115">
        <f>"FQ"</f>
        <v/>
      </c>
      <c r="IR3" s="115">
        <f>"FR"</f>
        <v/>
      </c>
      <c r="IS3" s="115">
        <f>"FS"</f>
        <v/>
      </c>
      <c r="IT3" s="115">
        <f>"FT"</f>
        <v/>
      </c>
      <c r="IU3" s="115">
        <f>"FU"</f>
        <v/>
      </c>
      <c r="IV3" s="115">
        <f>"FV"</f>
        <v/>
      </c>
      <c r="IW3" s="115">
        <f>"FW"</f>
        <v/>
      </c>
      <c r="IX3" s="115">
        <f>"FX"</f>
        <v/>
      </c>
      <c r="IY3" s="115">
        <f>"FY"</f>
        <v/>
      </c>
      <c r="IZ3" s="115">
        <f>"FZ"</f>
        <v/>
      </c>
      <c r="JA3" s="115">
        <f>"GA"</f>
        <v/>
      </c>
      <c r="JB3" s="115">
        <f>"GB"</f>
        <v/>
      </c>
      <c r="JC3" s="115">
        <f>"GC"</f>
        <v/>
      </c>
      <c r="JD3" s="115">
        <f>"GD"</f>
        <v/>
      </c>
      <c r="JE3" s="115">
        <f>"GE"</f>
        <v/>
      </c>
      <c r="JF3" s="115">
        <f>"GF"</f>
        <v/>
      </c>
      <c r="JG3" s="115">
        <f>"GG"</f>
        <v/>
      </c>
      <c r="JH3" s="115">
        <f>"GH"</f>
        <v/>
      </c>
      <c r="JI3" s="115">
        <f>"GI"</f>
        <v/>
      </c>
      <c r="JJ3" s="115">
        <f>"GJ"</f>
        <v/>
      </c>
      <c r="JK3" s="115">
        <f>"GK"</f>
        <v/>
      </c>
      <c r="JL3" s="115">
        <f>"GL"</f>
        <v/>
      </c>
      <c r="JM3" s="115">
        <f>"GM"</f>
        <v/>
      </c>
      <c r="JN3" s="115">
        <f>"GN"</f>
        <v/>
      </c>
      <c r="JO3" s="115">
        <f>"GO"</f>
        <v/>
      </c>
      <c r="JP3" s="115">
        <f>"GP"</f>
        <v/>
      </c>
      <c r="JQ3" s="115">
        <f>"GQ"</f>
        <v/>
      </c>
      <c r="JR3" s="115">
        <f>"GR"</f>
        <v/>
      </c>
      <c r="JS3" s="115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CB4" s="111">
        <f>IF(ISNUMBER('DADOS BRUTOS'!B$2),DATE(YEAR('DADOS BRUTOS'!B$2),MONTH('DADOS BRUTOS'!B$2),1),"")</f>
        <v/>
      </c>
      <c r="CC4" s="111">
        <f>IF(ISNUMBER('DADOS BRUTOS'!C$2),DATE(YEAR('DADOS BRUTOS'!C$2),MONTH('DADOS BRUTOS'!C$2),1),"")</f>
        <v/>
      </c>
      <c r="CD4" s="111">
        <f>IF(ISNUMBER('DADOS BRUTOS'!D$2),DATE(YEAR('DADOS BRUTOS'!D$2),MONTH('DADOS BRUTOS'!D$2),1),"")</f>
        <v/>
      </c>
      <c r="CE4" s="111">
        <f>IF(ISNUMBER('DADOS BRUTOS'!E$2),DATE(YEAR('DADOS BRUTOS'!E$2),MONTH('DADOS BRUTOS'!E$2),1),"")</f>
        <v/>
      </c>
      <c r="CF4" s="111">
        <f>IF(ISNUMBER('DADOS BRUTOS'!F$2),DATE(YEAR('DADOS BRUTOS'!F$2),MONTH('DADOS BRUTOS'!F$2),1),"")</f>
        <v/>
      </c>
      <c r="CG4" s="111">
        <f>IF(ISNUMBER('DADOS BRUTOS'!G$2),DATE(YEAR('DADOS BRUTOS'!G$2),MONTH('DADOS BRUTOS'!G$2),1),"")</f>
        <v/>
      </c>
      <c r="CH4" s="111">
        <f>IF(ISNUMBER('DADOS BRUTOS'!H$2),DATE(YEAR('DADOS BRUTOS'!H$2),MONTH('DADOS BRUTOS'!H$2),1),"")</f>
        <v/>
      </c>
      <c r="CI4" s="111">
        <f>IF(ISNUMBER('DADOS BRUTOS'!I$2),DATE(YEAR('DADOS BRUTOS'!I$2),MONTH('DADOS BRUTOS'!I$2),1),"")</f>
        <v/>
      </c>
      <c r="CJ4" s="111">
        <f>IF(ISNUMBER('DADOS BRUTOS'!J$2),DATE(YEAR('DADOS BRUTOS'!J$2),MONTH('DADOS BRUTOS'!J$2),1),"")</f>
        <v/>
      </c>
      <c r="CK4" s="111">
        <f>IF(ISNUMBER('DADOS BRUTOS'!K$2),DATE(YEAR('DADOS BRUTOS'!K$2),MONTH('DADOS BRUTOS'!K$2),1),"")</f>
        <v/>
      </c>
      <c r="CL4" s="111">
        <f>IF(ISNUMBER('DADOS BRUTOS'!L$2),DATE(YEAR('DADOS BRUTOS'!L$2),MONTH('DADOS BRUTOS'!L$2),1),"")</f>
        <v/>
      </c>
      <c r="CM4" s="111">
        <f>IF(ISNUMBER('DADOS BRUTOS'!M$2),DATE(YEAR('DADOS BRUTOS'!M$2),MONTH('DADOS BRUTOS'!M$2),1),"")</f>
        <v/>
      </c>
      <c r="CN4" s="111">
        <f>IF(ISNUMBER('DADOS BRUTOS'!N$2),DATE(YEAR('DADOS BRUTOS'!N$2),MONTH('DADOS BRUTOS'!N$2),1),"")</f>
        <v/>
      </c>
      <c r="CO4" s="111">
        <f>IF(ISNUMBER('DADOS BRUTOS'!O$2),DATE(YEAR('DADOS BRUTOS'!O$2),MONTH('DADOS BRUTOS'!O$2),1),"")</f>
        <v/>
      </c>
      <c r="CP4" s="111">
        <f>IF(ISNUMBER('DADOS BRUTOS'!P$2),DATE(YEAR('DADOS BRUTOS'!P$2),MONTH('DADOS BRUTOS'!P$2),1),"")</f>
        <v/>
      </c>
      <c r="CQ4" s="111">
        <f>IF(ISNUMBER('DADOS BRUTOS'!Q$2),DATE(YEAR('DADOS BRUTOS'!Q$2),MONTH('DADOS BRUTOS'!Q$2),1),"")</f>
        <v/>
      </c>
      <c r="CR4" s="111">
        <f>IF(ISNUMBER('DADOS BRUTOS'!R$2),DATE(YEAR('DADOS BRUTOS'!R$2),MONTH('DADOS BRUTOS'!R$2),1),"")</f>
        <v/>
      </c>
      <c r="CS4" s="111">
        <f>IF(ISNUMBER('DADOS BRUTOS'!S$2),DATE(YEAR('DADOS BRUTOS'!S$2),MONTH('DADOS BRUTOS'!S$2),1),"")</f>
        <v/>
      </c>
      <c r="CT4" s="111">
        <f>IF(ISNUMBER('DADOS BRUTOS'!T$2),DATE(YEAR('DADOS BRUTOS'!T$2),MONTH('DADOS BRUTOS'!T$2),1),"")</f>
        <v/>
      </c>
      <c r="CU4" s="111">
        <f>IF(ISNUMBER('DADOS BRUTOS'!U$2),DATE(YEAR('DADOS BRUTOS'!U$2),MONTH('DADOS BRUTOS'!U$2),1),"")</f>
        <v/>
      </c>
      <c r="CV4" s="111">
        <f>IF(ISNUMBER('DADOS BRUTOS'!V$2),DATE(YEAR('DADOS BRUTOS'!V$2),MONTH('DADOS BRUTOS'!V$2),1),"")</f>
        <v/>
      </c>
      <c r="CW4" s="111">
        <f>IF(ISNUMBER('DADOS BRUTOS'!W$2),DATE(YEAR('DADOS BRUTOS'!W$2),MONTH('DADOS BRUTOS'!W$2),1),"")</f>
        <v/>
      </c>
      <c r="CX4" s="111">
        <f>IF(ISNUMBER('DADOS BRUTOS'!X$2),DATE(YEAR('DADOS BRUTOS'!X$2),MONTH('DADOS BRUTOS'!X$2),1),"")</f>
        <v/>
      </c>
      <c r="CY4" s="111">
        <f>IF(ISNUMBER('DADOS BRUTOS'!Y$2),DATE(YEAR('DADOS BRUTOS'!Y$2),MONTH('DADOS BRUTOS'!Y$2),1),"")</f>
        <v/>
      </c>
      <c r="CZ4" s="111">
        <f>IF(ISNUMBER('DADOS BRUTOS'!Z$2),DATE(YEAR('DADOS BRUTOS'!Z$2),MONTH('DADOS BRUTOS'!Z$2),1),"")</f>
        <v/>
      </c>
      <c r="DA4" s="111">
        <f>IF(ISNUMBER('DADOS BRUTOS'!AA$2),DATE(YEAR('DADOS BRUTOS'!AA$2),MONTH('DADOS BRUTOS'!AA$2),1),"")</f>
        <v/>
      </c>
      <c r="DB4" s="111">
        <f>IF(ISNUMBER('DADOS BRUTOS'!AB$2),DATE(YEAR('DADOS BRUTOS'!AB$2),MONTH('DADOS BRUTOS'!AB$2),1),"")</f>
        <v/>
      </c>
      <c r="DC4" s="111">
        <f>IF(ISNUMBER('DADOS BRUTOS'!AC$2),DATE(YEAR('DADOS BRUTOS'!AC$2),MONTH('DADOS BRUTOS'!AC$2),1),"")</f>
        <v/>
      </c>
      <c r="DD4" s="111">
        <f>IF(ISNUMBER('DADOS BRUTOS'!AD$2),DATE(YEAR('DADOS BRUTOS'!AD$2),MONTH('DADOS BRUTOS'!AD$2),1),"")</f>
        <v/>
      </c>
      <c r="DE4" s="111">
        <f>IF(ISNUMBER('DADOS BRUTOS'!AE$2),DATE(YEAR('DADOS BRUTOS'!AE$2),MONTH('DADOS BRUTOS'!AE$2),1),"")</f>
        <v/>
      </c>
      <c r="DF4" s="111">
        <f>IF(ISNUMBER('DADOS BRUTOS'!AF$2),DATE(YEAR('DADOS BRUTOS'!AF$2),MONTH('DADOS BRUTOS'!AF$2),1),"")</f>
        <v/>
      </c>
      <c r="DG4" s="111">
        <f>IF(ISNUMBER('DADOS BRUTOS'!AG$2),DATE(YEAR('DADOS BRUTOS'!AG$2),MONTH('DADOS BRUTOS'!AG$2),1),"")</f>
        <v/>
      </c>
      <c r="DH4" s="111">
        <f>IF(ISNUMBER('DADOS BRUTOS'!AH$2),DATE(YEAR('DADOS BRUTOS'!AH$2),MONTH('DADOS BRUTOS'!AH$2),1),"")</f>
        <v/>
      </c>
      <c r="DI4" s="111">
        <f>IF(ISNUMBER('DADOS BRUTOS'!AI$2),DATE(YEAR('DADOS BRUTOS'!AI$2),MONTH('DADOS BRUTOS'!AI$2),1),"")</f>
        <v/>
      </c>
      <c r="DJ4" s="111">
        <f>IF(ISNUMBER('DADOS BRUTOS'!AJ$2),DATE(YEAR('DADOS BRUTOS'!AJ$2),MONTH('DADOS BRUTOS'!AJ$2),1),"")</f>
        <v/>
      </c>
      <c r="DK4" s="111">
        <f>IF(ISNUMBER('DADOS BRUTOS'!AK$2),DATE(YEAR('DADOS BRUTOS'!AK$2),MONTH('DADOS BRUTOS'!AK$2),1),"")</f>
        <v/>
      </c>
      <c r="DL4" s="111">
        <f>IF(ISNUMBER('DADOS BRUTOS'!AL$2),DATE(YEAR('DADOS BRUTOS'!AL$2),MONTH('DADOS BRUTOS'!AL$2),1),"")</f>
        <v/>
      </c>
      <c r="DM4" s="111">
        <f>IF(ISNUMBER('DADOS BRUTOS'!AM$2),DATE(YEAR('DADOS BRUTOS'!AM$2),MONTH('DADOS BRUTOS'!AM$2),1),"")</f>
        <v/>
      </c>
      <c r="DN4" s="111">
        <f>IF(ISNUMBER('DADOS BRUTOS'!AN$2),DATE(YEAR('DADOS BRUTOS'!AN$2),MONTH('DADOS BRUTOS'!AN$2),1),"")</f>
        <v/>
      </c>
      <c r="DO4" s="111">
        <f>IF(ISNUMBER('DADOS BRUTOS'!AO$2),DATE(YEAR('DADOS BRUTOS'!AO$2),MONTH('DADOS BRUTOS'!AO$2),1),"")</f>
        <v/>
      </c>
      <c r="DP4" s="111">
        <f>IF(ISNUMBER('DADOS BRUTOS'!AP$2),DATE(YEAR('DADOS BRUTOS'!AP$2),MONTH('DADOS BRUTOS'!AP$2),1),"")</f>
        <v/>
      </c>
      <c r="DQ4" s="111">
        <f>IF(ISNUMBER('DADOS BRUTOS'!AQ$2),DATE(YEAR('DADOS BRUTOS'!AQ$2),MONTH('DADOS BRUTOS'!AQ$2),1),"")</f>
        <v/>
      </c>
      <c r="DR4" s="111">
        <f>IF(ISNUMBER('DADOS BRUTOS'!AR$2),DATE(YEAR('DADOS BRUTOS'!AR$2),MONTH('DADOS BRUTOS'!AR$2),1),"")</f>
        <v/>
      </c>
      <c r="DS4" s="111">
        <f>IF(ISNUMBER('DADOS BRUTOS'!AS$2),DATE(YEAR('DADOS BRUTOS'!AS$2),MONTH('DADOS BRUTOS'!AS$2),1),"")</f>
        <v/>
      </c>
      <c r="DT4" s="111">
        <f>IF(ISNUMBER('DADOS BRUTOS'!AT$2),DATE(YEAR('DADOS BRUTOS'!AT$2),MONTH('DADOS BRUTOS'!AT$2),1),"")</f>
        <v/>
      </c>
      <c r="DU4" s="111">
        <f>IF(ISNUMBER('DADOS BRUTOS'!AU$2),DATE(YEAR('DADOS BRUTOS'!AU$2),MONTH('DADOS BRUTOS'!AU$2),1),"")</f>
        <v/>
      </c>
      <c r="DV4" s="111">
        <f>IF(ISNUMBER('DADOS BRUTOS'!AV$2),DATE(YEAR('DADOS BRUTOS'!AV$2),MONTH('DADOS BRUTOS'!AV$2),1),"")</f>
        <v/>
      </c>
      <c r="DW4" s="111">
        <f>IF(ISNUMBER('DADOS BRUTOS'!AW$2),DATE(YEAR('DADOS BRUTOS'!AW$2),MONTH('DADOS BRUTOS'!AW$2),1),"")</f>
        <v/>
      </c>
      <c r="DX4" s="111">
        <f>IF(ISNUMBER('DADOS BRUTOS'!AX$2),DATE(YEAR('DADOS BRUTOS'!AX$2),MONTH('DADOS BRUTOS'!AX$2),1),"")</f>
        <v/>
      </c>
      <c r="DY4" s="111">
        <f>IF(ISNUMBER('DADOS BRUTOS'!AY$2),DATE(YEAR('DADOS BRUTOS'!AY$2),MONTH('DADOS BRUTOS'!AY$2),1),"")</f>
        <v/>
      </c>
      <c r="DZ4" s="111">
        <f>IF(ISNUMBER('DADOS BRUTOS'!AZ$2),DATE(YEAR('DADOS BRUTOS'!AZ$2),MONTH('DADOS BRUTOS'!AZ$2),1),"")</f>
        <v/>
      </c>
      <c r="EA4" s="111">
        <f>IF(ISNUMBER('DADOS BRUTOS'!BA$2),DATE(YEAR('DADOS BRUTOS'!BA$2),MONTH('DADOS BRUTOS'!BA$2),1),"")</f>
        <v/>
      </c>
      <c r="EB4" s="111">
        <f>IF(ISNUMBER('DADOS BRUTOS'!BB$2),DATE(YEAR('DADOS BRUTOS'!BB$2),MONTH('DADOS BRUTOS'!BB$2),1),"")</f>
        <v/>
      </c>
      <c r="EC4" s="111">
        <f>IF(ISNUMBER('DADOS BRUTOS'!BC$2),DATE(YEAR('DADOS BRUTOS'!BC$2),MONTH('DADOS BRUTOS'!BC$2),1),"")</f>
        <v/>
      </c>
      <c r="ED4" s="111">
        <f>IF(ISNUMBER('DADOS BRUTOS'!BD$2),DATE(YEAR('DADOS BRUTOS'!BD$2),MONTH('DADOS BRUTOS'!BD$2),1),"")</f>
        <v/>
      </c>
      <c r="EE4" s="111">
        <f>IF(ISNUMBER('DADOS BRUTOS'!BE$2),DATE(YEAR('DADOS BRUTOS'!BE$2),MONTH('DADOS BRUTOS'!BE$2),1),"")</f>
        <v/>
      </c>
      <c r="EF4" s="111">
        <f>IF(ISNUMBER('DADOS BRUTOS'!BF$2),DATE(YEAR('DADOS BRUTOS'!BF$2),MONTH('DADOS BRUTOS'!BF$2),1),"")</f>
        <v/>
      </c>
      <c r="EG4" s="111">
        <f>IF(ISNUMBER('DADOS BRUTOS'!BG$2),DATE(YEAR('DADOS BRUTOS'!BG$2),MONTH('DADOS BRUTOS'!BG$2),1),"")</f>
        <v/>
      </c>
      <c r="EH4" s="111">
        <f>IF(ISNUMBER('DADOS BRUTOS'!BH$2),DATE(YEAR('DADOS BRUTOS'!BH$2),MONTH('DADOS BRUTOS'!BH$2),1),"")</f>
        <v/>
      </c>
      <c r="EI4" s="111">
        <f>IF(ISNUMBER('DADOS BRUTOS'!BI$2),DATE(YEAR('DADOS BRUTOS'!BI$2),MONTH('DADOS BRUTOS'!BI$2),1),"")</f>
        <v/>
      </c>
      <c r="EJ4" s="111">
        <f>IF(ISNUMBER('DADOS BRUTOS'!BJ$2),DATE(YEAR('DADOS BRUTOS'!BJ$2),MONTH('DADOS BRUTOS'!BJ$2),1),"")</f>
        <v/>
      </c>
      <c r="EK4" s="111">
        <f>IF(ISNUMBER('DADOS BRUTOS'!BK$2),DATE(YEAR('DADOS BRUTOS'!BK$2),MONTH('DADOS BRUTOS'!BK$2),1),"")</f>
        <v/>
      </c>
      <c r="EL4" s="111">
        <f>IF(ISNUMBER('DADOS BRUTOS'!BL$2),DATE(YEAR('DADOS BRUTOS'!BL$2),MONTH('DADOS BRUTOS'!BL$2),1),"")</f>
        <v/>
      </c>
      <c r="EM4" s="111">
        <f>IF(ISNUMBER('DADOS BRUTOS'!BM$2),DATE(YEAR('DADOS BRUTOS'!BM$2),MONTH('DADOS BRUTOS'!BM$2),1),"")</f>
        <v/>
      </c>
      <c r="EN4" s="111">
        <f>IF(ISNUMBER('DADOS BRUTOS'!BN$2),DATE(YEAR('DADOS BRUTOS'!BN$2),MONTH('DADOS BRUTOS'!BN$2),1),"")</f>
        <v/>
      </c>
      <c r="EO4" s="111">
        <f>IF(ISNUMBER('DADOS BRUTOS'!BO$2),DATE(YEAR('DADOS BRUTOS'!BO$2),MONTH('DADOS BRUTOS'!BO$2),1),"")</f>
        <v/>
      </c>
      <c r="EP4" s="111">
        <f>IF(ISNUMBER('DADOS BRUTOS'!BP$2),DATE(YEAR('DADOS BRUTOS'!BP$2),MONTH('DADOS BRUTOS'!BP$2),1),"")</f>
        <v/>
      </c>
      <c r="EQ4" s="111">
        <f>IF(ISNUMBER('DADOS BRUTOS'!BQ$2),DATE(YEAR('DADOS BRUTOS'!BQ$2),MONTH('DADOS BRUTOS'!BQ$2),1),"")</f>
        <v/>
      </c>
      <c r="ER4" s="111">
        <f>IF(ISNUMBER('DADOS BRUTOS'!BR$2),DATE(YEAR('DADOS BRUTOS'!BR$2),MONTH('DADOS BRUTOS'!BR$2),1),"")</f>
        <v/>
      </c>
      <c r="ES4" s="111">
        <f>IF(ISNUMBER('DADOS BRUTOS'!BS$2),DATE(YEAR('DADOS BRUTOS'!BS$2),MONTH('DADOS BRUTOS'!BS$2),1),"")</f>
        <v/>
      </c>
      <c r="ET4" s="111">
        <f>IF(ISNUMBER('DADOS BRUTOS'!BT$2),DATE(YEAR('DADOS BRUTOS'!BT$2),MONTH('DADOS BRUTOS'!BT$2),1),"")</f>
        <v/>
      </c>
      <c r="EU4" s="111">
        <f>IF(ISNUMBER('DADOS BRUTOS'!BU$2),DATE(YEAR('DADOS BRUTOS'!BU$2),MONTH('DADOS BRUTOS'!BU$2),1),"")</f>
        <v/>
      </c>
      <c r="EV4" s="111">
        <f>IF(ISNUMBER('DADOS BRUTOS'!BV$2),DATE(YEAR('DADOS BRUTOS'!BV$2),MONTH('DADOS BRUTOS'!BV$2),1),"")</f>
        <v/>
      </c>
      <c r="EW4" s="111">
        <f>IF(ISNUMBER('DADOS BRUTOS'!BW$2),DATE(YEAR('DADOS BRUTOS'!BW$2),MONTH('DADOS BRUTOS'!BW$2),1),"")</f>
        <v/>
      </c>
      <c r="EX4" s="111">
        <f>IF(ISNUMBER('DADOS BRUTOS'!BX$2),DATE(YEAR('DADOS BRUTOS'!BX$2),MONTH('DADOS BRUTOS'!BX$2),1),"")</f>
        <v/>
      </c>
      <c r="EY4" s="111">
        <f>IF(ISNUMBER('DADOS BRUTOS'!BY$2),DATE(YEAR('DADOS BRUTOS'!BY$2),MONTH('DADOS BRUTOS'!BY$2),1),"")</f>
        <v/>
      </c>
      <c r="EZ4" s="111">
        <f>IF(ISNUMBER('DADOS BRUTOS'!BZ$2),DATE(YEAR('DADOS BRUTOS'!BZ$2),MONTH('DADOS BRUTOS'!BZ$2),1),"")</f>
        <v/>
      </c>
      <c r="FA4" s="111">
        <f>IF(ISNUMBER('DADOS BRUTOS'!CA$2),DATE(YEAR('DADOS BRUTOS'!CA$2),MONTH('DADOS BRUTOS'!CA$2),1),"")</f>
        <v/>
      </c>
      <c r="FB4" s="111">
        <f>IF(ISNUMBER('DADOS BRUTOS'!CB$2),DATE(YEAR('DADOS BRUTOS'!CB$2),MONTH('DADOS BRUTOS'!CB$2),1),"")</f>
        <v/>
      </c>
      <c r="FC4" s="111">
        <f>IF(ISNUMBER('DADOS BRUTOS'!CC$2),DATE(YEAR('DADOS BRUTOS'!CC$2),MONTH('DADOS BRUTOS'!CC$2),1),"")</f>
        <v/>
      </c>
      <c r="FD4" s="111">
        <f>IF(ISNUMBER('DADOS BRUTOS'!CD$2),DATE(YEAR('DADOS BRUTOS'!CD$2),MONTH('DADOS BRUTOS'!CD$2),1),"")</f>
        <v/>
      </c>
      <c r="FE4" s="111">
        <f>IF(ISNUMBER('DADOS BRUTOS'!CE$2),DATE(YEAR('DADOS BRUTOS'!CE$2),MONTH('DADOS BRUTOS'!CE$2),1),"")</f>
        <v/>
      </c>
      <c r="FF4" s="111">
        <f>IF(ISNUMBER('DADOS BRUTOS'!CF$2),DATE(YEAR('DADOS BRUTOS'!CF$2),MONTH('DADOS BRUTOS'!CF$2),1),"")</f>
        <v/>
      </c>
      <c r="FG4" s="111">
        <f>IF(ISNUMBER('DADOS BRUTOS'!CG$2),DATE(YEAR('DADOS BRUTOS'!CG$2),MONTH('DADOS BRUTOS'!CG$2),1),"")</f>
        <v/>
      </c>
      <c r="FH4" s="111">
        <f>IF(ISNUMBER('DADOS BRUTOS'!CH$2),DATE(YEAR('DADOS BRUTOS'!CH$2),MONTH('DADOS BRUTOS'!CH$2),1),"")</f>
        <v/>
      </c>
      <c r="FI4" s="111">
        <f>IF(ISNUMBER('DADOS BRUTOS'!CI$2),DATE(YEAR('DADOS BRUTOS'!CI$2),MONTH('DADOS BRUTOS'!CI$2),1),"")</f>
        <v/>
      </c>
      <c r="FJ4" s="111">
        <f>IF(ISNUMBER('DADOS BRUTOS'!CJ$2),DATE(YEAR('DADOS BRUTOS'!CJ$2),MONTH('DADOS BRUTOS'!CJ$2),1),"")</f>
        <v/>
      </c>
      <c r="FK4" s="111">
        <f>IF(ISNUMBER('DADOS BRUTOS'!CK$2),DATE(YEAR('DADOS BRUTOS'!CK$2),MONTH('DADOS BRUTOS'!CK$2),1),"")</f>
        <v/>
      </c>
      <c r="FL4" s="111">
        <f>IF(ISNUMBER('DADOS BRUTOS'!CL$2),DATE(YEAR('DADOS BRUTOS'!CL$2),MONTH('DADOS BRUTOS'!CL$2),1),"")</f>
        <v/>
      </c>
      <c r="FM4" s="111">
        <f>IF(ISNUMBER('DADOS BRUTOS'!CM$2),DATE(YEAR('DADOS BRUTOS'!CM$2),MONTH('DADOS BRUTOS'!CM$2),1),"")</f>
        <v/>
      </c>
      <c r="FN4" s="111">
        <f>IF(ISNUMBER('DADOS BRUTOS'!CN$2),DATE(YEAR('DADOS BRUTOS'!CN$2),MONTH('DADOS BRUTOS'!CN$2),1),"")</f>
        <v/>
      </c>
      <c r="FO4" s="111">
        <f>IF(ISNUMBER('DADOS BRUTOS'!CO$2),DATE(YEAR('DADOS BRUTOS'!CO$2),MONTH('DADOS BRUTOS'!CO$2),1),"")</f>
        <v/>
      </c>
      <c r="FP4" s="111">
        <f>IF(ISNUMBER('DADOS BRUTOS'!CP$2),DATE(YEAR('DADOS BRUTOS'!CP$2),MONTH('DADOS BRUTOS'!CP$2),1),"")</f>
        <v/>
      </c>
      <c r="FQ4" s="111">
        <f>IF(ISNUMBER('DADOS BRUTOS'!CQ$2),DATE(YEAR('DADOS BRUTOS'!CQ$2),MONTH('DADOS BRUTOS'!CQ$2),1),"")</f>
        <v/>
      </c>
      <c r="FR4" s="111">
        <f>IF(ISNUMBER('DADOS BRUTOS'!CR$2),DATE(YEAR('DADOS BRUTOS'!CR$2),MONTH('DADOS BRUTOS'!CR$2),1),"")</f>
        <v/>
      </c>
      <c r="FS4" s="111">
        <f>IF(ISNUMBER('DADOS BRUTOS'!CS$2),DATE(YEAR('DADOS BRUTOS'!CS$2),MONTH('DADOS BRUTOS'!CS$2),1),"")</f>
        <v/>
      </c>
      <c r="FT4" s="111">
        <f>IF(ISNUMBER('DADOS BRUTOS'!CT$2),DATE(YEAR('DADOS BRUTOS'!CT$2),MONTH('DADOS BRUTOS'!CT$2),1),"")</f>
        <v/>
      </c>
      <c r="FU4" s="111">
        <f>IF(ISNUMBER('DADOS BRUTOS'!CU$2),DATE(YEAR('DADOS BRUTOS'!CU$2),MONTH('DADOS BRUTOS'!CU$2),1),"")</f>
        <v/>
      </c>
      <c r="FV4" s="111">
        <f>IF(ISNUMBER('DADOS BRUTOS'!CV$2),DATE(YEAR('DADOS BRUTOS'!CV$2),MONTH('DADOS BRUTOS'!CV$2),1),"")</f>
        <v/>
      </c>
      <c r="FW4" s="111">
        <f>IF(ISNUMBER('DADOS BRUTOS'!CW$2),DATE(YEAR('DADOS BRUTOS'!CW$2),MONTH('DADOS BRUTOS'!CW$2),1),"")</f>
        <v/>
      </c>
      <c r="FX4" s="111">
        <f>IF(ISNUMBER('DADOS BRUTOS'!CX$2),DATE(YEAR('DADOS BRUTOS'!CX$2),MONTH('DADOS BRUTOS'!CX$2),1),"")</f>
        <v/>
      </c>
      <c r="FY4" s="111">
        <f>IF(ISNUMBER('DADOS BRUTOS'!CY$2),DATE(YEAR('DADOS BRUTOS'!CY$2),MONTH('DADOS BRUTOS'!CY$2),1),"")</f>
        <v/>
      </c>
      <c r="FZ4" s="111">
        <f>IF(ISNUMBER('DADOS BRUTOS'!CZ$2),DATE(YEAR('DADOS BRUTOS'!CZ$2),MONTH('DADOS BRUTOS'!CZ$2),1),"")</f>
        <v/>
      </c>
      <c r="GA4" s="111">
        <f>IF(ISNUMBER('DADOS BRUTOS'!DA$2),DATE(YEAR('DADOS BRUTOS'!DA$2),MONTH('DADOS BRUTOS'!DA$2),1),"")</f>
        <v/>
      </c>
      <c r="GB4" s="111">
        <f>IF(ISNUMBER('DADOS BRUTOS'!DB$2),DATE(YEAR('DADOS BRUTOS'!DB$2),MONTH('DADOS BRUTOS'!DB$2),1),"")</f>
        <v/>
      </c>
      <c r="GC4" s="111">
        <f>IF(ISNUMBER('DADOS BRUTOS'!DC$2),DATE(YEAR('DADOS BRUTOS'!DC$2),MONTH('DADOS BRUTOS'!DC$2),1),"")</f>
        <v/>
      </c>
      <c r="GD4" s="111">
        <f>IF(ISNUMBER('DADOS BRUTOS'!DD$2),DATE(YEAR('DADOS BRUTOS'!DD$2),MONTH('DADOS BRUTOS'!DD$2),1),"")</f>
        <v/>
      </c>
      <c r="GE4" s="111">
        <f>IF(ISNUMBER('DADOS BRUTOS'!DE$2),DATE(YEAR('DADOS BRUTOS'!DE$2),MONTH('DADOS BRUTOS'!DE$2),1),"")</f>
        <v/>
      </c>
      <c r="GF4" s="111">
        <f>IF(ISNUMBER('DADOS BRUTOS'!DF$2),DATE(YEAR('DADOS BRUTOS'!DF$2),MONTH('DADOS BRUTOS'!DF$2),1),"")</f>
        <v/>
      </c>
      <c r="GG4" s="111">
        <f>IF(ISNUMBER('DADOS BRUTOS'!DG$2),DATE(YEAR('DADOS BRUTOS'!DG$2),MONTH('DADOS BRUTOS'!DG$2),1),"")</f>
        <v/>
      </c>
      <c r="GH4" s="111">
        <f>IF(ISNUMBER('DADOS BRUTOS'!DH$2),DATE(YEAR('DADOS BRUTOS'!DH$2),MONTH('DADOS BRUTOS'!DH$2),1),"")</f>
        <v/>
      </c>
      <c r="GI4" s="111">
        <f>IF(ISNUMBER('DADOS BRUTOS'!DI$2),DATE(YEAR('DADOS BRUTOS'!DI$2),MONTH('DADOS BRUTOS'!DI$2),1),"")</f>
        <v/>
      </c>
      <c r="GJ4" s="111">
        <f>IF(ISNUMBER('DADOS BRUTOS'!DJ$2),DATE(YEAR('DADOS BRUTOS'!DJ$2),MONTH('DADOS BRUTOS'!DJ$2),1),"")</f>
        <v/>
      </c>
      <c r="GK4" s="111">
        <f>IF(ISNUMBER('DADOS BRUTOS'!DK$2),DATE(YEAR('DADOS BRUTOS'!DK$2),MONTH('DADOS BRUTOS'!DK$2),1),"")</f>
        <v/>
      </c>
      <c r="GL4" s="111">
        <f>IF(ISNUMBER('DADOS BRUTOS'!DL$2),DATE(YEAR('DADOS BRUTOS'!DL$2),MONTH('DADOS BRUTOS'!DL$2),1),"")</f>
        <v/>
      </c>
      <c r="GM4" s="111">
        <f>IF(ISNUMBER('DADOS BRUTOS'!DM$2),DATE(YEAR('DADOS BRUTOS'!DM$2),MONTH('DADOS BRUTOS'!DM$2),1),"")</f>
        <v/>
      </c>
      <c r="GN4" s="111">
        <f>IF(ISNUMBER('DADOS BRUTOS'!DN$2),DATE(YEAR('DADOS BRUTOS'!DN$2),MONTH('DADOS BRUTOS'!DN$2),1),"")</f>
        <v/>
      </c>
      <c r="GO4" s="111">
        <f>IF(ISNUMBER('DADOS BRUTOS'!DO$2),DATE(YEAR('DADOS BRUTOS'!DO$2),MONTH('DADOS BRUTOS'!DO$2),1),"")</f>
        <v/>
      </c>
      <c r="GP4" s="111">
        <f>IF(ISNUMBER('DADOS BRUTOS'!DP$2),DATE(YEAR('DADOS BRUTOS'!DP$2),MONTH('DADOS BRUTOS'!DP$2),1),"")</f>
        <v/>
      </c>
      <c r="GQ4" s="111">
        <f>IF(ISNUMBER('DADOS BRUTOS'!DQ$2),DATE(YEAR('DADOS BRUTOS'!DQ$2),MONTH('DADOS BRUTOS'!DQ$2),1),"")</f>
        <v/>
      </c>
      <c r="GR4" s="111">
        <f>IF(ISNUMBER('DADOS BRUTOS'!DR$2),DATE(YEAR('DADOS BRUTOS'!DR$2),MONTH('DADOS BRUTOS'!DR$2),1),"")</f>
        <v/>
      </c>
      <c r="GS4" s="111">
        <f>IF(ISNUMBER('DADOS BRUTOS'!DS$2),DATE(YEAR('DADOS BRUTOS'!DS$2),MONTH('DADOS BRUTOS'!DS$2),1),"")</f>
        <v/>
      </c>
      <c r="GT4" s="111">
        <f>IF(ISNUMBER('DADOS BRUTOS'!DT$2),DATE(YEAR('DADOS BRUTOS'!DT$2),MONTH('DADOS BRUTOS'!DT$2),1),"")</f>
        <v/>
      </c>
      <c r="GU4" s="111">
        <f>IF(ISNUMBER('DADOS BRUTOS'!DU$2),DATE(YEAR('DADOS BRUTOS'!DU$2),MONTH('DADOS BRUTOS'!DU$2),1),"")</f>
        <v/>
      </c>
      <c r="GV4" s="111">
        <f>IF(ISNUMBER('DADOS BRUTOS'!DV$2),DATE(YEAR('DADOS BRUTOS'!DV$2),MONTH('DADOS BRUTOS'!DV$2),1),"")</f>
        <v/>
      </c>
      <c r="GW4" s="111">
        <f>IF(ISNUMBER('DADOS BRUTOS'!DW$2),DATE(YEAR('DADOS BRUTOS'!DW$2),MONTH('DADOS BRUTOS'!DW$2),1),"")</f>
        <v/>
      </c>
      <c r="GX4" s="111">
        <f>IF(ISNUMBER('DADOS BRUTOS'!DX$2),DATE(YEAR('DADOS BRUTOS'!DX$2),MONTH('DADOS BRUTOS'!DX$2),1),"")</f>
        <v/>
      </c>
      <c r="GY4" s="111">
        <f>IF(ISNUMBER('DADOS BRUTOS'!DY$2),DATE(YEAR('DADOS BRUTOS'!DY$2),MONTH('DADOS BRUTOS'!DY$2),1),"")</f>
        <v/>
      </c>
      <c r="GZ4" s="111">
        <f>IF(ISNUMBER('DADOS BRUTOS'!DZ$2),DATE(YEAR('DADOS BRUTOS'!DZ$2),MONTH('DADOS BRUTOS'!DZ$2),1),"")</f>
        <v/>
      </c>
      <c r="HA4" s="111">
        <f>IF(ISNUMBER('DADOS BRUTOS'!EA$2),DATE(YEAR('DADOS BRUTOS'!EA$2),MONTH('DADOS BRUTOS'!EA$2),1),"")</f>
        <v/>
      </c>
      <c r="HB4" s="111">
        <f>IF(ISNUMBER('DADOS BRUTOS'!EB$2),DATE(YEAR('DADOS BRUTOS'!EB$2),MONTH('DADOS BRUTOS'!EB$2),1),"")</f>
        <v/>
      </c>
      <c r="HC4" s="111">
        <f>IF(ISNUMBER('DADOS BRUTOS'!EC$2),DATE(YEAR('DADOS BRUTOS'!EC$2),MONTH('DADOS BRUTOS'!EC$2),1),"")</f>
        <v/>
      </c>
      <c r="HD4" s="111">
        <f>IF(ISNUMBER('DADOS BRUTOS'!ED$2),DATE(YEAR('DADOS BRUTOS'!ED$2),MONTH('DADOS BRUTOS'!ED$2),1),"")</f>
        <v/>
      </c>
      <c r="HE4" s="111">
        <f>IF(ISNUMBER('DADOS BRUTOS'!EE$2),DATE(YEAR('DADOS BRUTOS'!EE$2),MONTH('DADOS BRUTOS'!EE$2),1),"")</f>
        <v/>
      </c>
      <c r="HF4" s="111">
        <f>IF(ISNUMBER('DADOS BRUTOS'!EF$2),DATE(YEAR('DADOS BRUTOS'!EF$2),MONTH('DADOS BRUTOS'!EF$2),1),"")</f>
        <v/>
      </c>
      <c r="HG4" s="111">
        <f>IF(ISNUMBER('DADOS BRUTOS'!EG$2),DATE(YEAR('DADOS BRUTOS'!EG$2),MONTH('DADOS BRUTOS'!EG$2),1),"")</f>
        <v/>
      </c>
      <c r="HH4" s="111">
        <f>IF(ISNUMBER('DADOS BRUTOS'!EH$2),DATE(YEAR('DADOS BRUTOS'!EH$2),MONTH('DADOS BRUTOS'!EH$2),1),"")</f>
        <v/>
      </c>
      <c r="HI4" s="111">
        <f>IF(ISNUMBER('DADOS BRUTOS'!EI$2),DATE(YEAR('DADOS BRUTOS'!EI$2),MONTH('DADOS BRUTOS'!EI$2),1),"")</f>
        <v/>
      </c>
      <c r="HJ4" s="111">
        <f>IF(ISNUMBER('DADOS BRUTOS'!EJ$2),DATE(YEAR('DADOS BRUTOS'!EJ$2),MONTH('DADOS BRUTOS'!EJ$2),1),"")</f>
        <v/>
      </c>
      <c r="HK4" s="111">
        <f>IF(ISNUMBER('DADOS BRUTOS'!EK$2),DATE(YEAR('DADOS BRUTOS'!EK$2),MONTH('DADOS BRUTOS'!EK$2),1),"")</f>
        <v/>
      </c>
      <c r="HL4" s="111">
        <f>IF(ISNUMBER('DADOS BRUTOS'!EL$2),DATE(YEAR('DADOS BRUTOS'!EL$2),MONTH('DADOS BRUTOS'!EL$2),1),"")</f>
        <v/>
      </c>
      <c r="HM4" s="111">
        <f>IF(ISNUMBER('DADOS BRUTOS'!EM$2),DATE(YEAR('DADOS BRUTOS'!EM$2),MONTH('DADOS BRUTOS'!EM$2),1),"")</f>
        <v/>
      </c>
      <c r="HN4" s="111">
        <f>IF(ISNUMBER('DADOS BRUTOS'!EN$2),DATE(YEAR('DADOS BRUTOS'!EN$2),MONTH('DADOS BRUTOS'!EN$2),1),"")</f>
        <v/>
      </c>
      <c r="HO4" s="111">
        <f>IF(ISNUMBER('DADOS BRUTOS'!EO$2),DATE(YEAR('DADOS BRUTOS'!EO$2),MONTH('DADOS BRUTOS'!EO$2),1),"")</f>
        <v/>
      </c>
      <c r="HP4" s="111">
        <f>IF(ISNUMBER('DADOS BRUTOS'!EP$2),DATE(YEAR('DADOS BRUTOS'!EP$2),MONTH('DADOS BRUTOS'!EP$2),1),"")</f>
        <v/>
      </c>
      <c r="HQ4" s="111">
        <f>IF(ISNUMBER('DADOS BRUTOS'!EQ$2),DATE(YEAR('DADOS BRUTOS'!EQ$2),MONTH('DADOS BRUTOS'!EQ$2),1),"")</f>
        <v/>
      </c>
      <c r="HR4" s="111">
        <f>IF(ISNUMBER('DADOS BRUTOS'!ER$2),DATE(YEAR('DADOS BRUTOS'!ER$2),MONTH('DADOS BRUTOS'!ER$2),1),"")</f>
        <v/>
      </c>
      <c r="HS4" s="111">
        <f>IF(ISNUMBER('DADOS BRUTOS'!ES$2),DATE(YEAR('DADOS BRUTOS'!ES$2),MONTH('DADOS BRUTOS'!ES$2),1),"")</f>
        <v/>
      </c>
      <c r="HT4" s="111">
        <f>IF(ISNUMBER('DADOS BRUTOS'!ET$2),DATE(YEAR('DADOS BRUTOS'!ET$2),MONTH('DADOS BRUTOS'!ET$2),1),"")</f>
        <v/>
      </c>
      <c r="HU4" s="111">
        <f>IF(ISNUMBER('DADOS BRUTOS'!EU$2),DATE(YEAR('DADOS BRUTOS'!EU$2),MONTH('DADOS BRUTOS'!EU$2),1),"")</f>
        <v/>
      </c>
      <c r="HV4" s="111">
        <f>IF(ISNUMBER('DADOS BRUTOS'!EV$2),DATE(YEAR('DADOS BRUTOS'!EV$2),MONTH('DADOS BRUTOS'!EV$2),1),"")</f>
        <v/>
      </c>
      <c r="HW4" s="111">
        <f>IF(ISNUMBER('DADOS BRUTOS'!EW$2),DATE(YEAR('DADOS BRUTOS'!EW$2),MONTH('DADOS BRUTOS'!EW$2),1),"")</f>
        <v/>
      </c>
      <c r="HX4" s="111">
        <f>IF(ISNUMBER('DADOS BRUTOS'!EX$2),DATE(YEAR('DADOS BRUTOS'!EX$2),MONTH('DADOS BRUTOS'!EX$2),1),"")</f>
        <v/>
      </c>
      <c r="HY4" s="111">
        <f>IF(ISNUMBER('DADOS BRUTOS'!EY$2),DATE(YEAR('DADOS BRUTOS'!EY$2),MONTH('DADOS BRUTOS'!EY$2),1),"")</f>
        <v/>
      </c>
      <c r="HZ4" s="111">
        <f>IF(ISNUMBER('DADOS BRUTOS'!EZ$2),DATE(YEAR('DADOS BRUTOS'!EZ$2),MONTH('DADOS BRUTOS'!EZ$2),1),"")</f>
        <v/>
      </c>
      <c r="IA4" s="111">
        <f>IF(ISNUMBER('DADOS BRUTOS'!FA$2),DATE(YEAR('DADOS BRUTOS'!FA$2),MONTH('DADOS BRUTOS'!FA$2),1),"")</f>
        <v/>
      </c>
      <c r="IB4" s="111">
        <f>IF(ISNUMBER('DADOS BRUTOS'!FB$2),DATE(YEAR('DADOS BRUTOS'!FB$2),MONTH('DADOS BRUTOS'!FB$2),1),"")</f>
        <v/>
      </c>
      <c r="IC4" s="111">
        <f>IF(ISNUMBER('DADOS BRUTOS'!FC$2),DATE(YEAR('DADOS BRUTOS'!FC$2),MONTH('DADOS BRUTOS'!FC$2),1),"")</f>
        <v/>
      </c>
      <c r="ID4" s="111">
        <f>IF(ISNUMBER('DADOS BRUTOS'!FD$2),DATE(YEAR('DADOS BRUTOS'!FD$2),MONTH('DADOS BRUTOS'!FD$2),1),"")</f>
        <v/>
      </c>
      <c r="IE4" s="111">
        <f>IF(ISNUMBER('DADOS BRUTOS'!FE$2),DATE(YEAR('DADOS BRUTOS'!FE$2),MONTH('DADOS BRUTOS'!FE$2),1),"")</f>
        <v/>
      </c>
      <c r="IF4" s="111">
        <f>IF(ISNUMBER('DADOS BRUTOS'!FF$2),DATE(YEAR('DADOS BRUTOS'!FF$2),MONTH('DADOS BRUTOS'!FF$2),1),"")</f>
        <v/>
      </c>
      <c r="IG4" s="111">
        <f>IF(ISNUMBER('DADOS BRUTOS'!FG$2),DATE(YEAR('DADOS BRUTOS'!FG$2),MONTH('DADOS BRUTOS'!FG$2),1),"")</f>
        <v/>
      </c>
      <c r="IH4" s="111">
        <f>IF(ISNUMBER('DADOS BRUTOS'!FH$2),DATE(YEAR('DADOS BRUTOS'!FH$2),MONTH('DADOS BRUTOS'!FH$2),1),"")</f>
        <v/>
      </c>
      <c r="II4" s="111">
        <f>IF(ISNUMBER('DADOS BRUTOS'!FI$2),DATE(YEAR('DADOS BRUTOS'!FI$2),MONTH('DADOS BRUTOS'!FI$2),1),"")</f>
        <v/>
      </c>
      <c r="IJ4" s="111">
        <f>IF(ISNUMBER('DADOS BRUTOS'!FJ$2),DATE(YEAR('DADOS BRUTOS'!FJ$2),MONTH('DADOS BRUTOS'!FJ$2),1),"")</f>
        <v/>
      </c>
      <c r="IK4" s="111">
        <f>IF(ISNUMBER('DADOS BRUTOS'!FK$2),DATE(YEAR('DADOS BRUTOS'!FK$2),MONTH('DADOS BRUTOS'!FK$2),1),"")</f>
        <v/>
      </c>
      <c r="IL4" s="111">
        <f>IF(ISNUMBER('DADOS BRUTOS'!FL$2),DATE(YEAR('DADOS BRUTOS'!FL$2),MONTH('DADOS BRUTOS'!FL$2),1),"")</f>
        <v/>
      </c>
      <c r="IM4" s="111">
        <f>IF(ISNUMBER('DADOS BRUTOS'!FM$2),DATE(YEAR('DADOS BRUTOS'!FM$2),MONTH('DADOS BRUTOS'!FM$2),1),"")</f>
        <v/>
      </c>
      <c r="IN4" s="111">
        <f>IF(ISNUMBER('DADOS BRUTOS'!FN$2),DATE(YEAR('DADOS BRUTOS'!FN$2),MONTH('DADOS BRUTOS'!FN$2),1),"")</f>
        <v/>
      </c>
      <c r="IO4" s="111">
        <f>IF(ISNUMBER('DADOS BRUTOS'!FO$2),DATE(YEAR('DADOS BRUTOS'!FO$2),MONTH('DADOS BRUTOS'!FO$2),1),"")</f>
        <v/>
      </c>
      <c r="IP4" s="111">
        <f>IF(ISNUMBER('DADOS BRUTOS'!FP$2),DATE(YEAR('DADOS BRUTOS'!FP$2),MONTH('DADOS BRUTOS'!FP$2),1),"")</f>
        <v/>
      </c>
      <c r="IQ4" s="111">
        <f>IF(ISNUMBER('DADOS BRUTOS'!FQ$2),DATE(YEAR('DADOS BRUTOS'!FQ$2),MONTH('DADOS BRUTOS'!FQ$2),1),"")</f>
        <v/>
      </c>
      <c r="IR4" s="111">
        <f>IF(ISNUMBER('DADOS BRUTOS'!FR$2),DATE(YEAR('DADOS BRUTOS'!FR$2),MONTH('DADOS BRUTOS'!FR$2),1),"")</f>
        <v/>
      </c>
      <c r="IS4" s="111">
        <f>IF(ISNUMBER('DADOS BRUTOS'!FS$2),DATE(YEAR('DADOS BRUTOS'!FS$2),MONTH('DADOS BRUTOS'!FS$2),1),"")</f>
        <v/>
      </c>
      <c r="IT4" s="111">
        <f>IF(ISNUMBER('DADOS BRUTOS'!FT$2),DATE(YEAR('DADOS BRUTOS'!FT$2),MONTH('DADOS BRUTOS'!FT$2),1),"")</f>
        <v/>
      </c>
      <c r="IU4" s="111">
        <f>IF(ISNUMBER('DADOS BRUTOS'!FU$2),DATE(YEAR('DADOS BRUTOS'!FU$2),MONTH('DADOS BRUTOS'!FU$2),1),"")</f>
        <v/>
      </c>
      <c r="IV4" s="111">
        <f>IF(ISNUMBER('DADOS BRUTOS'!FV$2),DATE(YEAR('DADOS BRUTOS'!FV$2),MONTH('DADOS BRUTOS'!FV$2),1),"")</f>
        <v/>
      </c>
      <c r="IW4" s="111">
        <f>IF(ISNUMBER('DADOS BRUTOS'!FW$2),DATE(YEAR('DADOS BRUTOS'!FW$2),MONTH('DADOS BRUTOS'!FW$2),1),"")</f>
        <v/>
      </c>
      <c r="IX4" s="111">
        <f>IF(ISNUMBER('DADOS BRUTOS'!FX$2),DATE(YEAR('DADOS BRUTOS'!FX$2),MONTH('DADOS BRUTOS'!FX$2),1),"")</f>
        <v/>
      </c>
      <c r="IY4" s="111">
        <f>IF(ISNUMBER('DADOS BRUTOS'!FY$2),DATE(YEAR('DADOS BRUTOS'!FY$2),MONTH('DADOS BRUTOS'!FY$2),1),"")</f>
        <v/>
      </c>
      <c r="IZ4" s="111">
        <f>IF(ISNUMBER('DADOS BRUTOS'!FZ$2),DATE(YEAR('DADOS BRUTOS'!FZ$2),MONTH('DADOS BRUTOS'!FZ$2),1),"")</f>
        <v/>
      </c>
      <c r="JA4" s="111">
        <f>IF(ISNUMBER('DADOS BRUTOS'!GA$2),DATE(YEAR('DADOS BRUTOS'!GA$2),MONTH('DADOS BRUTOS'!GA$2),1),"")</f>
        <v/>
      </c>
      <c r="JB4" s="111">
        <f>IF(ISNUMBER('DADOS BRUTOS'!GB$2),DATE(YEAR('DADOS BRUTOS'!GB$2),MONTH('DADOS BRUTOS'!GB$2),1),"")</f>
        <v/>
      </c>
      <c r="JC4" s="111">
        <f>IF(ISNUMBER('DADOS BRUTOS'!GC$2),DATE(YEAR('DADOS BRUTOS'!GC$2),MONTH('DADOS BRUTOS'!GC$2),1),"")</f>
        <v/>
      </c>
      <c r="JD4" s="111">
        <f>IF(ISNUMBER('DADOS BRUTOS'!GD$2),DATE(YEAR('DADOS BRUTOS'!GD$2),MONTH('DADOS BRUTOS'!GD$2),1),"")</f>
        <v/>
      </c>
      <c r="JE4" s="111">
        <f>IF(ISNUMBER('DADOS BRUTOS'!GE$2),DATE(YEAR('DADOS BRUTOS'!GE$2),MONTH('DADOS BRUTOS'!GE$2),1),"")</f>
        <v/>
      </c>
      <c r="JF4" s="111">
        <f>IF(ISNUMBER('DADOS BRUTOS'!GF$2),DATE(YEAR('DADOS BRUTOS'!GF$2),MONTH('DADOS BRUTOS'!GF$2),1),"")</f>
        <v/>
      </c>
      <c r="JG4" s="111">
        <f>IF(ISNUMBER('DADOS BRUTOS'!GG$2),DATE(YEAR('DADOS BRUTOS'!GG$2),MONTH('DADOS BRUTOS'!GG$2),1),"")</f>
        <v/>
      </c>
      <c r="JH4" s="111">
        <f>IF(ISNUMBER('DADOS BRUTOS'!GH$2),DATE(YEAR('DADOS BRUTOS'!GH$2),MONTH('DADOS BRUTOS'!GH$2),1),"")</f>
        <v/>
      </c>
      <c r="JI4" s="111">
        <f>IF(ISNUMBER('DADOS BRUTOS'!GI$2),DATE(YEAR('DADOS BRUTOS'!GI$2),MONTH('DADOS BRUTOS'!GI$2),1),"")</f>
        <v/>
      </c>
      <c r="JJ4" s="111">
        <f>IF(ISNUMBER('DADOS BRUTOS'!GJ$2),DATE(YEAR('DADOS BRUTOS'!GJ$2),MONTH('DADOS BRUTOS'!GJ$2),1),"")</f>
        <v/>
      </c>
      <c r="JK4" s="111">
        <f>IF(ISNUMBER('DADOS BRUTOS'!GK$2),DATE(YEAR('DADOS BRUTOS'!GK$2),MONTH('DADOS BRUTOS'!GK$2),1),"")</f>
        <v/>
      </c>
      <c r="JL4" s="111">
        <f>IF(ISNUMBER('DADOS BRUTOS'!GL$2),DATE(YEAR('DADOS BRUTOS'!GL$2),MONTH('DADOS BRUTOS'!GL$2),1),"")</f>
        <v/>
      </c>
      <c r="JM4" s="111">
        <f>IF(ISNUMBER('DADOS BRUTOS'!GM$2),DATE(YEAR('DADOS BRUTOS'!GM$2),MONTH('DADOS BRUTOS'!GM$2),1),"")</f>
        <v/>
      </c>
      <c r="JN4" s="111">
        <f>IF(ISNUMBER('DADOS BRUTOS'!GN$2),DATE(YEAR('DADOS BRUTOS'!GN$2),MONTH('DADOS BRUTOS'!GN$2),1),"")</f>
        <v/>
      </c>
      <c r="JO4" s="111">
        <f>IF(ISNUMBER('DADOS BRUTOS'!GO$2),DATE(YEAR('DADOS BRUTOS'!GO$2),MONTH('DADOS BRUTOS'!GO$2),1),"")</f>
        <v/>
      </c>
      <c r="JP4" s="111">
        <f>IF(ISNUMBER('DADOS BRUTOS'!GP$2),DATE(YEAR('DADOS BRUTOS'!GP$2),MONTH('DADOS BRUTOS'!GP$2),1),"")</f>
        <v/>
      </c>
      <c r="JQ4" s="111">
        <f>IF(ISNUMBER('DADOS BRUTOS'!GQ$2),DATE(YEAR('DADOS BRUTOS'!GQ$2),MONTH('DADOS BRUTOS'!GQ$2),1),"")</f>
        <v/>
      </c>
      <c r="JR4" s="111">
        <f>IF(ISNUMBER('DADOS BRUTOS'!GR$2),DATE(YEAR('DADOS BRUTOS'!GR$2),MONTH('DADOS BRUTOS'!GR$2),1),"")</f>
        <v/>
      </c>
      <c r="JS4" s="111">
        <f>IF(ISNUMBER('DADOS BRUTOS'!GS$2),DATE(YEAR('DADOS BRUTOS'!GS$2),MONTH('DADOS BRUTOS'!GS$2),1),"")</f>
        <v/>
      </c>
    </row>
    <row r="5">
      <c r="A5" s="60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CB5" s="123">
        <f>IF(OR(CB$4="",$B5=""),0,SUMIF('DADOS BRUTOS'!$A$3:$A$500,$B5,'DADOS BRUTOS'!B$3:B$500)+IF($C5="",0,SUMIF('DADOS BRUTOS'!$A$3:$A$500,$C5,'DADOS BRUTOS'!B$3:B$500)))</f>
        <v/>
      </c>
      <c r="CC5" s="123">
        <f>IF(OR(CC$4="",$B5=""),0,SUMIF('DADOS BRUTOS'!$A$3:$A$500,$B5,'DADOS BRUTOS'!C$3:C$500)+IF($C5="",0,SUMIF('DADOS BRUTOS'!$A$3:$A$500,$C5,'DADOS BRUTOS'!C$3:C$500)))</f>
        <v/>
      </c>
      <c r="CD5" s="123">
        <f>IF(OR(CD$4="",$B5=""),0,SUMIF('DADOS BRUTOS'!$A$3:$A$500,$B5,'DADOS BRUTOS'!D$3:D$500)+IF($C5="",0,SUMIF('DADOS BRUTOS'!$A$3:$A$500,$C5,'DADOS BRUTOS'!D$3:D$500)))</f>
        <v/>
      </c>
      <c r="CE5" s="123">
        <f>IF(OR(CE$4="",$B5=""),0,SUMIF('DADOS BRUTOS'!$A$3:$A$500,$B5,'DADOS BRUTOS'!E$3:E$500)+IF($C5="",0,SUMIF('DADOS BRUTOS'!$A$3:$A$500,$C5,'DADOS BRUTOS'!E$3:E$500)))</f>
        <v/>
      </c>
      <c r="CF5" s="123">
        <f>IF(OR(CF$4="",$B5=""),0,SUMIF('DADOS BRUTOS'!$A$3:$A$500,$B5,'DADOS BRUTOS'!F$3:F$500)+IF($C5="",0,SUMIF('DADOS BRUTOS'!$A$3:$A$500,$C5,'DADOS BRUTOS'!F$3:F$500)))</f>
        <v/>
      </c>
      <c r="CG5" s="123">
        <f>IF(OR(CG$4="",$B5=""),0,SUMIF('DADOS BRUTOS'!$A$3:$A$500,$B5,'DADOS BRUTOS'!G$3:G$500)+IF($C5="",0,SUMIF('DADOS BRUTOS'!$A$3:$A$500,$C5,'DADOS BRUTOS'!G$3:G$500)))</f>
        <v/>
      </c>
      <c r="CH5" s="123">
        <f>IF(OR(CH$4="",$B5=""),0,SUMIF('DADOS BRUTOS'!$A$3:$A$500,$B5,'DADOS BRUTOS'!H$3:H$500)+IF($C5="",0,SUMIF('DADOS BRUTOS'!$A$3:$A$500,$C5,'DADOS BRUTOS'!H$3:H$500)))</f>
        <v/>
      </c>
      <c r="CI5" s="123">
        <f>IF(OR(CI$4="",$B5=""),0,SUMIF('DADOS BRUTOS'!$A$3:$A$500,$B5,'DADOS BRUTOS'!I$3:I$500)+IF($C5="",0,SUMIF('DADOS BRUTOS'!$A$3:$A$500,$C5,'DADOS BRUTOS'!I$3:I$500)))</f>
        <v/>
      </c>
      <c r="CJ5" s="123">
        <f>IF(OR(CJ$4="",$B5=""),0,SUMIF('DADOS BRUTOS'!$A$3:$A$500,$B5,'DADOS BRUTOS'!J$3:J$500)+IF($C5="",0,SUMIF('DADOS BRUTOS'!$A$3:$A$500,$C5,'DADOS BRUTOS'!J$3:J$500)))</f>
        <v/>
      </c>
      <c r="CK5" s="123">
        <f>IF(OR(CK$4="",$B5=""),0,SUMIF('DADOS BRUTOS'!$A$3:$A$500,$B5,'DADOS BRUTOS'!K$3:K$500)+IF($C5="",0,SUMIF('DADOS BRUTOS'!$A$3:$A$500,$C5,'DADOS BRUTOS'!K$3:K$500)))</f>
        <v/>
      </c>
      <c r="CL5" s="123">
        <f>IF(OR(CL$4="",$B5=""),0,SUMIF('DADOS BRUTOS'!$A$3:$A$500,$B5,'DADOS BRUTOS'!L$3:L$500)+IF($C5="",0,SUMIF('DADOS BRUTOS'!$A$3:$A$500,$C5,'DADOS BRUTOS'!L$3:L$500)))</f>
        <v/>
      </c>
      <c r="CM5" s="123">
        <f>IF(OR(CM$4="",$B5=""),0,SUMIF('DADOS BRUTOS'!$A$3:$A$500,$B5,'DADOS BRUTOS'!M$3:M$500)+IF($C5="",0,SUMIF('DADOS BRUTOS'!$A$3:$A$500,$C5,'DADOS BRUTOS'!M$3:M$500)))</f>
        <v/>
      </c>
      <c r="CN5" s="123">
        <f>IF(OR(CN$4="",$B5=""),0,SUMIF('DADOS BRUTOS'!$A$3:$A$500,$B5,'DADOS BRUTOS'!N$3:N$500)+IF($C5="",0,SUMIF('DADOS BRUTOS'!$A$3:$A$500,$C5,'DADOS BRUTOS'!N$3:N$500)))</f>
        <v/>
      </c>
      <c r="CO5" s="123">
        <f>IF(OR(CO$4="",$B5=""),0,SUMIF('DADOS BRUTOS'!$A$3:$A$500,$B5,'DADOS BRUTOS'!O$3:O$500)+IF($C5="",0,SUMIF('DADOS BRUTOS'!$A$3:$A$500,$C5,'DADOS BRUTOS'!O$3:O$500)))</f>
        <v/>
      </c>
      <c r="CP5" s="123">
        <f>IF(OR(CP$4="",$B5=""),0,SUMIF('DADOS BRUTOS'!$A$3:$A$500,$B5,'DADOS BRUTOS'!P$3:P$500)+IF($C5="",0,SUMIF('DADOS BRUTOS'!$A$3:$A$500,$C5,'DADOS BRUTOS'!P$3:P$500)))</f>
        <v/>
      </c>
      <c r="CQ5" s="123">
        <f>IF(OR(CQ$4="",$B5=""),0,SUMIF('DADOS BRUTOS'!$A$3:$A$500,$B5,'DADOS BRUTOS'!Q$3:Q$500)+IF($C5="",0,SUMIF('DADOS BRUTOS'!$A$3:$A$500,$C5,'DADOS BRUTOS'!Q$3:Q$500)))</f>
        <v/>
      </c>
      <c r="CR5" s="123">
        <f>IF(OR(CR$4="",$B5=""),0,SUMIF('DADOS BRUTOS'!$A$3:$A$500,$B5,'DADOS BRUTOS'!R$3:R$500)+IF($C5="",0,SUMIF('DADOS BRUTOS'!$A$3:$A$500,$C5,'DADOS BRUTOS'!R$3:R$500)))</f>
        <v/>
      </c>
      <c r="CS5" s="123">
        <f>IF(OR(CS$4="",$B5=""),0,SUMIF('DADOS BRUTOS'!$A$3:$A$500,$B5,'DADOS BRUTOS'!S$3:S$500)+IF($C5="",0,SUMIF('DADOS BRUTOS'!$A$3:$A$500,$C5,'DADOS BRUTOS'!S$3:S$500)))</f>
        <v/>
      </c>
      <c r="CT5" s="123">
        <f>IF(OR(CT$4="",$B5=""),0,SUMIF('DADOS BRUTOS'!$A$3:$A$500,$B5,'DADOS BRUTOS'!T$3:T$500)+IF($C5="",0,SUMIF('DADOS BRUTOS'!$A$3:$A$500,$C5,'DADOS BRUTOS'!T$3:T$500)))</f>
        <v/>
      </c>
      <c r="CU5" s="123">
        <f>IF(OR(CU$4="",$B5=""),0,SUMIF('DADOS BRUTOS'!$A$3:$A$500,$B5,'DADOS BRUTOS'!U$3:U$500)+IF($C5="",0,SUMIF('DADOS BRUTOS'!$A$3:$A$500,$C5,'DADOS BRUTOS'!U$3:U$500)))</f>
        <v/>
      </c>
      <c r="CV5" s="123">
        <f>IF(OR(CV$4="",$B5=""),0,SUMIF('DADOS BRUTOS'!$A$3:$A$500,$B5,'DADOS BRUTOS'!V$3:V$500)+IF($C5="",0,SUMIF('DADOS BRUTOS'!$A$3:$A$500,$C5,'DADOS BRUTOS'!V$3:V$500)))</f>
        <v/>
      </c>
      <c r="CW5" s="123">
        <f>IF(OR(CW$4="",$B5=""),0,SUMIF('DADOS BRUTOS'!$A$3:$A$500,$B5,'DADOS BRUTOS'!W$3:W$500)+IF($C5="",0,SUMIF('DADOS BRUTOS'!$A$3:$A$500,$C5,'DADOS BRUTOS'!W$3:W$500)))</f>
        <v/>
      </c>
      <c r="CX5" s="123">
        <f>IF(OR(CX$4="",$B5=""),0,SUMIF('DADOS BRUTOS'!$A$3:$A$500,$B5,'DADOS BRUTOS'!X$3:X$500)+IF($C5="",0,SUMIF('DADOS BRUTOS'!$A$3:$A$500,$C5,'DADOS BRUTOS'!X$3:X$500)))</f>
        <v/>
      </c>
      <c r="CY5" s="123">
        <f>IF(OR(CY$4="",$B5=""),0,SUMIF('DADOS BRUTOS'!$A$3:$A$500,$B5,'DADOS BRUTOS'!Y$3:Y$500)+IF($C5="",0,SUMIF('DADOS BRUTOS'!$A$3:$A$500,$C5,'DADOS BRUTOS'!Y$3:Y$500)))</f>
        <v/>
      </c>
      <c r="CZ5" s="123">
        <f>IF(OR(CZ$4="",$B5=""),0,SUMIF('DADOS BRUTOS'!$A$3:$A$500,$B5,'DADOS BRUTOS'!Z$3:Z$500)+IF($C5="",0,SUMIF('DADOS BRUTOS'!$A$3:$A$500,$C5,'DADOS BRUTOS'!Z$3:Z$500)))</f>
        <v/>
      </c>
      <c r="DA5" s="123">
        <f>IF(OR(DA$4="",$B5=""),0,SUMIF('DADOS BRUTOS'!$A$3:$A$500,$B5,'DADOS BRUTOS'!AA$3:AA$500)+IF($C5="",0,SUMIF('DADOS BRUTOS'!$A$3:$A$500,$C5,'DADOS BRUTOS'!AA$3:AA$500)))</f>
        <v/>
      </c>
      <c r="DB5" s="123">
        <f>IF(OR(DB$4="",$B5=""),0,SUMIF('DADOS BRUTOS'!$A$3:$A$500,$B5,'DADOS BRUTOS'!AB$3:AB$500)+IF($C5="",0,SUMIF('DADOS BRUTOS'!$A$3:$A$500,$C5,'DADOS BRUTOS'!AB$3:AB$500)))</f>
        <v/>
      </c>
      <c r="DC5" s="123">
        <f>IF(OR(DC$4="",$B5=""),0,SUMIF('DADOS BRUTOS'!$A$3:$A$500,$B5,'DADOS BRUTOS'!AC$3:AC$500)+IF($C5="",0,SUMIF('DADOS BRUTOS'!$A$3:$A$500,$C5,'DADOS BRUTOS'!AC$3:AC$500)))</f>
        <v/>
      </c>
      <c r="DD5" s="123">
        <f>IF(OR(DD$4="",$B5=""),0,SUMIF('DADOS BRUTOS'!$A$3:$A$500,$B5,'DADOS BRUTOS'!AD$3:AD$500)+IF($C5="",0,SUMIF('DADOS BRUTOS'!$A$3:$A$500,$C5,'DADOS BRUTOS'!AD$3:AD$500)))</f>
        <v/>
      </c>
      <c r="DE5" s="123">
        <f>IF(OR(DE$4="",$B5=""),0,SUMIF('DADOS BRUTOS'!$A$3:$A$500,$B5,'DADOS BRUTOS'!AE$3:AE$500)+IF($C5="",0,SUMIF('DADOS BRUTOS'!$A$3:$A$500,$C5,'DADOS BRUTOS'!AE$3:AE$500)))</f>
        <v/>
      </c>
      <c r="DF5" s="123">
        <f>IF(OR(DF$4="",$B5=""),0,SUMIF('DADOS BRUTOS'!$A$3:$A$500,$B5,'DADOS BRUTOS'!AF$3:AF$500)+IF($C5="",0,SUMIF('DADOS BRUTOS'!$A$3:$A$500,$C5,'DADOS BRUTOS'!AF$3:AF$500)))</f>
        <v/>
      </c>
      <c r="DG5" s="123">
        <f>IF(OR(DG$4="",$B5=""),0,SUMIF('DADOS BRUTOS'!$A$3:$A$500,$B5,'DADOS BRUTOS'!AG$3:AG$500)+IF($C5="",0,SUMIF('DADOS BRUTOS'!$A$3:$A$500,$C5,'DADOS BRUTOS'!AG$3:AG$500)))</f>
        <v/>
      </c>
      <c r="DH5" s="123">
        <f>IF(OR(DH$4="",$B5=""),0,SUMIF('DADOS BRUTOS'!$A$3:$A$500,$B5,'DADOS BRUTOS'!AH$3:AH$500)+IF($C5="",0,SUMIF('DADOS BRUTOS'!$A$3:$A$500,$C5,'DADOS BRUTOS'!AH$3:AH$500)))</f>
        <v/>
      </c>
      <c r="DI5" s="123">
        <f>IF(OR(DI$4="",$B5=""),0,SUMIF('DADOS BRUTOS'!$A$3:$A$500,$B5,'DADOS BRUTOS'!AI$3:AI$500)+IF($C5="",0,SUMIF('DADOS BRUTOS'!$A$3:$A$500,$C5,'DADOS BRUTOS'!AI$3:AI$500)))</f>
        <v/>
      </c>
      <c r="DJ5" s="123">
        <f>IF(OR(DJ$4="",$B5=""),0,SUMIF('DADOS BRUTOS'!$A$3:$A$500,$B5,'DADOS BRUTOS'!AJ$3:AJ$500)+IF($C5="",0,SUMIF('DADOS BRUTOS'!$A$3:$A$500,$C5,'DADOS BRUTOS'!AJ$3:AJ$500)))</f>
        <v/>
      </c>
      <c r="DK5" s="123">
        <f>IF(OR(DK$4="",$B5=""),0,SUMIF('DADOS BRUTOS'!$A$3:$A$500,$B5,'DADOS BRUTOS'!AK$3:AK$500)+IF($C5="",0,SUMIF('DADOS BRUTOS'!$A$3:$A$500,$C5,'DADOS BRUTOS'!AK$3:AK$500)))</f>
        <v/>
      </c>
      <c r="DL5" s="123">
        <f>IF(OR(DL$4="",$B5=""),0,SUMIF('DADOS BRUTOS'!$A$3:$A$500,$B5,'DADOS BRUTOS'!AL$3:AL$500)+IF($C5="",0,SUMIF('DADOS BRUTOS'!$A$3:$A$500,$C5,'DADOS BRUTOS'!AL$3:AL$500)))</f>
        <v/>
      </c>
      <c r="DM5" s="123">
        <f>IF(OR(DM$4="",$B5=""),0,SUMIF('DADOS BRUTOS'!$A$3:$A$500,$B5,'DADOS BRUTOS'!AM$3:AM$500)+IF($C5="",0,SUMIF('DADOS BRUTOS'!$A$3:$A$500,$C5,'DADOS BRUTOS'!AM$3:AM$500)))</f>
        <v/>
      </c>
      <c r="DN5" s="123">
        <f>IF(OR(DN$4="",$B5=""),0,SUMIF('DADOS BRUTOS'!$A$3:$A$500,$B5,'DADOS BRUTOS'!AN$3:AN$500)+IF($C5="",0,SUMIF('DADOS BRUTOS'!$A$3:$A$500,$C5,'DADOS BRUTOS'!AN$3:AN$500)))</f>
        <v/>
      </c>
      <c r="DO5" s="123">
        <f>IF(OR(DO$4="",$B5=""),0,SUMIF('DADOS BRUTOS'!$A$3:$A$500,$B5,'DADOS BRUTOS'!AO$3:AO$500)+IF($C5="",0,SUMIF('DADOS BRUTOS'!$A$3:$A$500,$C5,'DADOS BRUTOS'!AO$3:AO$500)))</f>
        <v/>
      </c>
      <c r="DP5" s="123">
        <f>IF(OR(DP$4="",$B5=""),0,SUMIF('DADOS BRUTOS'!$A$3:$A$500,$B5,'DADOS BRUTOS'!AP$3:AP$500)+IF($C5="",0,SUMIF('DADOS BRUTOS'!$A$3:$A$500,$C5,'DADOS BRUTOS'!AP$3:AP$500)))</f>
        <v/>
      </c>
      <c r="DQ5" s="123">
        <f>IF(OR(DQ$4="",$B5=""),0,SUMIF('DADOS BRUTOS'!$A$3:$A$500,$B5,'DADOS BRUTOS'!AQ$3:AQ$500)+IF($C5="",0,SUMIF('DADOS BRUTOS'!$A$3:$A$500,$C5,'DADOS BRUTOS'!AQ$3:AQ$500)))</f>
        <v/>
      </c>
      <c r="DR5" s="123">
        <f>IF(OR(DR$4="",$B5=""),0,SUMIF('DADOS BRUTOS'!$A$3:$A$500,$B5,'DADOS BRUTOS'!AR$3:AR$500)+IF($C5="",0,SUMIF('DADOS BRUTOS'!$A$3:$A$500,$C5,'DADOS BRUTOS'!AR$3:AR$500)))</f>
        <v/>
      </c>
      <c r="DS5" s="123">
        <f>IF(OR(DS$4="",$B5=""),0,SUMIF('DADOS BRUTOS'!$A$3:$A$500,$B5,'DADOS BRUTOS'!AS$3:AS$500)+IF($C5="",0,SUMIF('DADOS BRUTOS'!$A$3:$A$500,$C5,'DADOS BRUTOS'!AS$3:AS$500)))</f>
        <v/>
      </c>
      <c r="DT5" s="123">
        <f>IF(OR(DT$4="",$B5=""),0,SUMIF('DADOS BRUTOS'!$A$3:$A$500,$B5,'DADOS BRUTOS'!AT$3:AT$500)+IF($C5="",0,SUMIF('DADOS BRUTOS'!$A$3:$A$500,$C5,'DADOS BRUTOS'!AT$3:AT$500)))</f>
        <v/>
      </c>
      <c r="DU5" s="123">
        <f>IF(OR(DU$4="",$B5=""),0,SUMIF('DADOS BRUTOS'!$A$3:$A$500,$B5,'DADOS BRUTOS'!AU$3:AU$500)+IF($C5="",0,SUMIF('DADOS BRUTOS'!$A$3:$A$500,$C5,'DADOS BRUTOS'!AU$3:AU$500)))</f>
        <v/>
      </c>
      <c r="DV5" s="123">
        <f>IF(OR(DV$4="",$B5=""),0,SUMIF('DADOS BRUTOS'!$A$3:$A$500,$B5,'DADOS BRUTOS'!AV$3:AV$500)+IF($C5="",0,SUMIF('DADOS BRUTOS'!$A$3:$A$500,$C5,'DADOS BRUTOS'!AV$3:AV$500)))</f>
        <v/>
      </c>
      <c r="DW5" s="123">
        <f>IF(OR(DW$4="",$B5=""),0,SUMIF('DADOS BRUTOS'!$A$3:$A$500,$B5,'DADOS BRUTOS'!AW$3:AW$500)+IF($C5="",0,SUMIF('DADOS BRUTOS'!$A$3:$A$500,$C5,'DADOS BRUTOS'!AW$3:AW$500)))</f>
        <v/>
      </c>
      <c r="DX5" s="123">
        <f>IF(OR(DX$4="",$B5=""),0,SUMIF('DADOS BRUTOS'!$A$3:$A$500,$B5,'DADOS BRUTOS'!AX$3:AX$500)+IF($C5="",0,SUMIF('DADOS BRUTOS'!$A$3:$A$500,$C5,'DADOS BRUTOS'!AX$3:AX$500)))</f>
        <v/>
      </c>
      <c r="DY5" s="123">
        <f>IF(OR(DY$4="",$B5=""),0,SUMIF('DADOS BRUTOS'!$A$3:$A$500,$B5,'DADOS BRUTOS'!AY$3:AY$500)+IF($C5="",0,SUMIF('DADOS BRUTOS'!$A$3:$A$500,$C5,'DADOS BRUTOS'!AY$3:AY$500)))</f>
        <v/>
      </c>
      <c r="DZ5" s="123">
        <f>IF(OR(DZ$4="",$B5=""),0,SUMIF('DADOS BRUTOS'!$A$3:$A$500,$B5,'DADOS BRUTOS'!AZ$3:AZ$500)+IF($C5="",0,SUMIF('DADOS BRUTOS'!$A$3:$A$500,$C5,'DADOS BRUTOS'!AZ$3:AZ$500)))</f>
        <v/>
      </c>
      <c r="EA5" s="123">
        <f>IF(OR(EA$4="",$B5=""),0,SUMIF('DADOS BRUTOS'!$A$3:$A$500,$B5,'DADOS BRUTOS'!BA$3:BA$500)+IF($C5="",0,SUMIF('DADOS BRUTOS'!$A$3:$A$500,$C5,'DADOS BRUTOS'!BA$3:BA$500)))</f>
        <v/>
      </c>
      <c r="EB5" s="123">
        <f>IF(OR(EB$4="",$B5=""),0,SUMIF('DADOS BRUTOS'!$A$3:$A$500,$B5,'DADOS BRUTOS'!BB$3:BB$500)+IF($C5="",0,SUMIF('DADOS BRUTOS'!$A$3:$A$500,$C5,'DADOS BRUTOS'!BB$3:BB$500)))</f>
        <v/>
      </c>
      <c r="EC5" s="123">
        <f>IF(OR(EC$4="",$B5=""),0,SUMIF('DADOS BRUTOS'!$A$3:$A$500,$B5,'DADOS BRUTOS'!BC$3:BC$500)+IF($C5="",0,SUMIF('DADOS BRUTOS'!$A$3:$A$500,$C5,'DADOS BRUTOS'!BC$3:BC$500)))</f>
        <v/>
      </c>
      <c r="ED5" s="123">
        <f>IF(OR(ED$4="",$B5=""),0,SUMIF('DADOS BRUTOS'!$A$3:$A$500,$B5,'DADOS BRUTOS'!BD$3:BD$500)+IF($C5="",0,SUMIF('DADOS BRUTOS'!$A$3:$A$500,$C5,'DADOS BRUTOS'!BD$3:BD$500)))</f>
        <v/>
      </c>
      <c r="EE5" s="123">
        <f>IF(OR(EE$4="",$B5=""),0,SUMIF('DADOS BRUTOS'!$A$3:$A$500,$B5,'DADOS BRUTOS'!BE$3:BE$500)+IF($C5="",0,SUMIF('DADOS BRUTOS'!$A$3:$A$500,$C5,'DADOS BRUTOS'!BE$3:BE$500)))</f>
        <v/>
      </c>
      <c r="EF5" s="123">
        <f>IF(OR(EF$4="",$B5=""),0,SUMIF('DADOS BRUTOS'!$A$3:$A$500,$B5,'DADOS BRUTOS'!BF$3:BF$500)+IF($C5="",0,SUMIF('DADOS BRUTOS'!$A$3:$A$500,$C5,'DADOS BRUTOS'!BF$3:BF$500)))</f>
        <v/>
      </c>
      <c r="EG5" s="123">
        <f>IF(OR(EG$4="",$B5=""),0,SUMIF('DADOS BRUTOS'!$A$3:$A$500,$B5,'DADOS BRUTOS'!BG$3:BG$500)+IF($C5="",0,SUMIF('DADOS BRUTOS'!$A$3:$A$500,$C5,'DADOS BRUTOS'!BG$3:BG$500)))</f>
        <v/>
      </c>
      <c r="EH5" s="123">
        <f>IF(OR(EH$4="",$B5=""),0,SUMIF('DADOS BRUTOS'!$A$3:$A$500,$B5,'DADOS BRUTOS'!BH$3:BH$500)+IF($C5="",0,SUMIF('DADOS BRUTOS'!$A$3:$A$500,$C5,'DADOS BRUTOS'!BH$3:BH$500)))</f>
        <v/>
      </c>
      <c r="EI5" s="123">
        <f>IF(OR(EI$4="",$B5=""),0,SUMIF('DADOS BRUTOS'!$A$3:$A$500,$B5,'DADOS BRUTOS'!BI$3:BI$500)+IF($C5="",0,SUMIF('DADOS BRUTOS'!$A$3:$A$500,$C5,'DADOS BRUTOS'!BI$3:BI$500)))</f>
        <v/>
      </c>
      <c r="EJ5" s="123">
        <f>IF(OR(EJ$4="",$B5=""),0,SUMIF('DADOS BRUTOS'!$A$3:$A$500,$B5,'DADOS BRUTOS'!BJ$3:BJ$500)+IF($C5="",0,SUMIF('DADOS BRUTOS'!$A$3:$A$500,$C5,'DADOS BRUTOS'!BJ$3:BJ$500)))</f>
        <v/>
      </c>
      <c r="EK5" s="123">
        <f>IF(OR(EK$4="",$B5=""),0,SUMIF('DADOS BRUTOS'!$A$3:$A$500,$B5,'DADOS BRUTOS'!BK$3:BK$500)+IF($C5="",0,SUMIF('DADOS BRUTOS'!$A$3:$A$500,$C5,'DADOS BRUTOS'!BK$3:BK$500)))</f>
        <v/>
      </c>
      <c r="EL5" s="123">
        <f>IF(OR(EL$4="",$B5=""),0,SUMIF('DADOS BRUTOS'!$A$3:$A$500,$B5,'DADOS BRUTOS'!BL$3:BL$500)+IF($C5="",0,SUMIF('DADOS BRUTOS'!$A$3:$A$500,$C5,'DADOS BRUTOS'!BL$3:BL$500)))</f>
        <v/>
      </c>
      <c r="EM5" s="123">
        <f>IF(OR(EM$4="",$B5=""),0,SUMIF('DADOS BRUTOS'!$A$3:$A$500,$B5,'DADOS BRUTOS'!BM$3:BM$500)+IF($C5="",0,SUMIF('DADOS BRUTOS'!$A$3:$A$500,$C5,'DADOS BRUTOS'!BM$3:BM$500)))</f>
        <v/>
      </c>
      <c r="EN5" s="123">
        <f>IF(OR(EN$4="",$B5=""),0,SUMIF('DADOS BRUTOS'!$A$3:$A$500,$B5,'DADOS BRUTOS'!BN$3:BN$500)+IF($C5="",0,SUMIF('DADOS BRUTOS'!$A$3:$A$500,$C5,'DADOS BRUTOS'!BN$3:BN$500)))</f>
        <v/>
      </c>
      <c r="EO5" s="123">
        <f>IF(OR(EO$4="",$B5=""),0,SUMIF('DADOS BRUTOS'!$A$3:$A$500,$B5,'DADOS BRUTOS'!BO$3:BO$500)+IF($C5="",0,SUMIF('DADOS BRUTOS'!$A$3:$A$500,$C5,'DADOS BRUTOS'!BO$3:BO$500)))</f>
        <v/>
      </c>
      <c r="EP5" s="123">
        <f>IF(OR(EP$4="",$B5=""),0,SUMIF('DADOS BRUTOS'!$A$3:$A$500,$B5,'DADOS BRUTOS'!BP$3:BP$500)+IF($C5="",0,SUMIF('DADOS BRUTOS'!$A$3:$A$500,$C5,'DADOS BRUTOS'!BP$3:BP$500)))</f>
        <v/>
      </c>
      <c r="EQ5" s="123">
        <f>IF(OR(EQ$4="",$B5=""),0,SUMIF('DADOS BRUTOS'!$A$3:$A$500,$B5,'DADOS BRUTOS'!BQ$3:BQ$500)+IF($C5="",0,SUMIF('DADOS BRUTOS'!$A$3:$A$500,$C5,'DADOS BRUTOS'!BQ$3:BQ$500)))</f>
        <v/>
      </c>
      <c r="ER5" s="123">
        <f>IF(OR(ER$4="",$B5=""),0,SUMIF('DADOS BRUTOS'!$A$3:$A$500,$B5,'DADOS BRUTOS'!BR$3:BR$500)+IF($C5="",0,SUMIF('DADOS BRUTOS'!$A$3:$A$500,$C5,'DADOS BRUTOS'!BR$3:BR$500)))</f>
        <v/>
      </c>
      <c r="ES5" s="123">
        <f>IF(OR(ES$4="",$B5=""),0,SUMIF('DADOS BRUTOS'!$A$3:$A$500,$B5,'DADOS BRUTOS'!BS$3:BS$500)+IF($C5="",0,SUMIF('DADOS BRUTOS'!$A$3:$A$500,$C5,'DADOS BRUTOS'!BS$3:BS$500)))</f>
        <v/>
      </c>
      <c r="ET5" s="123">
        <f>IF(OR(ET$4="",$B5=""),0,SUMIF('DADOS BRUTOS'!$A$3:$A$500,$B5,'DADOS BRUTOS'!BT$3:BT$500)+IF($C5="",0,SUMIF('DADOS BRUTOS'!$A$3:$A$500,$C5,'DADOS BRUTOS'!BT$3:BT$500)))</f>
        <v/>
      </c>
      <c r="EU5" s="123">
        <f>IF(OR(EU$4="",$B5=""),0,SUMIF('DADOS BRUTOS'!$A$3:$A$500,$B5,'DADOS BRUTOS'!BU$3:BU$500)+IF($C5="",0,SUMIF('DADOS BRUTOS'!$A$3:$A$500,$C5,'DADOS BRUTOS'!BU$3:BU$500)))</f>
        <v/>
      </c>
      <c r="EV5" s="123">
        <f>IF(OR(EV$4="",$B5=""),0,SUMIF('DADOS BRUTOS'!$A$3:$A$500,$B5,'DADOS BRUTOS'!BV$3:BV$500)+IF($C5="",0,SUMIF('DADOS BRUTOS'!$A$3:$A$500,$C5,'DADOS BRUTOS'!BV$3:BV$500)))</f>
        <v/>
      </c>
      <c r="EW5" s="123">
        <f>IF(OR(EW$4="",$B5=""),0,SUMIF('DADOS BRUTOS'!$A$3:$A$500,$B5,'DADOS BRUTOS'!BW$3:BW$500)+IF($C5="",0,SUMIF('DADOS BRUTOS'!$A$3:$A$500,$C5,'DADOS BRUTOS'!BW$3:BW$500)))</f>
        <v/>
      </c>
      <c r="EX5" s="123">
        <f>IF(OR(EX$4="",$B5=""),0,SUMIF('DADOS BRUTOS'!$A$3:$A$500,$B5,'DADOS BRUTOS'!BX$3:BX$500)+IF($C5="",0,SUMIF('DADOS BRUTOS'!$A$3:$A$500,$C5,'DADOS BRUTOS'!BX$3:BX$500)))</f>
        <v/>
      </c>
      <c r="EY5" s="123">
        <f>IF(OR(EY$4="",$B5=""),0,SUMIF('DADOS BRUTOS'!$A$3:$A$500,$B5,'DADOS BRUTOS'!BY$3:BY$500)+IF($C5="",0,SUMIF('DADOS BRUTOS'!$A$3:$A$500,$C5,'DADOS BRUTOS'!BY$3:BY$500)))</f>
        <v/>
      </c>
      <c r="EZ5" s="123">
        <f>IF(OR(EZ$4="",$B5=""),0,SUMIF('DADOS BRUTOS'!$A$3:$A$500,$B5,'DADOS BRUTOS'!BZ$3:BZ$500)+IF($C5="",0,SUMIF('DADOS BRUTOS'!$A$3:$A$500,$C5,'DADOS BRUTOS'!BZ$3:BZ$500)))</f>
        <v/>
      </c>
      <c r="FA5" s="123">
        <f>IF(OR(FA$4="",$B5=""),0,SUMIF('DADOS BRUTOS'!$A$3:$A$500,$B5,'DADOS BRUTOS'!CA$3:CA$500)+IF($C5="",0,SUMIF('DADOS BRUTOS'!$A$3:$A$500,$C5,'DADOS BRUTOS'!CA$3:CA$500)))</f>
        <v/>
      </c>
      <c r="FB5" s="123">
        <f>IF(OR(FB$4="",$B5=""),0,SUMIF('DADOS BRUTOS'!$A$3:$A$500,$B5,'DADOS BRUTOS'!CB$3:CB$500)+IF($C5="",0,SUMIF('DADOS BRUTOS'!$A$3:$A$500,$C5,'DADOS BRUTOS'!CB$3:CB$500)))</f>
        <v/>
      </c>
      <c r="FC5" s="123">
        <f>IF(OR(FC$4="",$B5=""),0,SUMIF('DADOS BRUTOS'!$A$3:$A$500,$B5,'DADOS BRUTOS'!CC$3:CC$500)+IF($C5="",0,SUMIF('DADOS BRUTOS'!$A$3:$A$500,$C5,'DADOS BRUTOS'!CC$3:CC$500)))</f>
        <v/>
      </c>
      <c r="FD5" s="123">
        <f>IF(OR(FD$4="",$B5=""),0,SUMIF('DADOS BRUTOS'!$A$3:$A$500,$B5,'DADOS BRUTOS'!CD$3:CD$500)+IF($C5="",0,SUMIF('DADOS BRUTOS'!$A$3:$A$500,$C5,'DADOS BRUTOS'!CD$3:CD$500)))</f>
        <v/>
      </c>
      <c r="FE5" s="123">
        <f>IF(OR(FE$4="",$B5=""),0,SUMIF('DADOS BRUTOS'!$A$3:$A$500,$B5,'DADOS BRUTOS'!CE$3:CE$500)+IF($C5="",0,SUMIF('DADOS BRUTOS'!$A$3:$A$500,$C5,'DADOS BRUTOS'!CE$3:CE$500)))</f>
        <v/>
      </c>
      <c r="FF5" s="123">
        <f>IF(OR(FF$4="",$B5=""),0,SUMIF('DADOS BRUTOS'!$A$3:$A$500,$B5,'DADOS BRUTOS'!CF$3:CF$500)+IF($C5="",0,SUMIF('DADOS BRUTOS'!$A$3:$A$500,$C5,'DADOS BRUTOS'!CF$3:CF$500)))</f>
        <v/>
      </c>
      <c r="FG5" s="123">
        <f>IF(OR(FG$4="",$B5=""),0,SUMIF('DADOS BRUTOS'!$A$3:$A$500,$B5,'DADOS BRUTOS'!CG$3:CG$500)+IF($C5="",0,SUMIF('DADOS BRUTOS'!$A$3:$A$500,$C5,'DADOS BRUTOS'!CG$3:CG$500)))</f>
        <v/>
      </c>
      <c r="FH5" s="123">
        <f>IF(OR(FH$4="",$B5=""),0,SUMIF('DADOS BRUTOS'!$A$3:$A$500,$B5,'DADOS BRUTOS'!CH$3:CH$500)+IF($C5="",0,SUMIF('DADOS BRUTOS'!$A$3:$A$500,$C5,'DADOS BRUTOS'!CH$3:CH$500)))</f>
        <v/>
      </c>
      <c r="FI5" s="123">
        <f>IF(OR(FI$4="",$B5=""),0,SUMIF('DADOS BRUTOS'!$A$3:$A$500,$B5,'DADOS BRUTOS'!CI$3:CI$500)+IF($C5="",0,SUMIF('DADOS BRUTOS'!$A$3:$A$500,$C5,'DADOS BRUTOS'!CI$3:CI$500)))</f>
        <v/>
      </c>
      <c r="FJ5" s="123">
        <f>IF(OR(FJ$4="",$B5=""),0,SUMIF('DADOS BRUTOS'!$A$3:$A$500,$B5,'DADOS BRUTOS'!CJ$3:CJ$500)+IF($C5="",0,SUMIF('DADOS BRUTOS'!$A$3:$A$500,$C5,'DADOS BRUTOS'!CJ$3:CJ$500)))</f>
        <v/>
      </c>
      <c r="FK5" s="123">
        <f>IF(OR(FK$4="",$B5=""),0,SUMIF('DADOS BRUTOS'!$A$3:$A$500,$B5,'DADOS BRUTOS'!CK$3:CK$500)+IF($C5="",0,SUMIF('DADOS BRUTOS'!$A$3:$A$500,$C5,'DADOS BRUTOS'!CK$3:CK$500)))</f>
        <v/>
      </c>
      <c r="FL5" s="123">
        <f>IF(OR(FL$4="",$B5=""),0,SUMIF('DADOS BRUTOS'!$A$3:$A$500,$B5,'DADOS BRUTOS'!CL$3:CL$500)+IF($C5="",0,SUMIF('DADOS BRUTOS'!$A$3:$A$500,$C5,'DADOS BRUTOS'!CL$3:CL$500)))</f>
        <v/>
      </c>
      <c r="FM5" s="123">
        <f>IF(OR(FM$4="",$B5=""),0,SUMIF('DADOS BRUTOS'!$A$3:$A$500,$B5,'DADOS BRUTOS'!CM$3:CM$500)+IF($C5="",0,SUMIF('DADOS BRUTOS'!$A$3:$A$500,$C5,'DADOS BRUTOS'!CM$3:CM$500)))</f>
        <v/>
      </c>
      <c r="FN5" s="123">
        <f>IF(OR(FN$4="",$B5=""),0,SUMIF('DADOS BRUTOS'!$A$3:$A$500,$B5,'DADOS BRUTOS'!CN$3:CN$500)+IF($C5="",0,SUMIF('DADOS BRUTOS'!$A$3:$A$500,$C5,'DADOS BRUTOS'!CN$3:CN$500)))</f>
        <v/>
      </c>
      <c r="FO5" s="123">
        <f>IF(OR(FO$4="",$B5=""),0,SUMIF('DADOS BRUTOS'!$A$3:$A$500,$B5,'DADOS BRUTOS'!CO$3:CO$500)+IF($C5="",0,SUMIF('DADOS BRUTOS'!$A$3:$A$500,$C5,'DADOS BRUTOS'!CO$3:CO$500)))</f>
        <v/>
      </c>
      <c r="FP5" s="123">
        <f>IF(OR(FP$4="",$B5=""),0,SUMIF('DADOS BRUTOS'!$A$3:$A$500,$B5,'DADOS BRUTOS'!CP$3:CP$500)+IF($C5="",0,SUMIF('DADOS BRUTOS'!$A$3:$A$500,$C5,'DADOS BRUTOS'!CP$3:CP$500)))</f>
        <v/>
      </c>
      <c r="FQ5" s="123">
        <f>IF(OR(FQ$4="",$B5=""),0,SUMIF('DADOS BRUTOS'!$A$3:$A$500,$B5,'DADOS BRUTOS'!CQ$3:CQ$500)+IF($C5="",0,SUMIF('DADOS BRUTOS'!$A$3:$A$500,$C5,'DADOS BRUTOS'!CQ$3:CQ$500)))</f>
        <v/>
      </c>
      <c r="FR5" s="123">
        <f>IF(OR(FR$4="",$B5=""),0,SUMIF('DADOS BRUTOS'!$A$3:$A$500,$B5,'DADOS BRUTOS'!CR$3:CR$500)+IF($C5="",0,SUMIF('DADOS BRUTOS'!$A$3:$A$500,$C5,'DADOS BRUTOS'!CR$3:CR$500)))</f>
        <v/>
      </c>
      <c r="FS5" s="123">
        <f>IF(OR(FS$4="",$B5=""),0,SUMIF('DADOS BRUTOS'!$A$3:$A$500,$B5,'DADOS BRUTOS'!CS$3:CS$500)+IF($C5="",0,SUMIF('DADOS BRUTOS'!$A$3:$A$500,$C5,'DADOS BRUTOS'!CS$3:CS$500)))</f>
        <v/>
      </c>
      <c r="FT5" s="123">
        <f>IF(OR(FT$4="",$B5=""),0,SUMIF('DADOS BRUTOS'!$A$3:$A$500,$B5,'DADOS BRUTOS'!CT$3:CT$500)+IF($C5="",0,SUMIF('DADOS BRUTOS'!$A$3:$A$500,$C5,'DADOS BRUTOS'!CT$3:CT$500)))</f>
        <v/>
      </c>
      <c r="FU5" s="123">
        <f>IF(OR(FU$4="",$B5=""),0,SUMIF('DADOS BRUTOS'!$A$3:$A$500,$B5,'DADOS BRUTOS'!CU$3:CU$500)+IF($C5="",0,SUMIF('DADOS BRUTOS'!$A$3:$A$500,$C5,'DADOS BRUTOS'!CU$3:CU$500)))</f>
        <v/>
      </c>
      <c r="FV5" s="123">
        <f>IF(OR(FV$4="",$B5=""),0,SUMIF('DADOS BRUTOS'!$A$3:$A$500,$B5,'DADOS BRUTOS'!CV$3:CV$500)+IF($C5="",0,SUMIF('DADOS BRUTOS'!$A$3:$A$500,$C5,'DADOS BRUTOS'!CV$3:CV$500)))</f>
        <v/>
      </c>
      <c r="FW5" s="123">
        <f>IF(OR(FW$4="",$B5=""),0,SUMIF('DADOS BRUTOS'!$A$3:$A$500,$B5,'DADOS BRUTOS'!CW$3:CW$500)+IF($C5="",0,SUMIF('DADOS BRUTOS'!$A$3:$A$500,$C5,'DADOS BRUTOS'!CW$3:CW$500)))</f>
        <v/>
      </c>
      <c r="FX5" s="123">
        <f>IF(OR(FX$4="",$B5=""),0,SUMIF('DADOS BRUTOS'!$A$3:$A$500,$B5,'DADOS BRUTOS'!CX$3:CX$500)+IF($C5="",0,SUMIF('DADOS BRUTOS'!$A$3:$A$500,$C5,'DADOS BRUTOS'!CX$3:CX$500)))</f>
        <v/>
      </c>
      <c r="FY5" s="123">
        <f>IF(OR(FY$4="",$B5=""),0,SUMIF('DADOS BRUTOS'!$A$3:$A$500,$B5,'DADOS BRUTOS'!CY$3:CY$500)+IF($C5="",0,SUMIF('DADOS BRUTOS'!$A$3:$A$500,$C5,'DADOS BRUTOS'!CY$3:CY$500)))</f>
        <v/>
      </c>
      <c r="FZ5" s="123">
        <f>IF(OR(FZ$4="",$B5=""),0,SUMIF('DADOS BRUTOS'!$A$3:$A$500,$B5,'DADOS BRUTOS'!CZ$3:CZ$500)+IF($C5="",0,SUMIF('DADOS BRUTOS'!$A$3:$A$500,$C5,'DADOS BRUTOS'!CZ$3:CZ$500)))</f>
        <v/>
      </c>
      <c r="GA5" s="123">
        <f>IF(OR(GA$4="",$B5=""),0,SUMIF('DADOS BRUTOS'!$A$3:$A$500,$B5,'DADOS BRUTOS'!DA$3:DA$500)+IF($C5="",0,SUMIF('DADOS BRUTOS'!$A$3:$A$500,$C5,'DADOS BRUTOS'!DA$3:DA$500)))</f>
        <v/>
      </c>
      <c r="GB5" s="123">
        <f>IF(OR(GB$4="",$B5=""),0,SUMIF('DADOS BRUTOS'!$A$3:$A$500,$B5,'DADOS BRUTOS'!DB$3:DB$500)+IF($C5="",0,SUMIF('DADOS BRUTOS'!$A$3:$A$500,$C5,'DADOS BRUTOS'!DB$3:DB$500)))</f>
        <v/>
      </c>
      <c r="GC5" s="123">
        <f>IF(OR(GC$4="",$B5=""),0,SUMIF('DADOS BRUTOS'!$A$3:$A$500,$B5,'DADOS BRUTOS'!DC$3:DC$500)+IF($C5="",0,SUMIF('DADOS BRUTOS'!$A$3:$A$500,$C5,'DADOS BRUTOS'!DC$3:DC$500)))</f>
        <v/>
      </c>
      <c r="GD5" s="123">
        <f>IF(OR(GD$4="",$B5=""),0,SUMIF('DADOS BRUTOS'!$A$3:$A$500,$B5,'DADOS BRUTOS'!DD$3:DD$500)+IF($C5="",0,SUMIF('DADOS BRUTOS'!$A$3:$A$500,$C5,'DADOS BRUTOS'!DD$3:DD$500)))</f>
        <v/>
      </c>
      <c r="GE5" s="123">
        <f>IF(OR(GE$4="",$B5=""),0,SUMIF('DADOS BRUTOS'!$A$3:$A$500,$B5,'DADOS BRUTOS'!DE$3:DE$500)+IF($C5="",0,SUMIF('DADOS BRUTOS'!$A$3:$A$500,$C5,'DADOS BRUTOS'!DE$3:DE$500)))</f>
        <v/>
      </c>
      <c r="GF5" s="123">
        <f>IF(OR(GF$4="",$B5=""),0,SUMIF('DADOS BRUTOS'!$A$3:$A$500,$B5,'DADOS BRUTOS'!DF$3:DF$500)+IF($C5="",0,SUMIF('DADOS BRUTOS'!$A$3:$A$500,$C5,'DADOS BRUTOS'!DF$3:DF$500)))</f>
        <v/>
      </c>
      <c r="GG5" s="123">
        <f>IF(OR(GG$4="",$B5=""),0,SUMIF('DADOS BRUTOS'!$A$3:$A$500,$B5,'DADOS BRUTOS'!DG$3:DG$500)+IF($C5="",0,SUMIF('DADOS BRUTOS'!$A$3:$A$500,$C5,'DADOS BRUTOS'!DG$3:DG$500)))</f>
        <v/>
      </c>
      <c r="GH5" s="123">
        <f>IF(OR(GH$4="",$B5=""),0,SUMIF('DADOS BRUTOS'!$A$3:$A$500,$B5,'DADOS BRUTOS'!DH$3:DH$500)+IF($C5="",0,SUMIF('DADOS BRUTOS'!$A$3:$A$500,$C5,'DADOS BRUTOS'!DH$3:DH$500)))</f>
        <v/>
      </c>
      <c r="GI5" s="123">
        <f>IF(OR(GI$4="",$B5=""),0,SUMIF('DADOS BRUTOS'!$A$3:$A$500,$B5,'DADOS BRUTOS'!DI$3:DI$500)+IF($C5="",0,SUMIF('DADOS BRUTOS'!$A$3:$A$500,$C5,'DADOS BRUTOS'!DI$3:DI$500)))</f>
        <v/>
      </c>
      <c r="GJ5" s="123">
        <f>IF(OR(GJ$4="",$B5=""),0,SUMIF('DADOS BRUTOS'!$A$3:$A$500,$B5,'DADOS BRUTOS'!DJ$3:DJ$500)+IF($C5="",0,SUMIF('DADOS BRUTOS'!$A$3:$A$500,$C5,'DADOS BRUTOS'!DJ$3:DJ$500)))</f>
        <v/>
      </c>
      <c r="GK5" s="123">
        <f>IF(OR(GK$4="",$B5=""),0,SUMIF('DADOS BRUTOS'!$A$3:$A$500,$B5,'DADOS BRUTOS'!DK$3:DK$500)+IF($C5="",0,SUMIF('DADOS BRUTOS'!$A$3:$A$500,$C5,'DADOS BRUTOS'!DK$3:DK$500)))</f>
        <v/>
      </c>
      <c r="GL5" s="123">
        <f>IF(OR(GL$4="",$B5=""),0,SUMIF('DADOS BRUTOS'!$A$3:$A$500,$B5,'DADOS BRUTOS'!DL$3:DL$500)+IF($C5="",0,SUMIF('DADOS BRUTOS'!$A$3:$A$500,$C5,'DADOS BRUTOS'!DL$3:DL$500)))</f>
        <v/>
      </c>
      <c r="GM5" s="123">
        <f>IF(OR(GM$4="",$B5=""),0,SUMIF('DADOS BRUTOS'!$A$3:$A$500,$B5,'DADOS BRUTOS'!DM$3:DM$500)+IF($C5="",0,SUMIF('DADOS BRUTOS'!$A$3:$A$500,$C5,'DADOS BRUTOS'!DM$3:DM$500)))</f>
        <v/>
      </c>
      <c r="GN5" s="123">
        <f>IF(OR(GN$4="",$B5=""),0,SUMIF('DADOS BRUTOS'!$A$3:$A$500,$B5,'DADOS BRUTOS'!DN$3:DN$500)+IF($C5="",0,SUMIF('DADOS BRUTOS'!$A$3:$A$500,$C5,'DADOS BRUTOS'!DN$3:DN$500)))</f>
        <v/>
      </c>
      <c r="GO5" s="123">
        <f>IF(OR(GO$4="",$B5=""),0,SUMIF('DADOS BRUTOS'!$A$3:$A$500,$B5,'DADOS BRUTOS'!DO$3:DO$500)+IF($C5="",0,SUMIF('DADOS BRUTOS'!$A$3:$A$500,$C5,'DADOS BRUTOS'!DO$3:DO$500)))</f>
        <v/>
      </c>
      <c r="GP5" s="123">
        <f>IF(OR(GP$4="",$B5=""),0,SUMIF('DADOS BRUTOS'!$A$3:$A$500,$B5,'DADOS BRUTOS'!DP$3:DP$500)+IF($C5="",0,SUMIF('DADOS BRUTOS'!$A$3:$A$500,$C5,'DADOS BRUTOS'!DP$3:DP$500)))</f>
        <v/>
      </c>
      <c r="GQ5" s="123">
        <f>IF(OR(GQ$4="",$B5=""),0,SUMIF('DADOS BRUTOS'!$A$3:$A$500,$B5,'DADOS BRUTOS'!DQ$3:DQ$500)+IF($C5="",0,SUMIF('DADOS BRUTOS'!$A$3:$A$500,$C5,'DADOS BRUTOS'!DQ$3:DQ$500)))</f>
        <v/>
      </c>
      <c r="GR5" s="123">
        <f>IF(OR(GR$4="",$B5=""),0,SUMIF('DADOS BRUTOS'!$A$3:$A$500,$B5,'DADOS BRUTOS'!DR$3:DR$500)+IF($C5="",0,SUMIF('DADOS BRUTOS'!$A$3:$A$500,$C5,'DADOS BRUTOS'!DR$3:DR$500)))</f>
        <v/>
      </c>
      <c r="GS5" s="123">
        <f>IF(OR(GS$4="",$B5=""),0,SUMIF('DADOS BRUTOS'!$A$3:$A$500,$B5,'DADOS BRUTOS'!DS$3:DS$500)+IF($C5="",0,SUMIF('DADOS BRUTOS'!$A$3:$A$500,$C5,'DADOS BRUTOS'!DS$3:DS$500)))</f>
        <v/>
      </c>
      <c r="GT5" s="123">
        <f>IF(OR(GT$4="",$B5=""),0,SUMIF('DADOS BRUTOS'!$A$3:$A$500,$B5,'DADOS BRUTOS'!DT$3:DT$500)+IF($C5="",0,SUMIF('DADOS BRUTOS'!$A$3:$A$500,$C5,'DADOS BRUTOS'!DT$3:DT$500)))</f>
        <v/>
      </c>
      <c r="GU5" s="123">
        <f>IF(OR(GU$4="",$B5=""),0,SUMIF('DADOS BRUTOS'!$A$3:$A$500,$B5,'DADOS BRUTOS'!DU$3:DU$500)+IF($C5="",0,SUMIF('DADOS BRUTOS'!$A$3:$A$500,$C5,'DADOS BRUTOS'!DU$3:DU$500)))</f>
        <v/>
      </c>
      <c r="GV5" s="123">
        <f>IF(OR(GV$4="",$B5=""),0,SUMIF('DADOS BRUTOS'!$A$3:$A$500,$B5,'DADOS BRUTOS'!DV$3:DV$500)+IF($C5="",0,SUMIF('DADOS BRUTOS'!$A$3:$A$500,$C5,'DADOS BRUTOS'!DV$3:DV$500)))</f>
        <v/>
      </c>
      <c r="GW5" s="123">
        <f>IF(OR(GW$4="",$B5=""),0,SUMIF('DADOS BRUTOS'!$A$3:$A$500,$B5,'DADOS BRUTOS'!DW$3:DW$500)+IF($C5="",0,SUMIF('DADOS BRUTOS'!$A$3:$A$500,$C5,'DADOS BRUTOS'!DW$3:DW$500)))</f>
        <v/>
      </c>
      <c r="GX5" s="123">
        <f>IF(OR(GX$4="",$B5=""),0,SUMIF('DADOS BRUTOS'!$A$3:$A$500,$B5,'DADOS BRUTOS'!DX$3:DX$500)+IF($C5="",0,SUMIF('DADOS BRUTOS'!$A$3:$A$500,$C5,'DADOS BRUTOS'!DX$3:DX$500)))</f>
        <v/>
      </c>
      <c r="GY5" s="123">
        <f>IF(OR(GY$4="",$B5=""),0,SUMIF('DADOS BRUTOS'!$A$3:$A$500,$B5,'DADOS BRUTOS'!DY$3:DY$500)+IF($C5="",0,SUMIF('DADOS BRUTOS'!$A$3:$A$500,$C5,'DADOS BRUTOS'!DY$3:DY$500)))</f>
        <v/>
      </c>
      <c r="GZ5" s="123">
        <f>IF(OR(GZ$4="",$B5=""),0,SUMIF('DADOS BRUTOS'!$A$3:$A$500,$B5,'DADOS BRUTOS'!DZ$3:DZ$500)+IF($C5="",0,SUMIF('DADOS BRUTOS'!$A$3:$A$500,$C5,'DADOS BRUTOS'!DZ$3:DZ$500)))</f>
        <v/>
      </c>
      <c r="HA5" s="123">
        <f>IF(OR(HA$4="",$B5=""),0,SUMIF('DADOS BRUTOS'!$A$3:$A$500,$B5,'DADOS BRUTOS'!EA$3:EA$500)+IF($C5="",0,SUMIF('DADOS BRUTOS'!$A$3:$A$500,$C5,'DADOS BRUTOS'!EA$3:EA$500)))</f>
        <v/>
      </c>
      <c r="HB5" s="123">
        <f>IF(OR(HB$4="",$B5=""),0,SUMIF('DADOS BRUTOS'!$A$3:$A$500,$B5,'DADOS BRUTOS'!EB$3:EB$500)+IF($C5="",0,SUMIF('DADOS BRUTOS'!$A$3:$A$500,$C5,'DADOS BRUTOS'!EB$3:EB$500)))</f>
        <v/>
      </c>
      <c r="HC5" s="123">
        <f>IF(OR(HC$4="",$B5=""),0,SUMIF('DADOS BRUTOS'!$A$3:$A$500,$B5,'DADOS BRUTOS'!EC$3:EC$500)+IF($C5="",0,SUMIF('DADOS BRUTOS'!$A$3:$A$500,$C5,'DADOS BRUTOS'!EC$3:EC$500)))</f>
        <v/>
      </c>
      <c r="HD5" s="123">
        <f>IF(OR(HD$4="",$B5=""),0,SUMIF('DADOS BRUTOS'!$A$3:$A$500,$B5,'DADOS BRUTOS'!ED$3:ED$500)+IF($C5="",0,SUMIF('DADOS BRUTOS'!$A$3:$A$500,$C5,'DADOS BRUTOS'!ED$3:ED$500)))</f>
        <v/>
      </c>
      <c r="HE5" s="123">
        <f>IF(OR(HE$4="",$B5=""),0,SUMIF('DADOS BRUTOS'!$A$3:$A$500,$B5,'DADOS BRUTOS'!EE$3:EE$500)+IF($C5="",0,SUMIF('DADOS BRUTOS'!$A$3:$A$500,$C5,'DADOS BRUTOS'!EE$3:EE$500)))</f>
        <v/>
      </c>
      <c r="HF5" s="123">
        <f>IF(OR(HF$4="",$B5=""),0,SUMIF('DADOS BRUTOS'!$A$3:$A$500,$B5,'DADOS BRUTOS'!EF$3:EF$500)+IF($C5="",0,SUMIF('DADOS BRUTOS'!$A$3:$A$500,$C5,'DADOS BRUTOS'!EF$3:EF$500)))</f>
        <v/>
      </c>
      <c r="HG5" s="123">
        <f>IF(OR(HG$4="",$B5=""),0,SUMIF('DADOS BRUTOS'!$A$3:$A$500,$B5,'DADOS BRUTOS'!EG$3:EG$500)+IF($C5="",0,SUMIF('DADOS BRUTOS'!$A$3:$A$500,$C5,'DADOS BRUTOS'!EG$3:EG$500)))</f>
        <v/>
      </c>
      <c r="HH5" s="123">
        <f>IF(OR(HH$4="",$B5=""),0,SUMIF('DADOS BRUTOS'!$A$3:$A$500,$B5,'DADOS BRUTOS'!EH$3:EH$500)+IF($C5="",0,SUMIF('DADOS BRUTOS'!$A$3:$A$500,$C5,'DADOS BRUTOS'!EH$3:EH$500)))</f>
        <v/>
      </c>
      <c r="HI5" s="123">
        <f>IF(OR(HI$4="",$B5=""),0,SUMIF('DADOS BRUTOS'!$A$3:$A$500,$B5,'DADOS BRUTOS'!EI$3:EI$500)+IF($C5="",0,SUMIF('DADOS BRUTOS'!$A$3:$A$500,$C5,'DADOS BRUTOS'!EI$3:EI$500)))</f>
        <v/>
      </c>
      <c r="HJ5" s="123">
        <f>IF(OR(HJ$4="",$B5=""),0,SUMIF('DADOS BRUTOS'!$A$3:$A$500,$B5,'DADOS BRUTOS'!EJ$3:EJ$500)+IF($C5="",0,SUMIF('DADOS BRUTOS'!$A$3:$A$500,$C5,'DADOS BRUTOS'!EJ$3:EJ$500)))</f>
        <v/>
      </c>
      <c r="HK5" s="123">
        <f>IF(OR(HK$4="",$B5=""),0,SUMIF('DADOS BRUTOS'!$A$3:$A$500,$B5,'DADOS BRUTOS'!EK$3:EK$500)+IF($C5="",0,SUMIF('DADOS BRUTOS'!$A$3:$A$500,$C5,'DADOS BRUTOS'!EK$3:EK$500)))</f>
        <v/>
      </c>
      <c r="HL5" s="123">
        <f>IF(OR(HL$4="",$B5=""),0,SUMIF('DADOS BRUTOS'!$A$3:$A$500,$B5,'DADOS BRUTOS'!EL$3:EL$500)+IF($C5="",0,SUMIF('DADOS BRUTOS'!$A$3:$A$500,$C5,'DADOS BRUTOS'!EL$3:EL$500)))</f>
        <v/>
      </c>
      <c r="HM5" s="123">
        <f>IF(OR(HM$4="",$B5=""),0,SUMIF('DADOS BRUTOS'!$A$3:$A$500,$B5,'DADOS BRUTOS'!EM$3:EM$500)+IF($C5="",0,SUMIF('DADOS BRUTOS'!$A$3:$A$500,$C5,'DADOS BRUTOS'!EM$3:EM$500)))</f>
        <v/>
      </c>
      <c r="HN5" s="123">
        <f>IF(OR(HN$4="",$B5=""),0,SUMIF('DADOS BRUTOS'!$A$3:$A$500,$B5,'DADOS BRUTOS'!EN$3:EN$500)+IF($C5="",0,SUMIF('DADOS BRUTOS'!$A$3:$A$500,$C5,'DADOS BRUTOS'!EN$3:EN$500)))</f>
        <v/>
      </c>
      <c r="HO5" s="123">
        <f>IF(OR(HO$4="",$B5=""),0,SUMIF('DADOS BRUTOS'!$A$3:$A$500,$B5,'DADOS BRUTOS'!EO$3:EO$500)+IF($C5="",0,SUMIF('DADOS BRUTOS'!$A$3:$A$500,$C5,'DADOS BRUTOS'!EO$3:EO$500)))</f>
        <v/>
      </c>
      <c r="HP5" s="123">
        <f>IF(OR(HP$4="",$B5=""),0,SUMIF('DADOS BRUTOS'!$A$3:$A$500,$B5,'DADOS BRUTOS'!EP$3:EP$500)+IF($C5="",0,SUMIF('DADOS BRUTOS'!$A$3:$A$500,$C5,'DADOS BRUTOS'!EP$3:EP$500)))</f>
        <v/>
      </c>
      <c r="HQ5" s="123">
        <f>IF(OR(HQ$4="",$B5=""),0,SUMIF('DADOS BRUTOS'!$A$3:$A$500,$B5,'DADOS BRUTOS'!EQ$3:EQ$500)+IF($C5="",0,SUMIF('DADOS BRUTOS'!$A$3:$A$500,$C5,'DADOS BRUTOS'!EQ$3:EQ$500)))</f>
        <v/>
      </c>
      <c r="HR5" s="123">
        <f>IF(OR(HR$4="",$B5=""),0,SUMIF('DADOS BRUTOS'!$A$3:$A$500,$B5,'DADOS BRUTOS'!ER$3:ER$500)+IF($C5="",0,SUMIF('DADOS BRUTOS'!$A$3:$A$500,$C5,'DADOS BRUTOS'!ER$3:ER$500)))</f>
        <v/>
      </c>
      <c r="HS5" s="123">
        <f>IF(OR(HS$4="",$B5=""),0,SUMIF('DADOS BRUTOS'!$A$3:$A$500,$B5,'DADOS BRUTOS'!ES$3:ES$500)+IF($C5="",0,SUMIF('DADOS BRUTOS'!$A$3:$A$500,$C5,'DADOS BRUTOS'!ES$3:ES$500)))</f>
        <v/>
      </c>
      <c r="HT5" s="123">
        <f>IF(OR(HT$4="",$B5=""),0,SUMIF('DADOS BRUTOS'!$A$3:$A$500,$B5,'DADOS BRUTOS'!ET$3:ET$500)+IF($C5="",0,SUMIF('DADOS BRUTOS'!$A$3:$A$500,$C5,'DADOS BRUTOS'!ET$3:ET$500)))</f>
        <v/>
      </c>
      <c r="HU5" s="123">
        <f>IF(OR(HU$4="",$B5=""),0,SUMIF('DADOS BRUTOS'!$A$3:$A$500,$B5,'DADOS BRUTOS'!EU$3:EU$500)+IF($C5="",0,SUMIF('DADOS BRUTOS'!$A$3:$A$500,$C5,'DADOS BRUTOS'!EU$3:EU$500)))</f>
        <v/>
      </c>
      <c r="HV5" s="123">
        <f>IF(OR(HV$4="",$B5=""),0,SUMIF('DADOS BRUTOS'!$A$3:$A$500,$B5,'DADOS BRUTOS'!EV$3:EV$500)+IF($C5="",0,SUMIF('DADOS BRUTOS'!$A$3:$A$500,$C5,'DADOS BRUTOS'!EV$3:EV$500)))</f>
        <v/>
      </c>
      <c r="HW5" s="123">
        <f>IF(OR(HW$4="",$B5=""),0,SUMIF('DADOS BRUTOS'!$A$3:$A$500,$B5,'DADOS BRUTOS'!EW$3:EW$500)+IF($C5="",0,SUMIF('DADOS BRUTOS'!$A$3:$A$500,$C5,'DADOS BRUTOS'!EW$3:EW$500)))</f>
        <v/>
      </c>
      <c r="HX5" s="123">
        <f>IF(OR(HX$4="",$B5=""),0,SUMIF('DADOS BRUTOS'!$A$3:$A$500,$B5,'DADOS BRUTOS'!EX$3:EX$500)+IF($C5="",0,SUMIF('DADOS BRUTOS'!$A$3:$A$500,$C5,'DADOS BRUTOS'!EX$3:EX$500)))</f>
        <v/>
      </c>
      <c r="HY5" s="123">
        <f>IF(OR(HY$4="",$B5=""),0,SUMIF('DADOS BRUTOS'!$A$3:$A$500,$B5,'DADOS BRUTOS'!EY$3:EY$500)+IF($C5="",0,SUMIF('DADOS BRUTOS'!$A$3:$A$500,$C5,'DADOS BRUTOS'!EY$3:EY$500)))</f>
        <v/>
      </c>
      <c r="HZ5" s="123">
        <f>IF(OR(HZ$4="",$B5=""),0,SUMIF('DADOS BRUTOS'!$A$3:$A$500,$B5,'DADOS BRUTOS'!EZ$3:EZ$500)+IF($C5="",0,SUMIF('DADOS BRUTOS'!$A$3:$A$500,$C5,'DADOS BRUTOS'!EZ$3:EZ$500)))</f>
        <v/>
      </c>
      <c r="IA5" s="123">
        <f>IF(OR(IA$4="",$B5=""),0,SUMIF('DADOS BRUTOS'!$A$3:$A$500,$B5,'DADOS BRUTOS'!FA$3:FA$500)+IF($C5="",0,SUMIF('DADOS BRUTOS'!$A$3:$A$500,$C5,'DADOS BRUTOS'!FA$3:FA$500)))</f>
        <v/>
      </c>
      <c r="IB5" s="123">
        <f>IF(OR(IB$4="",$B5=""),0,SUMIF('DADOS BRUTOS'!$A$3:$A$500,$B5,'DADOS BRUTOS'!FB$3:FB$500)+IF($C5="",0,SUMIF('DADOS BRUTOS'!$A$3:$A$500,$C5,'DADOS BRUTOS'!FB$3:FB$500)))</f>
        <v/>
      </c>
      <c r="IC5" s="123">
        <f>IF(OR(IC$4="",$B5=""),0,SUMIF('DADOS BRUTOS'!$A$3:$A$500,$B5,'DADOS BRUTOS'!FC$3:FC$500)+IF($C5="",0,SUMIF('DADOS BRUTOS'!$A$3:$A$500,$C5,'DADOS BRUTOS'!FC$3:FC$500)))</f>
        <v/>
      </c>
      <c r="ID5" s="123">
        <f>IF(OR(ID$4="",$B5=""),0,SUMIF('DADOS BRUTOS'!$A$3:$A$500,$B5,'DADOS BRUTOS'!FD$3:FD$500)+IF($C5="",0,SUMIF('DADOS BRUTOS'!$A$3:$A$500,$C5,'DADOS BRUTOS'!FD$3:FD$500)))</f>
        <v/>
      </c>
      <c r="IE5" s="123">
        <f>IF(OR(IE$4="",$B5=""),0,SUMIF('DADOS BRUTOS'!$A$3:$A$500,$B5,'DADOS BRUTOS'!FE$3:FE$500)+IF($C5="",0,SUMIF('DADOS BRUTOS'!$A$3:$A$500,$C5,'DADOS BRUTOS'!FE$3:FE$500)))</f>
        <v/>
      </c>
      <c r="IF5" s="123">
        <f>IF(OR(IF$4="",$B5=""),0,SUMIF('DADOS BRUTOS'!$A$3:$A$500,$B5,'DADOS BRUTOS'!FF$3:FF$500)+IF($C5="",0,SUMIF('DADOS BRUTOS'!$A$3:$A$500,$C5,'DADOS BRUTOS'!FF$3:FF$500)))</f>
        <v/>
      </c>
      <c r="IG5" s="123">
        <f>IF(OR(IG$4="",$B5=""),0,SUMIF('DADOS BRUTOS'!$A$3:$A$500,$B5,'DADOS BRUTOS'!FG$3:FG$500)+IF($C5="",0,SUMIF('DADOS BRUTOS'!$A$3:$A$500,$C5,'DADOS BRUTOS'!FG$3:FG$500)))</f>
        <v/>
      </c>
      <c r="IH5" s="123">
        <f>IF(OR(IH$4="",$B5=""),0,SUMIF('DADOS BRUTOS'!$A$3:$A$500,$B5,'DADOS BRUTOS'!FH$3:FH$500)+IF($C5="",0,SUMIF('DADOS BRUTOS'!$A$3:$A$500,$C5,'DADOS BRUTOS'!FH$3:FH$500)))</f>
        <v/>
      </c>
      <c r="II5" s="123">
        <f>IF(OR(II$4="",$B5=""),0,SUMIF('DADOS BRUTOS'!$A$3:$A$500,$B5,'DADOS BRUTOS'!FI$3:FI$500)+IF($C5="",0,SUMIF('DADOS BRUTOS'!$A$3:$A$500,$C5,'DADOS BRUTOS'!FI$3:FI$500)))</f>
        <v/>
      </c>
      <c r="IJ5" s="123">
        <f>IF(OR(IJ$4="",$B5=""),0,SUMIF('DADOS BRUTOS'!$A$3:$A$500,$B5,'DADOS BRUTOS'!FJ$3:FJ$500)+IF($C5="",0,SUMIF('DADOS BRUTOS'!$A$3:$A$500,$C5,'DADOS BRUTOS'!FJ$3:FJ$500)))</f>
        <v/>
      </c>
      <c r="IK5" s="123">
        <f>IF(OR(IK$4="",$B5=""),0,SUMIF('DADOS BRUTOS'!$A$3:$A$500,$B5,'DADOS BRUTOS'!FK$3:FK$500)+IF($C5="",0,SUMIF('DADOS BRUTOS'!$A$3:$A$500,$C5,'DADOS BRUTOS'!FK$3:FK$500)))</f>
        <v/>
      </c>
      <c r="IL5" s="123">
        <f>IF(OR(IL$4="",$B5=""),0,SUMIF('DADOS BRUTOS'!$A$3:$A$500,$B5,'DADOS BRUTOS'!FL$3:FL$500)+IF($C5="",0,SUMIF('DADOS BRUTOS'!$A$3:$A$500,$C5,'DADOS BRUTOS'!FL$3:FL$500)))</f>
        <v/>
      </c>
      <c r="IM5" s="123">
        <f>IF(OR(IM$4="",$B5=""),0,SUMIF('DADOS BRUTOS'!$A$3:$A$500,$B5,'DADOS BRUTOS'!FM$3:FM$500)+IF($C5="",0,SUMIF('DADOS BRUTOS'!$A$3:$A$500,$C5,'DADOS BRUTOS'!FM$3:FM$500)))</f>
        <v/>
      </c>
      <c r="IN5" s="123">
        <f>IF(OR(IN$4="",$B5=""),0,SUMIF('DADOS BRUTOS'!$A$3:$A$500,$B5,'DADOS BRUTOS'!FN$3:FN$500)+IF($C5="",0,SUMIF('DADOS BRUTOS'!$A$3:$A$500,$C5,'DADOS BRUTOS'!FN$3:FN$500)))</f>
        <v/>
      </c>
      <c r="IO5" s="123">
        <f>IF(OR(IO$4="",$B5=""),0,SUMIF('DADOS BRUTOS'!$A$3:$A$500,$B5,'DADOS BRUTOS'!FO$3:FO$500)+IF($C5="",0,SUMIF('DADOS BRUTOS'!$A$3:$A$500,$C5,'DADOS BRUTOS'!FO$3:FO$500)))</f>
        <v/>
      </c>
      <c r="IP5" s="123">
        <f>IF(OR(IP$4="",$B5=""),0,SUMIF('DADOS BRUTOS'!$A$3:$A$500,$B5,'DADOS BRUTOS'!FP$3:FP$500)+IF($C5="",0,SUMIF('DADOS BRUTOS'!$A$3:$A$500,$C5,'DADOS BRUTOS'!FP$3:FP$500)))</f>
        <v/>
      </c>
      <c r="IQ5" s="123">
        <f>IF(OR(IQ$4="",$B5=""),0,SUMIF('DADOS BRUTOS'!$A$3:$A$500,$B5,'DADOS BRUTOS'!FQ$3:FQ$500)+IF($C5="",0,SUMIF('DADOS BRUTOS'!$A$3:$A$500,$C5,'DADOS BRUTOS'!FQ$3:FQ$500)))</f>
        <v/>
      </c>
      <c r="IR5" s="123">
        <f>IF(OR(IR$4="",$B5=""),0,SUMIF('DADOS BRUTOS'!$A$3:$A$500,$B5,'DADOS BRUTOS'!FR$3:FR$500)+IF($C5="",0,SUMIF('DADOS BRUTOS'!$A$3:$A$500,$C5,'DADOS BRUTOS'!FR$3:FR$500)))</f>
        <v/>
      </c>
      <c r="IS5" s="123">
        <f>IF(OR(IS$4="",$B5=""),0,SUMIF('DADOS BRUTOS'!$A$3:$A$500,$B5,'DADOS BRUTOS'!FS$3:FS$500)+IF($C5="",0,SUMIF('DADOS BRUTOS'!$A$3:$A$500,$C5,'DADOS BRUTOS'!FS$3:FS$500)))</f>
        <v/>
      </c>
      <c r="IT5" s="123">
        <f>IF(OR(IT$4="",$B5=""),0,SUMIF('DADOS BRUTOS'!$A$3:$A$500,$B5,'DADOS BRUTOS'!FT$3:FT$500)+IF($C5="",0,SUMIF('DADOS BRUTOS'!$A$3:$A$500,$C5,'DADOS BRUTOS'!FT$3:FT$500)))</f>
        <v/>
      </c>
      <c r="IU5" s="123">
        <f>IF(OR(IU$4="",$B5=""),0,SUMIF('DADOS BRUTOS'!$A$3:$A$500,$B5,'DADOS BRUTOS'!FU$3:FU$500)+IF($C5="",0,SUMIF('DADOS BRUTOS'!$A$3:$A$500,$C5,'DADOS BRUTOS'!FU$3:FU$500)))</f>
        <v/>
      </c>
      <c r="IV5" s="123">
        <f>IF(OR(IV$4="",$B5=""),0,SUMIF('DADOS BRUTOS'!$A$3:$A$500,$B5,'DADOS BRUTOS'!FV$3:FV$500)+IF($C5="",0,SUMIF('DADOS BRUTOS'!$A$3:$A$500,$C5,'DADOS BRUTOS'!FV$3:FV$500)))</f>
        <v/>
      </c>
      <c r="IW5" s="123">
        <f>IF(OR(IW$4="",$B5=""),0,SUMIF('DADOS BRUTOS'!$A$3:$A$500,$B5,'DADOS BRUTOS'!FW$3:FW$500)+IF($C5="",0,SUMIF('DADOS BRUTOS'!$A$3:$A$500,$C5,'DADOS BRUTOS'!FW$3:FW$500)))</f>
        <v/>
      </c>
      <c r="IX5" s="123">
        <f>IF(OR(IX$4="",$B5=""),0,SUMIF('DADOS BRUTOS'!$A$3:$A$500,$B5,'DADOS BRUTOS'!FX$3:FX$500)+IF($C5="",0,SUMIF('DADOS BRUTOS'!$A$3:$A$500,$C5,'DADOS BRUTOS'!FX$3:FX$500)))</f>
        <v/>
      </c>
      <c r="IY5" s="123">
        <f>IF(OR(IY$4="",$B5=""),0,SUMIF('DADOS BRUTOS'!$A$3:$A$500,$B5,'DADOS BRUTOS'!FY$3:FY$500)+IF($C5="",0,SUMIF('DADOS BRUTOS'!$A$3:$A$500,$C5,'DADOS BRUTOS'!FY$3:FY$500)))</f>
        <v/>
      </c>
      <c r="IZ5" s="123">
        <f>IF(OR(IZ$4="",$B5=""),0,SUMIF('DADOS BRUTOS'!$A$3:$A$500,$B5,'DADOS BRUTOS'!FZ$3:FZ$500)+IF($C5="",0,SUMIF('DADOS BRUTOS'!$A$3:$A$500,$C5,'DADOS BRUTOS'!FZ$3:FZ$500)))</f>
        <v/>
      </c>
      <c r="JA5" s="123">
        <f>IF(OR(JA$4="",$B5=""),0,SUMIF('DADOS BRUTOS'!$A$3:$A$500,$B5,'DADOS BRUTOS'!GA$3:GA$500)+IF($C5="",0,SUMIF('DADOS BRUTOS'!$A$3:$A$500,$C5,'DADOS BRUTOS'!GA$3:GA$500)))</f>
        <v/>
      </c>
      <c r="JB5" s="123">
        <f>IF(OR(JB$4="",$B5=""),0,SUMIF('DADOS BRUTOS'!$A$3:$A$500,$B5,'DADOS BRUTOS'!GB$3:GB$500)+IF($C5="",0,SUMIF('DADOS BRUTOS'!$A$3:$A$500,$C5,'DADOS BRUTOS'!GB$3:GB$500)))</f>
        <v/>
      </c>
      <c r="JC5" s="123">
        <f>IF(OR(JC$4="",$B5=""),0,SUMIF('DADOS BRUTOS'!$A$3:$A$500,$B5,'DADOS BRUTOS'!GC$3:GC$500)+IF($C5="",0,SUMIF('DADOS BRUTOS'!$A$3:$A$500,$C5,'DADOS BRUTOS'!GC$3:GC$500)))</f>
        <v/>
      </c>
      <c r="JD5" s="123">
        <f>IF(OR(JD$4="",$B5=""),0,SUMIF('DADOS BRUTOS'!$A$3:$A$500,$B5,'DADOS BRUTOS'!GD$3:GD$500)+IF($C5="",0,SUMIF('DADOS BRUTOS'!$A$3:$A$500,$C5,'DADOS BRUTOS'!GD$3:GD$500)))</f>
        <v/>
      </c>
      <c r="JE5" s="123">
        <f>IF(OR(JE$4="",$B5=""),0,SUMIF('DADOS BRUTOS'!$A$3:$A$500,$B5,'DADOS BRUTOS'!GE$3:GE$500)+IF($C5="",0,SUMIF('DADOS BRUTOS'!$A$3:$A$500,$C5,'DADOS BRUTOS'!GE$3:GE$500)))</f>
        <v/>
      </c>
      <c r="JF5" s="123">
        <f>IF(OR(JF$4="",$B5=""),0,SUMIF('DADOS BRUTOS'!$A$3:$A$500,$B5,'DADOS BRUTOS'!GF$3:GF$500)+IF($C5="",0,SUMIF('DADOS BRUTOS'!$A$3:$A$500,$C5,'DADOS BRUTOS'!GF$3:GF$500)))</f>
        <v/>
      </c>
      <c r="JG5" s="123">
        <f>IF(OR(JG$4="",$B5=""),0,SUMIF('DADOS BRUTOS'!$A$3:$A$500,$B5,'DADOS BRUTOS'!GG$3:GG$500)+IF($C5="",0,SUMIF('DADOS BRUTOS'!$A$3:$A$500,$C5,'DADOS BRUTOS'!GG$3:GG$500)))</f>
        <v/>
      </c>
      <c r="JH5" s="123">
        <f>IF(OR(JH$4="",$B5=""),0,SUMIF('DADOS BRUTOS'!$A$3:$A$500,$B5,'DADOS BRUTOS'!GH$3:GH$500)+IF($C5="",0,SUMIF('DADOS BRUTOS'!$A$3:$A$500,$C5,'DADOS BRUTOS'!GH$3:GH$500)))</f>
        <v/>
      </c>
      <c r="JI5" s="123">
        <f>IF(OR(JI$4="",$B5=""),0,SUMIF('DADOS BRUTOS'!$A$3:$A$500,$B5,'DADOS BRUTOS'!GI$3:GI$500)+IF($C5="",0,SUMIF('DADOS BRUTOS'!$A$3:$A$500,$C5,'DADOS BRUTOS'!GI$3:GI$500)))</f>
        <v/>
      </c>
      <c r="JJ5" s="123">
        <f>IF(OR(JJ$4="",$B5=""),0,SUMIF('DADOS BRUTOS'!$A$3:$A$500,$B5,'DADOS BRUTOS'!GJ$3:GJ$500)+IF($C5="",0,SUMIF('DADOS BRUTOS'!$A$3:$A$500,$C5,'DADOS BRUTOS'!GJ$3:GJ$500)))</f>
        <v/>
      </c>
      <c r="JK5" s="123">
        <f>IF(OR(JK$4="",$B5=""),0,SUMIF('DADOS BRUTOS'!$A$3:$A$500,$B5,'DADOS BRUTOS'!GK$3:GK$500)+IF($C5="",0,SUMIF('DADOS BRUTOS'!$A$3:$A$500,$C5,'DADOS BRUTOS'!GK$3:GK$500)))</f>
        <v/>
      </c>
      <c r="JL5" s="123">
        <f>IF(OR(JL$4="",$B5=""),0,SUMIF('DADOS BRUTOS'!$A$3:$A$500,$B5,'DADOS BRUTOS'!GL$3:GL$500)+IF($C5="",0,SUMIF('DADOS BRUTOS'!$A$3:$A$500,$C5,'DADOS BRUTOS'!GL$3:GL$500)))</f>
        <v/>
      </c>
      <c r="JM5" s="123">
        <f>IF(OR(JM$4="",$B5=""),0,SUMIF('DADOS BRUTOS'!$A$3:$A$500,$B5,'DADOS BRUTOS'!GM$3:GM$500)+IF($C5="",0,SUMIF('DADOS BRUTOS'!$A$3:$A$500,$C5,'DADOS BRUTOS'!GM$3:GM$500)))</f>
        <v/>
      </c>
      <c r="JN5" s="123">
        <f>IF(OR(JN$4="",$B5=""),0,SUMIF('DADOS BRUTOS'!$A$3:$A$500,$B5,'DADOS BRUTOS'!GN$3:GN$500)+IF($C5="",0,SUMIF('DADOS BRUTOS'!$A$3:$A$500,$C5,'DADOS BRUTOS'!GN$3:GN$500)))</f>
        <v/>
      </c>
      <c r="JO5" s="123">
        <f>IF(OR(JO$4="",$B5=""),0,SUMIF('DADOS BRUTOS'!$A$3:$A$500,$B5,'DADOS BRUTOS'!GO$3:GO$500)+IF($C5="",0,SUMIF('DADOS BRUTOS'!$A$3:$A$500,$C5,'DADOS BRUTOS'!GO$3:GO$500)))</f>
        <v/>
      </c>
      <c r="JP5" s="123">
        <f>IF(OR(JP$4="",$B5=""),0,SUMIF('DADOS BRUTOS'!$A$3:$A$500,$B5,'DADOS BRUTOS'!GP$3:GP$500)+IF($C5="",0,SUMIF('DADOS BRUTOS'!$A$3:$A$500,$C5,'DADOS BRUTOS'!GP$3:GP$500)))</f>
        <v/>
      </c>
      <c r="JQ5" s="123">
        <f>IF(OR(JQ$4="",$B5=""),0,SUMIF('DADOS BRUTOS'!$A$3:$A$500,$B5,'DADOS BRUTOS'!GQ$3:GQ$500)+IF($C5="",0,SUMIF('DADOS BRUTOS'!$A$3:$A$500,$C5,'DADOS BRUTOS'!GQ$3:GQ$500)))</f>
        <v/>
      </c>
      <c r="JR5" s="123">
        <f>IF(OR(JR$4="",$B5=""),0,SUMIF('DADOS BRUTOS'!$A$3:$A$500,$B5,'DADOS BRUTOS'!GR$3:GR$500)+IF($C5="",0,SUMIF('DADOS BRUTOS'!$A$3:$A$500,$C5,'DADOS BRUTOS'!GR$3:GR$500)))</f>
        <v/>
      </c>
      <c r="JS5" s="123">
        <f>IF(OR(JS$4="",$B5=""),0,SUMIF('DADOS BRUTOS'!$A$3:$A$500,$B5,'DADOS BRUTOS'!GS$3:GS$500)+IF($C5="",0,SUMIF('DADOS BRUTOS'!$A$3:$A$500,$C5,'DADOS BRUTOS'!GS$3:GS$500)))</f>
        <v/>
      </c>
    </row>
    <row r="6">
      <c r="A6" s="60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CB6" s="123">
        <f>IF(OR(CB$4="",$B6=""),0,SUMIF('DADOS BRUTOS'!$A$3:$A$500,$B6,'DADOS BRUTOS'!B$3:B$500)+IF($C6="",0,SUMIF('DADOS BRUTOS'!$A$3:$A$500,$C6,'DADOS BRUTOS'!B$3:B$500)))</f>
        <v/>
      </c>
      <c r="CC6" s="123">
        <f>IF(OR(CC$4="",$B6=""),0,SUMIF('DADOS BRUTOS'!$A$3:$A$500,$B6,'DADOS BRUTOS'!C$3:C$500)+IF($C6="",0,SUMIF('DADOS BRUTOS'!$A$3:$A$500,$C6,'DADOS BRUTOS'!C$3:C$500)))</f>
        <v/>
      </c>
      <c r="CD6" s="123">
        <f>IF(OR(CD$4="",$B6=""),0,SUMIF('DADOS BRUTOS'!$A$3:$A$500,$B6,'DADOS BRUTOS'!D$3:D$500)+IF($C6="",0,SUMIF('DADOS BRUTOS'!$A$3:$A$500,$C6,'DADOS BRUTOS'!D$3:D$500)))</f>
        <v/>
      </c>
      <c r="CE6" s="123">
        <f>IF(OR(CE$4="",$B6=""),0,SUMIF('DADOS BRUTOS'!$A$3:$A$500,$B6,'DADOS BRUTOS'!E$3:E$500)+IF($C6="",0,SUMIF('DADOS BRUTOS'!$A$3:$A$500,$C6,'DADOS BRUTOS'!E$3:E$500)))</f>
        <v/>
      </c>
      <c r="CF6" s="123">
        <f>IF(OR(CF$4="",$B6=""),0,SUMIF('DADOS BRUTOS'!$A$3:$A$500,$B6,'DADOS BRUTOS'!F$3:F$500)+IF($C6="",0,SUMIF('DADOS BRUTOS'!$A$3:$A$500,$C6,'DADOS BRUTOS'!F$3:F$500)))</f>
        <v/>
      </c>
      <c r="CG6" s="123">
        <f>IF(OR(CG$4="",$B6=""),0,SUMIF('DADOS BRUTOS'!$A$3:$A$500,$B6,'DADOS BRUTOS'!G$3:G$500)+IF($C6="",0,SUMIF('DADOS BRUTOS'!$A$3:$A$500,$C6,'DADOS BRUTOS'!G$3:G$500)))</f>
        <v/>
      </c>
      <c r="CH6" s="123">
        <f>IF(OR(CH$4="",$B6=""),0,SUMIF('DADOS BRUTOS'!$A$3:$A$500,$B6,'DADOS BRUTOS'!H$3:H$500)+IF($C6="",0,SUMIF('DADOS BRUTOS'!$A$3:$A$500,$C6,'DADOS BRUTOS'!H$3:H$500)))</f>
        <v/>
      </c>
      <c r="CI6" s="123">
        <f>IF(OR(CI$4="",$B6=""),0,SUMIF('DADOS BRUTOS'!$A$3:$A$500,$B6,'DADOS BRUTOS'!I$3:I$500)+IF($C6="",0,SUMIF('DADOS BRUTOS'!$A$3:$A$500,$C6,'DADOS BRUTOS'!I$3:I$500)))</f>
        <v/>
      </c>
      <c r="CJ6" s="123">
        <f>IF(OR(CJ$4="",$B6=""),0,SUMIF('DADOS BRUTOS'!$A$3:$A$500,$B6,'DADOS BRUTOS'!J$3:J$500)+IF($C6="",0,SUMIF('DADOS BRUTOS'!$A$3:$A$500,$C6,'DADOS BRUTOS'!J$3:J$500)))</f>
        <v/>
      </c>
      <c r="CK6" s="123">
        <f>IF(OR(CK$4="",$B6=""),0,SUMIF('DADOS BRUTOS'!$A$3:$A$500,$B6,'DADOS BRUTOS'!K$3:K$500)+IF($C6="",0,SUMIF('DADOS BRUTOS'!$A$3:$A$500,$C6,'DADOS BRUTOS'!K$3:K$500)))</f>
        <v/>
      </c>
      <c r="CL6" s="123">
        <f>IF(OR(CL$4="",$B6=""),0,SUMIF('DADOS BRUTOS'!$A$3:$A$500,$B6,'DADOS BRUTOS'!L$3:L$500)+IF($C6="",0,SUMIF('DADOS BRUTOS'!$A$3:$A$500,$C6,'DADOS BRUTOS'!L$3:L$500)))</f>
        <v/>
      </c>
      <c r="CM6" s="123">
        <f>IF(OR(CM$4="",$B6=""),0,SUMIF('DADOS BRUTOS'!$A$3:$A$500,$B6,'DADOS BRUTOS'!M$3:M$500)+IF($C6="",0,SUMIF('DADOS BRUTOS'!$A$3:$A$500,$C6,'DADOS BRUTOS'!M$3:M$500)))</f>
        <v/>
      </c>
      <c r="CN6" s="123">
        <f>IF(OR(CN$4="",$B6=""),0,SUMIF('DADOS BRUTOS'!$A$3:$A$500,$B6,'DADOS BRUTOS'!N$3:N$500)+IF($C6="",0,SUMIF('DADOS BRUTOS'!$A$3:$A$500,$C6,'DADOS BRUTOS'!N$3:N$500)))</f>
        <v/>
      </c>
      <c r="CO6" s="123">
        <f>IF(OR(CO$4="",$B6=""),0,SUMIF('DADOS BRUTOS'!$A$3:$A$500,$B6,'DADOS BRUTOS'!O$3:O$500)+IF($C6="",0,SUMIF('DADOS BRUTOS'!$A$3:$A$500,$C6,'DADOS BRUTOS'!O$3:O$500)))</f>
        <v/>
      </c>
      <c r="CP6" s="123">
        <f>IF(OR(CP$4="",$B6=""),0,SUMIF('DADOS BRUTOS'!$A$3:$A$500,$B6,'DADOS BRUTOS'!P$3:P$500)+IF($C6="",0,SUMIF('DADOS BRUTOS'!$A$3:$A$500,$C6,'DADOS BRUTOS'!P$3:P$500)))</f>
        <v/>
      </c>
      <c r="CQ6" s="123">
        <f>IF(OR(CQ$4="",$B6=""),0,SUMIF('DADOS BRUTOS'!$A$3:$A$500,$B6,'DADOS BRUTOS'!Q$3:Q$500)+IF($C6="",0,SUMIF('DADOS BRUTOS'!$A$3:$A$500,$C6,'DADOS BRUTOS'!Q$3:Q$500)))</f>
        <v/>
      </c>
      <c r="CR6" s="123">
        <f>IF(OR(CR$4="",$B6=""),0,SUMIF('DADOS BRUTOS'!$A$3:$A$500,$B6,'DADOS BRUTOS'!R$3:R$500)+IF($C6="",0,SUMIF('DADOS BRUTOS'!$A$3:$A$500,$C6,'DADOS BRUTOS'!R$3:R$500)))</f>
        <v/>
      </c>
      <c r="CS6" s="123">
        <f>IF(OR(CS$4="",$B6=""),0,SUMIF('DADOS BRUTOS'!$A$3:$A$500,$B6,'DADOS BRUTOS'!S$3:S$500)+IF($C6="",0,SUMIF('DADOS BRUTOS'!$A$3:$A$500,$C6,'DADOS BRUTOS'!S$3:S$500)))</f>
        <v/>
      </c>
      <c r="CT6" s="123">
        <f>IF(OR(CT$4="",$B6=""),0,SUMIF('DADOS BRUTOS'!$A$3:$A$500,$B6,'DADOS BRUTOS'!T$3:T$500)+IF($C6="",0,SUMIF('DADOS BRUTOS'!$A$3:$A$500,$C6,'DADOS BRUTOS'!T$3:T$500)))</f>
        <v/>
      </c>
      <c r="CU6" s="123">
        <f>IF(OR(CU$4="",$B6=""),0,SUMIF('DADOS BRUTOS'!$A$3:$A$500,$B6,'DADOS BRUTOS'!U$3:U$500)+IF($C6="",0,SUMIF('DADOS BRUTOS'!$A$3:$A$500,$C6,'DADOS BRUTOS'!U$3:U$500)))</f>
        <v/>
      </c>
      <c r="CV6" s="123">
        <f>IF(OR(CV$4="",$B6=""),0,SUMIF('DADOS BRUTOS'!$A$3:$A$500,$B6,'DADOS BRUTOS'!V$3:V$500)+IF($C6="",0,SUMIF('DADOS BRUTOS'!$A$3:$A$500,$C6,'DADOS BRUTOS'!V$3:V$500)))</f>
        <v/>
      </c>
      <c r="CW6" s="123">
        <f>IF(OR(CW$4="",$B6=""),0,SUMIF('DADOS BRUTOS'!$A$3:$A$500,$B6,'DADOS BRUTOS'!W$3:W$500)+IF($C6="",0,SUMIF('DADOS BRUTOS'!$A$3:$A$500,$C6,'DADOS BRUTOS'!W$3:W$500)))</f>
        <v/>
      </c>
      <c r="CX6" s="123">
        <f>IF(OR(CX$4="",$B6=""),0,SUMIF('DADOS BRUTOS'!$A$3:$A$500,$B6,'DADOS BRUTOS'!X$3:X$500)+IF($C6="",0,SUMIF('DADOS BRUTOS'!$A$3:$A$500,$C6,'DADOS BRUTOS'!X$3:X$500)))</f>
        <v/>
      </c>
      <c r="CY6" s="123">
        <f>IF(OR(CY$4="",$B6=""),0,SUMIF('DADOS BRUTOS'!$A$3:$A$500,$B6,'DADOS BRUTOS'!Y$3:Y$500)+IF($C6="",0,SUMIF('DADOS BRUTOS'!$A$3:$A$500,$C6,'DADOS BRUTOS'!Y$3:Y$500)))</f>
        <v/>
      </c>
      <c r="CZ6" s="123">
        <f>IF(OR(CZ$4="",$B6=""),0,SUMIF('DADOS BRUTOS'!$A$3:$A$500,$B6,'DADOS BRUTOS'!Z$3:Z$500)+IF($C6="",0,SUMIF('DADOS BRUTOS'!$A$3:$A$500,$C6,'DADOS BRUTOS'!Z$3:Z$500)))</f>
        <v/>
      </c>
      <c r="DA6" s="123">
        <f>IF(OR(DA$4="",$B6=""),0,SUMIF('DADOS BRUTOS'!$A$3:$A$500,$B6,'DADOS BRUTOS'!AA$3:AA$500)+IF($C6="",0,SUMIF('DADOS BRUTOS'!$A$3:$A$500,$C6,'DADOS BRUTOS'!AA$3:AA$500)))</f>
        <v/>
      </c>
      <c r="DB6" s="123">
        <f>IF(OR(DB$4="",$B6=""),0,SUMIF('DADOS BRUTOS'!$A$3:$A$500,$B6,'DADOS BRUTOS'!AB$3:AB$500)+IF($C6="",0,SUMIF('DADOS BRUTOS'!$A$3:$A$500,$C6,'DADOS BRUTOS'!AB$3:AB$500)))</f>
        <v/>
      </c>
      <c r="DC6" s="123">
        <f>IF(OR(DC$4="",$B6=""),0,SUMIF('DADOS BRUTOS'!$A$3:$A$500,$B6,'DADOS BRUTOS'!AC$3:AC$500)+IF($C6="",0,SUMIF('DADOS BRUTOS'!$A$3:$A$500,$C6,'DADOS BRUTOS'!AC$3:AC$500)))</f>
        <v/>
      </c>
      <c r="DD6" s="123">
        <f>IF(OR(DD$4="",$B6=""),0,SUMIF('DADOS BRUTOS'!$A$3:$A$500,$B6,'DADOS BRUTOS'!AD$3:AD$500)+IF($C6="",0,SUMIF('DADOS BRUTOS'!$A$3:$A$500,$C6,'DADOS BRUTOS'!AD$3:AD$500)))</f>
        <v/>
      </c>
      <c r="DE6" s="123">
        <f>IF(OR(DE$4="",$B6=""),0,SUMIF('DADOS BRUTOS'!$A$3:$A$500,$B6,'DADOS BRUTOS'!AE$3:AE$500)+IF($C6="",0,SUMIF('DADOS BRUTOS'!$A$3:$A$500,$C6,'DADOS BRUTOS'!AE$3:AE$500)))</f>
        <v/>
      </c>
      <c r="DF6" s="123">
        <f>IF(OR(DF$4="",$B6=""),0,SUMIF('DADOS BRUTOS'!$A$3:$A$500,$B6,'DADOS BRUTOS'!AF$3:AF$500)+IF($C6="",0,SUMIF('DADOS BRUTOS'!$A$3:$A$500,$C6,'DADOS BRUTOS'!AF$3:AF$500)))</f>
        <v/>
      </c>
      <c r="DG6" s="123">
        <f>IF(OR(DG$4="",$B6=""),0,SUMIF('DADOS BRUTOS'!$A$3:$A$500,$B6,'DADOS BRUTOS'!AG$3:AG$500)+IF($C6="",0,SUMIF('DADOS BRUTOS'!$A$3:$A$500,$C6,'DADOS BRUTOS'!AG$3:AG$500)))</f>
        <v/>
      </c>
      <c r="DH6" s="123">
        <f>IF(OR(DH$4="",$B6=""),0,SUMIF('DADOS BRUTOS'!$A$3:$A$500,$B6,'DADOS BRUTOS'!AH$3:AH$500)+IF($C6="",0,SUMIF('DADOS BRUTOS'!$A$3:$A$500,$C6,'DADOS BRUTOS'!AH$3:AH$500)))</f>
        <v/>
      </c>
      <c r="DI6" s="123">
        <f>IF(OR(DI$4="",$B6=""),0,SUMIF('DADOS BRUTOS'!$A$3:$A$500,$B6,'DADOS BRUTOS'!AI$3:AI$500)+IF($C6="",0,SUMIF('DADOS BRUTOS'!$A$3:$A$500,$C6,'DADOS BRUTOS'!AI$3:AI$500)))</f>
        <v/>
      </c>
      <c r="DJ6" s="123">
        <f>IF(OR(DJ$4="",$B6=""),0,SUMIF('DADOS BRUTOS'!$A$3:$A$500,$B6,'DADOS BRUTOS'!AJ$3:AJ$500)+IF($C6="",0,SUMIF('DADOS BRUTOS'!$A$3:$A$500,$C6,'DADOS BRUTOS'!AJ$3:AJ$500)))</f>
        <v/>
      </c>
      <c r="DK6" s="123">
        <f>IF(OR(DK$4="",$B6=""),0,SUMIF('DADOS BRUTOS'!$A$3:$A$500,$B6,'DADOS BRUTOS'!AK$3:AK$500)+IF($C6="",0,SUMIF('DADOS BRUTOS'!$A$3:$A$500,$C6,'DADOS BRUTOS'!AK$3:AK$500)))</f>
        <v/>
      </c>
      <c r="DL6" s="123">
        <f>IF(OR(DL$4="",$B6=""),0,SUMIF('DADOS BRUTOS'!$A$3:$A$500,$B6,'DADOS BRUTOS'!AL$3:AL$500)+IF($C6="",0,SUMIF('DADOS BRUTOS'!$A$3:$A$500,$C6,'DADOS BRUTOS'!AL$3:AL$500)))</f>
        <v/>
      </c>
      <c r="DM6" s="123">
        <f>IF(OR(DM$4="",$B6=""),0,SUMIF('DADOS BRUTOS'!$A$3:$A$500,$B6,'DADOS BRUTOS'!AM$3:AM$500)+IF($C6="",0,SUMIF('DADOS BRUTOS'!$A$3:$A$500,$C6,'DADOS BRUTOS'!AM$3:AM$500)))</f>
        <v/>
      </c>
      <c r="DN6" s="123">
        <f>IF(OR(DN$4="",$B6=""),0,SUMIF('DADOS BRUTOS'!$A$3:$A$500,$B6,'DADOS BRUTOS'!AN$3:AN$500)+IF($C6="",0,SUMIF('DADOS BRUTOS'!$A$3:$A$500,$C6,'DADOS BRUTOS'!AN$3:AN$500)))</f>
        <v/>
      </c>
      <c r="DO6" s="123">
        <f>IF(OR(DO$4="",$B6=""),0,SUMIF('DADOS BRUTOS'!$A$3:$A$500,$B6,'DADOS BRUTOS'!AO$3:AO$500)+IF($C6="",0,SUMIF('DADOS BRUTOS'!$A$3:$A$500,$C6,'DADOS BRUTOS'!AO$3:AO$500)))</f>
        <v/>
      </c>
      <c r="DP6" s="123">
        <f>IF(OR(DP$4="",$B6=""),0,SUMIF('DADOS BRUTOS'!$A$3:$A$500,$B6,'DADOS BRUTOS'!AP$3:AP$500)+IF($C6="",0,SUMIF('DADOS BRUTOS'!$A$3:$A$500,$C6,'DADOS BRUTOS'!AP$3:AP$500)))</f>
        <v/>
      </c>
      <c r="DQ6" s="123">
        <f>IF(OR(DQ$4="",$B6=""),0,SUMIF('DADOS BRUTOS'!$A$3:$A$500,$B6,'DADOS BRUTOS'!AQ$3:AQ$500)+IF($C6="",0,SUMIF('DADOS BRUTOS'!$A$3:$A$500,$C6,'DADOS BRUTOS'!AQ$3:AQ$500)))</f>
        <v/>
      </c>
      <c r="DR6" s="123">
        <f>IF(OR(DR$4="",$B6=""),0,SUMIF('DADOS BRUTOS'!$A$3:$A$500,$B6,'DADOS BRUTOS'!AR$3:AR$500)+IF($C6="",0,SUMIF('DADOS BRUTOS'!$A$3:$A$500,$C6,'DADOS BRUTOS'!AR$3:AR$500)))</f>
        <v/>
      </c>
      <c r="DS6" s="123">
        <f>IF(OR(DS$4="",$B6=""),0,SUMIF('DADOS BRUTOS'!$A$3:$A$500,$B6,'DADOS BRUTOS'!AS$3:AS$500)+IF($C6="",0,SUMIF('DADOS BRUTOS'!$A$3:$A$500,$C6,'DADOS BRUTOS'!AS$3:AS$500)))</f>
        <v/>
      </c>
      <c r="DT6" s="123">
        <f>IF(OR(DT$4="",$B6=""),0,SUMIF('DADOS BRUTOS'!$A$3:$A$500,$B6,'DADOS BRUTOS'!AT$3:AT$500)+IF($C6="",0,SUMIF('DADOS BRUTOS'!$A$3:$A$500,$C6,'DADOS BRUTOS'!AT$3:AT$500)))</f>
        <v/>
      </c>
      <c r="DU6" s="123">
        <f>IF(OR(DU$4="",$B6=""),0,SUMIF('DADOS BRUTOS'!$A$3:$A$500,$B6,'DADOS BRUTOS'!AU$3:AU$500)+IF($C6="",0,SUMIF('DADOS BRUTOS'!$A$3:$A$500,$C6,'DADOS BRUTOS'!AU$3:AU$500)))</f>
        <v/>
      </c>
      <c r="DV6" s="123">
        <f>IF(OR(DV$4="",$B6=""),0,SUMIF('DADOS BRUTOS'!$A$3:$A$500,$B6,'DADOS BRUTOS'!AV$3:AV$500)+IF($C6="",0,SUMIF('DADOS BRUTOS'!$A$3:$A$500,$C6,'DADOS BRUTOS'!AV$3:AV$500)))</f>
        <v/>
      </c>
      <c r="DW6" s="123">
        <f>IF(OR(DW$4="",$B6=""),0,SUMIF('DADOS BRUTOS'!$A$3:$A$500,$B6,'DADOS BRUTOS'!AW$3:AW$500)+IF($C6="",0,SUMIF('DADOS BRUTOS'!$A$3:$A$500,$C6,'DADOS BRUTOS'!AW$3:AW$500)))</f>
        <v/>
      </c>
      <c r="DX6" s="123">
        <f>IF(OR(DX$4="",$B6=""),0,SUMIF('DADOS BRUTOS'!$A$3:$A$500,$B6,'DADOS BRUTOS'!AX$3:AX$500)+IF($C6="",0,SUMIF('DADOS BRUTOS'!$A$3:$A$500,$C6,'DADOS BRUTOS'!AX$3:AX$500)))</f>
        <v/>
      </c>
      <c r="DY6" s="123">
        <f>IF(OR(DY$4="",$B6=""),0,SUMIF('DADOS BRUTOS'!$A$3:$A$500,$B6,'DADOS BRUTOS'!AY$3:AY$500)+IF($C6="",0,SUMIF('DADOS BRUTOS'!$A$3:$A$500,$C6,'DADOS BRUTOS'!AY$3:AY$500)))</f>
        <v/>
      </c>
      <c r="DZ6" s="123">
        <f>IF(OR(DZ$4="",$B6=""),0,SUMIF('DADOS BRUTOS'!$A$3:$A$500,$B6,'DADOS BRUTOS'!AZ$3:AZ$500)+IF($C6="",0,SUMIF('DADOS BRUTOS'!$A$3:$A$500,$C6,'DADOS BRUTOS'!AZ$3:AZ$500)))</f>
        <v/>
      </c>
      <c r="EA6" s="123">
        <f>IF(OR(EA$4="",$B6=""),0,SUMIF('DADOS BRUTOS'!$A$3:$A$500,$B6,'DADOS BRUTOS'!BA$3:BA$500)+IF($C6="",0,SUMIF('DADOS BRUTOS'!$A$3:$A$500,$C6,'DADOS BRUTOS'!BA$3:BA$500)))</f>
        <v/>
      </c>
      <c r="EB6" s="123">
        <f>IF(OR(EB$4="",$B6=""),0,SUMIF('DADOS BRUTOS'!$A$3:$A$500,$B6,'DADOS BRUTOS'!BB$3:BB$500)+IF($C6="",0,SUMIF('DADOS BRUTOS'!$A$3:$A$500,$C6,'DADOS BRUTOS'!BB$3:BB$500)))</f>
        <v/>
      </c>
      <c r="EC6" s="123">
        <f>IF(OR(EC$4="",$B6=""),0,SUMIF('DADOS BRUTOS'!$A$3:$A$500,$B6,'DADOS BRUTOS'!BC$3:BC$500)+IF($C6="",0,SUMIF('DADOS BRUTOS'!$A$3:$A$500,$C6,'DADOS BRUTOS'!BC$3:BC$500)))</f>
        <v/>
      </c>
      <c r="ED6" s="123">
        <f>IF(OR(ED$4="",$B6=""),0,SUMIF('DADOS BRUTOS'!$A$3:$A$500,$B6,'DADOS BRUTOS'!BD$3:BD$500)+IF($C6="",0,SUMIF('DADOS BRUTOS'!$A$3:$A$500,$C6,'DADOS BRUTOS'!BD$3:BD$500)))</f>
        <v/>
      </c>
      <c r="EE6" s="123">
        <f>IF(OR(EE$4="",$B6=""),0,SUMIF('DADOS BRUTOS'!$A$3:$A$500,$B6,'DADOS BRUTOS'!BE$3:BE$500)+IF($C6="",0,SUMIF('DADOS BRUTOS'!$A$3:$A$500,$C6,'DADOS BRUTOS'!BE$3:BE$500)))</f>
        <v/>
      </c>
      <c r="EF6" s="123">
        <f>IF(OR(EF$4="",$B6=""),0,SUMIF('DADOS BRUTOS'!$A$3:$A$500,$B6,'DADOS BRUTOS'!BF$3:BF$500)+IF($C6="",0,SUMIF('DADOS BRUTOS'!$A$3:$A$500,$C6,'DADOS BRUTOS'!BF$3:BF$500)))</f>
        <v/>
      </c>
      <c r="EG6" s="123">
        <f>IF(OR(EG$4="",$B6=""),0,SUMIF('DADOS BRUTOS'!$A$3:$A$500,$B6,'DADOS BRUTOS'!BG$3:BG$500)+IF($C6="",0,SUMIF('DADOS BRUTOS'!$A$3:$A$500,$C6,'DADOS BRUTOS'!BG$3:BG$500)))</f>
        <v/>
      </c>
      <c r="EH6" s="123">
        <f>IF(OR(EH$4="",$B6=""),0,SUMIF('DADOS BRUTOS'!$A$3:$A$500,$B6,'DADOS BRUTOS'!BH$3:BH$500)+IF($C6="",0,SUMIF('DADOS BRUTOS'!$A$3:$A$500,$C6,'DADOS BRUTOS'!BH$3:BH$500)))</f>
        <v/>
      </c>
      <c r="EI6" s="123">
        <f>IF(OR(EI$4="",$B6=""),0,SUMIF('DADOS BRUTOS'!$A$3:$A$500,$B6,'DADOS BRUTOS'!BI$3:BI$500)+IF($C6="",0,SUMIF('DADOS BRUTOS'!$A$3:$A$500,$C6,'DADOS BRUTOS'!BI$3:BI$500)))</f>
        <v/>
      </c>
      <c r="EJ6" s="123">
        <f>IF(OR(EJ$4="",$B6=""),0,SUMIF('DADOS BRUTOS'!$A$3:$A$500,$B6,'DADOS BRUTOS'!BJ$3:BJ$500)+IF($C6="",0,SUMIF('DADOS BRUTOS'!$A$3:$A$500,$C6,'DADOS BRUTOS'!BJ$3:BJ$500)))</f>
        <v/>
      </c>
      <c r="EK6" s="123">
        <f>IF(OR(EK$4="",$B6=""),0,SUMIF('DADOS BRUTOS'!$A$3:$A$500,$B6,'DADOS BRUTOS'!BK$3:BK$500)+IF($C6="",0,SUMIF('DADOS BRUTOS'!$A$3:$A$500,$C6,'DADOS BRUTOS'!BK$3:BK$500)))</f>
        <v/>
      </c>
      <c r="EL6" s="123">
        <f>IF(OR(EL$4="",$B6=""),0,SUMIF('DADOS BRUTOS'!$A$3:$A$500,$B6,'DADOS BRUTOS'!BL$3:BL$500)+IF($C6="",0,SUMIF('DADOS BRUTOS'!$A$3:$A$500,$C6,'DADOS BRUTOS'!BL$3:BL$500)))</f>
        <v/>
      </c>
      <c r="EM6" s="123">
        <f>IF(OR(EM$4="",$B6=""),0,SUMIF('DADOS BRUTOS'!$A$3:$A$500,$B6,'DADOS BRUTOS'!BM$3:BM$500)+IF($C6="",0,SUMIF('DADOS BRUTOS'!$A$3:$A$500,$C6,'DADOS BRUTOS'!BM$3:BM$500)))</f>
        <v/>
      </c>
      <c r="EN6" s="123">
        <f>IF(OR(EN$4="",$B6=""),0,SUMIF('DADOS BRUTOS'!$A$3:$A$500,$B6,'DADOS BRUTOS'!BN$3:BN$500)+IF($C6="",0,SUMIF('DADOS BRUTOS'!$A$3:$A$500,$C6,'DADOS BRUTOS'!BN$3:BN$500)))</f>
        <v/>
      </c>
      <c r="EO6" s="123">
        <f>IF(OR(EO$4="",$B6=""),0,SUMIF('DADOS BRUTOS'!$A$3:$A$500,$B6,'DADOS BRUTOS'!BO$3:BO$500)+IF($C6="",0,SUMIF('DADOS BRUTOS'!$A$3:$A$500,$C6,'DADOS BRUTOS'!BO$3:BO$500)))</f>
        <v/>
      </c>
      <c r="EP6" s="123">
        <f>IF(OR(EP$4="",$B6=""),0,SUMIF('DADOS BRUTOS'!$A$3:$A$500,$B6,'DADOS BRUTOS'!BP$3:BP$500)+IF($C6="",0,SUMIF('DADOS BRUTOS'!$A$3:$A$500,$C6,'DADOS BRUTOS'!BP$3:BP$500)))</f>
        <v/>
      </c>
      <c r="EQ6" s="123">
        <f>IF(OR(EQ$4="",$B6=""),0,SUMIF('DADOS BRUTOS'!$A$3:$A$500,$B6,'DADOS BRUTOS'!BQ$3:BQ$500)+IF($C6="",0,SUMIF('DADOS BRUTOS'!$A$3:$A$500,$C6,'DADOS BRUTOS'!BQ$3:BQ$500)))</f>
        <v/>
      </c>
      <c r="ER6" s="123">
        <f>IF(OR(ER$4="",$B6=""),0,SUMIF('DADOS BRUTOS'!$A$3:$A$500,$B6,'DADOS BRUTOS'!BR$3:BR$500)+IF($C6="",0,SUMIF('DADOS BRUTOS'!$A$3:$A$500,$C6,'DADOS BRUTOS'!BR$3:BR$500)))</f>
        <v/>
      </c>
      <c r="ES6" s="123">
        <f>IF(OR(ES$4="",$B6=""),0,SUMIF('DADOS BRUTOS'!$A$3:$A$500,$B6,'DADOS BRUTOS'!BS$3:BS$500)+IF($C6="",0,SUMIF('DADOS BRUTOS'!$A$3:$A$500,$C6,'DADOS BRUTOS'!BS$3:BS$500)))</f>
        <v/>
      </c>
      <c r="ET6" s="123">
        <f>IF(OR(ET$4="",$B6=""),0,SUMIF('DADOS BRUTOS'!$A$3:$A$500,$B6,'DADOS BRUTOS'!BT$3:BT$500)+IF($C6="",0,SUMIF('DADOS BRUTOS'!$A$3:$A$500,$C6,'DADOS BRUTOS'!BT$3:BT$500)))</f>
        <v/>
      </c>
      <c r="EU6" s="123">
        <f>IF(OR(EU$4="",$B6=""),0,SUMIF('DADOS BRUTOS'!$A$3:$A$500,$B6,'DADOS BRUTOS'!BU$3:BU$500)+IF($C6="",0,SUMIF('DADOS BRUTOS'!$A$3:$A$500,$C6,'DADOS BRUTOS'!BU$3:BU$500)))</f>
        <v/>
      </c>
      <c r="EV6" s="123">
        <f>IF(OR(EV$4="",$B6=""),0,SUMIF('DADOS BRUTOS'!$A$3:$A$500,$B6,'DADOS BRUTOS'!BV$3:BV$500)+IF($C6="",0,SUMIF('DADOS BRUTOS'!$A$3:$A$500,$C6,'DADOS BRUTOS'!BV$3:BV$500)))</f>
        <v/>
      </c>
      <c r="EW6" s="123">
        <f>IF(OR(EW$4="",$B6=""),0,SUMIF('DADOS BRUTOS'!$A$3:$A$500,$B6,'DADOS BRUTOS'!BW$3:BW$500)+IF($C6="",0,SUMIF('DADOS BRUTOS'!$A$3:$A$500,$C6,'DADOS BRUTOS'!BW$3:BW$500)))</f>
        <v/>
      </c>
      <c r="EX6" s="123">
        <f>IF(OR(EX$4="",$B6=""),0,SUMIF('DADOS BRUTOS'!$A$3:$A$500,$B6,'DADOS BRUTOS'!BX$3:BX$500)+IF($C6="",0,SUMIF('DADOS BRUTOS'!$A$3:$A$500,$C6,'DADOS BRUTOS'!BX$3:BX$500)))</f>
        <v/>
      </c>
      <c r="EY6" s="123">
        <f>IF(OR(EY$4="",$B6=""),0,SUMIF('DADOS BRUTOS'!$A$3:$A$500,$B6,'DADOS BRUTOS'!BY$3:BY$500)+IF($C6="",0,SUMIF('DADOS BRUTOS'!$A$3:$A$500,$C6,'DADOS BRUTOS'!BY$3:BY$500)))</f>
        <v/>
      </c>
      <c r="EZ6" s="123">
        <f>IF(OR(EZ$4="",$B6=""),0,SUMIF('DADOS BRUTOS'!$A$3:$A$500,$B6,'DADOS BRUTOS'!BZ$3:BZ$500)+IF($C6="",0,SUMIF('DADOS BRUTOS'!$A$3:$A$500,$C6,'DADOS BRUTOS'!BZ$3:BZ$500)))</f>
        <v/>
      </c>
      <c r="FA6" s="123">
        <f>IF(OR(FA$4="",$B6=""),0,SUMIF('DADOS BRUTOS'!$A$3:$A$500,$B6,'DADOS BRUTOS'!CA$3:CA$500)+IF($C6="",0,SUMIF('DADOS BRUTOS'!$A$3:$A$500,$C6,'DADOS BRUTOS'!CA$3:CA$500)))</f>
        <v/>
      </c>
      <c r="FB6" s="123">
        <f>IF(OR(FB$4="",$B6=""),0,SUMIF('DADOS BRUTOS'!$A$3:$A$500,$B6,'DADOS BRUTOS'!CB$3:CB$500)+IF($C6="",0,SUMIF('DADOS BRUTOS'!$A$3:$A$500,$C6,'DADOS BRUTOS'!CB$3:CB$500)))</f>
        <v/>
      </c>
      <c r="FC6" s="123">
        <f>IF(OR(FC$4="",$B6=""),0,SUMIF('DADOS BRUTOS'!$A$3:$A$500,$B6,'DADOS BRUTOS'!CC$3:CC$500)+IF($C6="",0,SUMIF('DADOS BRUTOS'!$A$3:$A$500,$C6,'DADOS BRUTOS'!CC$3:CC$500)))</f>
        <v/>
      </c>
      <c r="FD6" s="123">
        <f>IF(OR(FD$4="",$B6=""),0,SUMIF('DADOS BRUTOS'!$A$3:$A$500,$B6,'DADOS BRUTOS'!CD$3:CD$500)+IF($C6="",0,SUMIF('DADOS BRUTOS'!$A$3:$A$500,$C6,'DADOS BRUTOS'!CD$3:CD$500)))</f>
        <v/>
      </c>
      <c r="FE6" s="123">
        <f>IF(OR(FE$4="",$B6=""),0,SUMIF('DADOS BRUTOS'!$A$3:$A$500,$B6,'DADOS BRUTOS'!CE$3:CE$500)+IF($C6="",0,SUMIF('DADOS BRUTOS'!$A$3:$A$500,$C6,'DADOS BRUTOS'!CE$3:CE$500)))</f>
        <v/>
      </c>
      <c r="FF6" s="123">
        <f>IF(OR(FF$4="",$B6=""),0,SUMIF('DADOS BRUTOS'!$A$3:$A$500,$B6,'DADOS BRUTOS'!CF$3:CF$500)+IF($C6="",0,SUMIF('DADOS BRUTOS'!$A$3:$A$500,$C6,'DADOS BRUTOS'!CF$3:CF$500)))</f>
        <v/>
      </c>
      <c r="FG6" s="123">
        <f>IF(OR(FG$4="",$B6=""),0,SUMIF('DADOS BRUTOS'!$A$3:$A$500,$B6,'DADOS BRUTOS'!CG$3:CG$500)+IF($C6="",0,SUMIF('DADOS BRUTOS'!$A$3:$A$500,$C6,'DADOS BRUTOS'!CG$3:CG$500)))</f>
        <v/>
      </c>
      <c r="FH6" s="123">
        <f>IF(OR(FH$4="",$B6=""),0,SUMIF('DADOS BRUTOS'!$A$3:$A$500,$B6,'DADOS BRUTOS'!CH$3:CH$500)+IF($C6="",0,SUMIF('DADOS BRUTOS'!$A$3:$A$500,$C6,'DADOS BRUTOS'!CH$3:CH$500)))</f>
        <v/>
      </c>
      <c r="FI6" s="123">
        <f>IF(OR(FI$4="",$B6=""),0,SUMIF('DADOS BRUTOS'!$A$3:$A$500,$B6,'DADOS BRUTOS'!CI$3:CI$500)+IF($C6="",0,SUMIF('DADOS BRUTOS'!$A$3:$A$500,$C6,'DADOS BRUTOS'!CI$3:CI$500)))</f>
        <v/>
      </c>
      <c r="FJ6" s="123">
        <f>IF(OR(FJ$4="",$B6=""),0,SUMIF('DADOS BRUTOS'!$A$3:$A$500,$B6,'DADOS BRUTOS'!CJ$3:CJ$500)+IF($C6="",0,SUMIF('DADOS BRUTOS'!$A$3:$A$500,$C6,'DADOS BRUTOS'!CJ$3:CJ$500)))</f>
        <v/>
      </c>
      <c r="FK6" s="123">
        <f>IF(OR(FK$4="",$B6=""),0,SUMIF('DADOS BRUTOS'!$A$3:$A$500,$B6,'DADOS BRUTOS'!CK$3:CK$500)+IF($C6="",0,SUMIF('DADOS BRUTOS'!$A$3:$A$500,$C6,'DADOS BRUTOS'!CK$3:CK$500)))</f>
        <v/>
      </c>
      <c r="FL6" s="123">
        <f>IF(OR(FL$4="",$B6=""),0,SUMIF('DADOS BRUTOS'!$A$3:$A$500,$B6,'DADOS BRUTOS'!CL$3:CL$500)+IF($C6="",0,SUMIF('DADOS BRUTOS'!$A$3:$A$500,$C6,'DADOS BRUTOS'!CL$3:CL$500)))</f>
        <v/>
      </c>
      <c r="FM6" s="123">
        <f>IF(OR(FM$4="",$B6=""),0,SUMIF('DADOS BRUTOS'!$A$3:$A$500,$B6,'DADOS BRUTOS'!CM$3:CM$500)+IF($C6="",0,SUMIF('DADOS BRUTOS'!$A$3:$A$500,$C6,'DADOS BRUTOS'!CM$3:CM$500)))</f>
        <v/>
      </c>
      <c r="FN6" s="123">
        <f>IF(OR(FN$4="",$B6=""),0,SUMIF('DADOS BRUTOS'!$A$3:$A$500,$B6,'DADOS BRUTOS'!CN$3:CN$500)+IF($C6="",0,SUMIF('DADOS BRUTOS'!$A$3:$A$500,$C6,'DADOS BRUTOS'!CN$3:CN$500)))</f>
        <v/>
      </c>
      <c r="FO6" s="123">
        <f>IF(OR(FO$4="",$B6=""),0,SUMIF('DADOS BRUTOS'!$A$3:$A$500,$B6,'DADOS BRUTOS'!CO$3:CO$500)+IF($C6="",0,SUMIF('DADOS BRUTOS'!$A$3:$A$500,$C6,'DADOS BRUTOS'!CO$3:CO$500)))</f>
        <v/>
      </c>
      <c r="FP6" s="123">
        <f>IF(OR(FP$4="",$B6=""),0,SUMIF('DADOS BRUTOS'!$A$3:$A$500,$B6,'DADOS BRUTOS'!CP$3:CP$500)+IF($C6="",0,SUMIF('DADOS BRUTOS'!$A$3:$A$500,$C6,'DADOS BRUTOS'!CP$3:CP$500)))</f>
        <v/>
      </c>
      <c r="FQ6" s="123">
        <f>IF(OR(FQ$4="",$B6=""),0,SUMIF('DADOS BRUTOS'!$A$3:$A$500,$B6,'DADOS BRUTOS'!CQ$3:CQ$500)+IF($C6="",0,SUMIF('DADOS BRUTOS'!$A$3:$A$500,$C6,'DADOS BRUTOS'!CQ$3:CQ$500)))</f>
        <v/>
      </c>
      <c r="FR6" s="123">
        <f>IF(OR(FR$4="",$B6=""),0,SUMIF('DADOS BRUTOS'!$A$3:$A$500,$B6,'DADOS BRUTOS'!CR$3:CR$500)+IF($C6="",0,SUMIF('DADOS BRUTOS'!$A$3:$A$500,$C6,'DADOS BRUTOS'!CR$3:CR$500)))</f>
        <v/>
      </c>
      <c r="FS6" s="123">
        <f>IF(OR(FS$4="",$B6=""),0,SUMIF('DADOS BRUTOS'!$A$3:$A$500,$B6,'DADOS BRUTOS'!CS$3:CS$500)+IF($C6="",0,SUMIF('DADOS BRUTOS'!$A$3:$A$500,$C6,'DADOS BRUTOS'!CS$3:CS$500)))</f>
        <v/>
      </c>
      <c r="FT6" s="123">
        <f>IF(OR(FT$4="",$B6=""),0,SUMIF('DADOS BRUTOS'!$A$3:$A$500,$B6,'DADOS BRUTOS'!CT$3:CT$500)+IF($C6="",0,SUMIF('DADOS BRUTOS'!$A$3:$A$500,$C6,'DADOS BRUTOS'!CT$3:CT$500)))</f>
        <v/>
      </c>
      <c r="FU6" s="123">
        <f>IF(OR(FU$4="",$B6=""),0,SUMIF('DADOS BRUTOS'!$A$3:$A$500,$B6,'DADOS BRUTOS'!CU$3:CU$500)+IF($C6="",0,SUMIF('DADOS BRUTOS'!$A$3:$A$500,$C6,'DADOS BRUTOS'!CU$3:CU$500)))</f>
        <v/>
      </c>
      <c r="FV6" s="123">
        <f>IF(OR(FV$4="",$B6=""),0,SUMIF('DADOS BRUTOS'!$A$3:$A$500,$B6,'DADOS BRUTOS'!CV$3:CV$500)+IF($C6="",0,SUMIF('DADOS BRUTOS'!$A$3:$A$500,$C6,'DADOS BRUTOS'!CV$3:CV$500)))</f>
        <v/>
      </c>
      <c r="FW6" s="123">
        <f>IF(OR(FW$4="",$B6=""),0,SUMIF('DADOS BRUTOS'!$A$3:$A$500,$B6,'DADOS BRUTOS'!CW$3:CW$500)+IF($C6="",0,SUMIF('DADOS BRUTOS'!$A$3:$A$500,$C6,'DADOS BRUTOS'!CW$3:CW$500)))</f>
        <v/>
      </c>
      <c r="FX6" s="123">
        <f>IF(OR(FX$4="",$B6=""),0,SUMIF('DADOS BRUTOS'!$A$3:$A$500,$B6,'DADOS BRUTOS'!CX$3:CX$500)+IF($C6="",0,SUMIF('DADOS BRUTOS'!$A$3:$A$500,$C6,'DADOS BRUTOS'!CX$3:CX$500)))</f>
        <v/>
      </c>
      <c r="FY6" s="123">
        <f>IF(OR(FY$4="",$B6=""),0,SUMIF('DADOS BRUTOS'!$A$3:$A$500,$B6,'DADOS BRUTOS'!CY$3:CY$500)+IF($C6="",0,SUMIF('DADOS BRUTOS'!$A$3:$A$500,$C6,'DADOS BRUTOS'!CY$3:CY$500)))</f>
        <v/>
      </c>
      <c r="FZ6" s="123">
        <f>IF(OR(FZ$4="",$B6=""),0,SUMIF('DADOS BRUTOS'!$A$3:$A$500,$B6,'DADOS BRUTOS'!CZ$3:CZ$500)+IF($C6="",0,SUMIF('DADOS BRUTOS'!$A$3:$A$500,$C6,'DADOS BRUTOS'!CZ$3:CZ$500)))</f>
        <v/>
      </c>
      <c r="GA6" s="123">
        <f>IF(OR(GA$4="",$B6=""),0,SUMIF('DADOS BRUTOS'!$A$3:$A$500,$B6,'DADOS BRUTOS'!DA$3:DA$500)+IF($C6="",0,SUMIF('DADOS BRUTOS'!$A$3:$A$500,$C6,'DADOS BRUTOS'!DA$3:DA$500)))</f>
        <v/>
      </c>
      <c r="GB6" s="123">
        <f>IF(OR(GB$4="",$B6=""),0,SUMIF('DADOS BRUTOS'!$A$3:$A$500,$B6,'DADOS BRUTOS'!DB$3:DB$500)+IF($C6="",0,SUMIF('DADOS BRUTOS'!$A$3:$A$500,$C6,'DADOS BRUTOS'!DB$3:DB$500)))</f>
        <v/>
      </c>
      <c r="GC6" s="123">
        <f>IF(OR(GC$4="",$B6=""),0,SUMIF('DADOS BRUTOS'!$A$3:$A$500,$B6,'DADOS BRUTOS'!DC$3:DC$500)+IF($C6="",0,SUMIF('DADOS BRUTOS'!$A$3:$A$500,$C6,'DADOS BRUTOS'!DC$3:DC$500)))</f>
        <v/>
      </c>
      <c r="GD6" s="123">
        <f>IF(OR(GD$4="",$B6=""),0,SUMIF('DADOS BRUTOS'!$A$3:$A$500,$B6,'DADOS BRUTOS'!DD$3:DD$500)+IF($C6="",0,SUMIF('DADOS BRUTOS'!$A$3:$A$500,$C6,'DADOS BRUTOS'!DD$3:DD$500)))</f>
        <v/>
      </c>
      <c r="GE6" s="123">
        <f>IF(OR(GE$4="",$B6=""),0,SUMIF('DADOS BRUTOS'!$A$3:$A$500,$B6,'DADOS BRUTOS'!DE$3:DE$500)+IF($C6="",0,SUMIF('DADOS BRUTOS'!$A$3:$A$500,$C6,'DADOS BRUTOS'!DE$3:DE$500)))</f>
        <v/>
      </c>
      <c r="GF6" s="123">
        <f>IF(OR(GF$4="",$B6=""),0,SUMIF('DADOS BRUTOS'!$A$3:$A$500,$B6,'DADOS BRUTOS'!DF$3:DF$500)+IF($C6="",0,SUMIF('DADOS BRUTOS'!$A$3:$A$500,$C6,'DADOS BRUTOS'!DF$3:DF$500)))</f>
        <v/>
      </c>
      <c r="GG6" s="123">
        <f>IF(OR(GG$4="",$B6=""),0,SUMIF('DADOS BRUTOS'!$A$3:$A$500,$B6,'DADOS BRUTOS'!DG$3:DG$500)+IF($C6="",0,SUMIF('DADOS BRUTOS'!$A$3:$A$500,$C6,'DADOS BRUTOS'!DG$3:DG$500)))</f>
        <v/>
      </c>
      <c r="GH6" s="123">
        <f>IF(OR(GH$4="",$B6=""),0,SUMIF('DADOS BRUTOS'!$A$3:$A$500,$B6,'DADOS BRUTOS'!DH$3:DH$500)+IF($C6="",0,SUMIF('DADOS BRUTOS'!$A$3:$A$500,$C6,'DADOS BRUTOS'!DH$3:DH$500)))</f>
        <v/>
      </c>
      <c r="GI6" s="123">
        <f>IF(OR(GI$4="",$B6=""),0,SUMIF('DADOS BRUTOS'!$A$3:$A$500,$B6,'DADOS BRUTOS'!DI$3:DI$500)+IF($C6="",0,SUMIF('DADOS BRUTOS'!$A$3:$A$500,$C6,'DADOS BRUTOS'!DI$3:DI$500)))</f>
        <v/>
      </c>
      <c r="GJ6" s="123">
        <f>IF(OR(GJ$4="",$B6=""),0,SUMIF('DADOS BRUTOS'!$A$3:$A$500,$B6,'DADOS BRUTOS'!DJ$3:DJ$500)+IF($C6="",0,SUMIF('DADOS BRUTOS'!$A$3:$A$500,$C6,'DADOS BRUTOS'!DJ$3:DJ$500)))</f>
        <v/>
      </c>
      <c r="GK6" s="123">
        <f>IF(OR(GK$4="",$B6=""),0,SUMIF('DADOS BRUTOS'!$A$3:$A$500,$B6,'DADOS BRUTOS'!DK$3:DK$500)+IF($C6="",0,SUMIF('DADOS BRUTOS'!$A$3:$A$500,$C6,'DADOS BRUTOS'!DK$3:DK$500)))</f>
        <v/>
      </c>
      <c r="GL6" s="123">
        <f>IF(OR(GL$4="",$B6=""),0,SUMIF('DADOS BRUTOS'!$A$3:$A$500,$B6,'DADOS BRUTOS'!DL$3:DL$500)+IF($C6="",0,SUMIF('DADOS BRUTOS'!$A$3:$A$500,$C6,'DADOS BRUTOS'!DL$3:DL$500)))</f>
        <v/>
      </c>
      <c r="GM6" s="123">
        <f>IF(OR(GM$4="",$B6=""),0,SUMIF('DADOS BRUTOS'!$A$3:$A$500,$B6,'DADOS BRUTOS'!DM$3:DM$500)+IF($C6="",0,SUMIF('DADOS BRUTOS'!$A$3:$A$500,$C6,'DADOS BRUTOS'!DM$3:DM$500)))</f>
        <v/>
      </c>
      <c r="GN6" s="123">
        <f>IF(OR(GN$4="",$B6=""),0,SUMIF('DADOS BRUTOS'!$A$3:$A$500,$B6,'DADOS BRUTOS'!DN$3:DN$500)+IF($C6="",0,SUMIF('DADOS BRUTOS'!$A$3:$A$500,$C6,'DADOS BRUTOS'!DN$3:DN$500)))</f>
        <v/>
      </c>
      <c r="GO6" s="123">
        <f>IF(OR(GO$4="",$B6=""),0,SUMIF('DADOS BRUTOS'!$A$3:$A$500,$B6,'DADOS BRUTOS'!DO$3:DO$500)+IF($C6="",0,SUMIF('DADOS BRUTOS'!$A$3:$A$500,$C6,'DADOS BRUTOS'!DO$3:DO$500)))</f>
        <v/>
      </c>
      <c r="GP6" s="123">
        <f>IF(OR(GP$4="",$B6=""),0,SUMIF('DADOS BRUTOS'!$A$3:$A$500,$B6,'DADOS BRUTOS'!DP$3:DP$500)+IF($C6="",0,SUMIF('DADOS BRUTOS'!$A$3:$A$500,$C6,'DADOS BRUTOS'!DP$3:DP$500)))</f>
        <v/>
      </c>
      <c r="GQ6" s="123">
        <f>IF(OR(GQ$4="",$B6=""),0,SUMIF('DADOS BRUTOS'!$A$3:$A$500,$B6,'DADOS BRUTOS'!DQ$3:DQ$500)+IF($C6="",0,SUMIF('DADOS BRUTOS'!$A$3:$A$500,$C6,'DADOS BRUTOS'!DQ$3:DQ$500)))</f>
        <v/>
      </c>
      <c r="GR6" s="123">
        <f>IF(OR(GR$4="",$B6=""),0,SUMIF('DADOS BRUTOS'!$A$3:$A$500,$B6,'DADOS BRUTOS'!DR$3:DR$500)+IF($C6="",0,SUMIF('DADOS BRUTOS'!$A$3:$A$500,$C6,'DADOS BRUTOS'!DR$3:DR$500)))</f>
        <v/>
      </c>
      <c r="GS6" s="123">
        <f>IF(OR(GS$4="",$B6=""),0,SUMIF('DADOS BRUTOS'!$A$3:$A$500,$B6,'DADOS BRUTOS'!DS$3:DS$500)+IF($C6="",0,SUMIF('DADOS BRUTOS'!$A$3:$A$500,$C6,'DADOS BRUTOS'!DS$3:DS$500)))</f>
        <v/>
      </c>
      <c r="GT6" s="123">
        <f>IF(OR(GT$4="",$B6=""),0,SUMIF('DADOS BRUTOS'!$A$3:$A$500,$B6,'DADOS BRUTOS'!DT$3:DT$500)+IF($C6="",0,SUMIF('DADOS BRUTOS'!$A$3:$A$500,$C6,'DADOS BRUTOS'!DT$3:DT$500)))</f>
        <v/>
      </c>
      <c r="GU6" s="123">
        <f>IF(OR(GU$4="",$B6=""),0,SUMIF('DADOS BRUTOS'!$A$3:$A$500,$B6,'DADOS BRUTOS'!DU$3:DU$500)+IF($C6="",0,SUMIF('DADOS BRUTOS'!$A$3:$A$500,$C6,'DADOS BRUTOS'!DU$3:DU$500)))</f>
        <v/>
      </c>
      <c r="GV6" s="123">
        <f>IF(OR(GV$4="",$B6=""),0,SUMIF('DADOS BRUTOS'!$A$3:$A$500,$B6,'DADOS BRUTOS'!DV$3:DV$500)+IF($C6="",0,SUMIF('DADOS BRUTOS'!$A$3:$A$500,$C6,'DADOS BRUTOS'!DV$3:DV$500)))</f>
        <v/>
      </c>
      <c r="GW6" s="123">
        <f>IF(OR(GW$4="",$B6=""),0,SUMIF('DADOS BRUTOS'!$A$3:$A$500,$B6,'DADOS BRUTOS'!DW$3:DW$500)+IF($C6="",0,SUMIF('DADOS BRUTOS'!$A$3:$A$500,$C6,'DADOS BRUTOS'!DW$3:DW$500)))</f>
        <v/>
      </c>
      <c r="GX6" s="123">
        <f>IF(OR(GX$4="",$B6=""),0,SUMIF('DADOS BRUTOS'!$A$3:$A$500,$B6,'DADOS BRUTOS'!DX$3:DX$500)+IF($C6="",0,SUMIF('DADOS BRUTOS'!$A$3:$A$500,$C6,'DADOS BRUTOS'!DX$3:DX$500)))</f>
        <v/>
      </c>
      <c r="GY6" s="123">
        <f>IF(OR(GY$4="",$B6=""),0,SUMIF('DADOS BRUTOS'!$A$3:$A$500,$B6,'DADOS BRUTOS'!DY$3:DY$500)+IF($C6="",0,SUMIF('DADOS BRUTOS'!$A$3:$A$500,$C6,'DADOS BRUTOS'!DY$3:DY$500)))</f>
        <v/>
      </c>
      <c r="GZ6" s="123">
        <f>IF(OR(GZ$4="",$B6=""),0,SUMIF('DADOS BRUTOS'!$A$3:$A$500,$B6,'DADOS BRUTOS'!DZ$3:DZ$500)+IF($C6="",0,SUMIF('DADOS BRUTOS'!$A$3:$A$500,$C6,'DADOS BRUTOS'!DZ$3:DZ$500)))</f>
        <v/>
      </c>
      <c r="HA6" s="123">
        <f>IF(OR(HA$4="",$B6=""),0,SUMIF('DADOS BRUTOS'!$A$3:$A$500,$B6,'DADOS BRUTOS'!EA$3:EA$500)+IF($C6="",0,SUMIF('DADOS BRUTOS'!$A$3:$A$500,$C6,'DADOS BRUTOS'!EA$3:EA$500)))</f>
        <v/>
      </c>
      <c r="HB6" s="123">
        <f>IF(OR(HB$4="",$B6=""),0,SUMIF('DADOS BRUTOS'!$A$3:$A$500,$B6,'DADOS BRUTOS'!EB$3:EB$500)+IF($C6="",0,SUMIF('DADOS BRUTOS'!$A$3:$A$500,$C6,'DADOS BRUTOS'!EB$3:EB$500)))</f>
        <v/>
      </c>
      <c r="HC6" s="123">
        <f>IF(OR(HC$4="",$B6=""),0,SUMIF('DADOS BRUTOS'!$A$3:$A$500,$B6,'DADOS BRUTOS'!EC$3:EC$500)+IF($C6="",0,SUMIF('DADOS BRUTOS'!$A$3:$A$500,$C6,'DADOS BRUTOS'!EC$3:EC$500)))</f>
        <v/>
      </c>
      <c r="HD6" s="123">
        <f>IF(OR(HD$4="",$B6=""),0,SUMIF('DADOS BRUTOS'!$A$3:$A$500,$B6,'DADOS BRUTOS'!ED$3:ED$500)+IF($C6="",0,SUMIF('DADOS BRUTOS'!$A$3:$A$500,$C6,'DADOS BRUTOS'!ED$3:ED$500)))</f>
        <v/>
      </c>
      <c r="HE6" s="123">
        <f>IF(OR(HE$4="",$B6=""),0,SUMIF('DADOS BRUTOS'!$A$3:$A$500,$B6,'DADOS BRUTOS'!EE$3:EE$500)+IF($C6="",0,SUMIF('DADOS BRUTOS'!$A$3:$A$500,$C6,'DADOS BRUTOS'!EE$3:EE$500)))</f>
        <v/>
      </c>
      <c r="HF6" s="123">
        <f>IF(OR(HF$4="",$B6=""),0,SUMIF('DADOS BRUTOS'!$A$3:$A$500,$B6,'DADOS BRUTOS'!EF$3:EF$500)+IF($C6="",0,SUMIF('DADOS BRUTOS'!$A$3:$A$500,$C6,'DADOS BRUTOS'!EF$3:EF$500)))</f>
        <v/>
      </c>
      <c r="HG6" s="123">
        <f>IF(OR(HG$4="",$B6=""),0,SUMIF('DADOS BRUTOS'!$A$3:$A$500,$B6,'DADOS BRUTOS'!EG$3:EG$500)+IF($C6="",0,SUMIF('DADOS BRUTOS'!$A$3:$A$500,$C6,'DADOS BRUTOS'!EG$3:EG$500)))</f>
        <v/>
      </c>
      <c r="HH6" s="123">
        <f>IF(OR(HH$4="",$B6=""),0,SUMIF('DADOS BRUTOS'!$A$3:$A$500,$B6,'DADOS BRUTOS'!EH$3:EH$500)+IF($C6="",0,SUMIF('DADOS BRUTOS'!$A$3:$A$500,$C6,'DADOS BRUTOS'!EH$3:EH$500)))</f>
        <v/>
      </c>
      <c r="HI6" s="123">
        <f>IF(OR(HI$4="",$B6=""),0,SUMIF('DADOS BRUTOS'!$A$3:$A$500,$B6,'DADOS BRUTOS'!EI$3:EI$500)+IF($C6="",0,SUMIF('DADOS BRUTOS'!$A$3:$A$500,$C6,'DADOS BRUTOS'!EI$3:EI$500)))</f>
        <v/>
      </c>
      <c r="HJ6" s="123">
        <f>IF(OR(HJ$4="",$B6=""),0,SUMIF('DADOS BRUTOS'!$A$3:$A$500,$B6,'DADOS BRUTOS'!EJ$3:EJ$500)+IF($C6="",0,SUMIF('DADOS BRUTOS'!$A$3:$A$500,$C6,'DADOS BRUTOS'!EJ$3:EJ$500)))</f>
        <v/>
      </c>
      <c r="HK6" s="123">
        <f>IF(OR(HK$4="",$B6=""),0,SUMIF('DADOS BRUTOS'!$A$3:$A$500,$B6,'DADOS BRUTOS'!EK$3:EK$500)+IF($C6="",0,SUMIF('DADOS BRUTOS'!$A$3:$A$500,$C6,'DADOS BRUTOS'!EK$3:EK$500)))</f>
        <v/>
      </c>
      <c r="HL6" s="123">
        <f>IF(OR(HL$4="",$B6=""),0,SUMIF('DADOS BRUTOS'!$A$3:$A$500,$B6,'DADOS BRUTOS'!EL$3:EL$500)+IF($C6="",0,SUMIF('DADOS BRUTOS'!$A$3:$A$500,$C6,'DADOS BRUTOS'!EL$3:EL$500)))</f>
        <v/>
      </c>
      <c r="HM6" s="123">
        <f>IF(OR(HM$4="",$B6=""),0,SUMIF('DADOS BRUTOS'!$A$3:$A$500,$B6,'DADOS BRUTOS'!EM$3:EM$500)+IF($C6="",0,SUMIF('DADOS BRUTOS'!$A$3:$A$500,$C6,'DADOS BRUTOS'!EM$3:EM$500)))</f>
        <v/>
      </c>
      <c r="HN6" s="123">
        <f>IF(OR(HN$4="",$B6=""),0,SUMIF('DADOS BRUTOS'!$A$3:$A$500,$B6,'DADOS BRUTOS'!EN$3:EN$500)+IF($C6="",0,SUMIF('DADOS BRUTOS'!$A$3:$A$500,$C6,'DADOS BRUTOS'!EN$3:EN$500)))</f>
        <v/>
      </c>
      <c r="HO6" s="123">
        <f>IF(OR(HO$4="",$B6=""),0,SUMIF('DADOS BRUTOS'!$A$3:$A$500,$B6,'DADOS BRUTOS'!EO$3:EO$500)+IF($C6="",0,SUMIF('DADOS BRUTOS'!$A$3:$A$500,$C6,'DADOS BRUTOS'!EO$3:EO$500)))</f>
        <v/>
      </c>
      <c r="HP6" s="123">
        <f>IF(OR(HP$4="",$B6=""),0,SUMIF('DADOS BRUTOS'!$A$3:$A$500,$B6,'DADOS BRUTOS'!EP$3:EP$500)+IF($C6="",0,SUMIF('DADOS BRUTOS'!$A$3:$A$500,$C6,'DADOS BRUTOS'!EP$3:EP$500)))</f>
        <v/>
      </c>
      <c r="HQ6" s="123">
        <f>IF(OR(HQ$4="",$B6=""),0,SUMIF('DADOS BRUTOS'!$A$3:$A$500,$B6,'DADOS BRUTOS'!EQ$3:EQ$500)+IF($C6="",0,SUMIF('DADOS BRUTOS'!$A$3:$A$500,$C6,'DADOS BRUTOS'!EQ$3:EQ$500)))</f>
        <v/>
      </c>
      <c r="HR6" s="123">
        <f>IF(OR(HR$4="",$B6=""),0,SUMIF('DADOS BRUTOS'!$A$3:$A$500,$B6,'DADOS BRUTOS'!ER$3:ER$500)+IF($C6="",0,SUMIF('DADOS BRUTOS'!$A$3:$A$500,$C6,'DADOS BRUTOS'!ER$3:ER$500)))</f>
        <v/>
      </c>
      <c r="HS6" s="123">
        <f>IF(OR(HS$4="",$B6=""),0,SUMIF('DADOS BRUTOS'!$A$3:$A$500,$B6,'DADOS BRUTOS'!ES$3:ES$500)+IF($C6="",0,SUMIF('DADOS BRUTOS'!$A$3:$A$500,$C6,'DADOS BRUTOS'!ES$3:ES$500)))</f>
        <v/>
      </c>
      <c r="HT6" s="123">
        <f>IF(OR(HT$4="",$B6=""),0,SUMIF('DADOS BRUTOS'!$A$3:$A$500,$B6,'DADOS BRUTOS'!ET$3:ET$500)+IF($C6="",0,SUMIF('DADOS BRUTOS'!$A$3:$A$500,$C6,'DADOS BRUTOS'!ET$3:ET$500)))</f>
        <v/>
      </c>
      <c r="HU6" s="123">
        <f>IF(OR(HU$4="",$B6=""),0,SUMIF('DADOS BRUTOS'!$A$3:$A$500,$B6,'DADOS BRUTOS'!EU$3:EU$500)+IF($C6="",0,SUMIF('DADOS BRUTOS'!$A$3:$A$500,$C6,'DADOS BRUTOS'!EU$3:EU$500)))</f>
        <v/>
      </c>
      <c r="HV6" s="123">
        <f>IF(OR(HV$4="",$B6=""),0,SUMIF('DADOS BRUTOS'!$A$3:$A$500,$B6,'DADOS BRUTOS'!EV$3:EV$500)+IF($C6="",0,SUMIF('DADOS BRUTOS'!$A$3:$A$500,$C6,'DADOS BRUTOS'!EV$3:EV$500)))</f>
        <v/>
      </c>
      <c r="HW6" s="123">
        <f>IF(OR(HW$4="",$B6=""),0,SUMIF('DADOS BRUTOS'!$A$3:$A$500,$B6,'DADOS BRUTOS'!EW$3:EW$500)+IF($C6="",0,SUMIF('DADOS BRUTOS'!$A$3:$A$500,$C6,'DADOS BRUTOS'!EW$3:EW$500)))</f>
        <v/>
      </c>
      <c r="HX6" s="123">
        <f>IF(OR(HX$4="",$B6=""),0,SUMIF('DADOS BRUTOS'!$A$3:$A$500,$B6,'DADOS BRUTOS'!EX$3:EX$500)+IF($C6="",0,SUMIF('DADOS BRUTOS'!$A$3:$A$500,$C6,'DADOS BRUTOS'!EX$3:EX$500)))</f>
        <v/>
      </c>
      <c r="HY6" s="123">
        <f>IF(OR(HY$4="",$B6=""),0,SUMIF('DADOS BRUTOS'!$A$3:$A$500,$B6,'DADOS BRUTOS'!EY$3:EY$500)+IF($C6="",0,SUMIF('DADOS BRUTOS'!$A$3:$A$500,$C6,'DADOS BRUTOS'!EY$3:EY$500)))</f>
        <v/>
      </c>
      <c r="HZ6" s="123">
        <f>IF(OR(HZ$4="",$B6=""),0,SUMIF('DADOS BRUTOS'!$A$3:$A$500,$B6,'DADOS BRUTOS'!EZ$3:EZ$500)+IF($C6="",0,SUMIF('DADOS BRUTOS'!$A$3:$A$500,$C6,'DADOS BRUTOS'!EZ$3:EZ$500)))</f>
        <v/>
      </c>
      <c r="IA6" s="123">
        <f>IF(OR(IA$4="",$B6=""),0,SUMIF('DADOS BRUTOS'!$A$3:$A$500,$B6,'DADOS BRUTOS'!FA$3:FA$500)+IF($C6="",0,SUMIF('DADOS BRUTOS'!$A$3:$A$500,$C6,'DADOS BRUTOS'!FA$3:FA$500)))</f>
        <v/>
      </c>
      <c r="IB6" s="123">
        <f>IF(OR(IB$4="",$B6=""),0,SUMIF('DADOS BRUTOS'!$A$3:$A$500,$B6,'DADOS BRUTOS'!FB$3:FB$500)+IF($C6="",0,SUMIF('DADOS BRUTOS'!$A$3:$A$500,$C6,'DADOS BRUTOS'!FB$3:FB$500)))</f>
        <v/>
      </c>
      <c r="IC6" s="123">
        <f>IF(OR(IC$4="",$B6=""),0,SUMIF('DADOS BRUTOS'!$A$3:$A$500,$B6,'DADOS BRUTOS'!FC$3:FC$500)+IF($C6="",0,SUMIF('DADOS BRUTOS'!$A$3:$A$500,$C6,'DADOS BRUTOS'!FC$3:FC$500)))</f>
        <v/>
      </c>
      <c r="ID6" s="123">
        <f>IF(OR(ID$4="",$B6=""),0,SUMIF('DADOS BRUTOS'!$A$3:$A$500,$B6,'DADOS BRUTOS'!FD$3:FD$500)+IF($C6="",0,SUMIF('DADOS BRUTOS'!$A$3:$A$500,$C6,'DADOS BRUTOS'!FD$3:FD$500)))</f>
        <v/>
      </c>
      <c r="IE6" s="123">
        <f>IF(OR(IE$4="",$B6=""),0,SUMIF('DADOS BRUTOS'!$A$3:$A$500,$B6,'DADOS BRUTOS'!FE$3:FE$500)+IF($C6="",0,SUMIF('DADOS BRUTOS'!$A$3:$A$500,$C6,'DADOS BRUTOS'!FE$3:FE$500)))</f>
        <v/>
      </c>
      <c r="IF6" s="123">
        <f>IF(OR(IF$4="",$B6=""),0,SUMIF('DADOS BRUTOS'!$A$3:$A$500,$B6,'DADOS BRUTOS'!FF$3:FF$500)+IF($C6="",0,SUMIF('DADOS BRUTOS'!$A$3:$A$500,$C6,'DADOS BRUTOS'!FF$3:FF$500)))</f>
        <v/>
      </c>
      <c r="IG6" s="123">
        <f>IF(OR(IG$4="",$B6=""),0,SUMIF('DADOS BRUTOS'!$A$3:$A$500,$B6,'DADOS BRUTOS'!FG$3:FG$500)+IF($C6="",0,SUMIF('DADOS BRUTOS'!$A$3:$A$500,$C6,'DADOS BRUTOS'!FG$3:FG$500)))</f>
        <v/>
      </c>
      <c r="IH6" s="123">
        <f>IF(OR(IH$4="",$B6=""),0,SUMIF('DADOS BRUTOS'!$A$3:$A$500,$B6,'DADOS BRUTOS'!FH$3:FH$500)+IF($C6="",0,SUMIF('DADOS BRUTOS'!$A$3:$A$500,$C6,'DADOS BRUTOS'!FH$3:FH$500)))</f>
        <v/>
      </c>
      <c r="II6" s="123">
        <f>IF(OR(II$4="",$B6=""),0,SUMIF('DADOS BRUTOS'!$A$3:$A$500,$B6,'DADOS BRUTOS'!FI$3:FI$500)+IF($C6="",0,SUMIF('DADOS BRUTOS'!$A$3:$A$500,$C6,'DADOS BRUTOS'!FI$3:FI$500)))</f>
        <v/>
      </c>
      <c r="IJ6" s="123">
        <f>IF(OR(IJ$4="",$B6=""),0,SUMIF('DADOS BRUTOS'!$A$3:$A$500,$B6,'DADOS BRUTOS'!FJ$3:FJ$500)+IF($C6="",0,SUMIF('DADOS BRUTOS'!$A$3:$A$500,$C6,'DADOS BRUTOS'!FJ$3:FJ$500)))</f>
        <v/>
      </c>
      <c r="IK6" s="123">
        <f>IF(OR(IK$4="",$B6=""),0,SUMIF('DADOS BRUTOS'!$A$3:$A$500,$B6,'DADOS BRUTOS'!FK$3:FK$500)+IF($C6="",0,SUMIF('DADOS BRUTOS'!$A$3:$A$500,$C6,'DADOS BRUTOS'!FK$3:FK$500)))</f>
        <v/>
      </c>
      <c r="IL6" s="123">
        <f>IF(OR(IL$4="",$B6=""),0,SUMIF('DADOS BRUTOS'!$A$3:$A$500,$B6,'DADOS BRUTOS'!FL$3:FL$500)+IF($C6="",0,SUMIF('DADOS BRUTOS'!$A$3:$A$500,$C6,'DADOS BRUTOS'!FL$3:FL$500)))</f>
        <v/>
      </c>
      <c r="IM6" s="123">
        <f>IF(OR(IM$4="",$B6=""),0,SUMIF('DADOS BRUTOS'!$A$3:$A$500,$B6,'DADOS BRUTOS'!FM$3:FM$500)+IF($C6="",0,SUMIF('DADOS BRUTOS'!$A$3:$A$500,$C6,'DADOS BRUTOS'!FM$3:FM$500)))</f>
        <v/>
      </c>
      <c r="IN6" s="123">
        <f>IF(OR(IN$4="",$B6=""),0,SUMIF('DADOS BRUTOS'!$A$3:$A$500,$B6,'DADOS BRUTOS'!FN$3:FN$500)+IF($C6="",0,SUMIF('DADOS BRUTOS'!$A$3:$A$500,$C6,'DADOS BRUTOS'!FN$3:FN$500)))</f>
        <v/>
      </c>
      <c r="IO6" s="123">
        <f>IF(OR(IO$4="",$B6=""),0,SUMIF('DADOS BRUTOS'!$A$3:$A$500,$B6,'DADOS BRUTOS'!FO$3:FO$500)+IF($C6="",0,SUMIF('DADOS BRUTOS'!$A$3:$A$500,$C6,'DADOS BRUTOS'!FO$3:FO$500)))</f>
        <v/>
      </c>
      <c r="IP6" s="123">
        <f>IF(OR(IP$4="",$B6=""),0,SUMIF('DADOS BRUTOS'!$A$3:$A$500,$B6,'DADOS BRUTOS'!FP$3:FP$500)+IF($C6="",0,SUMIF('DADOS BRUTOS'!$A$3:$A$500,$C6,'DADOS BRUTOS'!FP$3:FP$500)))</f>
        <v/>
      </c>
      <c r="IQ6" s="123">
        <f>IF(OR(IQ$4="",$B6=""),0,SUMIF('DADOS BRUTOS'!$A$3:$A$500,$B6,'DADOS BRUTOS'!FQ$3:FQ$500)+IF($C6="",0,SUMIF('DADOS BRUTOS'!$A$3:$A$500,$C6,'DADOS BRUTOS'!FQ$3:FQ$500)))</f>
        <v/>
      </c>
      <c r="IR6" s="123">
        <f>IF(OR(IR$4="",$B6=""),0,SUMIF('DADOS BRUTOS'!$A$3:$A$500,$B6,'DADOS BRUTOS'!FR$3:FR$500)+IF($C6="",0,SUMIF('DADOS BRUTOS'!$A$3:$A$500,$C6,'DADOS BRUTOS'!FR$3:FR$500)))</f>
        <v/>
      </c>
      <c r="IS6" s="123">
        <f>IF(OR(IS$4="",$B6=""),0,SUMIF('DADOS BRUTOS'!$A$3:$A$500,$B6,'DADOS BRUTOS'!FS$3:FS$500)+IF($C6="",0,SUMIF('DADOS BRUTOS'!$A$3:$A$500,$C6,'DADOS BRUTOS'!FS$3:FS$500)))</f>
        <v/>
      </c>
      <c r="IT6" s="123">
        <f>IF(OR(IT$4="",$B6=""),0,SUMIF('DADOS BRUTOS'!$A$3:$A$500,$B6,'DADOS BRUTOS'!FT$3:FT$500)+IF($C6="",0,SUMIF('DADOS BRUTOS'!$A$3:$A$500,$C6,'DADOS BRUTOS'!FT$3:FT$500)))</f>
        <v/>
      </c>
      <c r="IU6" s="123">
        <f>IF(OR(IU$4="",$B6=""),0,SUMIF('DADOS BRUTOS'!$A$3:$A$500,$B6,'DADOS BRUTOS'!FU$3:FU$500)+IF($C6="",0,SUMIF('DADOS BRUTOS'!$A$3:$A$500,$C6,'DADOS BRUTOS'!FU$3:FU$500)))</f>
        <v/>
      </c>
      <c r="IV6" s="123">
        <f>IF(OR(IV$4="",$B6=""),0,SUMIF('DADOS BRUTOS'!$A$3:$A$500,$B6,'DADOS BRUTOS'!FV$3:FV$500)+IF($C6="",0,SUMIF('DADOS BRUTOS'!$A$3:$A$500,$C6,'DADOS BRUTOS'!FV$3:FV$500)))</f>
        <v/>
      </c>
      <c r="IW6" s="123">
        <f>IF(OR(IW$4="",$B6=""),0,SUMIF('DADOS BRUTOS'!$A$3:$A$500,$B6,'DADOS BRUTOS'!FW$3:FW$500)+IF($C6="",0,SUMIF('DADOS BRUTOS'!$A$3:$A$500,$C6,'DADOS BRUTOS'!FW$3:FW$500)))</f>
        <v/>
      </c>
      <c r="IX6" s="123">
        <f>IF(OR(IX$4="",$B6=""),0,SUMIF('DADOS BRUTOS'!$A$3:$A$500,$B6,'DADOS BRUTOS'!FX$3:FX$500)+IF($C6="",0,SUMIF('DADOS BRUTOS'!$A$3:$A$500,$C6,'DADOS BRUTOS'!FX$3:FX$500)))</f>
        <v/>
      </c>
      <c r="IY6" s="123">
        <f>IF(OR(IY$4="",$B6=""),0,SUMIF('DADOS BRUTOS'!$A$3:$A$500,$B6,'DADOS BRUTOS'!FY$3:FY$500)+IF($C6="",0,SUMIF('DADOS BRUTOS'!$A$3:$A$500,$C6,'DADOS BRUTOS'!FY$3:FY$500)))</f>
        <v/>
      </c>
      <c r="IZ6" s="123">
        <f>IF(OR(IZ$4="",$B6=""),0,SUMIF('DADOS BRUTOS'!$A$3:$A$500,$B6,'DADOS BRUTOS'!FZ$3:FZ$500)+IF($C6="",0,SUMIF('DADOS BRUTOS'!$A$3:$A$500,$C6,'DADOS BRUTOS'!FZ$3:FZ$500)))</f>
        <v/>
      </c>
      <c r="JA6" s="123">
        <f>IF(OR(JA$4="",$B6=""),0,SUMIF('DADOS BRUTOS'!$A$3:$A$500,$B6,'DADOS BRUTOS'!GA$3:GA$500)+IF($C6="",0,SUMIF('DADOS BRUTOS'!$A$3:$A$500,$C6,'DADOS BRUTOS'!GA$3:GA$500)))</f>
        <v/>
      </c>
      <c r="JB6" s="123">
        <f>IF(OR(JB$4="",$B6=""),0,SUMIF('DADOS BRUTOS'!$A$3:$A$500,$B6,'DADOS BRUTOS'!GB$3:GB$500)+IF($C6="",0,SUMIF('DADOS BRUTOS'!$A$3:$A$500,$C6,'DADOS BRUTOS'!GB$3:GB$500)))</f>
        <v/>
      </c>
      <c r="JC6" s="123">
        <f>IF(OR(JC$4="",$B6=""),0,SUMIF('DADOS BRUTOS'!$A$3:$A$500,$B6,'DADOS BRUTOS'!GC$3:GC$500)+IF($C6="",0,SUMIF('DADOS BRUTOS'!$A$3:$A$500,$C6,'DADOS BRUTOS'!GC$3:GC$500)))</f>
        <v/>
      </c>
      <c r="JD6" s="123">
        <f>IF(OR(JD$4="",$B6=""),0,SUMIF('DADOS BRUTOS'!$A$3:$A$500,$B6,'DADOS BRUTOS'!GD$3:GD$500)+IF($C6="",0,SUMIF('DADOS BRUTOS'!$A$3:$A$500,$C6,'DADOS BRUTOS'!GD$3:GD$500)))</f>
        <v/>
      </c>
      <c r="JE6" s="123">
        <f>IF(OR(JE$4="",$B6=""),0,SUMIF('DADOS BRUTOS'!$A$3:$A$500,$B6,'DADOS BRUTOS'!GE$3:GE$500)+IF($C6="",0,SUMIF('DADOS BRUTOS'!$A$3:$A$500,$C6,'DADOS BRUTOS'!GE$3:GE$500)))</f>
        <v/>
      </c>
      <c r="JF6" s="123">
        <f>IF(OR(JF$4="",$B6=""),0,SUMIF('DADOS BRUTOS'!$A$3:$A$500,$B6,'DADOS BRUTOS'!GF$3:GF$500)+IF($C6="",0,SUMIF('DADOS BRUTOS'!$A$3:$A$500,$C6,'DADOS BRUTOS'!GF$3:GF$500)))</f>
        <v/>
      </c>
      <c r="JG6" s="123">
        <f>IF(OR(JG$4="",$B6=""),0,SUMIF('DADOS BRUTOS'!$A$3:$A$500,$B6,'DADOS BRUTOS'!GG$3:GG$500)+IF($C6="",0,SUMIF('DADOS BRUTOS'!$A$3:$A$500,$C6,'DADOS BRUTOS'!GG$3:GG$500)))</f>
        <v/>
      </c>
      <c r="JH6" s="123">
        <f>IF(OR(JH$4="",$B6=""),0,SUMIF('DADOS BRUTOS'!$A$3:$A$500,$B6,'DADOS BRUTOS'!GH$3:GH$500)+IF($C6="",0,SUMIF('DADOS BRUTOS'!$A$3:$A$500,$C6,'DADOS BRUTOS'!GH$3:GH$500)))</f>
        <v/>
      </c>
      <c r="JI6" s="123">
        <f>IF(OR(JI$4="",$B6=""),0,SUMIF('DADOS BRUTOS'!$A$3:$A$500,$B6,'DADOS BRUTOS'!GI$3:GI$500)+IF($C6="",0,SUMIF('DADOS BRUTOS'!$A$3:$A$500,$C6,'DADOS BRUTOS'!GI$3:GI$500)))</f>
        <v/>
      </c>
      <c r="JJ6" s="123">
        <f>IF(OR(JJ$4="",$B6=""),0,SUMIF('DADOS BRUTOS'!$A$3:$A$500,$B6,'DADOS BRUTOS'!GJ$3:GJ$500)+IF($C6="",0,SUMIF('DADOS BRUTOS'!$A$3:$A$500,$C6,'DADOS BRUTOS'!GJ$3:GJ$500)))</f>
        <v/>
      </c>
      <c r="JK6" s="123">
        <f>IF(OR(JK$4="",$B6=""),0,SUMIF('DADOS BRUTOS'!$A$3:$A$500,$B6,'DADOS BRUTOS'!GK$3:GK$500)+IF($C6="",0,SUMIF('DADOS BRUTOS'!$A$3:$A$500,$C6,'DADOS BRUTOS'!GK$3:GK$500)))</f>
        <v/>
      </c>
      <c r="JL6" s="123">
        <f>IF(OR(JL$4="",$B6=""),0,SUMIF('DADOS BRUTOS'!$A$3:$A$500,$B6,'DADOS BRUTOS'!GL$3:GL$500)+IF($C6="",0,SUMIF('DADOS BRUTOS'!$A$3:$A$500,$C6,'DADOS BRUTOS'!GL$3:GL$500)))</f>
        <v/>
      </c>
      <c r="JM6" s="123">
        <f>IF(OR(JM$4="",$B6=""),0,SUMIF('DADOS BRUTOS'!$A$3:$A$500,$B6,'DADOS BRUTOS'!GM$3:GM$500)+IF($C6="",0,SUMIF('DADOS BRUTOS'!$A$3:$A$500,$C6,'DADOS BRUTOS'!GM$3:GM$500)))</f>
        <v/>
      </c>
      <c r="JN6" s="123">
        <f>IF(OR(JN$4="",$B6=""),0,SUMIF('DADOS BRUTOS'!$A$3:$A$500,$B6,'DADOS BRUTOS'!GN$3:GN$500)+IF($C6="",0,SUMIF('DADOS BRUTOS'!$A$3:$A$500,$C6,'DADOS BRUTOS'!GN$3:GN$500)))</f>
        <v/>
      </c>
      <c r="JO6" s="123">
        <f>IF(OR(JO$4="",$B6=""),0,SUMIF('DADOS BRUTOS'!$A$3:$A$500,$B6,'DADOS BRUTOS'!GO$3:GO$500)+IF($C6="",0,SUMIF('DADOS BRUTOS'!$A$3:$A$500,$C6,'DADOS BRUTOS'!GO$3:GO$500)))</f>
        <v/>
      </c>
      <c r="JP6" s="123">
        <f>IF(OR(JP$4="",$B6=""),0,SUMIF('DADOS BRUTOS'!$A$3:$A$500,$B6,'DADOS BRUTOS'!GP$3:GP$500)+IF($C6="",0,SUMIF('DADOS BRUTOS'!$A$3:$A$500,$C6,'DADOS BRUTOS'!GP$3:GP$500)))</f>
        <v/>
      </c>
      <c r="JQ6" s="123">
        <f>IF(OR(JQ$4="",$B6=""),0,SUMIF('DADOS BRUTOS'!$A$3:$A$500,$B6,'DADOS BRUTOS'!GQ$3:GQ$500)+IF($C6="",0,SUMIF('DADOS BRUTOS'!$A$3:$A$500,$C6,'DADOS BRUTOS'!GQ$3:GQ$500)))</f>
        <v/>
      </c>
      <c r="JR6" s="123">
        <f>IF(OR(JR$4="",$B6=""),0,SUMIF('DADOS BRUTOS'!$A$3:$A$500,$B6,'DADOS BRUTOS'!GR$3:GR$500)+IF($C6="",0,SUMIF('DADOS BRUTOS'!$A$3:$A$500,$C6,'DADOS BRUTOS'!GR$3:GR$500)))</f>
        <v/>
      </c>
      <c r="JS6" s="123">
        <f>IF(OR(JS$4="",$B6=""),0,SUMIF('DADOS BRUTOS'!$A$3:$A$500,$B6,'DADOS BRUTOS'!GS$3:GS$500)+IF($C6="",0,SUMIF('DADOS BRUTOS'!$A$3:$A$500,$C6,'DADOS BRUTOS'!GS$3:GS$500)))</f>
        <v/>
      </c>
    </row>
    <row r="7">
      <c r="A7" s="60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CB7" s="123">
        <f>IF(OR(CB$4="",$B7=""),0,SUMIF('DADOS BRUTOS'!$A$3:$A$500,$B7,'DADOS BRUTOS'!B$3:B$500)+IF($C7="",0,SUMIF('DADOS BRUTOS'!$A$3:$A$500,$C7,'DADOS BRUTOS'!B$3:B$500)))</f>
        <v/>
      </c>
      <c r="CC7" s="123">
        <f>IF(OR(CC$4="",$B7=""),0,SUMIF('DADOS BRUTOS'!$A$3:$A$500,$B7,'DADOS BRUTOS'!C$3:C$500)+IF($C7="",0,SUMIF('DADOS BRUTOS'!$A$3:$A$500,$C7,'DADOS BRUTOS'!C$3:C$500)))</f>
        <v/>
      </c>
      <c r="CD7" s="123">
        <f>IF(OR(CD$4="",$B7=""),0,SUMIF('DADOS BRUTOS'!$A$3:$A$500,$B7,'DADOS BRUTOS'!D$3:D$500)+IF($C7="",0,SUMIF('DADOS BRUTOS'!$A$3:$A$500,$C7,'DADOS BRUTOS'!D$3:D$500)))</f>
        <v/>
      </c>
      <c r="CE7" s="123">
        <f>IF(OR(CE$4="",$B7=""),0,SUMIF('DADOS BRUTOS'!$A$3:$A$500,$B7,'DADOS BRUTOS'!E$3:E$500)+IF($C7="",0,SUMIF('DADOS BRUTOS'!$A$3:$A$500,$C7,'DADOS BRUTOS'!E$3:E$500)))</f>
        <v/>
      </c>
      <c r="CF7" s="123">
        <f>IF(OR(CF$4="",$B7=""),0,SUMIF('DADOS BRUTOS'!$A$3:$A$500,$B7,'DADOS BRUTOS'!F$3:F$500)+IF($C7="",0,SUMIF('DADOS BRUTOS'!$A$3:$A$500,$C7,'DADOS BRUTOS'!F$3:F$500)))</f>
        <v/>
      </c>
      <c r="CG7" s="123">
        <f>IF(OR(CG$4="",$B7=""),0,SUMIF('DADOS BRUTOS'!$A$3:$A$500,$B7,'DADOS BRUTOS'!G$3:G$500)+IF($C7="",0,SUMIF('DADOS BRUTOS'!$A$3:$A$500,$C7,'DADOS BRUTOS'!G$3:G$500)))</f>
        <v/>
      </c>
      <c r="CH7" s="123">
        <f>IF(OR(CH$4="",$B7=""),0,SUMIF('DADOS BRUTOS'!$A$3:$A$500,$B7,'DADOS BRUTOS'!H$3:H$500)+IF($C7="",0,SUMIF('DADOS BRUTOS'!$A$3:$A$500,$C7,'DADOS BRUTOS'!H$3:H$500)))</f>
        <v/>
      </c>
      <c r="CI7" s="123">
        <f>IF(OR(CI$4="",$B7=""),0,SUMIF('DADOS BRUTOS'!$A$3:$A$500,$B7,'DADOS BRUTOS'!I$3:I$500)+IF($C7="",0,SUMIF('DADOS BRUTOS'!$A$3:$A$500,$C7,'DADOS BRUTOS'!I$3:I$500)))</f>
        <v/>
      </c>
      <c r="CJ7" s="123">
        <f>IF(OR(CJ$4="",$B7=""),0,SUMIF('DADOS BRUTOS'!$A$3:$A$500,$B7,'DADOS BRUTOS'!J$3:J$500)+IF($C7="",0,SUMIF('DADOS BRUTOS'!$A$3:$A$500,$C7,'DADOS BRUTOS'!J$3:J$500)))</f>
        <v/>
      </c>
      <c r="CK7" s="123">
        <f>IF(OR(CK$4="",$B7=""),0,SUMIF('DADOS BRUTOS'!$A$3:$A$500,$B7,'DADOS BRUTOS'!K$3:K$500)+IF($C7="",0,SUMIF('DADOS BRUTOS'!$A$3:$A$500,$C7,'DADOS BRUTOS'!K$3:K$500)))</f>
        <v/>
      </c>
      <c r="CL7" s="123">
        <f>IF(OR(CL$4="",$B7=""),0,SUMIF('DADOS BRUTOS'!$A$3:$A$500,$B7,'DADOS BRUTOS'!L$3:L$500)+IF($C7="",0,SUMIF('DADOS BRUTOS'!$A$3:$A$500,$C7,'DADOS BRUTOS'!L$3:L$500)))</f>
        <v/>
      </c>
      <c r="CM7" s="123">
        <f>IF(OR(CM$4="",$B7=""),0,SUMIF('DADOS BRUTOS'!$A$3:$A$500,$B7,'DADOS BRUTOS'!M$3:M$500)+IF($C7="",0,SUMIF('DADOS BRUTOS'!$A$3:$A$500,$C7,'DADOS BRUTOS'!M$3:M$500)))</f>
        <v/>
      </c>
      <c r="CN7" s="123">
        <f>IF(OR(CN$4="",$B7=""),0,SUMIF('DADOS BRUTOS'!$A$3:$A$500,$B7,'DADOS BRUTOS'!N$3:N$500)+IF($C7="",0,SUMIF('DADOS BRUTOS'!$A$3:$A$500,$C7,'DADOS BRUTOS'!N$3:N$500)))</f>
        <v/>
      </c>
      <c r="CO7" s="123">
        <f>IF(OR(CO$4="",$B7=""),0,SUMIF('DADOS BRUTOS'!$A$3:$A$500,$B7,'DADOS BRUTOS'!O$3:O$500)+IF($C7="",0,SUMIF('DADOS BRUTOS'!$A$3:$A$500,$C7,'DADOS BRUTOS'!O$3:O$500)))</f>
        <v/>
      </c>
      <c r="CP7" s="123">
        <f>IF(OR(CP$4="",$B7=""),0,SUMIF('DADOS BRUTOS'!$A$3:$A$500,$B7,'DADOS BRUTOS'!P$3:P$500)+IF($C7="",0,SUMIF('DADOS BRUTOS'!$A$3:$A$500,$C7,'DADOS BRUTOS'!P$3:P$500)))</f>
        <v/>
      </c>
      <c r="CQ7" s="123">
        <f>IF(OR(CQ$4="",$B7=""),0,SUMIF('DADOS BRUTOS'!$A$3:$A$500,$B7,'DADOS BRUTOS'!Q$3:Q$500)+IF($C7="",0,SUMIF('DADOS BRUTOS'!$A$3:$A$500,$C7,'DADOS BRUTOS'!Q$3:Q$500)))</f>
        <v/>
      </c>
      <c r="CR7" s="123">
        <f>IF(OR(CR$4="",$B7=""),0,SUMIF('DADOS BRUTOS'!$A$3:$A$500,$B7,'DADOS BRUTOS'!R$3:R$500)+IF($C7="",0,SUMIF('DADOS BRUTOS'!$A$3:$A$500,$C7,'DADOS BRUTOS'!R$3:R$500)))</f>
        <v/>
      </c>
      <c r="CS7" s="123">
        <f>IF(OR(CS$4="",$B7=""),0,SUMIF('DADOS BRUTOS'!$A$3:$A$500,$B7,'DADOS BRUTOS'!S$3:S$500)+IF($C7="",0,SUMIF('DADOS BRUTOS'!$A$3:$A$500,$C7,'DADOS BRUTOS'!S$3:S$500)))</f>
        <v/>
      </c>
      <c r="CT7" s="123">
        <f>IF(OR(CT$4="",$B7=""),0,SUMIF('DADOS BRUTOS'!$A$3:$A$500,$B7,'DADOS BRUTOS'!T$3:T$500)+IF($C7="",0,SUMIF('DADOS BRUTOS'!$A$3:$A$500,$C7,'DADOS BRUTOS'!T$3:T$500)))</f>
        <v/>
      </c>
      <c r="CU7" s="123">
        <f>IF(OR(CU$4="",$B7=""),0,SUMIF('DADOS BRUTOS'!$A$3:$A$500,$B7,'DADOS BRUTOS'!U$3:U$500)+IF($C7="",0,SUMIF('DADOS BRUTOS'!$A$3:$A$500,$C7,'DADOS BRUTOS'!U$3:U$500)))</f>
        <v/>
      </c>
      <c r="CV7" s="123">
        <f>IF(OR(CV$4="",$B7=""),0,SUMIF('DADOS BRUTOS'!$A$3:$A$500,$B7,'DADOS BRUTOS'!V$3:V$500)+IF($C7="",0,SUMIF('DADOS BRUTOS'!$A$3:$A$500,$C7,'DADOS BRUTOS'!V$3:V$500)))</f>
        <v/>
      </c>
      <c r="CW7" s="123">
        <f>IF(OR(CW$4="",$B7=""),0,SUMIF('DADOS BRUTOS'!$A$3:$A$500,$B7,'DADOS BRUTOS'!W$3:W$500)+IF($C7="",0,SUMIF('DADOS BRUTOS'!$A$3:$A$500,$C7,'DADOS BRUTOS'!W$3:W$500)))</f>
        <v/>
      </c>
      <c r="CX7" s="123">
        <f>IF(OR(CX$4="",$B7=""),0,SUMIF('DADOS BRUTOS'!$A$3:$A$500,$B7,'DADOS BRUTOS'!X$3:X$500)+IF($C7="",0,SUMIF('DADOS BRUTOS'!$A$3:$A$500,$C7,'DADOS BRUTOS'!X$3:X$500)))</f>
        <v/>
      </c>
      <c r="CY7" s="123">
        <f>IF(OR(CY$4="",$B7=""),0,SUMIF('DADOS BRUTOS'!$A$3:$A$500,$B7,'DADOS BRUTOS'!Y$3:Y$500)+IF($C7="",0,SUMIF('DADOS BRUTOS'!$A$3:$A$500,$C7,'DADOS BRUTOS'!Y$3:Y$500)))</f>
        <v/>
      </c>
      <c r="CZ7" s="123">
        <f>IF(OR(CZ$4="",$B7=""),0,SUMIF('DADOS BRUTOS'!$A$3:$A$500,$B7,'DADOS BRUTOS'!Z$3:Z$500)+IF($C7="",0,SUMIF('DADOS BRUTOS'!$A$3:$A$500,$C7,'DADOS BRUTOS'!Z$3:Z$500)))</f>
        <v/>
      </c>
      <c r="DA7" s="123">
        <f>IF(OR(DA$4="",$B7=""),0,SUMIF('DADOS BRUTOS'!$A$3:$A$500,$B7,'DADOS BRUTOS'!AA$3:AA$500)+IF($C7="",0,SUMIF('DADOS BRUTOS'!$A$3:$A$500,$C7,'DADOS BRUTOS'!AA$3:AA$500)))</f>
        <v/>
      </c>
      <c r="DB7" s="123">
        <f>IF(OR(DB$4="",$B7=""),0,SUMIF('DADOS BRUTOS'!$A$3:$A$500,$B7,'DADOS BRUTOS'!AB$3:AB$500)+IF($C7="",0,SUMIF('DADOS BRUTOS'!$A$3:$A$500,$C7,'DADOS BRUTOS'!AB$3:AB$500)))</f>
        <v/>
      </c>
      <c r="DC7" s="123">
        <f>IF(OR(DC$4="",$B7=""),0,SUMIF('DADOS BRUTOS'!$A$3:$A$500,$B7,'DADOS BRUTOS'!AC$3:AC$500)+IF($C7="",0,SUMIF('DADOS BRUTOS'!$A$3:$A$500,$C7,'DADOS BRUTOS'!AC$3:AC$500)))</f>
        <v/>
      </c>
      <c r="DD7" s="123">
        <f>IF(OR(DD$4="",$B7=""),0,SUMIF('DADOS BRUTOS'!$A$3:$A$500,$B7,'DADOS BRUTOS'!AD$3:AD$500)+IF($C7="",0,SUMIF('DADOS BRUTOS'!$A$3:$A$500,$C7,'DADOS BRUTOS'!AD$3:AD$500)))</f>
        <v/>
      </c>
      <c r="DE7" s="123">
        <f>IF(OR(DE$4="",$B7=""),0,SUMIF('DADOS BRUTOS'!$A$3:$A$500,$B7,'DADOS BRUTOS'!AE$3:AE$500)+IF($C7="",0,SUMIF('DADOS BRUTOS'!$A$3:$A$500,$C7,'DADOS BRUTOS'!AE$3:AE$500)))</f>
        <v/>
      </c>
      <c r="DF7" s="123">
        <f>IF(OR(DF$4="",$B7=""),0,SUMIF('DADOS BRUTOS'!$A$3:$A$500,$B7,'DADOS BRUTOS'!AF$3:AF$500)+IF($C7="",0,SUMIF('DADOS BRUTOS'!$A$3:$A$500,$C7,'DADOS BRUTOS'!AF$3:AF$500)))</f>
        <v/>
      </c>
      <c r="DG7" s="123">
        <f>IF(OR(DG$4="",$B7=""),0,SUMIF('DADOS BRUTOS'!$A$3:$A$500,$B7,'DADOS BRUTOS'!AG$3:AG$500)+IF($C7="",0,SUMIF('DADOS BRUTOS'!$A$3:$A$500,$C7,'DADOS BRUTOS'!AG$3:AG$500)))</f>
        <v/>
      </c>
      <c r="DH7" s="123">
        <f>IF(OR(DH$4="",$B7=""),0,SUMIF('DADOS BRUTOS'!$A$3:$A$500,$B7,'DADOS BRUTOS'!AH$3:AH$500)+IF($C7="",0,SUMIF('DADOS BRUTOS'!$A$3:$A$500,$C7,'DADOS BRUTOS'!AH$3:AH$500)))</f>
        <v/>
      </c>
      <c r="DI7" s="123">
        <f>IF(OR(DI$4="",$B7=""),0,SUMIF('DADOS BRUTOS'!$A$3:$A$500,$B7,'DADOS BRUTOS'!AI$3:AI$500)+IF($C7="",0,SUMIF('DADOS BRUTOS'!$A$3:$A$500,$C7,'DADOS BRUTOS'!AI$3:AI$500)))</f>
        <v/>
      </c>
      <c r="DJ7" s="123">
        <f>IF(OR(DJ$4="",$B7=""),0,SUMIF('DADOS BRUTOS'!$A$3:$A$500,$B7,'DADOS BRUTOS'!AJ$3:AJ$500)+IF($C7="",0,SUMIF('DADOS BRUTOS'!$A$3:$A$500,$C7,'DADOS BRUTOS'!AJ$3:AJ$500)))</f>
        <v/>
      </c>
      <c r="DK7" s="123">
        <f>IF(OR(DK$4="",$B7=""),0,SUMIF('DADOS BRUTOS'!$A$3:$A$500,$B7,'DADOS BRUTOS'!AK$3:AK$500)+IF($C7="",0,SUMIF('DADOS BRUTOS'!$A$3:$A$500,$C7,'DADOS BRUTOS'!AK$3:AK$500)))</f>
        <v/>
      </c>
      <c r="DL7" s="123">
        <f>IF(OR(DL$4="",$B7=""),0,SUMIF('DADOS BRUTOS'!$A$3:$A$500,$B7,'DADOS BRUTOS'!AL$3:AL$500)+IF($C7="",0,SUMIF('DADOS BRUTOS'!$A$3:$A$500,$C7,'DADOS BRUTOS'!AL$3:AL$500)))</f>
        <v/>
      </c>
      <c r="DM7" s="123">
        <f>IF(OR(DM$4="",$B7=""),0,SUMIF('DADOS BRUTOS'!$A$3:$A$500,$B7,'DADOS BRUTOS'!AM$3:AM$500)+IF($C7="",0,SUMIF('DADOS BRUTOS'!$A$3:$A$500,$C7,'DADOS BRUTOS'!AM$3:AM$500)))</f>
        <v/>
      </c>
      <c r="DN7" s="123">
        <f>IF(OR(DN$4="",$B7=""),0,SUMIF('DADOS BRUTOS'!$A$3:$A$500,$B7,'DADOS BRUTOS'!AN$3:AN$500)+IF($C7="",0,SUMIF('DADOS BRUTOS'!$A$3:$A$500,$C7,'DADOS BRUTOS'!AN$3:AN$500)))</f>
        <v/>
      </c>
      <c r="DO7" s="123">
        <f>IF(OR(DO$4="",$B7=""),0,SUMIF('DADOS BRUTOS'!$A$3:$A$500,$B7,'DADOS BRUTOS'!AO$3:AO$500)+IF($C7="",0,SUMIF('DADOS BRUTOS'!$A$3:$A$500,$C7,'DADOS BRUTOS'!AO$3:AO$500)))</f>
        <v/>
      </c>
      <c r="DP7" s="123">
        <f>IF(OR(DP$4="",$B7=""),0,SUMIF('DADOS BRUTOS'!$A$3:$A$500,$B7,'DADOS BRUTOS'!AP$3:AP$500)+IF($C7="",0,SUMIF('DADOS BRUTOS'!$A$3:$A$500,$C7,'DADOS BRUTOS'!AP$3:AP$500)))</f>
        <v/>
      </c>
      <c r="DQ7" s="123">
        <f>IF(OR(DQ$4="",$B7=""),0,SUMIF('DADOS BRUTOS'!$A$3:$A$500,$B7,'DADOS BRUTOS'!AQ$3:AQ$500)+IF($C7="",0,SUMIF('DADOS BRUTOS'!$A$3:$A$500,$C7,'DADOS BRUTOS'!AQ$3:AQ$500)))</f>
        <v/>
      </c>
      <c r="DR7" s="123">
        <f>IF(OR(DR$4="",$B7=""),0,SUMIF('DADOS BRUTOS'!$A$3:$A$500,$B7,'DADOS BRUTOS'!AR$3:AR$500)+IF($C7="",0,SUMIF('DADOS BRUTOS'!$A$3:$A$500,$C7,'DADOS BRUTOS'!AR$3:AR$500)))</f>
        <v/>
      </c>
      <c r="DS7" s="123">
        <f>IF(OR(DS$4="",$B7=""),0,SUMIF('DADOS BRUTOS'!$A$3:$A$500,$B7,'DADOS BRUTOS'!AS$3:AS$500)+IF($C7="",0,SUMIF('DADOS BRUTOS'!$A$3:$A$500,$C7,'DADOS BRUTOS'!AS$3:AS$500)))</f>
        <v/>
      </c>
      <c r="DT7" s="123">
        <f>IF(OR(DT$4="",$B7=""),0,SUMIF('DADOS BRUTOS'!$A$3:$A$500,$B7,'DADOS BRUTOS'!AT$3:AT$500)+IF($C7="",0,SUMIF('DADOS BRUTOS'!$A$3:$A$500,$C7,'DADOS BRUTOS'!AT$3:AT$500)))</f>
        <v/>
      </c>
      <c r="DU7" s="123">
        <f>IF(OR(DU$4="",$B7=""),0,SUMIF('DADOS BRUTOS'!$A$3:$A$500,$B7,'DADOS BRUTOS'!AU$3:AU$500)+IF($C7="",0,SUMIF('DADOS BRUTOS'!$A$3:$A$500,$C7,'DADOS BRUTOS'!AU$3:AU$500)))</f>
        <v/>
      </c>
      <c r="DV7" s="123">
        <f>IF(OR(DV$4="",$B7=""),0,SUMIF('DADOS BRUTOS'!$A$3:$A$500,$B7,'DADOS BRUTOS'!AV$3:AV$500)+IF($C7="",0,SUMIF('DADOS BRUTOS'!$A$3:$A$500,$C7,'DADOS BRUTOS'!AV$3:AV$500)))</f>
        <v/>
      </c>
      <c r="DW7" s="123">
        <f>IF(OR(DW$4="",$B7=""),0,SUMIF('DADOS BRUTOS'!$A$3:$A$500,$B7,'DADOS BRUTOS'!AW$3:AW$500)+IF($C7="",0,SUMIF('DADOS BRUTOS'!$A$3:$A$500,$C7,'DADOS BRUTOS'!AW$3:AW$500)))</f>
        <v/>
      </c>
      <c r="DX7" s="123">
        <f>IF(OR(DX$4="",$B7=""),0,SUMIF('DADOS BRUTOS'!$A$3:$A$500,$B7,'DADOS BRUTOS'!AX$3:AX$500)+IF($C7="",0,SUMIF('DADOS BRUTOS'!$A$3:$A$500,$C7,'DADOS BRUTOS'!AX$3:AX$500)))</f>
        <v/>
      </c>
      <c r="DY7" s="123">
        <f>IF(OR(DY$4="",$B7=""),0,SUMIF('DADOS BRUTOS'!$A$3:$A$500,$B7,'DADOS BRUTOS'!AY$3:AY$500)+IF($C7="",0,SUMIF('DADOS BRUTOS'!$A$3:$A$500,$C7,'DADOS BRUTOS'!AY$3:AY$500)))</f>
        <v/>
      </c>
      <c r="DZ7" s="123">
        <f>IF(OR(DZ$4="",$B7=""),0,SUMIF('DADOS BRUTOS'!$A$3:$A$500,$B7,'DADOS BRUTOS'!AZ$3:AZ$500)+IF($C7="",0,SUMIF('DADOS BRUTOS'!$A$3:$A$500,$C7,'DADOS BRUTOS'!AZ$3:AZ$500)))</f>
        <v/>
      </c>
      <c r="EA7" s="123">
        <f>IF(OR(EA$4="",$B7=""),0,SUMIF('DADOS BRUTOS'!$A$3:$A$500,$B7,'DADOS BRUTOS'!BA$3:BA$500)+IF($C7="",0,SUMIF('DADOS BRUTOS'!$A$3:$A$500,$C7,'DADOS BRUTOS'!BA$3:BA$500)))</f>
        <v/>
      </c>
      <c r="EB7" s="123">
        <f>IF(OR(EB$4="",$B7=""),0,SUMIF('DADOS BRUTOS'!$A$3:$A$500,$B7,'DADOS BRUTOS'!BB$3:BB$500)+IF($C7="",0,SUMIF('DADOS BRUTOS'!$A$3:$A$500,$C7,'DADOS BRUTOS'!BB$3:BB$500)))</f>
        <v/>
      </c>
      <c r="EC7" s="123">
        <f>IF(OR(EC$4="",$B7=""),0,SUMIF('DADOS BRUTOS'!$A$3:$A$500,$B7,'DADOS BRUTOS'!BC$3:BC$500)+IF($C7="",0,SUMIF('DADOS BRUTOS'!$A$3:$A$500,$C7,'DADOS BRUTOS'!BC$3:BC$500)))</f>
        <v/>
      </c>
      <c r="ED7" s="123">
        <f>IF(OR(ED$4="",$B7=""),0,SUMIF('DADOS BRUTOS'!$A$3:$A$500,$B7,'DADOS BRUTOS'!BD$3:BD$500)+IF($C7="",0,SUMIF('DADOS BRUTOS'!$A$3:$A$500,$C7,'DADOS BRUTOS'!BD$3:BD$500)))</f>
        <v/>
      </c>
      <c r="EE7" s="123">
        <f>IF(OR(EE$4="",$B7=""),0,SUMIF('DADOS BRUTOS'!$A$3:$A$500,$B7,'DADOS BRUTOS'!BE$3:BE$500)+IF($C7="",0,SUMIF('DADOS BRUTOS'!$A$3:$A$500,$C7,'DADOS BRUTOS'!BE$3:BE$500)))</f>
        <v/>
      </c>
      <c r="EF7" s="123">
        <f>IF(OR(EF$4="",$B7=""),0,SUMIF('DADOS BRUTOS'!$A$3:$A$500,$B7,'DADOS BRUTOS'!BF$3:BF$500)+IF($C7="",0,SUMIF('DADOS BRUTOS'!$A$3:$A$500,$C7,'DADOS BRUTOS'!BF$3:BF$500)))</f>
        <v/>
      </c>
      <c r="EG7" s="123">
        <f>IF(OR(EG$4="",$B7=""),0,SUMIF('DADOS BRUTOS'!$A$3:$A$500,$B7,'DADOS BRUTOS'!BG$3:BG$500)+IF($C7="",0,SUMIF('DADOS BRUTOS'!$A$3:$A$500,$C7,'DADOS BRUTOS'!BG$3:BG$500)))</f>
        <v/>
      </c>
      <c r="EH7" s="123">
        <f>IF(OR(EH$4="",$B7=""),0,SUMIF('DADOS BRUTOS'!$A$3:$A$500,$B7,'DADOS BRUTOS'!BH$3:BH$500)+IF($C7="",0,SUMIF('DADOS BRUTOS'!$A$3:$A$500,$C7,'DADOS BRUTOS'!BH$3:BH$500)))</f>
        <v/>
      </c>
      <c r="EI7" s="123">
        <f>IF(OR(EI$4="",$B7=""),0,SUMIF('DADOS BRUTOS'!$A$3:$A$500,$B7,'DADOS BRUTOS'!BI$3:BI$500)+IF($C7="",0,SUMIF('DADOS BRUTOS'!$A$3:$A$500,$C7,'DADOS BRUTOS'!BI$3:BI$500)))</f>
        <v/>
      </c>
      <c r="EJ7" s="123">
        <f>IF(OR(EJ$4="",$B7=""),0,SUMIF('DADOS BRUTOS'!$A$3:$A$500,$B7,'DADOS BRUTOS'!BJ$3:BJ$500)+IF($C7="",0,SUMIF('DADOS BRUTOS'!$A$3:$A$500,$C7,'DADOS BRUTOS'!BJ$3:BJ$500)))</f>
        <v/>
      </c>
      <c r="EK7" s="123">
        <f>IF(OR(EK$4="",$B7=""),0,SUMIF('DADOS BRUTOS'!$A$3:$A$500,$B7,'DADOS BRUTOS'!BK$3:BK$500)+IF($C7="",0,SUMIF('DADOS BRUTOS'!$A$3:$A$500,$C7,'DADOS BRUTOS'!BK$3:BK$500)))</f>
        <v/>
      </c>
      <c r="EL7" s="123">
        <f>IF(OR(EL$4="",$B7=""),0,SUMIF('DADOS BRUTOS'!$A$3:$A$500,$B7,'DADOS BRUTOS'!BL$3:BL$500)+IF($C7="",0,SUMIF('DADOS BRUTOS'!$A$3:$A$500,$C7,'DADOS BRUTOS'!BL$3:BL$500)))</f>
        <v/>
      </c>
      <c r="EM7" s="123">
        <f>IF(OR(EM$4="",$B7=""),0,SUMIF('DADOS BRUTOS'!$A$3:$A$500,$B7,'DADOS BRUTOS'!BM$3:BM$500)+IF($C7="",0,SUMIF('DADOS BRUTOS'!$A$3:$A$500,$C7,'DADOS BRUTOS'!BM$3:BM$500)))</f>
        <v/>
      </c>
      <c r="EN7" s="123">
        <f>IF(OR(EN$4="",$B7=""),0,SUMIF('DADOS BRUTOS'!$A$3:$A$500,$B7,'DADOS BRUTOS'!BN$3:BN$500)+IF($C7="",0,SUMIF('DADOS BRUTOS'!$A$3:$A$500,$C7,'DADOS BRUTOS'!BN$3:BN$500)))</f>
        <v/>
      </c>
      <c r="EO7" s="123">
        <f>IF(OR(EO$4="",$B7=""),0,SUMIF('DADOS BRUTOS'!$A$3:$A$500,$B7,'DADOS BRUTOS'!BO$3:BO$500)+IF($C7="",0,SUMIF('DADOS BRUTOS'!$A$3:$A$500,$C7,'DADOS BRUTOS'!BO$3:BO$500)))</f>
        <v/>
      </c>
      <c r="EP7" s="123">
        <f>IF(OR(EP$4="",$B7=""),0,SUMIF('DADOS BRUTOS'!$A$3:$A$500,$B7,'DADOS BRUTOS'!BP$3:BP$500)+IF($C7="",0,SUMIF('DADOS BRUTOS'!$A$3:$A$500,$C7,'DADOS BRUTOS'!BP$3:BP$500)))</f>
        <v/>
      </c>
      <c r="EQ7" s="123">
        <f>IF(OR(EQ$4="",$B7=""),0,SUMIF('DADOS BRUTOS'!$A$3:$A$500,$B7,'DADOS BRUTOS'!BQ$3:BQ$500)+IF($C7="",0,SUMIF('DADOS BRUTOS'!$A$3:$A$500,$C7,'DADOS BRUTOS'!BQ$3:BQ$500)))</f>
        <v/>
      </c>
      <c r="ER7" s="123">
        <f>IF(OR(ER$4="",$B7=""),0,SUMIF('DADOS BRUTOS'!$A$3:$A$500,$B7,'DADOS BRUTOS'!BR$3:BR$500)+IF($C7="",0,SUMIF('DADOS BRUTOS'!$A$3:$A$500,$C7,'DADOS BRUTOS'!BR$3:BR$500)))</f>
        <v/>
      </c>
      <c r="ES7" s="123">
        <f>IF(OR(ES$4="",$B7=""),0,SUMIF('DADOS BRUTOS'!$A$3:$A$500,$B7,'DADOS BRUTOS'!BS$3:BS$500)+IF($C7="",0,SUMIF('DADOS BRUTOS'!$A$3:$A$500,$C7,'DADOS BRUTOS'!BS$3:BS$500)))</f>
        <v/>
      </c>
      <c r="ET7" s="123">
        <f>IF(OR(ET$4="",$B7=""),0,SUMIF('DADOS BRUTOS'!$A$3:$A$500,$B7,'DADOS BRUTOS'!BT$3:BT$500)+IF($C7="",0,SUMIF('DADOS BRUTOS'!$A$3:$A$500,$C7,'DADOS BRUTOS'!BT$3:BT$500)))</f>
        <v/>
      </c>
      <c r="EU7" s="123">
        <f>IF(OR(EU$4="",$B7=""),0,SUMIF('DADOS BRUTOS'!$A$3:$A$500,$B7,'DADOS BRUTOS'!BU$3:BU$500)+IF($C7="",0,SUMIF('DADOS BRUTOS'!$A$3:$A$500,$C7,'DADOS BRUTOS'!BU$3:BU$500)))</f>
        <v/>
      </c>
      <c r="EV7" s="123">
        <f>IF(OR(EV$4="",$B7=""),0,SUMIF('DADOS BRUTOS'!$A$3:$A$500,$B7,'DADOS BRUTOS'!BV$3:BV$500)+IF($C7="",0,SUMIF('DADOS BRUTOS'!$A$3:$A$500,$C7,'DADOS BRUTOS'!BV$3:BV$500)))</f>
        <v/>
      </c>
      <c r="EW7" s="123">
        <f>IF(OR(EW$4="",$B7=""),0,SUMIF('DADOS BRUTOS'!$A$3:$A$500,$B7,'DADOS BRUTOS'!BW$3:BW$500)+IF($C7="",0,SUMIF('DADOS BRUTOS'!$A$3:$A$500,$C7,'DADOS BRUTOS'!BW$3:BW$500)))</f>
        <v/>
      </c>
      <c r="EX7" s="123">
        <f>IF(OR(EX$4="",$B7=""),0,SUMIF('DADOS BRUTOS'!$A$3:$A$500,$B7,'DADOS BRUTOS'!BX$3:BX$500)+IF($C7="",0,SUMIF('DADOS BRUTOS'!$A$3:$A$500,$C7,'DADOS BRUTOS'!BX$3:BX$500)))</f>
        <v/>
      </c>
      <c r="EY7" s="123">
        <f>IF(OR(EY$4="",$B7=""),0,SUMIF('DADOS BRUTOS'!$A$3:$A$500,$B7,'DADOS BRUTOS'!BY$3:BY$500)+IF($C7="",0,SUMIF('DADOS BRUTOS'!$A$3:$A$500,$C7,'DADOS BRUTOS'!BY$3:BY$500)))</f>
        <v/>
      </c>
      <c r="EZ7" s="123">
        <f>IF(OR(EZ$4="",$B7=""),0,SUMIF('DADOS BRUTOS'!$A$3:$A$500,$B7,'DADOS BRUTOS'!BZ$3:BZ$500)+IF($C7="",0,SUMIF('DADOS BRUTOS'!$A$3:$A$500,$C7,'DADOS BRUTOS'!BZ$3:BZ$500)))</f>
        <v/>
      </c>
      <c r="FA7" s="123">
        <f>IF(OR(FA$4="",$B7=""),0,SUMIF('DADOS BRUTOS'!$A$3:$A$500,$B7,'DADOS BRUTOS'!CA$3:CA$500)+IF($C7="",0,SUMIF('DADOS BRUTOS'!$A$3:$A$500,$C7,'DADOS BRUTOS'!CA$3:CA$500)))</f>
        <v/>
      </c>
      <c r="FB7" s="123">
        <f>IF(OR(FB$4="",$B7=""),0,SUMIF('DADOS BRUTOS'!$A$3:$A$500,$B7,'DADOS BRUTOS'!CB$3:CB$500)+IF($C7="",0,SUMIF('DADOS BRUTOS'!$A$3:$A$500,$C7,'DADOS BRUTOS'!CB$3:CB$500)))</f>
        <v/>
      </c>
      <c r="FC7" s="123">
        <f>IF(OR(FC$4="",$B7=""),0,SUMIF('DADOS BRUTOS'!$A$3:$A$500,$B7,'DADOS BRUTOS'!CC$3:CC$500)+IF($C7="",0,SUMIF('DADOS BRUTOS'!$A$3:$A$500,$C7,'DADOS BRUTOS'!CC$3:CC$500)))</f>
        <v/>
      </c>
      <c r="FD7" s="123">
        <f>IF(OR(FD$4="",$B7=""),0,SUMIF('DADOS BRUTOS'!$A$3:$A$500,$B7,'DADOS BRUTOS'!CD$3:CD$500)+IF($C7="",0,SUMIF('DADOS BRUTOS'!$A$3:$A$500,$C7,'DADOS BRUTOS'!CD$3:CD$500)))</f>
        <v/>
      </c>
      <c r="FE7" s="123">
        <f>IF(OR(FE$4="",$B7=""),0,SUMIF('DADOS BRUTOS'!$A$3:$A$500,$B7,'DADOS BRUTOS'!CE$3:CE$500)+IF($C7="",0,SUMIF('DADOS BRUTOS'!$A$3:$A$500,$C7,'DADOS BRUTOS'!CE$3:CE$500)))</f>
        <v/>
      </c>
      <c r="FF7" s="123">
        <f>IF(OR(FF$4="",$B7=""),0,SUMIF('DADOS BRUTOS'!$A$3:$A$500,$B7,'DADOS BRUTOS'!CF$3:CF$500)+IF($C7="",0,SUMIF('DADOS BRUTOS'!$A$3:$A$500,$C7,'DADOS BRUTOS'!CF$3:CF$500)))</f>
        <v/>
      </c>
      <c r="FG7" s="123">
        <f>IF(OR(FG$4="",$B7=""),0,SUMIF('DADOS BRUTOS'!$A$3:$A$500,$B7,'DADOS BRUTOS'!CG$3:CG$500)+IF($C7="",0,SUMIF('DADOS BRUTOS'!$A$3:$A$500,$C7,'DADOS BRUTOS'!CG$3:CG$500)))</f>
        <v/>
      </c>
      <c r="FH7" s="123">
        <f>IF(OR(FH$4="",$B7=""),0,SUMIF('DADOS BRUTOS'!$A$3:$A$500,$B7,'DADOS BRUTOS'!CH$3:CH$500)+IF($C7="",0,SUMIF('DADOS BRUTOS'!$A$3:$A$500,$C7,'DADOS BRUTOS'!CH$3:CH$500)))</f>
        <v/>
      </c>
      <c r="FI7" s="123">
        <f>IF(OR(FI$4="",$B7=""),0,SUMIF('DADOS BRUTOS'!$A$3:$A$500,$B7,'DADOS BRUTOS'!CI$3:CI$500)+IF($C7="",0,SUMIF('DADOS BRUTOS'!$A$3:$A$500,$C7,'DADOS BRUTOS'!CI$3:CI$500)))</f>
        <v/>
      </c>
      <c r="FJ7" s="123">
        <f>IF(OR(FJ$4="",$B7=""),0,SUMIF('DADOS BRUTOS'!$A$3:$A$500,$B7,'DADOS BRUTOS'!CJ$3:CJ$500)+IF($C7="",0,SUMIF('DADOS BRUTOS'!$A$3:$A$500,$C7,'DADOS BRUTOS'!CJ$3:CJ$500)))</f>
        <v/>
      </c>
      <c r="FK7" s="123">
        <f>IF(OR(FK$4="",$B7=""),0,SUMIF('DADOS BRUTOS'!$A$3:$A$500,$B7,'DADOS BRUTOS'!CK$3:CK$500)+IF($C7="",0,SUMIF('DADOS BRUTOS'!$A$3:$A$500,$C7,'DADOS BRUTOS'!CK$3:CK$500)))</f>
        <v/>
      </c>
      <c r="FL7" s="123">
        <f>IF(OR(FL$4="",$B7=""),0,SUMIF('DADOS BRUTOS'!$A$3:$A$500,$B7,'DADOS BRUTOS'!CL$3:CL$500)+IF($C7="",0,SUMIF('DADOS BRUTOS'!$A$3:$A$500,$C7,'DADOS BRUTOS'!CL$3:CL$500)))</f>
        <v/>
      </c>
      <c r="FM7" s="123">
        <f>IF(OR(FM$4="",$B7=""),0,SUMIF('DADOS BRUTOS'!$A$3:$A$500,$B7,'DADOS BRUTOS'!CM$3:CM$500)+IF($C7="",0,SUMIF('DADOS BRUTOS'!$A$3:$A$500,$C7,'DADOS BRUTOS'!CM$3:CM$500)))</f>
        <v/>
      </c>
      <c r="FN7" s="123">
        <f>IF(OR(FN$4="",$B7=""),0,SUMIF('DADOS BRUTOS'!$A$3:$A$500,$B7,'DADOS BRUTOS'!CN$3:CN$500)+IF($C7="",0,SUMIF('DADOS BRUTOS'!$A$3:$A$500,$C7,'DADOS BRUTOS'!CN$3:CN$500)))</f>
        <v/>
      </c>
      <c r="FO7" s="123">
        <f>IF(OR(FO$4="",$B7=""),0,SUMIF('DADOS BRUTOS'!$A$3:$A$500,$B7,'DADOS BRUTOS'!CO$3:CO$500)+IF($C7="",0,SUMIF('DADOS BRUTOS'!$A$3:$A$500,$C7,'DADOS BRUTOS'!CO$3:CO$500)))</f>
        <v/>
      </c>
      <c r="FP7" s="123">
        <f>IF(OR(FP$4="",$B7=""),0,SUMIF('DADOS BRUTOS'!$A$3:$A$500,$B7,'DADOS BRUTOS'!CP$3:CP$500)+IF($C7="",0,SUMIF('DADOS BRUTOS'!$A$3:$A$500,$C7,'DADOS BRUTOS'!CP$3:CP$500)))</f>
        <v/>
      </c>
      <c r="FQ7" s="123">
        <f>IF(OR(FQ$4="",$B7=""),0,SUMIF('DADOS BRUTOS'!$A$3:$A$500,$B7,'DADOS BRUTOS'!CQ$3:CQ$500)+IF($C7="",0,SUMIF('DADOS BRUTOS'!$A$3:$A$500,$C7,'DADOS BRUTOS'!CQ$3:CQ$500)))</f>
        <v/>
      </c>
      <c r="FR7" s="123">
        <f>IF(OR(FR$4="",$B7=""),0,SUMIF('DADOS BRUTOS'!$A$3:$A$500,$B7,'DADOS BRUTOS'!CR$3:CR$500)+IF($C7="",0,SUMIF('DADOS BRUTOS'!$A$3:$A$500,$C7,'DADOS BRUTOS'!CR$3:CR$500)))</f>
        <v/>
      </c>
      <c r="FS7" s="123">
        <f>IF(OR(FS$4="",$B7=""),0,SUMIF('DADOS BRUTOS'!$A$3:$A$500,$B7,'DADOS BRUTOS'!CS$3:CS$500)+IF($C7="",0,SUMIF('DADOS BRUTOS'!$A$3:$A$500,$C7,'DADOS BRUTOS'!CS$3:CS$500)))</f>
        <v/>
      </c>
      <c r="FT7" s="123">
        <f>IF(OR(FT$4="",$B7=""),0,SUMIF('DADOS BRUTOS'!$A$3:$A$500,$B7,'DADOS BRUTOS'!CT$3:CT$500)+IF($C7="",0,SUMIF('DADOS BRUTOS'!$A$3:$A$500,$C7,'DADOS BRUTOS'!CT$3:CT$500)))</f>
        <v/>
      </c>
      <c r="FU7" s="123">
        <f>IF(OR(FU$4="",$B7=""),0,SUMIF('DADOS BRUTOS'!$A$3:$A$500,$B7,'DADOS BRUTOS'!CU$3:CU$500)+IF($C7="",0,SUMIF('DADOS BRUTOS'!$A$3:$A$500,$C7,'DADOS BRUTOS'!CU$3:CU$500)))</f>
        <v/>
      </c>
      <c r="FV7" s="123">
        <f>IF(OR(FV$4="",$B7=""),0,SUMIF('DADOS BRUTOS'!$A$3:$A$500,$B7,'DADOS BRUTOS'!CV$3:CV$500)+IF($C7="",0,SUMIF('DADOS BRUTOS'!$A$3:$A$500,$C7,'DADOS BRUTOS'!CV$3:CV$500)))</f>
        <v/>
      </c>
      <c r="FW7" s="123">
        <f>IF(OR(FW$4="",$B7=""),0,SUMIF('DADOS BRUTOS'!$A$3:$A$500,$B7,'DADOS BRUTOS'!CW$3:CW$500)+IF($C7="",0,SUMIF('DADOS BRUTOS'!$A$3:$A$500,$C7,'DADOS BRUTOS'!CW$3:CW$500)))</f>
        <v/>
      </c>
      <c r="FX7" s="123">
        <f>IF(OR(FX$4="",$B7=""),0,SUMIF('DADOS BRUTOS'!$A$3:$A$500,$B7,'DADOS BRUTOS'!CX$3:CX$500)+IF($C7="",0,SUMIF('DADOS BRUTOS'!$A$3:$A$500,$C7,'DADOS BRUTOS'!CX$3:CX$500)))</f>
        <v/>
      </c>
      <c r="FY7" s="123">
        <f>IF(OR(FY$4="",$B7=""),0,SUMIF('DADOS BRUTOS'!$A$3:$A$500,$B7,'DADOS BRUTOS'!CY$3:CY$500)+IF($C7="",0,SUMIF('DADOS BRUTOS'!$A$3:$A$500,$C7,'DADOS BRUTOS'!CY$3:CY$500)))</f>
        <v/>
      </c>
      <c r="FZ7" s="123">
        <f>IF(OR(FZ$4="",$B7=""),0,SUMIF('DADOS BRUTOS'!$A$3:$A$500,$B7,'DADOS BRUTOS'!CZ$3:CZ$500)+IF($C7="",0,SUMIF('DADOS BRUTOS'!$A$3:$A$500,$C7,'DADOS BRUTOS'!CZ$3:CZ$500)))</f>
        <v/>
      </c>
      <c r="GA7" s="123">
        <f>IF(OR(GA$4="",$B7=""),0,SUMIF('DADOS BRUTOS'!$A$3:$A$500,$B7,'DADOS BRUTOS'!DA$3:DA$500)+IF($C7="",0,SUMIF('DADOS BRUTOS'!$A$3:$A$500,$C7,'DADOS BRUTOS'!DA$3:DA$500)))</f>
        <v/>
      </c>
      <c r="GB7" s="123">
        <f>IF(OR(GB$4="",$B7=""),0,SUMIF('DADOS BRUTOS'!$A$3:$A$500,$B7,'DADOS BRUTOS'!DB$3:DB$500)+IF($C7="",0,SUMIF('DADOS BRUTOS'!$A$3:$A$500,$C7,'DADOS BRUTOS'!DB$3:DB$500)))</f>
        <v/>
      </c>
      <c r="GC7" s="123">
        <f>IF(OR(GC$4="",$B7=""),0,SUMIF('DADOS BRUTOS'!$A$3:$A$500,$B7,'DADOS BRUTOS'!DC$3:DC$500)+IF($C7="",0,SUMIF('DADOS BRUTOS'!$A$3:$A$500,$C7,'DADOS BRUTOS'!DC$3:DC$500)))</f>
        <v/>
      </c>
      <c r="GD7" s="123">
        <f>IF(OR(GD$4="",$B7=""),0,SUMIF('DADOS BRUTOS'!$A$3:$A$500,$B7,'DADOS BRUTOS'!DD$3:DD$500)+IF($C7="",0,SUMIF('DADOS BRUTOS'!$A$3:$A$500,$C7,'DADOS BRUTOS'!DD$3:DD$500)))</f>
        <v/>
      </c>
      <c r="GE7" s="123">
        <f>IF(OR(GE$4="",$B7=""),0,SUMIF('DADOS BRUTOS'!$A$3:$A$500,$B7,'DADOS BRUTOS'!DE$3:DE$500)+IF($C7="",0,SUMIF('DADOS BRUTOS'!$A$3:$A$500,$C7,'DADOS BRUTOS'!DE$3:DE$500)))</f>
        <v/>
      </c>
      <c r="GF7" s="123">
        <f>IF(OR(GF$4="",$B7=""),0,SUMIF('DADOS BRUTOS'!$A$3:$A$500,$B7,'DADOS BRUTOS'!DF$3:DF$500)+IF($C7="",0,SUMIF('DADOS BRUTOS'!$A$3:$A$500,$C7,'DADOS BRUTOS'!DF$3:DF$500)))</f>
        <v/>
      </c>
      <c r="GG7" s="123">
        <f>IF(OR(GG$4="",$B7=""),0,SUMIF('DADOS BRUTOS'!$A$3:$A$500,$B7,'DADOS BRUTOS'!DG$3:DG$500)+IF($C7="",0,SUMIF('DADOS BRUTOS'!$A$3:$A$500,$C7,'DADOS BRUTOS'!DG$3:DG$500)))</f>
        <v/>
      </c>
      <c r="GH7" s="123">
        <f>IF(OR(GH$4="",$B7=""),0,SUMIF('DADOS BRUTOS'!$A$3:$A$500,$B7,'DADOS BRUTOS'!DH$3:DH$500)+IF($C7="",0,SUMIF('DADOS BRUTOS'!$A$3:$A$500,$C7,'DADOS BRUTOS'!DH$3:DH$500)))</f>
        <v/>
      </c>
      <c r="GI7" s="123">
        <f>IF(OR(GI$4="",$B7=""),0,SUMIF('DADOS BRUTOS'!$A$3:$A$500,$B7,'DADOS BRUTOS'!DI$3:DI$500)+IF($C7="",0,SUMIF('DADOS BRUTOS'!$A$3:$A$500,$C7,'DADOS BRUTOS'!DI$3:DI$500)))</f>
        <v/>
      </c>
      <c r="GJ7" s="123">
        <f>IF(OR(GJ$4="",$B7=""),0,SUMIF('DADOS BRUTOS'!$A$3:$A$500,$B7,'DADOS BRUTOS'!DJ$3:DJ$500)+IF($C7="",0,SUMIF('DADOS BRUTOS'!$A$3:$A$500,$C7,'DADOS BRUTOS'!DJ$3:DJ$500)))</f>
        <v/>
      </c>
      <c r="GK7" s="123">
        <f>IF(OR(GK$4="",$B7=""),0,SUMIF('DADOS BRUTOS'!$A$3:$A$500,$B7,'DADOS BRUTOS'!DK$3:DK$500)+IF($C7="",0,SUMIF('DADOS BRUTOS'!$A$3:$A$500,$C7,'DADOS BRUTOS'!DK$3:DK$500)))</f>
        <v/>
      </c>
      <c r="GL7" s="123">
        <f>IF(OR(GL$4="",$B7=""),0,SUMIF('DADOS BRUTOS'!$A$3:$A$500,$B7,'DADOS BRUTOS'!DL$3:DL$500)+IF($C7="",0,SUMIF('DADOS BRUTOS'!$A$3:$A$500,$C7,'DADOS BRUTOS'!DL$3:DL$500)))</f>
        <v/>
      </c>
      <c r="GM7" s="123">
        <f>IF(OR(GM$4="",$B7=""),0,SUMIF('DADOS BRUTOS'!$A$3:$A$500,$B7,'DADOS BRUTOS'!DM$3:DM$500)+IF($C7="",0,SUMIF('DADOS BRUTOS'!$A$3:$A$500,$C7,'DADOS BRUTOS'!DM$3:DM$500)))</f>
        <v/>
      </c>
      <c r="GN7" s="123">
        <f>IF(OR(GN$4="",$B7=""),0,SUMIF('DADOS BRUTOS'!$A$3:$A$500,$B7,'DADOS BRUTOS'!DN$3:DN$500)+IF($C7="",0,SUMIF('DADOS BRUTOS'!$A$3:$A$500,$C7,'DADOS BRUTOS'!DN$3:DN$500)))</f>
        <v/>
      </c>
      <c r="GO7" s="123">
        <f>IF(OR(GO$4="",$B7=""),0,SUMIF('DADOS BRUTOS'!$A$3:$A$500,$B7,'DADOS BRUTOS'!DO$3:DO$500)+IF($C7="",0,SUMIF('DADOS BRUTOS'!$A$3:$A$500,$C7,'DADOS BRUTOS'!DO$3:DO$500)))</f>
        <v/>
      </c>
      <c r="GP7" s="123">
        <f>IF(OR(GP$4="",$B7=""),0,SUMIF('DADOS BRUTOS'!$A$3:$A$500,$B7,'DADOS BRUTOS'!DP$3:DP$500)+IF($C7="",0,SUMIF('DADOS BRUTOS'!$A$3:$A$500,$C7,'DADOS BRUTOS'!DP$3:DP$500)))</f>
        <v/>
      </c>
      <c r="GQ7" s="123">
        <f>IF(OR(GQ$4="",$B7=""),0,SUMIF('DADOS BRUTOS'!$A$3:$A$500,$B7,'DADOS BRUTOS'!DQ$3:DQ$500)+IF($C7="",0,SUMIF('DADOS BRUTOS'!$A$3:$A$500,$C7,'DADOS BRUTOS'!DQ$3:DQ$500)))</f>
        <v/>
      </c>
      <c r="GR7" s="123">
        <f>IF(OR(GR$4="",$B7=""),0,SUMIF('DADOS BRUTOS'!$A$3:$A$500,$B7,'DADOS BRUTOS'!DR$3:DR$500)+IF($C7="",0,SUMIF('DADOS BRUTOS'!$A$3:$A$500,$C7,'DADOS BRUTOS'!DR$3:DR$500)))</f>
        <v/>
      </c>
      <c r="GS7" s="123">
        <f>IF(OR(GS$4="",$B7=""),0,SUMIF('DADOS BRUTOS'!$A$3:$A$500,$B7,'DADOS BRUTOS'!DS$3:DS$500)+IF($C7="",0,SUMIF('DADOS BRUTOS'!$A$3:$A$500,$C7,'DADOS BRUTOS'!DS$3:DS$500)))</f>
        <v/>
      </c>
      <c r="GT7" s="123">
        <f>IF(OR(GT$4="",$B7=""),0,SUMIF('DADOS BRUTOS'!$A$3:$A$500,$B7,'DADOS BRUTOS'!DT$3:DT$500)+IF($C7="",0,SUMIF('DADOS BRUTOS'!$A$3:$A$500,$C7,'DADOS BRUTOS'!DT$3:DT$500)))</f>
        <v/>
      </c>
      <c r="GU7" s="123">
        <f>IF(OR(GU$4="",$B7=""),0,SUMIF('DADOS BRUTOS'!$A$3:$A$500,$B7,'DADOS BRUTOS'!DU$3:DU$500)+IF($C7="",0,SUMIF('DADOS BRUTOS'!$A$3:$A$500,$C7,'DADOS BRUTOS'!DU$3:DU$500)))</f>
        <v/>
      </c>
      <c r="GV7" s="123">
        <f>IF(OR(GV$4="",$B7=""),0,SUMIF('DADOS BRUTOS'!$A$3:$A$500,$B7,'DADOS BRUTOS'!DV$3:DV$500)+IF($C7="",0,SUMIF('DADOS BRUTOS'!$A$3:$A$500,$C7,'DADOS BRUTOS'!DV$3:DV$500)))</f>
        <v/>
      </c>
      <c r="GW7" s="123">
        <f>IF(OR(GW$4="",$B7=""),0,SUMIF('DADOS BRUTOS'!$A$3:$A$500,$B7,'DADOS BRUTOS'!DW$3:DW$500)+IF($C7="",0,SUMIF('DADOS BRUTOS'!$A$3:$A$500,$C7,'DADOS BRUTOS'!DW$3:DW$500)))</f>
        <v/>
      </c>
      <c r="GX7" s="123">
        <f>IF(OR(GX$4="",$B7=""),0,SUMIF('DADOS BRUTOS'!$A$3:$A$500,$B7,'DADOS BRUTOS'!DX$3:DX$500)+IF($C7="",0,SUMIF('DADOS BRUTOS'!$A$3:$A$500,$C7,'DADOS BRUTOS'!DX$3:DX$500)))</f>
        <v/>
      </c>
      <c r="GY7" s="123">
        <f>IF(OR(GY$4="",$B7=""),0,SUMIF('DADOS BRUTOS'!$A$3:$A$500,$B7,'DADOS BRUTOS'!DY$3:DY$500)+IF($C7="",0,SUMIF('DADOS BRUTOS'!$A$3:$A$500,$C7,'DADOS BRUTOS'!DY$3:DY$500)))</f>
        <v/>
      </c>
      <c r="GZ7" s="123">
        <f>IF(OR(GZ$4="",$B7=""),0,SUMIF('DADOS BRUTOS'!$A$3:$A$500,$B7,'DADOS BRUTOS'!DZ$3:DZ$500)+IF($C7="",0,SUMIF('DADOS BRUTOS'!$A$3:$A$500,$C7,'DADOS BRUTOS'!DZ$3:DZ$500)))</f>
        <v/>
      </c>
      <c r="HA7" s="123">
        <f>IF(OR(HA$4="",$B7=""),0,SUMIF('DADOS BRUTOS'!$A$3:$A$500,$B7,'DADOS BRUTOS'!EA$3:EA$500)+IF($C7="",0,SUMIF('DADOS BRUTOS'!$A$3:$A$500,$C7,'DADOS BRUTOS'!EA$3:EA$500)))</f>
        <v/>
      </c>
      <c r="HB7" s="123">
        <f>IF(OR(HB$4="",$B7=""),0,SUMIF('DADOS BRUTOS'!$A$3:$A$500,$B7,'DADOS BRUTOS'!EB$3:EB$500)+IF($C7="",0,SUMIF('DADOS BRUTOS'!$A$3:$A$500,$C7,'DADOS BRUTOS'!EB$3:EB$500)))</f>
        <v/>
      </c>
      <c r="HC7" s="123">
        <f>IF(OR(HC$4="",$B7=""),0,SUMIF('DADOS BRUTOS'!$A$3:$A$500,$B7,'DADOS BRUTOS'!EC$3:EC$500)+IF($C7="",0,SUMIF('DADOS BRUTOS'!$A$3:$A$500,$C7,'DADOS BRUTOS'!EC$3:EC$500)))</f>
        <v/>
      </c>
      <c r="HD7" s="123">
        <f>IF(OR(HD$4="",$B7=""),0,SUMIF('DADOS BRUTOS'!$A$3:$A$500,$B7,'DADOS BRUTOS'!ED$3:ED$500)+IF($C7="",0,SUMIF('DADOS BRUTOS'!$A$3:$A$500,$C7,'DADOS BRUTOS'!ED$3:ED$500)))</f>
        <v/>
      </c>
      <c r="HE7" s="123">
        <f>IF(OR(HE$4="",$B7=""),0,SUMIF('DADOS BRUTOS'!$A$3:$A$500,$B7,'DADOS BRUTOS'!EE$3:EE$500)+IF($C7="",0,SUMIF('DADOS BRUTOS'!$A$3:$A$500,$C7,'DADOS BRUTOS'!EE$3:EE$500)))</f>
        <v/>
      </c>
      <c r="HF7" s="123">
        <f>IF(OR(HF$4="",$B7=""),0,SUMIF('DADOS BRUTOS'!$A$3:$A$500,$B7,'DADOS BRUTOS'!EF$3:EF$500)+IF($C7="",0,SUMIF('DADOS BRUTOS'!$A$3:$A$500,$C7,'DADOS BRUTOS'!EF$3:EF$500)))</f>
        <v/>
      </c>
      <c r="HG7" s="123">
        <f>IF(OR(HG$4="",$B7=""),0,SUMIF('DADOS BRUTOS'!$A$3:$A$500,$B7,'DADOS BRUTOS'!EG$3:EG$500)+IF($C7="",0,SUMIF('DADOS BRUTOS'!$A$3:$A$500,$C7,'DADOS BRUTOS'!EG$3:EG$500)))</f>
        <v/>
      </c>
      <c r="HH7" s="123">
        <f>IF(OR(HH$4="",$B7=""),0,SUMIF('DADOS BRUTOS'!$A$3:$A$500,$B7,'DADOS BRUTOS'!EH$3:EH$500)+IF($C7="",0,SUMIF('DADOS BRUTOS'!$A$3:$A$500,$C7,'DADOS BRUTOS'!EH$3:EH$500)))</f>
        <v/>
      </c>
      <c r="HI7" s="123">
        <f>IF(OR(HI$4="",$B7=""),0,SUMIF('DADOS BRUTOS'!$A$3:$A$500,$B7,'DADOS BRUTOS'!EI$3:EI$500)+IF($C7="",0,SUMIF('DADOS BRUTOS'!$A$3:$A$500,$C7,'DADOS BRUTOS'!EI$3:EI$500)))</f>
        <v/>
      </c>
      <c r="HJ7" s="123">
        <f>IF(OR(HJ$4="",$B7=""),0,SUMIF('DADOS BRUTOS'!$A$3:$A$500,$B7,'DADOS BRUTOS'!EJ$3:EJ$500)+IF($C7="",0,SUMIF('DADOS BRUTOS'!$A$3:$A$500,$C7,'DADOS BRUTOS'!EJ$3:EJ$500)))</f>
        <v/>
      </c>
      <c r="HK7" s="123">
        <f>IF(OR(HK$4="",$B7=""),0,SUMIF('DADOS BRUTOS'!$A$3:$A$500,$B7,'DADOS BRUTOS'!EK$3:EK$500)+IF($C7="",0,SUMIF('DADOS BRUTOS'!$A$3:$A$500,$C7,'DADOS BRUTOS'!EK$3:EK$500)))</f>
        <v/>
      </c>
      <c r="HL7" s="123">
        <f>IF(OR(HL$4="",$B7=""),0,SUMIF('DADOS BRUTOS'!$A$3:$A$500,$B7,'DADOS BRUTOS'!EL$3:EL$500)+IF($C7="",0,SUMIF('DADOS BRUTOS'!$A$3:$A$500,$C7,'DADOS BRUTOS'!EL$3:EL$500)))</f>
        <v/>
      </c>
      <c r="HM7" s="123">
        <f>IF(OR(HM$4="",$B7=""),0,SUMIF('DADOS BRUTOS'!$A$3:$A$500,$B7,'DADOS BRUTOS'!EM$3:EM$500)+IF($C7="",0,SUMIF('DADOS BRUTOS'!$A$3:$A$500,$C7,'DADOS BRUTOS'!EM$3:EM$500)))</f>
        <v/>
      </c>
      <c r="HN7" s="123">
        <f>IF(OR(HN$4="",$B7=""),0,SUMIF('DADOS BRUTOS'!$A$3:$A$500,$B7,'DADOS BRUTOS'!EN$3:EN$500)+IF($C7="",0,SUMIF('DADOS BRUTOS'!$A$3:$A$500,$C7,'DADOS BRUTOS'!EN$3:EN$500)))</f>
        <v/>
      </c>
      <c r="HO7" s="123">
        <f>IF(OR(HO$4="",$B7=""),0,SUMIF('DADOS BRUTOS'!$A$3:$A$500,$B7,'DADOS BRUTOS'!EO$3:EO$500)+IF($C7="",0,SUMIF('DADOS BRUTOS'!$A$3:$A$500,$C7,'DADOS BRUTOS'!EO$3:EO$500)))</f>
        <v/>
      </c>
      <c r="HP7" s="123">
        <f>IF(OR(HP$4="",$B7=""),0,SUMIF('DADOS BRUTOS'!$A$3:$A$500,$B7,'DADOS BRUTOS'!EP$3:EP$500)+IF($C7="",0,SUMIF('DADOS BRUTOS'!$A$3:$A$500,$C7,'DADOS BRUTOS'!EP$3:EP$500)))</f>
        <v/>
      </c>
      <c r="HQ7" s="123">
        <f>IF(OR(HQ$4="",$B7=""),0,SUMIF('DADOS BRUTOS'!$A$3:$A$500,$B7,'DADOS BRUTOS'!EQ$3:EQ$500)+IF($C7="",0,SUMIF('DADOS BRUTOS'!$A$3:$A$500,$C7,'DADOS BRUTOS'!EQ$3:EQ$500)))</f>
        <v/>
      </c>
      <c r="HR7" s="123">
        <f>IF(OR(HR$4="",$B7=""),0,SUMIF('DADOS BRUTOS'!$A$3:$A$500,$B7,'DADOS BRUTOS'!ER$3:ER$500)+IF($C7="",0,SUMIF('DADOS BRUTOS'!$A$3:$A$500,$C7,'DADOS BRUTOS'!ER$3:ER$500)))</f>
        <v/>
      </c>
      <c r="HS7" s="123">
        <f>IF(OR(HS$4="",$B7=""),0,SUMIF('DADOS BRUTOS'!$A$3:$A$500,$B7,'DADOS BRUTOS'!ES$3:ES$500)+IF($C7="",0,SUMIF('DADOS BRUTOS'!$A$3:$A$500,$C7,'DADOS BRUTOS'!ES$3:ES$500)))</f>
        <v/>
      </c>
      <c r="HT7" s="123">
        <f>IF(OR(HT$4="",$B7=""),0,SUMIF('DADOS BRUTOS'!$A$3:$A$500,$B7,'DADOS BRUTOS'!ET$3:ET$500)+IF($C7="",0,SUMIF('DADOS BRUTOS'!$A$3:$A$500,$C7,'DADOS BRUTOS'!ET$3:ET$500)))</f>
        <v/>
      </c>
      <c r="HU7" s="123">
        <f>IF(OR(HU$4="",$B7=""),0,SUMIF('DADOS BRUTOS'!$A$3:$A$500,$B7,'DADOS BRUTOS'!EU$3:EU$500)+IF($C7="",0,SUMIF('DADOS BRUTOS'!$A$3:$A$500,$C7,'DADOS BRUTOS'!EU$3:EU$500)))</f>
        <v/>
      </c>
      <c r="HV7" s="123">
        <f>IF(OR(HV$4="",$B7=""),0,SUMIF('DADOS BRUTOS'!$A$3:$A$500,$B7,'DADOS BRUTOS'!EV$3:EV$500)+IF($C7="",0,SUMIF('DADOS BRUTOS'!$A$3:$A$500,$C7,'DADOS BRUTOS'!EV$3:EV$500)))</f>
        <v/>
      </c>
      <c r="HW7" s="123">
        <f>IF(OR(HW$4="",$B7=""),0,SUMIF('DADOS BRUTOS'!$A$3:$A$500,$B7,'DADOS BRUTOS'!EW$3:EW$500)+IF($C7="",0,SUMIF('DADOS BRUTOS'!$A$3:$A$500,$C7,'DADOS BRUTOS'!EW$3:EW$500)))</f>
        <v/>
      </c>
      <c r="HX7" s="123">
        <f>IF(OR(HX$4="",$B7=""),0,SUMIF('DADOS BRUTOS'!$A$3:$A$500,$B7,'DADOS BRUTOS'!EX$3:EX$500)+IF($C7="",0,SUMIF('DADOS BRUTOS'!$A$3:$A$500,$C7,'DADOS BRUTOS'!EX$3:EX$500)))</f>
        <v/>
      </c>
      <c r="HY7" s="123">
        <f>IF(OR(HY$4="",$B7=""),0,SUMIF('DADOS BRUTOS'!$A$3:$A$500,$B7,'DADOS BRUTOS'!EY$3:EY$500)+IF($C7="",0,SUMIF('DADOS BRUTOS'!$A$3:$A$500,$C7,'DADOS BRUTOS'!EY$3:EY$500)))</f>
        <v/>
      </c>
      <c r="HZ7" s="123">
        <f>IF(OR(HZ$4="",$B7=""),0,SUMIF('DADOS BRUTOS'!$A$3:$A$500,$B7,'DADOS BRUTOS'!EZ$3:EZ$500)+IF($C7="",0,SUMIF('DADOS BRUTOS'!$A$3:$A$500,$C7,'DADOS BRUTOS'!EZ$3:EZ$500)))</f>
        <v/>
      </c>
      <c r="IA7" s="123">
        <f>IF(OR(IA$4="",$B7=""),0,SUMIF('DADOS BRUTOS'!$A$3:$A$500,$B7,'DADOS BRUTOS'!FA$3:FA$500)+IF($C7="",0,SUMIF('DADOS BRUTOS'!$A$3:$A$500,$C7,'DADOS BRUTOS'!FA$3:FA$500)))</f>
        <v/>
      </c>
      <c r="IB7" s="123">
        <f>IF(OR(IB$4="",$B7=""),0,SUMIF('DADOS BRUTOS'!$A$3:$A$500,$B7,'DADOS BRUTOS'!FB$3:FB$500)+IF($C7="",0,SUMIF('DADOS BRUTOS'!$A$3:$A$500,$C7,'DADOS BRUTOS'!FB$3:FB$500)))</f>
        <v/>
      </c>
      <c r="IC7" s="123">
        <f>IF(OR(IC$4="",$B7=""),0,SUMIF('DADOS BRUTOS'!$A$3:$A$500,$B7,'DADOS BRUTOS'!FC$3:FC$500)+IF($C7="",0,SUMIF('DADOS BRUTOS'!$A$3:$A$500,$C7,'DADOS BRUTOS'!FC$3:FC$500)))</f>
        <v/>
      </c>
      <c r="ID7" s="123">
        <f>IF(OR(ID$4="",$B7=""),0,SUMIF('DADOS BRUTOS'!$A$3:$A$500,$B7,'DADOS BRUTOS'!FD$3:FD$500)+IF($C7="",0,SUMIF('DADOS BRUTOS'!$A$3:$A$500,$C7,'DADOS BRUTOS'!FD$3:FD$500)))</f>
        <v/>
      </c>
      <c r="IE7" s="123">
        <f>IF(OR(IE$4="",$B7=""),0,SUMIF('DADOS BRUTOS'!$A$3:$A$500,$B7,'DADOS BRUTOS'!FE$3:FE$500)+IF($C7="",0,SUMIF('DADOS BRUTOS'!$A$3:$A$500,$C7,'DADOS BRUTOS'!FE$3:FE$500)))</f>
        <v/>
      </c>
      <c r="IF7" s="123">
        <f>IF(OR(IF$4="",$B7=""),0,SUMIF('DADOS BRUTOS'!$A$3:$A$500,$B7,'DADOS BRUTOS'!FF$3:FF$500)+IF($C7="",0,SUMIF('DADOS BRUTOS'!$A$3:$A$500,$C7,'DADOS BRUTOS'!FF$3:FF$500)))</f>
        <v/>
      </c>
      <c r="IG7" s="123">
        <f>IF(OR(IG$4="",$B7=""),0,SUMIF('DADOS BRUTOS'!$A$3:$A$500,$B7,'DADOS BRUTOS'!FG$3:FG$500)+IF($C7="",0,SUMIF('DADOS BRUTOS'!$A$3:$A$500,$C7,'DADOS BRUTOS'!FG$3:FG$500)))</f>
        <v/>
      </c>
      <c r="IH7" s="123">
        <f>IF(OR(IH$4="",$B7=""),0,SUMIF('DADOS BRUTOS'!$A$3:$A$500,$B7,'DADOS BRUTOS'!FH$3:FH$500)+IF($C7="",0,SUMIF('DADOS BRUTOS'!$A$3:$A$500,$C7,'DADOS BRUTOS'!FH$3:FH$500)))</f>
        <v/>
      </c>
      <c r="II7" s="123">
        <f>IF(OR(II$4="",$B7=""),0,SUMIF('DADOS BRUTOS'!$A$3:$A$500,$B7,'DADOS BRUTOS'!FI$3:FI$500)+IF($C7="",0,SUMIF('DADOS BRUTOS'!$A$3:$A$500,$C7,'DADOS BRUTOS'!FI$3:FI$500)))</f>
        <v/>
      </c>
      <c r="IJ7" s="123">
        <f>IF(OR(IJ$4="",$B7=""),0,SUMIF('DADOS BRUTOS'!$A$3:$A$500,$B7,'DADOS BRUTOS'!FJ$3:FJ$500)+IF($C7="",0,SUMIF('DADOS BRUTOS'!$A$3:$A$500,$C7,'DADOS BRUTOS'!FJ$3:FJ$500)))</f>
        <v/>
      </c>
      <c r="IK7" s="123">
        <f>IF(OR(IK$4="",$B7=""),0,SUMIF('DADOS BRUTOS'!$A$3:$A$500,$B7,'DADOS BRUTOS'!FK$3:FK$500)+IF($C7="",0,SUMIF('DADOS BRUTOS'!$A$3:$A$500,$C7,'DADOS BRUTOS'!FK$3:FK$500)))</f>
        <v/>
      </c>
      <c r="IL7" s="123">
        <f>IF(OR(IL$4="",$B7=""),0,SUMIF('DADOS BRUTOS'!$A$3:$A$500,$B7,'DADOS BRUTOS'!FL$3:FL$500)+IF($C7="",0,SUMIF('DADOS BRUTOS'!$A$3:$A$500,$C7,'DADOS BRUTOS'!FL$3:FL$500)))</f>
        <v/>
      </c>
      <c r="IM7" s="123">
        <f>IF(OR(IM$4="",$B7=""),0,SUMIF('DADOS BRUTOS'!$A$3:$A$500,$B7,'DADOS BRUTOS'!FM$3:FM$500)+IF($C7="",0,SUMIF('DADOS BRUTOS'!$A$3:$A$500,$C7,'DADOS BRUTOS'!FM$3:FM$500)))</f>
        <v/>
      </c>
      <c r="IN7" s="123">
        <f>IF(OR(IN$4="",$B7=""),0,SUMIF('DADOS BRUTOS'!$A$3:$A$500,$B7,'DADOS BRUTOS'!FN$3:FN$500)+IF($C7="",0,SUMIF('DADOS BRUTOS'!$A$3:$A$500,$C7,'DADOS BRUTOS'!FN$3:FN$500)))</f>
        <v/>
      </c>
      <c r="IO7" s="123">
        <f>IF(OR(IO$4="",$B7=""),0,SUMIF('DADOS BRUTOS'!$A$3:$A$500,$B7,'DADOS BRUTOS'!FO$3:FO$500)+IF($C7="",0,SUMIF('DADOS BRUTOS'!$A$3:$A$500,$C7,'DADOS BRUTOS'!FO$3:FO$500)))</f>
        <v/>
      </c>
      <c r="IP7" s="123">
        <f>IF(OR(IP$4="",$B7=""),0,SUMIF('DADOS BRUTOS'!$A$3:$A$500,$B7,'DADOS BRUTOS'!FP$3:FP$500)+IF($C7="",0,SUMIF('DADOS BRUTOS'!$A$3:$A$500,$C7,'DADOS BRUTOS'!FP$3:FP$500)))</f>
        <v/>
      </c>
      <c r="IQ7" s="123">
        <f>IF(OR(IQ$4="",$B7=""),0,SUMIF('DADOS BRUTOS'!$A$3:$A$500,$B7,'DADOS BRUTOS'!FQ$3:FQ$500)+IF($C7="",0,SUMIF('DADOS BRUTOS'!$A$3:$A$500,$C7,'DADOS BRUTOS'!FQ$3:FQ$500)))</f>
        <v/>
      </c>
      <c r="IR7" s="123">
        <f>IF(OR(IR$4="",$B7=""),0,SUMIF('DADOS BRUTOS'!$A$3:$A$500,$B7,'DADOS BRUTOS'!FR$3:FR$500)+IF($C7="",0,SUMIF('DADOS BRUTOS'!$A$3:$A$500,$C7,'DADOS BRUTOS'!FR$3:FR$500)))</f>
        <v/>
      </c>
      <c r="IS7" s="123">
        <f>IF(OR(IS$4="",$B7=""),0,SUMIF('DADOS BRUTOS'!$A$3:$A$500,$B7,'DADOS BRUTOS'!FS$3:FS$500)+IF($C7="",0,SUMIF('DADOS BRUTOS'!$A$3:$A$500,$C7,'DADOS BRUTOS'!FS$3:FS$500)))</f>
        <v/>
      </c>
      <c r="IT7" s="123">
        <f>IF(OR(IT$4="",$B7=""),0,SUMIF('DADOS BRUTOS'!$A$3:$A$500,$B7,'DADOS BRUTOS'!FT$3:FT$500)+IF($C7="",0,SUMIF('DADOS BRUTOS'!$A$3:$A$500,$C7,'DADOS BRUTOS'!FT$3:FT$500)))</f>
        <v/>
      </c>
      <c r="IU7" s="123">
        <f>IF(OR(IU$4="",$B7=""),0,SUMIF('DADOS BRUTOS'!$A$3:$A$500,$B7,'DADOS BRUTOS'!FU$3:FU$500)+IF($C7="",0,SUMIF('DADOS BRUTOS'!$A$3:$A$500,$C7,'DADOS BRUTOS'!FU$3:FU$500)))</f>
        <v/>
      </c>
      <c r="IV7" s="123">
        <f>IF(OR(IV$4="",$B7=""),0,SUMIF('DADOS BRUTOS'!$A$3:$A$500,$B7,'DADOS BRUTOS'!FV$3:FV$500)+IF($C7="",0,SUMIF('DADOS BRUTOS'!$A$3:$A$500,$C7,'DADOS BRUTOS'!FV$3:FV$500)))</f>
        <v/>
      </c>
      <c r="IW7" s="123">
        <f>IF(OR(IW$4="",$B7=""),0,SUMIF('DADOS BRUTOS'!$A$3:$A$500,$B7,'DADOS BRUTOS'!FW$3:FW$500)+IF($C7="",0,SUMIF('DADOS BRUTOS'!$A$3:$A$500,$C7,'DADOS BRUTOS'!FW$3:FW$500)))</f>
        <v/>
      </c>
      <c r="IX7" s="123">
        <f>IF(OR(IX$4="",$B7=""),0,SUMIF('DADOS BRUTOS'!$A$3:$A$500,$B7,'DADOS BRUTOS'!FX$3:FX$500)+IF($C7="",0,SUMIF('DADOS BRUTOS'!$A$3:$A$500,$C7,'DADOS BRUTOS'!FX$3:FX$500)))</f>
        <v/>
      </c>
      <c r="IY7" s="123">
        <f>IF(OR(IY$4="",$B7=""),0,SUMIF('DADOS BRUTOS'!$A$3:$A$500,$B7,'DADOS BRUTOS'!FY$3:FY$500)+IF($C7="",0,SUMIF('DADOS BRUTOS'!$A$3:$A$500,$C7,'DADOS BRUTOS'!FY$3:FY$500)))</f>
        <v/>
      </c>
      <c r="IZ7" s="123">
        <f>IF(OR(IZ$4="",$B7=""),0,SUMIF('DADOS BRUTOS'!$A$3:$A$500,$B7,'DADOS BRUTOS'!FZ$3:FZ$500)+IF($C7="",0,SUMIF('DADOS BRUTOS'!$A$3:$A$500,$C7,'DADOS BRUTOS'!FZ$3:FZ$500)))</f>
        <v/>
      </c>
      <c r="JA7" s="123">
        <f>IF(OR(JA$4="",$B7=""),0,SUMIF('DADOS BRUTOS'!$A$3:$A$500,$B7,'DADOS BRUTOS'!GA$3:GA$500)+IF($C7="",0,SUMIF('DADOS BRUTOS'!$A$3:$A$500,$C7,'DADOS BRUTOS'!GA$3:GA$500)))</f>
        <v/>
      </c>
      <c r="JB7" s="123">
        <f>IF(OR(JB$4="",$B7=""),0,SUMIF('DADOS BRUTOS'!$A$3:$A$500,$B7,'DADOS BRUTOS'!GB$3:GB$500)+IF($C7="",0,SUMIF('DADOS BRUTOS'!$A$3:$A$500,$C7,'DADOS BRUTOS'!GB$3:GB$500)))</f>
        <v/>
      </c>
      <c r="JC7" s="123">
        <f>IF(OR(JC$4="",$B7=""),0,SUMIF('DADOS BRUTOS'!$A$3:$A$500,$B7,'DADOS BRUTOS'!GC$3:GC$500)+IF($C7="",0,SUMIF('DADOS BRUTOS'!$A$3:$A$500,$C7,'DADOS BRUTOS'!GC$3:GC$500)))</f>
        <v/>
      </c>
      <c r="JD7" s="123">
        <f>IF(OR(JD$4="",$B7=""),0,SUMIF('DADOS BRUTOS'!$A$3:$A$500,$B7,'DADOS BRUTOS'!GD$3:GD$500)+IF($C7="",0,SUMIF('DADOS BRUTOS'!$A$3:$A$500,$C7,'DADOS BRUTOS'!GD$3:GD$500)))</f>
        <v/>
      </c>
      <c r="JE7" s="123">
        <f>IF(OR(JE$4="",$B7=""),0,SUMIF('DADOS BRUTOS'!$A$3:$A$500,$B7,'DADOS BRUTOS'!GE$3:GE$500)+IF($C7="",0,SUMIF('DADOS BRUTOS'!$A$3:$A$500,$C7,'DADOS BRUTOS'!GE$3:GE$500)))</f>
        <v/>
      </c>
      <c r="JF7" s="123">
        <f>IF(OR(JF$4="",$B7=""),0,SUMIF('DADOS BRUTOS'!$A$3:$A$500,$B7,'DADOS BRUTOS'!GF$3:GF$500)+IF($C7="",0,SUMIF('DADOS BRUTOS'!$A$3:$A$500,$C7,'DADOS BRUTOS'!GF$3:GF$500)))</f>
        <v/>
      </c>
      <c r="JG7" s="123">
        <f>IF(OR(JG$4="",$B7=""),0,SUMIF('DADOS BRUTOS'!$A$3:$A$500,$B7,'DADOS BRUTOS'!GG$3:GG$500)+IF($C7="",0,SUMIF('DADOS BRUTOS'!$A$3:$A$500,$C7,'DADOS BRUTOS'!GG$3:GG$500)))</f>
        <v/>
      </c>
      <c r="JH7" s="123">
        <f>IF(OR(JH$4="",$B7=""),0,SUMIF('DADOS BRUTOS'!$A$3:$A$500,$B7,'DADOS BRUTOS'!GH$3:GH$500)+IF($C7="",0,SUMIF('DADOS BRUTOS'!$A$3:$A$500,$C7,'DADOS BRUTOS'!GH$3:GH$500)))</f>
        <v/>
      </c>
      <c r="JI7" s="123">
        <f>IF(OR(JI$4="",$B7=""),0,SUMIF('DADOS BRUTOS'!$A$3:$A$500,$B7,'DADOS BRUTOS'!GI$3:GI$500)+IF($C7="",0,SUMIF('DADOS BRUTOS'!$A$3:$A$500,$C7,'DADOS BRUTOS'!GI$3:GI$500)))</f>
        <v/>
      </c>
      <c r="JJ7" s="123">
        <f>IF(OR(JJ$4="",$B7=""),0,SUMIF('DADOS BRUTOS'!$A$3:$A$500,$B7,'DADOS BRUTOS'!GJ$3:GJ$500)+IF($C7="",0,SUMIF('DADOS BRUTOS'!$A$3:$A$500,$C7,'DADOS BRUTOS'!GJ$3:GJ$500)))</f>
        <v/>
      </c>
      <c r="JK7" s="123">
        <f>IF(OR(JK$4="",$B7=""),0,SUMIF('DADOS BRUTOS'!$A$3:$A$500,$B7,'DADOS BRUTOS'!GK$3:GK$500)+IF($C7="",0,SUMIF('DADOS BRUTOS'!$A$3:$A$500,$C7,'DADOS BRUTOS'!GK$3:GK$500)))</f>
        <v/>
      </c>
      <c r="JL7" s="123">
        <f>IF(OR(JL$4="",$B7=""),0,SUMIF('DADOS BRUTOS'!$A$3:$A$500,$B7,'DADOS BRUTOS'!GL$3:GL$500)+IF($C7="",0,SUMIF('DADOS BRUTOS'!$A$3:$A$500,$C7,'DADOS BRUTOS'!GL$3:GL$500)))</f>
        <v/>
      </c>
      <c r="JM7" s="123">
        <f>IF(OR(JM$4="",$B7=""),0,SUMIF('DADOS BRUTOS'!$A$3:$A$500,$B7,'DADOS BRUTOS'!GM$3:GM$500)+IF($C7="",0,SUMIF('DADOS BRUTOS'!$A$3:$A$500,$C7,'DADOS BRUTOS'!GM$3:GM$500)))</f>
        <v/>
      </c>
      <c r="JN7" s="123">
        <f>IF(OR(JN$4="",$B7=""),0,SUMIF('DADOS BRUTOS'!$A$3:$A$500,$B7,'DADOS BRUTOS'!GN$3:GN$500)+IF($C7="",0,SUMIF('DADOS BRUTOS'!$A$3:$A$500,$C7,'DADOS BRUTOS'!GN$3:GN$500)))</f>
        <v/>
      </c>
      <c r="JO7" s="123">
        <f>IF(OR(JO$4="",$B7=""),0,SUMIF('DADOS BRUTOS'!$A$3:$A$500,$B7,'DADOS BRUTOS'!GO$3:GO$500)+IF($C7="",0,SUMIF('DADOS BRUTOS'!$A$3:$A$500,$C7,'DADOS BRUTOS'!GO$3:GO$500)))</f>
        <v/>
      </c>
      <c r="JP7" s="123">
        <f>IF(OR(JP$4="",$B7=""),0,SUMIF('DADOS BRUTOS'!$A$3:$A$500,$B7,'DADOS BRUTOS'!GP$3:GP$500)+IF($C7="",0,SUMIF('DADOS BRUTOS'!$A$3:$A$500,$C7,'DADOS BRUTOS'!GP$3:GP$500)))</f>
        <v/>
      </c>
      <c r="JQ7" s="123">
        <f>IF(OR(JQ$4="",$B7=""),0,SUMIF('DADOS BRUTOS'!$A$3:$A$500,$B7,'DADOS BRUTOS'!GQ$3:GQ$500)+IF($C7="",0,SUMIF('DADOS BRUTOS'!$A$3:$A$500,$C7,'DADOS BRUTOS'!GQ$3:GQ$500)))</f>
        <v/>
      </c>
      <c r="JR7" s="123">
        <f>IF(OR(JR$4="",$B7=""),0,SUMIF('DADOS BRUTOS'!$A$3:$A$500,$B7,'DADOS BRUTOS'!GR$3:GR$500)+IF($C7="",0,SUMIF('DADOS BRUTOS'!$A$3:$A$500,$C7,'DADOS BRUTOS'!GR$3:GR$500)))</f>
        <v/>
      </c>
      <c r="JS7" s="123">
        <f>IF(OR(JS$4="",$B7=""),0,SUMIF('DADOS BRUTOS'!$A$3:$A$500,$B7,'DADOS BRUTOS'!GS$3:GS$500)+IF($C7="",0,SUMIF('DADOS BRUTOS'!$A$3:$A$500,$C7,'DADOS BRUTOS'!GS$3:GS$500)))</f>
        <v/>
      </c>
    </row>
    <row r="8">
      <c r="A8" s="60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CB8" s="123">
        <f>IF(OR(CB$4="",$B8=""),0,SUMIF('DADOS BRUTOS'!$A$3:$A$500,$B8,'DADOS BRUTOS'!B$3:B$500)+IF($C8="",0,SUMIF('DADOS BRUTOS'!$A$3:$A$500,$C8,'DADOS BRUTOS'!B$3:B$500)))</f>
        <v/>
      </c>
      <c r="CC8" s="123">
        <f>IF(OR(CC$4="",$B8=""),0,SUMIF('DADOS BRUTOS'!$A$3:$A$500,$B8,'DADOS BRUTOS'!C$3:C$500)+IF($C8="",0,SUMIF('DADOS BRUTOS'!$A$3:$A$500,$C8,'DADOS BRUTOS'!C$3:C$500)))</f>
        <v/>
      </c>
      <c r="CD8" s="123">
        <f>IF(OR(CD$4="",$B8=""),0,SUMIF('DADOS BRUTOS'!$A$3:$A$500,$B8,'DADOS BRUTOS'!D$3:D$500)+IF($C8="",0,SUMIF('DADOS BRUTOS'!$A$3:$A$500,$C8,'DADOS BRUTOS'!D$3:D$500)))</f>
        <v/>
      </c>
      <c r="CE8" s="123">
        <f>IF(OR(CE$4="",$B8=""),0,SUMIF('DADOS BRUTOS'!$A$3:$A$500,$B8,'DADOS BRUTOS'!E$3:E$500)+IF($C8="",0,SUMIF('DADOS BRUTOS'!$A$3:$A$500,$C8,'DADOS BRUTOS'!E$3:E$500)))</f>
        <v/>
      </c>
      <c r="CF8" s="123">
        <f>IF(OR(CF$4="",$B8=""),0,SUMIF('DADOS BRUTOS'!$A$3:$A$500,$B8,'DADOS BRUTOS'!F$3:F$500)+IF($C8="",0,SUMIF('DADOS BRUTOS'!$A$3:$A$500,$C8,'DADOS BRUTOS'!F$3:F$500)))</f>
        <v/>
      </c>
      <c r="CG8" s="123">
        <f>IF(OR(CG$4="",$B8=""),0,SUMIF('DADOS BRUTOS'!$A$3:$A$500,$B8,'DADOS BRUTOS'!G$3:G$500)+IF($C8="",0,SUMIF('DADOS BRUTOS'!$A$3:$A$500,$C8,'DADOS BRUTOS'!G$3:G$500)))</f>
        <v/>
      </c>
      <c r="CH8" s="123">
        <f>IF(OR(CH$4="",$B8=""),0,SUMIF('DADOS BRUTOS'!$A$3:$A$500,$B8,'DADOS BRUTOS'!H$3:H$500)+IF($C8="",0,SUMIF('DADOS BRUTOS'!$A$3:$A$500,$C8,'DADOS BRUTOS'!H$3:H$500)))</f>
        <v/>
      </c>
      <c r="CI8" s="123">
        <f>IF(OR(CI$4="",$B8=""),0,SUMIF('DADOS BRUTOS'!$A$3:$A$500,$B8,'DADOS BRUTOS'!I$3:I$500)+IF($C8="",0,SUMIF('DADOS BRUTOS'!$A$3:$A$500,$C8,'DADOS BRUTOS'!I$3:I$500)))</f>
        <v/>
      </c>
      <c r="CJ8" s="123">
        <f>IF(OR(CJ$4="",$B8=""),0,SUMIF('DADOS BRUTOS'!$A$3:$A$500,$B8,'DADOS BRUTOS'!J$3:J$500)+IF($C8="",0,SUMIF('DADOS BRUTOS'!$A$3:$A$500,$C8,'DADOS BRUTOS'!J$3:J$500)))</f>
        <v/>
      </c>
      <c r="CK8" s="123">
        <f>IF(OR(CK$4="",$B8=""),0,SUMIF('DADOS BRUTOS'!$A$3:$A$500,$B8,'DADOS BRUTOS'!K$3:K$500)+IF($C8="",0,SUMIF('DADOS BRUTOS'!$A$3:$A$500,$C8,'DADOS BRUTOS'!K$3:K$500)))</f>
        <v/>
      </c>
      <c r="CL8" s="123">
        <f>IF(OR(CL$4="",$B8=""),0,SUMIF('DADOS BRUTOS'!$A$3:$A$500,$B8,'DADOS BRUTOS'!L$3:L$500)+IF($C8="",0,SUMIF('DADOS BRUTOS'!$A$3:$A$500,$C8,'DADOS BRUTOS'!L$3:L$500)))</f>
        <v/>
      </c>
      <c r="CM8" s="123">
        <f>IF(OR(CM$4="",$B8=""),0,SUMIF('DADOS BRUTOS'!$A$3:$A$500,$B8,'DADOS BRUTOS'!M$3:M$500)+IF($C8="",0,SUMIF('DADOS BRUTOS'!$A$3:$A$500,$C8,'DADOS BRUTOS'!M$3:M$500)))</f>
        <v/>
      </c>
      <c r="CN8" s="123">
        <f>IF(OR(CN$4="",$B8=""),0,SUMIF('DADOS BRUTOS'!$A$3:$A$500,$B8,'DADOS BRUTOS'!N$3:N$500)+IF($C8="",0,SUMIF('DADOS BRUTOS'!$A$3:$A$500,$C8,'DADOS BRUTOS'!N$3:N$500)))</f>
        <v/>
      </c>
      <c r="CO8" s="123">
        <f>IF(OR(CO$4="",$B8=""),0,SUMIF('DADOS BRUTOS'!$A$3:$A$500,$B8,'DADOS BRUTOS'!O$3:O$500)+IF($C8="",0,SUMIF('DADOS BRUTOS'!$A$3:$A$500,$C8,'DADOS BRUTOS'!O$3:O$500)))</f>
        <v/>
      </c>
      <c r="CP8" s="123">
        <f>IF(OR(CP$4="",$B8=""),0,SUMIF('DADOS BRUTOS'!$A$3:$A$500,$B8,'DADOS BRUTOS'!P$3:P$500)+IF($C8="",0,SUMIF('DADOS BRUTOS'!$A$3:$A$500,$C8,'DADOS BRUTOS'!P$3:P$500)))</f>
        <v/>
      </c>
      <c r="CQ8" s="123">
        <f>IF(OR(CQ$4="",$B8=""),0,SUMIF('DADOS BRUTOS'!$A$3:$A$500,$B8,'DADOS BRUTOS'!Q$3:Q$500)+IF($C8="",0,SUMIF('DADOS BRUTOS'!$A$3:$A$500,$C8,'DADOS BRUTOS'!Q$3:Q$500)))</f>
        <v/>
      </c>
      <c r="CR8" s="123">
        <f>IF(OR(CR$4="",$B8=""),0,SUMIF('DADOS BRUTOS'!$A$3:$A$500,$B8,'DADOS BRUTOS'!R$3:R$500)+IF($C8="",0,SUMIF('DADOS BRUTOS'!$A$3:$A$500,$C8,'DADOS BRUTOS'!R$3:R$500)))</f>
        <v/>
      </c>
      <c r="CS8" s="123">
        <f>IF(OR(CS$4="",$B8=""),0,SUMIF('DADOS BRUTOS'!$A$3:$A$500,$B8,'DADOS BRUTOS'!S$3:S$500)+IF($C8="",0,SUMIF('DADOS BRUTOS'!$A$3:$A$500,$C8,'DADOS BRUTOS'!S$3:S$500)))</f>
        <v/>
      </c>
      <c r="CT8" s="123">
        <f>IF(OR(CT$4="",$B8=""),0,SUMIF('DADOS BRUTOS'!$A$3:$A$500,$B8,'DADOS BRUTOS'!T$3:T$500)+IF($C8="",0,SUMIF('DADOS BRUTOS'!$A$3:$A$500,$C8,'DADOS BRUTOS'!T$3:T$500)))</f>
        <v/>
      </c>
      <c r="CU8" s="123">
        <f>IF(OR(CU$4="",$B8=""),0,SUMIF('DADOS BRUTOS'!$A$3:$A$500,$B8,'DADOS BRUTOS'!U$3:U$500)+IF($C8="",0,SUMIF('DADOS BRUTOS'!$A$3:$A$500,$C8,'DADOS BRUTOS'!U$3:U$500)))</f>
        <v/>
      </c>
      <c r="CV8" s="123">
        <f>IF(OR(CV$4="",$B8=""),0,SUMIF('DADOS BRUTOS'!$A$3:$A$500,$B8,'DADOS BRUTOS'!V$3:V$500)+IF($C8="",0,SUMIF('DADOS BRUTOS'!$A$3:$A$500,$C8,'DADOS BRUTOS'!V$3:V$500)))</f>
        <v/>
      </c>
      <c r="CW8" s="123">
        <f>IF(OR(CW$4="",$B8=""),0,SUMIF('DADOS BRUTOS'!$A$3:$A$500,$B8,'DADOS BRUTOS'!W$3:W$500)+IF($C8="",0,SUMIF('DADOS BRUTOS'!$A$3:$A$500,$C8,'DADOS BRUTOS'!W$3:W$500)))</f>
        <v/>
      </c>
      <c r="CX8" s="123">
        <f>IF(OR(CX$4="",$B8=""),0,SUMIF('DADOS BRUTOS'!$A$3:$A$500,$B8,'DADOS BRUTOS'!X$3:X$500)+IF($C8="",0,SUMIF('DADOS BRUTOS'!$A$3:$A$500,$C8,'DADOS BRUTOS'!X$3:X$500)))</f>
        <v/>
      </c>
      <c r="CY8" s="123">
        <f>IF(OR(CY$4="",$B8=""),0,SUMIF('DADOS BRUTOS'!$A$3:$A$500,$B8,'DADOS BRUTOS'!Y$3:Y$500)+IF($C8="",0,SUMIF('DADOS BRUTOS'!$A$3:$A$500,$C8,'DADOS BRUTOS'!Y$3:Y$500)))</f>
        <v/>
      </c>
      <c r="CZ8" s="123">
        <f>IF(OR(CZ$4="",$B8=""),0,SUMIF('DADOS BRUTOS'!$A$3:$A$500,$B8,'DADOS BRUTOS'!Z$3:Z$500)+IF($C8="",0,SUMIF('DADOS BRUTOS'!$A$3:$A$500,$C8,'DADOS BRUTOS'!Z$3:Z$500)))</f>
        <v/>
      </c>
      <c r="DA8" s="123">
        <f>IF(OR(DA$4="",$B8=""),0,SUMIF('DADOS BRUTOS'!$A$3:$A$500,$B8,'DADOS BRUTOS'!AA$3:AA$500)+IF($C8="",0,SUMIF('DADOS BRUTOS'!$A$3:$A$500,$C8,'DADOS BRUTOS'!AA$3:AA$500)))</f>
        <v/>
      </c>
      <c r="DB8" s="123">
        <f>IF(OR(DB$4="",$B8=""),0,SUMIF('DADOS BRUTOS'!$A$3:$A$500,$B8,'DADOS BRUTOS'!AB$3:AB$500)+IF($C8="",0,SUMIF('DADOS BRUTOS'!$A$3:$A$500,$C8,'DADOS BRUTOS'!AB$3:AB$500)))</f>
        <v/>
      </c>
      <c r="DC8" s="123">
        <f>IF(OR(DC$4="",$B8=""),0,SUMIF('DADOS BRUTOS'!$A$3:$A$500,$B8,'DADOS BRUTOS'!AC$3:AC$500)+IF($C8="",0,SUMIF('DADOS BRUTOS'!$A$3:$A$500,$C8,'DADOS BRUTOS'!AC$3:AC$500)))</f>
        <v/>
      </c>
      <c r="DD8" s="123">
        <f>IF(OR(DD$4="",$B8=""),0,SUMIF('DADOS BRUTOS'!$A$3:$A$500,$B8,'DADOS BRUTOS'!AD$3:AD$500)+IF($C8="",0,SUMIF('DADOS BRUTOS'!$A$3:$A$500,$C8,'DADOS BRUTOS'!AD$3:AD$500)))</f>
        <v/>
      </c>
      <c r="DE8" s="123">
        <f>IF(OR(DE$4="",$B8=""),0,SUMIF('DADOS BRUTOS'!$A$3:$A$500,$B8,'DADOS BRUTOS'!AE$3:AE$500)+IF($C8="",0,SUMIF('DADOS BRUTOS'!$A$3:$A$500,$C8,'DADOS BRUTOS'!AE$3:AE$500)))</f>
        <v/>
      </c>
      <c r="DF8" s="123">
        <f>IF(OR(DF$4="",$B8=""),0,SUMIF('DADOS BRUTOS'!$A$3:$A$500,$B8,'DADOS BRUTOS'!AF$3:AF$500)+IF($C8="",0,SUMIF('DADOS BRUTOS'!$A$3:$A$500,$C8,'DADOS BRUTOS'!AF$3:AF$500)))</f>
        <v/>
      </c>
      <c r="DG8" s="123">
        <f>IF(OR(DG$4="",$B8=""),0,SUMIF('DADOS BRUTOS'!$A$3:$A$500,$B8,'DADOS BRUTOS'!AG$3:AG$500)+IF($C8="",0,SUMIF('DADOS BRUTOS'!$A$3:$A$500,$C8,'DADOS BRUTOS'!AG$3:AG$500)))</f>
        <v/>
      </c>
      <c r="DH8" s="123">
        <f>IF(OR(DH$4="",$B8=""),0,SUMIF('DADOS BRUTOS'!$A$3:$A$500,$B8,'DADOS BRUTOS'!AH$3:AH$500)+IF($C8="",0,SUMIF('DADOS BRUTOS'!$A$3:$A$500,$C8,'DADOS BRUTOS'!AH$3:AH$500)))</f>
        <v/>
      </c>
      <c r="DI8" s="123">
        <f>IF(OR(DI$4="",$B8=""),0,SUMIF('DADOS BRUTOS'!$A$3:$A$500,$B8,'DADOS BRUTOS'!AI$3:AI$500)+IF($C8="",0,SUMIF('DADOS BRUTOS'!$A$3:$A$500,$C8,'DADOS BRUTOS'!AI$3:AI$500)))</f>
        <v/>
      </c>
      <c r="DJ8" s="123">
        <f>IF(OR(DJ$4="",$B8=""),0,SUMIF('DADOS BRUTOS'!$A$3:$A$500,$B8,'DADOS BRUTOS'!AJ$3:AJ$500)+IF($C8="",0,SUMIF('DADOS BRUTOS'!$A$3:$A$500,$C8,'DADOS BRUTOS'!AJ$3:AJ$500)))</f>
        <v/>
      </c>
      <c r="DK8" s="123">
        <f>IF(OR(DK$4="",$B8=""),0,SUMIF('DADOS BRUTOS'!$A$3:$A$500,$B8,'DADOS BRUTOS'!AK$3:AK$500)+IF($C8="",0,SUMIF('DADOS BRUTOS'!$A$3:$A$500,$C8,'DADOS BRUTOS'!AK$3:AK$500)))</f>
        <v/>
      </c>
      <c r="DL8" s="123">
        <f>IF(OR(DL$4="",$B8=""),0,SUMIF('DADOS BRUTOS'!$A$3:$A$500,$B8,'DADOS BRUTOS'!AL$3:AL$500)+IF($C8="",0,SUMIF('DADOS BRUTOS'!$A$3:$A$500,$C8,'DADOS BRUTOS'!AL$3:AL$500)))</f>
        <v/>
      </c>
      <c r="DM8" s="123">
        <f>IF(OR(DM$4="",$B8=""),0,SUMIF('DADOS BRUTOS'!$A$3:$A$500,$B8,'DADOS BRUTOS'!AM$3:AM$500)+IF($C8="",0,SUMIF('DADOS BRUTOS'!$A$3:$A$500,$C8,'DADOS BRUTOS'!AM$3:AM$500)))</f>
        <v/>
      </c>
      <c r="DN8" s="123">
        <f>IF(OR(DN$4="",$B8=""),0,SUMIF('DADOS BRUTOS'!$A$3:$A$500,$B8,'DADOS BRUTOS'!AN$3:AN$500)+IF($C8="",0,SUMIF('DADOS BRUTOS'!$A$3:$A$500,$C8,'DADOS BRUTOS'!AN$3:AN$500)))</f>
        <v/>
      </c>
      <c r="DO8" s="123">
        <f>IF(OR(DO$4="",$B8=""),0,SUMIF('DADOS BRUTOS'!$A$3:$A$500,$B8,'DADOS BRUTOS'!AO$3:AO$500)+IF($C8="",0,SUMIF('DADOS BRUTOS'!$A$3:$A$500,$C8,'DADOS BRUTOS'!AO$3:AO$500)))</f>
        <v/>
      </c>
      <c r="DP8" s="123">
        <f>IF(OR(DP$4="",$B8=""),0,SUMIF('DADOS BRUTOS'!$A$3:$A$500,$B8,'DADOS BRUTOS'!AP$3:AP$500)+IF($C8="",0,SUMIF('DADOS BRUTOS'!$A$3:$A$500,$C8,'DADOS BRUTOS'!AP$3:AP$500)))</f>
        <v/>
      </c>
      <c r="DQ8" s="123">
        <f>IF(OR(DQ$4="",$B8=""),0,SUMIF('DADOS BRUTOS'!$A$3:$A$500,$B8,'DADOS BRUTOS'!AQ$3:AQ$500)+IF($C8="",0,SUMIF('DADOS BRUTOS'!$A$3:$A$500,$C8,'DADOS BRUTOS'!AQ$3:AQ$500)))</f>
        <v/>
      </c>
      <c r="DR8" s="123">
        <f>IF(OR(DR$4="",$B8=""),0,SUMIF('DADOS BRUTOS'!$A$3:$A$500,$B8,'DADOS BRUTOS'!AR$3:AR$500)+IF($C8="",0,SUMIF('DADOS BRUTOS'!$A$3:$A$500,$C8,'DADOS BRUTOS'!AR$3:AR$500)))</f>
        <v/>
      </c>
      <c r="DS8" s="123">
        <f>IF(OR(DS$4="",$B8=""),0,SUMIF('DADOS BRUTOS'!$A$3:$A$500,$B8,'DADOS BRUTOS'!AS$3:AS$500)+IF($C8="",0,SUMIF('DADOS BRUTOS'!$A$3:$A$500,$C8,'DADOS BRUTOS'!AS$3:AS$500)))</f>
        <v/>
      </c>
      <c r="DT8" s="123">
        <f>IF(OR(DT$4="",$B8=""),0,SUMIF('DADOS BRUTOS'!$A$3:$A$500,$B8,'DADOS BRUTOS'!AT$3:AT$500)+IF($C8="",0,SUMIF('DADOS BRUTOS'!$A$3:$A$500,$C8,'DADOS BRUTOS'!AT$3:AT$500)))</f>
        <v/>
      </c>
      <c r="DU8" s="123">
        <f>IF(OR(DU$4="",$B8=""),0,SUMIF('DADOS BRUTOS'!$A$3:$A$500,$B8,'DADOS BRUTOS'!AU$3:AU$500)+IF($C8="",0,SUMIF('DADOS BRUTOS'!$A$3:$A$500,$C8,'DADOS BRUTOS'!AU$3:AU$500)))</f>
        <v/>
      </c>
      <c r="DV8" s="123">
        <f>IF(OR(DV$4="",$B8=""),0,SUMIF('DADOS BRUTOS'!$A$3:$A$500,$B8,'DADOS BRUTOS'!AV$3:AV$500)+IF($C8="",0,SUMIF('DADOS BRUTOS'!$A$3:$A$500,$C8,'DADOS BRUTOS'!AV$3:AV$500)))</f>
        <v/>
      </c>
      <c r="DW8" s="123">
        <f>IF(OR(DW$4="",$B8=""),0,SUMIF('DADOS BRUTOS'!$A$3:$A$500,$B8,'DADOS BRUTOS'!AW$3:AW$500)+IF($C8="",0,SUMIF('DADOS BRUTOS'!$A$3:$A$500,$C8,'DADOS BRUTOS'!AW$3:AW$500)))</f>
        <v/>
      </c>
      <c r="DX8" s="123">
        <f>IF(OR(DX$4="",$B8=""),0,SUMIF('DADOS BRUTOS'!$A$3:$A$500,$B8,'DADOS BRUTOS'!AX$3:AX$500)+IF($C8="",0,SUMIF('DADOS BRUTOS'!$A$3:$A$500,$C8,'DADOS BRUTOS'!AX$3:AX$500)))</f>
        <v/>
      </c>
      <c r="DY8" s="123">
        <f>IF(OR(DY$4="",$B8=""),0,SUMIF('DADOS BRUTOS'!$A$3:$A$500,$B8,'DADOS BRUTOS'!AY$3:AY$500)+IF($C8="",0,SUMIF('DADOS BRUTOS'!$A$3:$A$500,$C8,'DADOS BRUTOS'!AY$3:AY$500)))</f>
        <v/>
      </c>
      <c r="DZ8" s="123">
        <f>IF(OR(DZ$4="",$B8=""),0,SUMIF('DADOS BRUTOS'!$A$3:$A$500,$B8,'DADOS BRUTOS'!AZ$3:AZ$500)+IF($C8="",0,SUMIF('DADOS BRUTOS'!$A$3:$A$500,$C8,'DADOS BRUTOS'!AZ$3:AZ$500)))</f>
        <v/>
      </c>
      <c r="EA8" s="123">
        <f>IF(OR(EA$4="",$B8=""),0,SUMIF('DADOS BRUTOS'!$A$3:$A$500,$B8,'DADOS BRUTOS'!BA$3:BA$500)+IF($C8="",0,SUMIF('DADOS BRUTOS'!$A$3:$A$500,$C8,'DADOS BRUTOS'!BA$3:BA$500)))</f>
        <v/>
      </c>
      <c r="EB8" s="123">
        <f>IF(OR(EB$4="",$B8=""),0,SUMIF('DADOS BRUTOS'!$A$3:$A$500,$B8,'DADOS BRUTOS'!BB$3:BB$500)+IF($C8="",0,SUMIF('DADOS BRUTOS'!$A$3:$A$500,$C8,'DADOS BRUTOS'!BB$3:BB$500)))</f>
        <v/>
      </c>
      <c r="EC8" s="123">
        <f>IF(OR(EC$4="",$B8=""),0,SUMIF('DADOS BRUTOS'!$A$3:$A$500,$B8,'DADOS BRUTOS'!BC$3:BC$500)+IF($C8="",0,SUMIF('DADOS BRUTOS'!$A$3:$A$500,$C8,'DADOS BRUTOS'!BC$3:BC$500)))</f>
        <v/>
      </c>
      <c r="ED8" s="123">
        <f>IF(OR(ED$4="",$B8=""),0,SUMIF('DADOS BRUTOS'!$A$3:$A$500,$B8,'DADOS BRUTOS'!BD$3:BD$500)+IF($C8="",0,SUMIF('DADOS BRUTOS'!$A$3:$A$500,$C8,'DADOS BRUTOS'!BD$3:BD$500)))</f>
        <v/>
      </c>
      <c r="EE8" s="123">
        <f>IF(OR(EE$4="",$B8=""),0,SUMIF('DADOS BRUTOS'!$A$3:$A$500,$B8,'DADOS BRUTOS'!BE$3:BE$500)+IF($C8="",0,SUMIF('DADOS BRUTOS'!$A$3:$A$500,$C8,'DADOS BRUTOS'!BE$3:BE$500)))</f>
        <v/>
      </c>
      <c r="EF8" s="123">
        <f>IF(OR(EF$4="",$B8=""),0,SUMIF('DADOS BRUTOS'!$A$3:$A$500,$B8,'DADOS BRUTOS'!BF$3:BF$500)+IF($C8="",0,SUMIF('DADOS BRUTOS'!$A$3:$A$500,$C8,'DADOS BRUTOS'!BF$3:BF$500)))</f>
        <v/>
      </c>
      <c r="EG8" s="123">
        <f>IF(OR(EG$4="",$B8=""),0,SUMIF('DADOS BRUTOS'!$A$3:$A$500,$B8,'DADOS BRUTOS'!BG$3:BG$500)+IF($C8="",0,SUMIF('DADOS BRUTOS'!$A$3:$A$500,$C8,'DADOS BRUTOS'!BG$3:BG$500)))</f>
        <v/>
      </c>
      <c r="EH8" s="123">
        <f>IF(OR(EH$4="",$B8=""),0,SUMIF('DADOS BRUTOS'!$A$3:$A$500,$B8,'DADOS BRUTOS'!BH$3:BH$500)+IF($C8="",0,SUMIF('DADOS BRUTOS'!$A$3:$A$500,$C8,'DADOS BRUTOS'!BH$3:BH$500)))</f>
        <v/>
      </c>
      <c r="EI8" s="123">
        <f>IF(OR(EI$4="",$B8=""),0,SUMIF('DADOS BRUTOS'!$A$3:$A$500,$B8,'DADOS BRUTOS'!BI$3:BI$500)+IF($C8="",0,SUMIF('DADOS BRUTOS'!$A$3:$A$500,$C8,'DADOS BRUTOS'!BI$3:BI$500)))</f>
        <v/>
      </c>
      <c r="EJ8" s="123">
        <f>IF(OR(EJ$4="",$B8=""),0,SUMIF('DADOS BRUTOS'!$A$3:$A$500,$B8,'DADOS BRUTOS'!BJ$3:BJ$500)+IF($C8="",0,SUMIF('DADOS BRUTOS'!$A$3:$A$500,$C8,'DADOS BRUTOS'!BJ$3:BJ$500)))</f>
        <v/>
      </c>
      <c r="EK8" s="123">
        <f>IF(OR(EK$4="",$B8=""),0,SUMIF('DADOS BRUTOS'!$A$3:$A$500,$B8,'DADOS BRUTOS'!BK$3:BK$500)+IF($C8="",0,SUMIF('DADOS BRUTOS'!$A$3:$A$500,$C8,'DADOS BRUTOS'!BK$3:BK$500)))</f>
        <v/>
      </c>
      <c r="EL8" s="123">
        <f>IF(OR(EL$4="",$B8=""),0,SUMIF('DADOS BRUTOS'!$A$3:$A$500,$B8,'DADOS BRUTOS'!BL$3:BL$500)+IF($C8="",0,SUMIF('DADOS BRUTOS'!$A$3:$A$500,$C8,'DADOS BRUTOS'!BL$3:BL$500)))</f>
        <v/>
      </c>
      <c r="EM8" s="123">
        <f>IF(OR(EM$4="",$B8=""),0,SUMIF('DADOS BRUTOS'!$A$3:$A$500,$B8,'DADOS BRUTOS'!BM$3:BM$500)+IF($C8="",0,SUMIF('DADOS BRUTOS'!$A$3:$A$500,$C8,'DADOS BRUTOS'!BM$3:BM$500)))</f>
        <v/>
      </c>
      <c r="EN8" s="123">
        <f>IF(OR(EN$4="",$B8=""),0,SUMIF('DADOS BRUTOS'!$A$3:$A$500,$B8,'DADOS BRUTOS'!BN$3:BN$500)+IF($C8="",0,SUMIF('DADOS BRUTOS'!$A$3:$A$500,$C8,'DADOS BRUTOS'!BN$3:BN$500)))</f>
        <v/>
      </c>
      <c r="EO8" s="123">
        <f>IF(OR(EO$4="",$B8=""),0,SUMIF('DADOS BRUTOS'!$A$3:$A$500,$B8,'DADOS BRUTOS'!BO$3:BO$500)+IF($C8="",0,SUMIF('DADOS BRUTOS'!$A$3:$A$500,$C8,'DADOS BRUTOS'!BO$3:BO$500)))</f>
        <v/>
      </c>
      <c r="EP8" s="123">
        <f>IF(OR(EP$4="",$B8=""),0,SUMIF('DADOS BRUTOS'!$A$3:$A$500,$B8,'DADOS BRUTOS'!BP$3:BP$500)+IF($C8="",0,SUMIF('DADOS BRUTOS'!$A$3:$A$500,$C8,'DADOS BRUTOS'!BP$3:BP$500)))</f>
        <v/>
      </c>
      <c r="EQ8" s="123">
        <f>IF(OR(EQ$4="",$B8=""),0,SUMIF('DADOS BRUTOS'!$A$3:$A$500,$B8,'DADOS BRUTOS'!BQ$3:BQ$500)+IF($C8="",0,SUMIF('DADOS BRUTOS'!$A$3:$A$500,$C8,'DADOS BRUTOS'!BQ$3:BQ$500)))</f>
        <v/>
      </c>
      <c r="ER8" s="123">
        <f>IF(OR(ER$4="",$B8=""),0,SUMIF('DADOS BRUTOS'!$A$3:$A$500,$B8,'DADOS BRUTOS'!BR$3:BR$500)+IF($C8="",0,SUMIF('DADOS BRUTOS'!$A$3:$A$500,$C8,'DADOS BRUTOS'!BR$3:BR$500)))</f>
        <v/>
      </c>
      <c r="ES8" s="123">
        <f>IF(OR(ES$4="",$B8=""),0,SUMIF('DADOS BRUTOS'!$A$3:$A$500,$B8,'DADOS BRUTOS'!BS$3:BS$500)+IF($C8="",0,SUMIF('DADOS BRUTOS'!$A$3:$A$500,$C8,'DADOS BRUTOS'!BS$3:BS$500)))</f>
        <v/>
      </c>
      <c r="ET8" s="123">
        <f>IF(OR(ET$4="",$B8=""),0,SUMIF('DADOS BRUTOS'!$A$3:$A$500,$B8,'DADOS BRUTOS'!BT$3:BT$500)+IF($C8="",0,SUMIF('DADOS BRUTOS'!$A$3:$A$500,$C8,'DADOS BRUTOS'!BT$3:BT$500)))</f>
        <v/>
      </c>
      <c r="EU8" s="123">
        <f>IF(OR(EU$4="",$B8=""),0,SUMIF('DADOS BRUTOS'!$A$3:$A$500,$B8,'DADOS BRUTOS'!BU$3:BU$500)+IF($C8="",0,SUMIF('DADOS BRUTOS'!$A$3:$A$500,$C8,'DADOS BRUTOS'!BU$3:BU$500)))</f>
        <v/>
      </c>
      <c r="EV8" s="123">
        <f>IF(OR(EV$4="",$B8=""),0,SUMIF('DADOS BRUTOS'!$A$3:$A$500,$B8,'DADOS BRUTOS'!BV$3:BV$500)+IF($C8="",0,SUMIF('DADOS BRUTOS'!$A$3:$A$500,$C8,'DADOS BRUTOS'!BV$3:BV$500)))</f>
        <v/>
      </c>
      <c r="EW8" s="123">
        <f>IF(OR(EW$4="",$B8=""),0,SUMIF('DADOS BRUTOS'!$A$3:$A$500,$B8,'DADOS BRUTOS'!BW$3:BW$500)+IF($C8="",0,SUMIF('DADOS BRUTOS'!$A$3:$A$500,$C8,'DADOS BRUTOS'!BW$3:BW$500)))</f>
        <v/>
      </c>
      <c r="EX8" s="123">
        <f>IF(OR(EX$4="",$B8=""),0,SUMIF('DADOS BRUTOS'!$A$3:$A$500,$B8,'DADOS BRUTOS'!BX$3:BX$500)+IF($C8="",0,SUMIF('DADOS BRUTOS'!$A$3:$A$500,$C8,'DADOS BRUTOS'!BX$3:BX$500)))</f>
        <v/>
      </c>
      <c r="EY8" s="123">
        <f>IF(OR(EY$4="",$B8=""),0,SUMIF('DADOS BRUTOS'!$A$3:$A$500,$B8,'DADOS BRUTOS'!BY$3:BY$500)+IF($C8="",0,SUMIF('DADOS BRUTOS'!$A$3:$A$500,$C8,'DADOS BRUTOS'!BY$3:BY$500)))</f>
        <v/>
      </c>
      <c r="EZ8" s="123">
        <f>IF(OR(EZ$4="",$B8=""),0,SUMIF('DADOS BRUTOS'!$A$3:$A$500,$B8,'DADOS BRUTOS'!BZ$3:BZ$500)+IF($C8="",0,SUMIF('DADOS BRUTOS'!$A$3:$A$500,$C8,'DADOS BRUTOS'!BZ$3:BZ$500)))</f>
        <v/>
      </c>
      <c r="FA8" s="123">
        <f>IF(OR(FA$4="",$B8=""),0,SUMIF('DADOS BRUTOS'!$A$3:$A$500,$B8,'DADOS BRUTOS'!CA$3:CA$500)+IF($C8="",0,SUMIF('DADOS BRUTOS'!$A$3:$A$500,$C8,'DADOS BRUTOS'!CA$3:CA$500)))</f>
        <v/>
      </c>
      <c r="FB8" s="123">
        <f>IF(OR(FB$4="",$B8=""),0,SUMIF('DADOS BRUTOS'!$A$3:$A$500,$B8,'DADOS BRUTOS'!CB$3:CB$500)+IF($C8="",0,SUMIF('DADOS BRUTOS'!$A$3:$A$500,$C8,'DADOS BRUTOS'!CB$3:CB$500)))</f>
        <v/>
      </c>
      <c r="FC8" s="123">
        <f>IF(OR(FC$4="",$B8=""),0,SUMIF('DADOS BRUTOS'!$A$3:$A$500,$B8,'DADOS BRUTOS'!CC$3:CC$500)+IF($C8="",0,SUMIF('DADOS BRUTOS'!$A$3:$A$500,$C8,'DADOS BRUTOS'!CC$3:CC$500)))</f>
        <v/>
      </c>
      <c r="FD8" s="123">
        <f>IF(OR(FD$4="",$B8=""),0,SUMIF('DADOS BRUTOS'!$A$3:$A$500,$B8,'DADOS BRUTOS'!CD$3:CD$500)+IF($C8="",0,SUMIF('DADOS BRUTOS'!$A$3:$A$500,$C8,'DADOS BRUTOS'!CD$3:CD$500)))</f>
        <v/>
      </c>
      <c r="FE8" s="123">
        <f>IF(OR(FE$4="",$B8=""),0,SUMIF('DADOS BRUTOS'!$A$3:$A$500,$B8,'DADOS BRUTOS'!CE$3:CE$500)+IF($C8="",0,SUMIF('DADOS BRUTOS'!$A$3:$A$500,$C8,'DADOS BRUTOS'!CE$3:CE$500)))</f>
        <v/>
      </c>
      <c r="FF8" s="123">
        <f>IF(OR(FF$4="",$B8=""),0,SUMIF('DADOS BRUTOS'!$A$3:$A$500,$B8,'DADOS BRUTOS'!CF$3:CF$500)+IF($C8="",0,SUMIF('DADOS BRUTOS'!$A$3:$A$500,$C8,'DADOS BRUTOS'!CF$3:CF$500)))</f>
        <v/>
      </c>
      <c r="FG8" s="123">
        <f>IF(OR(FG$4="",$B8=""),0,SUMIF('DADOS BRUTOS'!$A$3:$A$500,$B8,'DADOS BRUTOS'!CG$3:CG$500)+IF($C8="",0,SUMIF('DADOS BRUTOS'!$A$3:$A$500,$C8,'DADOS BRUTOS'!CG$3:CG$500)))</f>
        <v/>
      </c>
      <c r="FH8" s="123">
        <f>IF(OR(FH$4="",$B8=""),0,SUMIF('DADOS BRUTOS'!$A$3:$A$500,$B8,'DADOS BRUTOS'!CH$3:CH$500)+IF($C8="",0,SUMIF('DADOS BRUTOS'!$A$3:$A$500,$C8,'DADOS BRUTOS'!CH$3:CH$500)))</f>
        <v/>
      </c>
      <c r="FI8" s="123">
        <f>IF(OR(FI$4="",$B8=""),0,SUMIF('DADOS BRUTOS'!$A$3:$A$500,$B8,'DADOS BRUTOS'!CI$3:CI$500)+IF($C8="",0,SUMIF('DADOS BRUTOS'!$A$3:$A$500,$C8,'DADOS BRUTOS'!CI$3:CI$500)))</f>
        <v/>
      </c>
      <c r="FJ8" s="123">
        <f>IF(OR(FJ$4="",$B8=""),0,SUMIF('DADOS BRUTOS'!$A$3:$A$500,$B8,'DADOS BRUTOS'!CJ$3:CJ$500)+IF($C8="",0,SUMIF('DADOS BRUTOS'!$A$3:$A$500,$C8,'DADOS BRUTOS'!CJ$3:CJ$500)))</f>
        <v/>
      </c>
      <c r="FK8" s="123">
        <f>IF(OR(FK$4="",$B8=""),0,SUMIF('DADOS BRUTOS'!$A$3:$A$500,$B8,'DADOS BRUTOS'!CK$3:CK$500)+IF($C8="",0,SUMIF('DADOS BRUTOS'!$A$3:$A$500,$C8,'DADOS BRUTOS'!CK$3:CK$500)))</f>
        <v/>
      </c>
      <c r="FL8" s="123">
        <f>IF(OR(FL$4="",$B8=""),0,SUMIF('DADOS BRUTOS'!$A$3:$A$500,$B8,'DADOS BRUTOS'!CL$3:CL$500)+IF($C8="",0,SUMIF('DADOS BRUTOS'!$A$3:$A$500,$C8,'DADOS BRUTOS'!CL$3:CL$500)))</f>
        <v/>
      </c>
      <c r="FM8" s="123">
        <f>IF(OR(FM$4="",$B8=""),0,SUMIF('DADOS BRUTOS'!$A$3:$A$500,$B8,'DADOS BRUTOS'!CM$3:CM$500)+IF($C8="",0,SUMIF('DADOS BRUTOS'!$A$3:$A$500,$C8,'DADOS BRUTOS'!CM$3:CM$500)))</f>
        <v/>
      </c>
      <c r="FN8" s="123">
        <f>IF(OR(FN$4="",$B8=""),0,SUMIF('DADOS BRUTOS'!$A$3:$A$500,$B8,'DADOS BRUTOS'!CN$3:CN$500)+IF($C8="",0,SUMIF('DADOS BRUTOS'!$A$3:$A$500,$C8,'DADOS BRUTOS'!CN$3:CN$500)))</f>
        <v/>
      </c>
      <c r="FO8" s="123">
        <f>IF(OR(FO$4="",$B8=""),0,SUMIF('DADOS BRUTOS'!$A$3:$A$500,$B8,'DADOS BRUTOS'!CO$3:CO$500)+IF($C8="",0,SUMIF('DADOS BRUTOS'!$A$3:$A$500,$C8,'DADOS BRUTOS'!CO$3:CO$500)))</f>
        <v/>
      </c>
      <c r="FP8" s="123">
        <f>IF(OR(FP$4="",$B8=""),0,SUMIF('DADOS BRUTOS'!$A$3:$A$500,$B8,'DADOS BRUTOS'!CP$3:CP$500)+IF($C8="",0,SUMIF('DADOS BRUTOS'!$A$3:$A$500,$C8,'DADOS BRUTOS'!CP$3:CP$500)))</f>
        <v/>
      </c>
      <c r="FQ8" s="123">
        <f>IF(OR(FQ$4="",$B8=""),0,SUMIF('DADOS BRUTOS'!$A$3:$A$500,$B8,'DADOS BRUTOS'!CQ$3:CQ$500)+IF($C8="",0,SUMIF('DADOS BRUTOS'!$A$3:$A$500,$C8,'DADOS BRUTOS'!CQ$3:CQ$500)))</f>
        <v/>
      </c>
      <c r="FR8" s="123">
        <f>IF(OR(FR$4="",$B8=""),0,SUMIF('DADOS BRUTOS'!$A$3:$A$500,$B8,'DADOS BRUTOS'!CR$3:CR$500)+IF($C8="",0,SUMIF('DADOS BRUTOS'!$A$3:$A$500,$C8,'DADOS BRUTOS'!CR$3:CR$500)))</f>
        <v/>
      </c>
      <c r="FS8" s="123">
        <f>IF(OR(FS$4="",$B8=""),0,SUMIF('DADOS BRUTOS'!$A$3:$A$500,$B8,'DADOS BRUTOS'!CS$3:CS$500)+IF($C8="",0,SUMIF('DADOS BRUTOS'!$A$3:$A$500,$C8,'DADOS BRUTOS'!CS$3:CS$500)))</f>
        <v/>
      </c>
      <c r="FT8" s="123">
        <f>IF(OR(FT$4="",$B8=""),0,SUMIF('DADOS BRUTOS'!$A$3:$A$500,$B8,'DADOS BRUTOS'!CT$3:CT$500)+IF($C8="",0,SUMIF('DADOS BRUTOS'!$A$3:$A$500,$C8,'DADOS BRUTOS'!CT$3:CT$500)))</f>
        <v/>
      </c>
      <c r="FU8" s="123">
        <f>IF(OR(FU$4="",$B8=""),0,SUMIF('DADOS BRUTOS'!$A$3:$A$500,$B8,'DADOS BRUTOS'!CU$3:CU$500)+IF($C8="",0,SUMIF('DADOS BRUTOS'!$A$3:$A$500,$C8,'DADOS BRUTOS'!CU$3:CU$500)))</f>
        <v/>
      </c>
      <c r="FV8" s="123">
        <f>IF(OR(FV$4="",$B8=""),0,SUMIF('DADOS BRUTOS'!$A$3:$A$500,$B8,'DADOS BRUTOS'!CV$3:CV$500)+IF($C8="",0,SUMIF('DADOS BRUTOS'!$A$3:$A$500,$C8,'DADOS BRUTOS'!CV$3:CV$500)))</f>
        <v/>
      </c>
      <c r="FW8" s="123">
        <f>IF(OR(FW$4="",$B8=""),0,SUMIF('DADOS BRUTOS'!$A$3:$A$500,$B8,'DADOS BRUTOS'!CW$3:CW$500)+IF($C8="",0,SUMIF('DADOS BRUTOS'!$A$3:$A$500,$C8,'DADOS BRUTOS'!CW$3:CW$500)))</f>
        <v/>
      </c>
      <c r="FX8" s="123">
        <f>IF(OR(FX$4="",$B8=""),0,SUMIF('DADOS BRUTOS'!$A$3:$A$500,$B8,'DADOS BRUTOS'!CX$3:CX$500)+IF($C8="",0,SUMIF('DADOS BRUTOS'!$A$3:$A$500,$C8,'DADOS BRUTOS'!CX$3:CX$500)))</f>
        <v/>
      </c>
      <c r="FY8" s="123">
        <f>IF(OR(FY$4="",$B8=""),0,SUMIF('DADOS BRUTOS'!$A$3:$A$500,$B8,'DADOS BRUTOS'!CY$3:CY$500)+IF($C8="",0,SUMIF('DADOS BRUTOS'!$A$3:$A$500,$C8,'DADOS BRUTOS'!CY$3:CY$500)))</f>
        <v/>
      </c>
      <c r="FZ8" s="123">
        <f>IF(OR(FZ$4="",$B8=""),0,SUMIF('DADOS BRUTOS'!$A$3:$A$500,$B8,'DADOS BRUTOS'!CZ$3:CZ$500)+IF($C8="",0,SUMIF('DADOS BRUTOS'!$A$3:$A$500,$C8,'DADOS BRUTOS'!CZ$3:CZ$500)))</f>
        <v/>
      </c>
      <c r="GA8" s="123">
        <f>IF(OR(GA$4="",$B8=""),0,SUMIF('DADOS BRUTOS'!$A$3:$A$500,$B8,'DADOS BRUTOS'!DA$3:DA$500)+IF($C8="",0,SUMIF('DADOS BRUTOS'!$A$3:$A$500,$C8,'DADOS BRUTOS'!DA$3:DA$500)))</f>
        <v/>
      </c>
      <c r="GB8" s="123">
        <f>IF(OR(GB$4="",$B8=""),0,SUMIF('DADOS BRUTOS'!$A$3:$A$500,$B8,'DADOS BRUTOS'!DB$3:DB$500)+IF($C8="",0,SUMIF('DADOS BRUTOS'!$A$3:$A$500,$C8,'DADOS BRUTOS'!DB$3:DB$500)))</f>
        <v/>
      </c>
      <c r="GC8" s="123">
        <f>IF(OR(GC$4="",$B8=""),0,SUMIF('DADOS BRUTOS'!$A$3:$A$500,$B8,'DADOS BRUTOS'!DC$3:DC$500)+IF($C8="",0,SUMIF('DADOS BRUTOS'!$A$3:$A$500,$C8,'DADOS BRUTOS'!DC$3:DC$500)))</f>
        <v/>
      </c>
      <c r="GD8" s="123">
        <f>IF(OR(GD$4="",$B8=""),0,SUMIF('DADOS BRUTOS'!$A$3:$A$500,$B8,'DADOS BRUTOS'!DD$3:DD$500)+IF($C8="",0,SUMIF('DADOS BRUTOS'!$A$3:$A$500,$C8,'DADOS BRUTOS'!DD$3:DD$500)))</f>
        <v/>
      </c>
      <c r="GE8" s="123">
        <f>IF(OR(GE$4="",$B8=""),0,SUMIF('DADOS BRUTOS'!$A$3:$A$500,$B8,'DADOS BRUTOS'!DE$3:DE$500)+IF($C8="",0,SUMIF('DADOS BRUTOS'!$A$3:$A$500,$C8,'DADOS BRUTOS'!DE$3:DE$500)))</f>
        <v/>
      </c>
      <c r="GF8" s="123">
        <f>IF(OR(GF$4="",$B8=""),0,SUMIF('DADOS BRUTOS'!$A$3:$A$500,$B8,'DADOS BRUTOS'!DF$3:DF$500)+IF($C8="",0,SUMIF('DADOS BRUTOS'!$A$3:$A$500,$C8,'DADOS BRUTOS'!DF$3:DF$500)))</f>
        <v/>
      </c>
      <c r="GG8" s="123">
        <f>IF(OR(GG$4="",$B8=""),0,SUMIF('DADOS BRUTOS'!$A$3:$A$500,$B8,'DADOS BRUTOS'!DG$3:DG$500)+IF($C8="",0,SUMIF('DADOS BRUTOS'!$A$3:$A$500,$C8,'DADOS BRUTOS'!DG$3:DG$500)))</f>
        <v/>
      </c>
      <c r="GH8" s="123">
        <f>IF(OR(GH$4="",$B8=""),0,SUMIF('DADOS BRUTOS'!$A$3:$A$500,$B8,'DADOS BRUTOS'!DH$3:DH$500)+IF($C8="",0,SUMIF('DADOS BRUTOS'!$A$3:$A$500,$C8,'DADOS BRUTOS'!DH$3:DH$500)))</f>
        <v/>
      </c>
      <c r="GI8" s="123">
        <f>IF(OR(GI$4="",$B8=""),0,SUMIF('DADOS BRUTOS'!$A$3:$A$500,$B8,'DADOS BRUTOS'!DI$3:DI$500)+IF($C8="",0,SUMIF('DADOS BRUTOS'!$A$3:$A$500,$C8,'DADOS BRUTOS'!DI$3:DI$500)))</f>
        <v/>
      </c>
      <c r="GJ8" s="123">
        <f>IF(OR(GJ$4="",$B8=""),0,SUMIF('DADOS BRUTOS'!$A$3:$A$500,$B8,'DADOS BRUTOS'!DJ$3:DJ$500)+IF($C8="",0,SUMIF('DADOS BRUTOS'!$A$3:$A$500,$C8,'DADOS BRUTOS'!DJ$3:DJ$500)))</f>
        <v/>
      </c>
      <c r="GK8" s="123">
        <f>IF(OR(GK$4="",$B8=""),0,SUMIF('DADOS BRUTOS'!$A$3:$A$500,$B8,'DADOS BRUTOS'!DK$3:DK$500)+IF($C8="",0,SUMIF('DADOS BRUTOS'!$A$3:$A$500,$C8,'DADOS BRUTOS'!DK$3:DK$500)))</f>
        <v/>
      </c>
      <c r="GL8" s="123">
        <f>IF(OR(GL$4="",$B8=""),0,SUMIF('DADOS BRUTOS'!$A$3:$A$500,$B8,'DADOS BRUTOS'!DL$3:DL$500)+IF($C8="",0,SUMIF('DADOS BRUTOS'!$A$3:$A$500,$C8,'DADOS BRUTOS'!DL$3:DL$500)))</f>
        <v/>
      </c>
      <c r="GM8" s="123">
        <f>IF(OR(GM$4="",$B8=""),0,SUMIF('DADOS BRUTOS'!$A$3:$A$500,$B8,'DADOS BRUTOS'!DM$3:DM$500)+IF($C8="",0,SUMIF('DADOS BRUTOS'!$A$3:$A$500,$C8,'DADOS BRUTOS'!DM$3:DM$500)))</f>
        <v/>
      </c>
      <c r="GN8" s="123">
        <f>IF(OR(GN$4="",$B8=""),0,SUMIF('DADOS BRUTOS'!$A$3:$A$500,$B8,'DADOS BRUTOS'!DN$3:DN$500)+IF($C8="",0,SUMIF('DADOS BRUTOS'!$A$3:$A$500,$C8,'DADOS BRUTOS'!DN$3:DN$500)))</f>
        <v/>
      </c>
      <c r="GO8" s="123">
        <f>IF(OR(GO$4="",$B8=""),0,SUMIF('DADOS BRUTOS'!$A$3:$A$500,$B8,'DADOS BRUTOS'!DO$3:DO$500)+IF($C8="",0,SUMIF('DADOS BRUTOS'!$A$3:$A$500,$C8,'DADOS BRUTOS'!DO$3:DO$500)))</f>
        <v/>
      </c>
      <c r="GP8" s="123">
        <f>IF(OR(GP$4="",$B8=""),0,SUMIF('DADOS BRUTOS'!$A$3:$A$500,$B8,'DADOS BRUTOS'!DP$3:DP$500)+IF($C8="",0,SUMIF('DADOS BRUTOS'!$A$3:$A$500,$C8,'DADOS BRUTOS'!DP$3:DP$500)))</f>
        <v/>
      </c>
      <c r="GQ8" s="123">
        <f>IF(OR(GQ$4="",$B8=""),0,SUMIF('DADOS BRUTOS'!$A$3:$A$500,$B8,'DADOS BRUTOS'!DQ$3:DQ$500)+IF($C8="",0,SUMIF('DADOS BRUTOS'!$A$3:$A$500,$C8,'DADOS BRUTOS'!DQ$3:DQ$500)))</f>
        <v/>
      </c>
      <c r="GR8" s="123">
        <f>IF(OR(GR$4="",$B8=""),0,SUMIF('DADOS BRUTOS'!$A$3:$A$500,$B8,'DADOS BRUTOS'!DR$3:DR$500)+IF($C8="",0,SUMIF('DADOS BRUTOS'!$A$3:$A$500,$C8,'DADOS BRUTOS'!DR$3:DR$500)))</f>
        <v/>
      </c>
      <c r="GS8" s="123">
        <f>IF(OR(GS$4="",$B8=""),0,SUMIF('DADOS BRUTOS'!$A$3:$A$500,$B8,'DADOS BRUTOS'!DS$3:DS$500)+IF($C8="",0,SUMIF('DADOS BRUTOS'!$A$3:$A$500,$C8,'DADOS BRUTOS'!DS$3:DS$500)))</f>
        <v/>
      </c>
      <c r="GT8" s="123">
        <f>IF(OR(GT$4="",$B8=""),0,SUMIF('DADOS BRUTOS'!$A$3:$A$500,$B8,'DADOS BRUTOS'!DT$3:DT$500)+IF($C8="",0,SUMIF('DADOS BRUTOS'!$A$3:$A$500,$C8,'DADOS BRUTOS'!DT$3:DT$500)))</f>
        <v/>
      </c>
      <c r="GU8" s="123">
        <f>IF(OR(GU$4="",$B8=""),0,SUMIF('DADOS BRUTOS'!$A$3:$A$500,$B8,'DADOS BRUTOS'!DU$3:DU$500)+IF($C8="",0,SUMIF('DADOS BRUTOS'!$A$3:$A$500,$C8,'DADOS BRUTOS'!DU$3:DU$500)))</f>
        <v/>
      </c>
      <c r="GV8" s="123">
        <f>IF(OR(GV$4="",$B8=""),0,SUMIF('DADOS BRUTOS'!$A$3:$A$500,$B8,'DADOS BRUTOS'!DV$3:DV$500)+IF($C8="",0,SUMIF('DADOS BRUTOS'!$A$3:$A$500,$C8,'DADOS BRUTOS'!DV$3:DV$500)))</f>
        <v/>
      </c>
      <c r="GW8" s="123">
        <f>IF(OR(GW$4="",$B8=""),0,SUMIF('DADOS BRUTOS'!$A$3:$A$500,$B8,'DADOS BRUTOS'!DW$3:DW$500)+IF($C8="",0,SUMIF('DADOS BRUTOS'!$A$3:$A$500,$C8,'DADOS BRUTOS'!DW$3:DW$500)))</f>
        <v/>
      </c>
      <c r="GX8" s="123">
        <f>IF(OR(GX$4="",$B8=""),0,SUMIF('DADOS BRUTOS'!$A$3:$A$500,$B8,'DADOS BRUTOS'!DX$3:DX$500)+IF($C8="",0,SUMIF('DADOS BRUTOS'!$A$3:$A$500,$C8,'DADOS BRUTOS'!DX$3:DX$500)))</f>
        <v/>
      </c>
      <c r="GY8" s="123">
        <f>IF(OR(GY$4="",$B8=""),0,SUMIF('DADOS BRUTOS'!$A$3:$A$500,$B8,'DADOS BRUTOS'!DY$3:DY$500)+IF($C8="",0,SUMIF('DADOS BRUTOS'!$A$3:$A$500,$C8,'DADOS BRUTOS'!DY$3:DY$500)))</f>
        <v/>
      </c>
      <c r="GZ8" s="123">
        <f>IF(OR(GZ$4="",$B8=""),0,SUMIF('DADOS BRUTOS'!$A$3:$A$500,$B8,'DADOS BRUTOS'!DZ$3:DZ$500)+IF($C8="",0,SUMIF('DADOS BRUTOS'!$A$3:$A$500,$C8,'DADOS BRUTOS'!DZ$3:DZ$500)))</f>
        <v/>
      </c>
      <c r="HA8" s="123">
        <f>IF(OR(HA$4="",$B8=""),0,SUMIF('DADOS BRUTOS'!$A$3:$A$500,$B8,'DADOS BRUTOS'!EA$3:EA$500)+IF($C8="",0,SUMIF('DADOS BRUTOS'!$A$3:$A$500,$C8,'DADOS BRUTOS'!EA$3:EA$500)))</f>
        <v/>
      </c>
      <c r="HB8" s="123">
        <f>IF(OR(HB$4="",$B8=""),0,SUMIF('DADOS BRUTOS'!$A$3:$A$500,$B8,'DADOS BRUTOS'!EB$3:EB$500)+IF($C8="",0,SUMIF('DADOS BRUTOS'!$A$3:$A$500,$C8,'DADOS BRUTOS'!EB$3:EB$500)))</f>
        <v/>
      </c>
      <c r="HC8" s="123">
        <f>IF(OR(HC$4="",$B8=""),0,SUMIF('DADOS BRUTOS'!$A$3:$A$500,$B8,'DADOS BRUTOS'!EC$3:EC$500)+IF($C8="",0,SUMIF('DADOS BRUTOS'!$A$3:$A$500,$C8,'DADOS BRUTOS'!EC$3:EC$500)))</f>
        <v/>
      </c>
      <c r="HD8" s="123">
        <f>IF(OR(HD$4="",$B8=""),0,SUMIF('DADOS BRUTOS'!$A$3:$A$500,$B8,'DADOS BRUTOS'!ED$3:ED$500)+IF($C8="",0,SUMIF('DADOS BRUTOS'!$A$3:$A$500,$C8,'DADOS BRUTOS'!ED$3:ED$500)))</f>
        <v/>
      </c>
      <c r="HE8" s="123">
        <f>IF(OR(HE$4="",$B8=""),0,SUMIF('DADOS BRUTOS'!$A$3:$A$500,$B8,'DADOS BRUTOS'!EE$3:EE$500)+IF($C8="",0,SUMIF('DADOS BRUTOS'!$A$3:$A$500,$C8,'DADOS BRUTOS'!EE$3:EE$500)))</f>
        <v/>
      </c>
      <c r="HF8" s="123">
        <f>IF(OR(HF$4="",$B8=""),0,SUMIF('DADOS BRUTOS'!$A$3:$A$500,$B8,'DADOS BRUTOS'!EF$3:EF$500)+IF($C8="",0,SUMIF('DADOS BRUTOS'!$A$3:$A$500,$C8,'DADOS BRUTOS'!EF$3:EF$500)))</f>
        <v/>
      </c>
      <c r="HG8" s="123">
        <f>IF(OR(HG$4="",$B8=""),0,SUMIF('DADOS BRUTOS'!$A$3:$A$500,$B8,'DADOS BRUTOS'!EG$3:EG$500)+IF($C8="",0,SUMIF('DADOS BRUTOS'!$A$3:$A$500,$C8,'DADOS BRUTOS'!EG$3:EG$500)))</f>
        <v/>
      </c>
      <c r="HH8" s="123">
        <f>IF(OR(HH$4="",$B8=""),0,SUMIF('DADOS BRUTOS'!$A$3:$A$500,$B8,'DADOS BRUTOS'!EH$3:EH$500)+IF($C8="",0,SUMIF('DADOS BRUTOS'!$A$3:$A$500,$C8,'DADOS BRUTOS'!EH$3:EH$500)))</f>
        <v/>
      </c>
      <c r="HI8" s="123">
        <f>IF(OR(HI$4="",$B8=""),0,SUMIF('DADOS BRUTOS'!$A$3:$A$500,$B8,'DADOS BRUTOS'!EI$3:EI$500)+IF($C8="",0,SUMIF('DADOS BRUTOS'!$A$3:$A$500,$C8,'DADOS BRUTOS'!EI$3:EI$500)))</f>
        <v/>
      </c>
      <c r="HJ8" s="123">
        <f>IF(OR(HJ$4="",$B8=""),0,SUMIF('DADOS BRUTOS'!$A$3:$A$500,$B8,'DADOS BRUTOS'!EJ$3:EJ$500)+IF($C8="",0,SUMIF('DADOS BRUTOS'!$A$3:$A$500,$C8,'DADOS BRUTOS'!EJ$3:EJ$500)))</f>
        <v/>
      </c>
      <c r="HK8" s="123">
        <f>IF(OR(HK$4="",$B8=""),0,SUMIF('DADOS BRUTOS'!$A$3:$A$500,$B8,'DADOS BRUTOS'!EK$3:EK$500)+IF($C8="",0,SUMIF('DADOS BRUTOS'!$A$3:$A$500,$C8,'DADOS BRUTOS'!EK$3:EK$500)))</f>
        <v/>
      </c>
      <c r="HL8" s="123">
        <f>IF(OR(HL$4="",$B8=""),0,SUMIF('DADOS BRUTOS'!$A$3:$A$500,$B8,'DADOS BRUTOS'!EL$3:EL$500)+IF($C8="",0,SUMIF('DADOS BRUTOS'!$A$3:$A$500,$C8,'DADOS BRUTOS'!EL$3:EL$500)))</f>
        <v/>
      </c>
      <c r="HM8" s="123">
        <f>IF(OR(HM$4="",$B8=""),0,SUMIF('DADOS BRUTOS'!$A$3:$A$500,$B8,'DADOS BRUTOS'!EM$3:EM$500)+IF($C8="",0,SUMIF('DADOS BRUTOS'!$A$3:$A$500,$C8,'DADOS BRUTOS'!EM$3:EM$500)))</f>
        <v/>
      </c>
      <c r="HN8" s="123">
        <f>IF(OR(HN$4="",$B8=""),0,SUMIF('DADOS BRUTOS'!$A$3:$A$500,$B8,'DADOS BRUTOS'!EN$3:EN$500)+IF($C8="",0,SUMIF('DADOS BRUTOS'!$A$3:$A$500,$C8,'DADOS BRUTOS'!EN$3:EN$500)))</f>
        <v/>
      </c>
      <c r="HO8" s="123">
        <f>IF(OR(HO$4="",$B8=""),0,SUMIF('DADOS BRUTOS'!$A$3:$A$500,$B8,'DADOS BRUTOS'!EO$3:EO$500)+IF($C8="",0,SUMIF('DADOS BRUTOS'!$A$3:$A$500,$C8,'DADOS BRUTOS'!EO$3:EO$500)))</f>
        <v/>
      </c>
      <c r="HP8" s="123">
        <f>IF(OR(HP$4="",$B8=""),0,SUMIF('DADOS BRUTOS'!$A$3:$A$500,$B8,'DADOS BRUTOS'!EP$3:EP$500)+IF($C8="",0,SUMIF('DADOS BRUTOS'!$A$3:$A$500,$C8,'DADOS BRUTOS'!EP$3:EP$500)))</f>
        <v/>
      </c>
      <c r="HQ8" s="123">
        <f>IF(OR(HQ$4="",$B8=""),0,SUMIF('DADOS BRUTOS'!$A$3:$A$500,$B8,'DADOS BRUTOS'!EQ$3:EQ$500)+IF($C8="",0,SUMIF('DADOS BRUTOS'!$A$3:$A$500,$C8,'DADOS BRUTOS'!EQ$3:EQ$500)))</f>
        <v/>
      </c>
      <c r="HR8" s="123">
        <f>IF(OR(HR$4="",$B8=""),0,SUMIF('DADOS BRUTOS'!$A$3:$A$500,$B8,'DADOS BRUTOS'!ER$3:ER$500)+IF($C8="",0,SUMIF('DADOS BRUTOS'!$A$3:$A$500,$C8,'DADOS BRUTOS'!ER$3:ER$500)))</f>
        <v/>
      </c>
      <c r="HS8" s="123">
        <f>IF(OR(HS$4="",$B8=""),0,SUMIF('DADOS BRUTOS'!$A$3:$A$500,$B8,'DADOS BRUTOS'!ES$3:ES$500)+IF($C8="",0,SUMIF('DADOS BRUTOS'!$A$3:$A$500,$C8,'DADOS BRUTOS'!ES$3:ES$500)))</f>
        <v/>
      </c>
      <c r="HT8" s="123">
        <f>IF(OR(HT$4="",$B8=""),0,SUMIF('DADOS BRUTOS'!$A$3:$A$500,$B8,'DADOS BRUTOS'!ET$3:ET$500)+IF($C8="",0,SUMIF('DADOS BRUTOS'!$A$3:$A$500,$C8,'DADOS BRUTOS'!ET$3:ET$500)))</f>
        <v/>
      </c>
      <c r="HU8" s="123">
        <f>IF(OR(HU$4="",$B8=""),0,SUMIF('DADOS BRUTOS'!$A$3:$A$500,$B8,'DADOS BRUTOS'!EU$3:EU$500)+IF($C8="",0,SUMIF('DADOS BRUTOS'!$A$3:$A$500,$C8,'DADOS BRUTOS'!EU$3:EU$500)))</f>
        <v/>
      </c>
      <c r="HV8" s="123">
        <f>IF(OR(HV$4="",$B8=""),0,SUMIF('DADOS BRUTOS'!$A$3:$A$500,$B8,'DADOS BRUTOS'!EV$3:EV$500)+IF($C8="",0,SUMIF('DADOS BRUTOS'!$A$3:$A$500,$C8,'DADOS BRUTOS'!EV$3:EV$500)))</f>
        <v/>
      </c>
      <c r="HW8" s="123">
        <f>IF(OR(HW$4="",$B8=""),0,SUMIF('DADOS BRUTOS'!$A$3:$A$500,$B8,'DADOS BRUTOS'!EW$3:EW$500)+IF($C8="",0,SUMIF('DADOS BRUTOS'!$A$3:$A$500,$C8,'DADOS BRUTOS'!EW$3:EW$500)))</f>
        <v/>
      </c>
      <c r="HX8" s="123">
        <f>IF(OR(HX$4="",$B8=""),0,SUMIF('DADOS BRUTOS'!$A$3:$A$500,$B8,'DADOS BRUTOS'!EX$3:EX$500)+IF($C8="",0,SUMIF('DADOS BRUTOS'!$A$3:$A$500,$C8,'DADOS BRUTOS'!EX$3:EX$500)))</f>
        <v/>
      </c>
      <c r="HY8" s="123">
        <f>IF(OR(HY$4="",$B8=""),0,SUMIF('DADOS BRUTOS'!$A$3:$A$500,$B8,'DADOS BRUTOS'!EY$3:EY$500)+IF($C8="",0,SUMIF('DADOS BRUTOS'!$A$3:$A$500,$C8,'DADOS BRUTOS'!EY$3:EY$500)))</f>
        <v/>
      </c>
      <c r="HZ8" s="123">
        <f>IF(OR(HZ$4="",$B8=""),0,SUMIF('DADOS BRUTOS'!$A$3:$A$500,$B8,'DADOS BRUTOS'!EZ$3:EZ$500)+IF($C8="",0,SUMIF('DADOS BRUTOS'!$A$3:$A$500,$C8,'DADOS BRUTOS'!EZ$3:EZ$500)))</f>
        <v/>
      </c>
      <c r="IA8" s="123">
        <f>IF(OR(IA$4="",$B8=""),0,SUMIF('DADOS BRUTOS'!$A$3:$A$500,$B8,'DADOS BRUTOS'!FA$3:FA$500)+IF($C8="",0,SUMIF('DADOS BRUTOS'!$A$3:$A$500,$C8,'DADOS BRUTOS'!FA$3:FA$500)))</f>
        <v/>
      </c>
      <c r="IB8" s="123">
        <f>IF(OR(IB$4="",$B8=""),0,SUMIF('DADOS BRUTOS'!$A$3:$A$500,$B8,'DADOS BRUTOS'!FB$3:FB$500)+IF($C8="",0,SUMIF('DADOS BRUTOS'!$A$3:$A$500,$C8,'DADOS BRUTOS'!FB$3:FB$500)))</f>
        <v/>
      </c>
      <c r="IC8" s="123">
        <f>IF(OR(IC$4="",$B8=""),0,SUMIF('DADOS BRUTOS'!$A$3:$A$500,$B8,'DADOS BRUTOS'!FC$3:FC$500)+IF($C8="",0,SUMIF('DADOS BRUTOS'!$A$3:$A$500,$C8,'DADOS BRUTOS'!FC$3:FC$500)))</f>
        <v/>
      </c>
      <c r="ID8" s="123">
        <f>IF(OR(ID$4="",$B8=""),0,SUMIF('DADOS BRUTOS'!$A$3:$A$500,$B8,'DADOS BRUTOS'!FD$3:FD$500)+IF($C8="",0,SUMIF('DADOS BRUTOS'!$A$3:$A$500,$C8,'DADOS BRUTOS'!FD$3:FD$500)))</f>
        <v/>
      </c>
      <c r="IE8" s="123">
        <f>IF(OR(IE$4="",$B8=""),0,SUMIF('DADOS BRUTOS'!$A$3:$A$500,$B8,'DADOS BRUTOS'!FE$3:FE$500)+IF($C8="",0,SUMIF('DADOS BRUTOS'!$A$3:$A$500,$C8,'DADOS BRUTOS'!FE$3:FE$500)))</f>
        <v/>
      </c>
      <c r="IF8" s="123">
        <f>IF(OR(IF$4="",$B8=""),0,SUMIF('DADOS BRUTOS'!$A$3:$A$500,$B8,'DADOS BRUTOS'!FF$3:FF$500)+IF($C8="",0,SUMIF('DADOS BRUTOS'!$A$3:$A$500,$C8,'DADOS BRUTOS'!FF$3:FF$500)))</f>
        <v/>
      </c>
      <c r="IG8" s="123">
        <f>IF(OR(IG$4="",$B8=""),0,SUMIF('DADOS BRUTOS'!$A$3:$A$500,$B8,'DADOS BRUTOS'!FG$3:FG$500)+IF($C8="",0,SUMIF('DADOS BRUTOS'!$A$3:$A$500,$C8,'DADOS BRUTOS'!FG$3:FG$500)))</f>
        <v/>
      </c>
      <c r="IH8" s="123">
        <f>IF(OR(IH$4="",$B8=""),0,SUMIF('DADOS BRUTOS'!$A$3:$A$500,$B8,'DADOS BRUTOS'!FH$3:FH$500)+IF($C8="",0,SUMIF('DADOS BRUTOS'!$A$3:$A$500,$C8,'DADOS BRUTOS'!FH$3:FH$500)))</f>
        <v/>
      </c>
      <c r="II8" s="123">
        <f>IF(OR(II$4="",$B8=""),0,SUMIF('DADOS BRUTOS'!$A$3:$A$500,$B8,'DADOS BRUTOS'!FI$3:FI$500)+IF($C8="",0,SUMIF('DADOS BRUTOS'!$A$3:$A$500,$C8,'DADOS BRUTOS'!FI$3:FI$500)))</f>
        <v/>
      </c>
      <c r="IJ8" s="123">
        <f>IF(OR(IJ$4="",$B8=""),0,SUMIF('DADOS BRUTOS'!$A$3:$A$500,$B8,'DADOS BRUTOS'!FJ$3:FJ$500)+IF($C8="",0,SUMIF('DADOS BRUTOS'!$A$3:$A$500,$C8,'DADOS BRUTOS'!FJ$3:FJ$500)))</f>
        <v/>
      </c>
      <c r="IK8" s="123">
        <f>IF(OR(IK$4="",$B8=""),0,SUMIF('DADOS BRUTOS'!$A$3:$A$500,$B8,'DADOS BRUTOS'!FK$3:FK$500)+IF($C8="",0,SUMIF('DADOS BRUTOS'!$A$3:$A$500,$C8,'DADOS BRUTOS'!FK$3:FK$500)))</f>
        <v/>
      </c>
      <c r="IL8" s="123">
        <f>IF(OR(IL$4="",$B8=""),0,SUMIF('DADOS BRUTOS'!$A$3:$A$500,$B8,'DADOS BRUTOS'!FL$3:FL$500)+IF($C8="",0,SUMIF('DADOS BRUTOS'!$A$3:$A$500,$C8,'DADOS BRUTOS'!FL$3:FL$500)))</f>
        <v/>
      </c>
      <c r="IM8" s="123">
        <f>IF(OR(IM$4="",$B8=""),0,SUMIF('DADOS BRUTOS'!$A$3:$A$500,$B8,'DADOS BRUTOS'!FM$3:FM$500)+IF($C8="",0,SUMIF('DADOS BRUTOS'!$A$3:$A$500,$C8,'DADOS BRUTOS'!FM$3:FM$500)))</f>
        <v/>
      </c>
      <c r="IN8" s="123">
        <f>IF(OR(IN$4="",$B8=""),0,SUMIF('DADOS BRUTOS'!$A$3:$A$500,$B8,'DADOS BRUTOS'!FN$3:FN$500)+IF($C8="",0,SUMIF('DADOS BRUTOS'!$A$3:$A$500,$C8,'DADOS BRUTOS'!FN$3:FN$500)))</f>
        <v/>
      </c>
      <c r="IO8" s="123">
        <f>IF(OR(IO$4="",$B8=""),0,SUMIF('DADOS BRUTOS'!$A$3:$A$500,$B8,'DADOS BRUTOS'!FO$3:FO$500)+IF($C8="",0,SUMIF('DADOS BRUTOS'!$A$3:$A$500,$C8,'DADOS BRUTOS'!FO$3:FO$500)))</f>
        <v/>
      </c>
      <c r="IP8" s="123">
        <f>IF(OR(IP$4="",$B8=""),0,SUMIF('DADOS BRUTOS'!$A$3:$A$500,$B8,'DADOS BRUTOS'!FP$3:FP$500)+IF($C8="",0,SUMIF('DADOS BRUTOS'!$A$3:$A$500,$C8,'DADOS BRUTOS'!FP$3:FP$500)))</f>
        <v/>
      </c>
      <c r="IQ8" s="123">
        <f>IF(OR(IQ$4="",$B8=""),0,SUMIF('DADOS BRUTOS'!$A$3:$A$500,$B8,'DADOS BRUTOS'!FQ$3:FQ$500)+IF($C8="",0,SUMIF('DADOS BRUTOS'!$A$3:$A$500,$C8,'DADOS BRUTOS'!FQ$3:FQ$500)))</f>
        <v/>
      </c>
      <c r="IR8" s="123">
        <f>IF(OR(IR$4="",$B8=""),0,SUMIF('DADOS BRUTOS'!$A$3:$A$500,$B8,'DADOS BRUTOS'!FR$3:FR$500)+IF($C8="",0,SUMIF('DADOS BRUTOS'!$A$3:$A$500,$C8,'DADOS BRUTOS'!FR$3:FR$500)))</f>
        <v/>
      </c>
      <c r="IS8" s="123">
        <f>IF(OR(IS$4="",$B8=""),0,SUMIF('DADOS BRUTOS'!$A$3:$A$500,$B8,'DADOS BRUTOS'!FS$3:FS$500)+IF($C8="",0,SUMIF('DADOS BRUTOS'!$A$3:$A$500,$C8,'DADOS BRUTOS'!FS$3:FS$500)))</f>
        <v/>
      </c>
      <c r="IT8" s="123">
        <f>IF(OR(IT$4="",$B8=""),0,SUMIF('DADOS BRUTOS'!$A$3:$A$500,$B8,'DADOS BRUTOS'!FT$3:FT$500)+IF($C8="",0,SUMIF('DADOS BRUTOS'!$A$3:$A$500,$C8,'DADOS BRUTOS'!FT$3:FT$500)))</f>
        <v/>
      </c>
      <c r="IU8" s="123">
        <f>IF(OR(IU$4="",$B8=""),0,SUMIF('DADOS BRUTOS'!$A$3:$A$500,$B8,'DADOS BRUTOS'!FU$3:FU$500)+IF($C8="",0,SUMIF('DADOS BRUTOS'!$A$3:$A$500,$C8,'DADOS BRUTOS'!FU$3:FU$500)))</f>
        <v/>
      </c>
      <c r="IV8" s="123">
        <f>IF(OR(IV$4="",$B8=""),0,SUMIF('DADOS BRUTOS'!$A$3:$A$500,$B8,'DADOS BRUTOS'!FV$3:FV$500)+IF($C8="",0,SUMIF('DADOS BRUTOS'!$A$3:$A$500,$C8,'DADOS BRUTOS'!FV$3:FV$500)))</f>
        <v/>
      </c>
      <c r="IW8" s="123">
        <f>IF(OR(IW$4="",$B8=""),0,SUMIF('DADOS BRUTOS'!$A$3:$A$500,$B8,'DADOS BRUTOS'!FW$3:FW$500)+IF($C8="",0,SUMIF('DADOS BRUTOS'!$A$3:$A$500,$C8,'DADOS BRUTOS'!FW$3:FW$500)))</f>
        <v/>
      </c>
      <c r="IX8" s="123">
        <f>IF(OR(IX$4="",$B8=""),0,SUMIF('DADOS BRUTOS'!$A$3:$A$500,$B8,'DADOS BRUTOS'!FX$3:FX$500)+IF($C8="",0,SUMIF('DADOS BRUTOS'!$A$3:$A$500,$C8,'DADOS BRUTOS'!FX$3:FX$500)))</f>
        <v/>
      </c>
      <c r="IY8" s="123">
        <f>IF(OR(IY$4="",$B8=""),0,SUMIF('DADOS BRUTOS'!$A$3:$A$500,$B8,'DADOS BRUTOS'!FY$3:FY$500)+IF($C8="",0,SUMIF('DADOS BRUTOS'!$A$3:$A$500,$C8,'DADOS BRUTOS'!FY$3:FY$500)))</f>
        <v/>
      </c>
      <c r="IZ8" s="123">
        <f>IF(OR(IZ$4="",$B8=""),0,SUMIF('DADOS BRUTOS'!$A$3:$A$500,$B8,'DADOS BRUTOS'!FZ$3:FZ$500)+IF($C8="",0,SUMIF('DADOS BRUTOS'!$A$3:$A$500,$C8,'DADOS BRUTOS'!FZ$3:FZ$500)))</f>
        <v/>
      </c>
      <c r="JA8" s="123">
        <f>IF(OR(JA$4="",$B8=""),0,SUMIF('DADOS BRUTOS'!$A$3:$A$500,$B8,'DADOS BRUTOS'!GA$3:GA$500)+IF($C8="",0,SUMIF('DADOS BRUTOS'!$A$3:$A$500,$C8,'DADOS BRUTOS'!GA$3:GA$500)))</f>
        <v/>
      </c>
      <c r="JB8" s="123">
        <f>IF(OR(JB$4="",$B8=""),0,SUMIF('DADOS BRUTOS'!$A$3:$A$500,$B8,'DADOS BRUTOS'!GB$3:GB$500)+IF($C8="",0,SUMIF('DADOS BRUTOS'!$A$3:$A$500,$C8,'DADOS BRUTOS'!GB$3:GB$500)))</f>
        <v/>
      </c>
      <c r="JC8" s="123">
        <f>IF(OR(JC$4="",$B8=""),0,SUMIF('DADOS BRUTOS'!$A$3:$A$500,$B8,'DADOS BRUTOS'!GC$3:GC$500)+IF($C8="",0,SUMIF('DADOS BRUTOS'!$A$3:$A$500,$C8,'DADOS BRUTOS'!GC$3:GC$500)))</f>
        <v/>
      </c>
      <c r="JD8" s="123">
        <f>IF(OR(JD$4="",$B8=""),0,SUMIF('DADOS BRUTOS'!$A$3:$A$500,$B8,'DADOS BRUTOS'!GD$3:GD$500)+IF($C8="",0,SUMIF('DADOS BRUTOS'!$A$3:$A$500,$C8,'DADOS BRUTOS'!GD$3:GD$500)))</f>
        <v/>
      </c>
      <c r="JE8" s="123">
        <f>IF(OR(JE$4="",$B8=""),0,SUMIF('DADOS BRUTOS'!$A$3:$A$500,$B8,'DADOS BRUTOS'!GE$3:GE$500)+IF($C8="",0,SUMIF('DADOS BRUTOS'!$A$3:$A$500,$C8,'DADOS BRUTOS'!GE$3:GE$500)))</f>
        <v/>
      </c>
      <c r="JF8" s="123">
        <f>IF(OR(JF$4="",$B8=""),0,SUMIF('DADOS BRUTOS'!$A$3:$A$500,$B8,'DADOS BRUTOS'!GF$3:GF$500)+IF($C8="",0,SUMIF('DADOS BRUTOS'!$A$3:$A$500,$C8,'DADOS BRUTOS'!GF$3:GF$500)))</f>
        <v/>
      </c>
      <c r="JG8" s="123">
        <f>IF(OR(JG$4="",$B8=""),0,SUMIF('DADOS BRUTOS'!$A$3:$A$500,$B8,'DADOS BRUTOS'!GG$3:GG$500)+IF($C8="",0,SUMIF('DADOS BRUTOS'!$A$3:$A$500,$C8,'DADOS BRUTOS'!GG$3:GG$500)))</f>
        <v/>
      </c>
      <c r="JH8" s="123">
        <f>IF(OR(JH$4="",$B8=""),0,SUMIF('DADOS BRUTOS'!$A$3:$A$500,$B8,'DADOS BRUTOS'!GH$3:GH$500)+IF($C8="",0,SUMIF('DADOS BRUTOS'!$A$3:$A$500,$C8,'DADOS BRUTOS'!GH$3:GH$500)))</f>
        <v/>
      </c>
      <c r="JI8" s="123">
        <f>IF(OR(JI$4="",$B8=""),0,SUMIF('DADOS BRUTOS'!$A$3:$A$500,$B8,'DADOS BRUTOS'!GI$3:GI$500)+IF($C8="",0,SUMIF('DADOS BRUTOS'!$A$3:$A$500,$C8,'DADOS BRUTOS'!GI$3:GI$500)))</f>
        <v/>
      </c>
      <c r="JJ8" s="123">
        <f>IF(OR(JJ$4="",$B8=""),0,SUMIF('DADOS BRUTOS'!$A$3:$A$500,$B8,'DADOS BRUTOS'!GJ$3:GJ$500)+IF($C8="",0,SUMIF('DADOS BRUTOS'!$A$3:$A$500,$C8,'DADOS BRUTOS'!GJ$3:GJ$500)))</f>
        <v/>
      </c>
      <c r="JK8" s="123">
        <f>IF(OR(JK$4="",$B8=""),0,SUMIF('DADOS BRUTOS'!$A$3:$A$500,$B8,'DADOS BRUTOS'!GK$3:GK$500)+IF($C8="",0,SUMIF('DADOS BRUTOS'!$A$3:$A$500,$C8,'DADOS BRUTOS'!GK$3:GK$500)))</f>
        <v/>
      </c>
      <c r="JL8" s="123">
        <f>IF(OR(JL$4="",$B8=""),0,SUMIF('DADOS BRUTOS'!$A$3:$A$500,$B8,'DADOS BRUTOS'!GL$3:GL$500)+IF($C8="",0,SUMIF('DADOS BRUTOS'!$A$3:$A$500,$C8,'DADOS BRUTOS'!GL$3:GL$500)))</f>
        <v/>
      </c>
      <c r="JM8" s="123">
        <f>IF(OR(JM$4="",$B8=""),0,SUMIF('DADOS BRUTOS'!$A$3:$A$500,$B8,'DADOS BRUTOS'!GM$3:GM$500)+IF($C8="",0,SUMIF('DADOS BRUTOS'!$A$3:$A$500,$C8,'DADOS BRUTOS'!GM$3:GM$500)))</f>
        <v/>
      </c>
      <c r="JN8" s="123">
        <f>IF(OR(JN$4="",$B8=""),0,SUMIF('DADOS BRUTOS'!$A$3:$A$500,$B8,'DADOS BRUTOS'!GN$3:GN$500)+IF($C8="",0,SUMIF('DADOS BRUTOS'!$A$3:$A$500,$C8,'DADOS BRUTOS'!GN$3:GN$500)))</f>
        <v/>
      </c>
      <c r="JO8" s="123">
        <f>IF(OR(JO$4="",$B8=""),0,SUMIF('DADOS BRUTOS'!$A$3:$A$500,$B8,'DADOS BRUTOS'!GO$3:GO$500)+IF($C8="",0,SUMIF('DADOS BRUTOS'!$A$3:$A$500,$C8,'DADOS BRUTOS'!GO$3:GO$500)))</f>
        <v/>
      </c>
      <c r="JP8" s="123">
        <f>IF(OR(JP$4="",$B8=""),0,SUMIF('DADOS BRUTOS'!$A$3:$A$500,$B8,'DADOS BRUTOS'!GP$3:GP$500)+IF($C8="",0,SUMIF('DADOS BRUTOS'!$A$3:$A$500,$C8,'DADOS BRUTOS'!GP$3:GP$500)))</f>
        <v/>
      </c>
      <c r="JQ8" s="123">
        <f>IF(OR(JQ$4="",$B8=""),0,SUMIF('DADOS BRUTOS'!$A$3:$A$500,$B8,'DADOS BRUTOS'!GQ$3:GQ$500)+IF($C8="",0,SUMIF('DADOS BRUTOS'!$A$3:$A$500,$C8,'DADOS BRUTOS'!GQ$3:GQ$500)))</f>
        <v/>
      </c>
      <c r="JR8" s="123">
        <f>IF(OR(JR$4="",$B8=""),0,SUMIF('DADOS BRUTOS'!$A$3:$A$500,$B8,'DADOS BRUTOS'!GR$3:GR$500)+IF($C8="",0,SUMIF('DADOS BRUTOS'!$A$3:$A$500,$C8,'DADOS BRUTOS'!GR$3:GR$500)))</f>
        <v/>
      </c>
      <c r="JS8" s="123">
        <f>IF(OR(JS$4="",$B8=""),0,SUMIF('DADOS BRUTOS'!$A$3:$A$500,$B8,'DADOS BRUTOS'!GS$3:GS$500)+IF($C8="",0,SUMIF('DADOS BRUTOS'!$A$3:$A$500,$C8,'DADOS BRUTOS'!GS$3:GS$500)))</f>
        <v/>
      </c>
    </row>
    <row r="9">
      <c r="A9" s="60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CB9" s="123">
        <f>IF(OR(CB$4="",$B9=""),0,SUMIF('DADOS BRUTOS'!$A$3:$A$500,$B9,'DADOS BRUTOS'!B$3:B$500)+IF($C9="",0,SUMIF('DADOS BRUTOS'!$A$3:$A$500,$C9,'DADOS BRUTOS'!B$3:B$500)))</f>
        <v/>
      </c>
      <c r="CC9" s="123">
        <f>IF(OR(CC$4="",$B9=""),0,SUMIF('DADOS BRUTOS'!$A$3:$A$500,$B9,'DADOS BRUTOS'!C$3:C$500)+IF($C9="",0,SUMIF('DADOS BRUTOS'!$A$3:$A$500,$C9,'DADOS BRUTOS'!C$3:C$500)))</f>
        <v/>
      </c>
      <c r="CD9" s="123">
        <f>IF(OR(CD$4="",$B9=""),0,SUMIF('DADOS BRUTOS'!$A$3:$A$500,$B9,'DADOS BRUTOS'!D$3:D$500)+IF($C9="",0,SUMIF('DADOS BRUTOS'!$A$3:$A$500,$C9,'DADOS BRUTOS'!D$3:D$500)))</f>
        <v/>
      </c>
      <c r="CE9" s="123">
        <f>IF(OR(CE$4="",$B9=""),0,SUMIF('DADOS BRUTOS'!$A$3:$A$500,$B9,'DADOS BRUTOS'!E$3:E$500)+IF($C9="",0,SUMIF('DADOS BRUTOS'!$A$3:$A$500,$C9,'DADOS BRUTOS'!E$3:E$500)))</f>
        <v/>
      </c>
      <c r="CF9" s="123">
        <f>IF(OR(CF$4="",$B9=""),0,SUMIF('DADOS BRUTOS'!$A$3:$A$500,$B9,'DADOS BRUTOS'!F$3:F$500)+IF($C9="",0,SUMIF('DADOS BRUTOS'!$A$3:$A$500,$C9,'DADOS BRUTOS'!F$3:F$500)))</f>
        <v/>
      </c>
      <c r="CG9" s="123">
        <f>IF(OR(CG$4="",$B9=""),0,SUMIF('DADOS BRUTOS'!$A$3:$A$500,$B9,'DADOS BRUTOS'!G$3:G$500)+IF($C9="",0,SUMIF('DADOS BRUTOS'!$A$3:$A$500,$C9,'DADOS BRUTOS'!G$3:G$500)))</f>
        <v/>
      </c>
      <c r="CH9" s="123">
        <f>IF(OR(CH$4="",$B9=""),0,SUMIF('DADOS BRUTOS'!$A$3:$A$500,$B9,'DADOS BRUTOS'!H$3:H$500)+IF($C9="",0,SUMIF('DADOS BRUTOS'!$A$3:$A$500,$C9,'DADOS BRUTOS'!H$3:H$500)))</f>
        <v/>
      </c>
      <c r="CI9" s="123">
        <f>IF(OR(CI$4="",$B9=""),0,SUMIF('DADOS BRUTOS'!$A$3:$A$500,$B9,'DADOS BRUTOS'!I$3:I$500)+IF($C9="",0,SUMIF('DADOS BRUTOS'!$A$3:$A$500,$C9,'DADOS BRUTOS'!I$3:I$500)))</f>
        <v/>
      </c>
      <c r="CJ9" s="123">
        <f>IF(OR(CJ$4="",$B9=""),0,SUMIF('DADOS BRUTOS'!$A$3:$A$500,$B9,'DADOS BRUTOS'!J$3:J$500)+IF($C9="",0,SUMIF('DADOS BRUTOS'!$A$3:$A$500,$C9,'DADOS BRUTOS'!J$3:J$500)))</f>
        <v/>
      </c>
      <c r="CK9" s="123">
        <f>IF(OR(CK$4="",$B9=""),0,SUMIF('DADOS BRUTOS'!$A$3:$A$500,$B9,'DADOS BRUTOS'!K$3:K$500)+IF($C9="",0,SUMIF('DADOS BRUTOS'!$A$3:$A$500,$C9,'DADOS BRUTOS'!K$3:K$500)))</f>
        <v/>
      </c>
      <c r="CL9" s="123">
        <f>IF(OR(CL$4="",$B9=""),0,SUMIF('DADOS BRUTOS'!$A$3:$A$500,$B9,'DADOS BRUTOS'!L$3:L$500)+IF($C9="",0,SUMIF('DADOS BRUTOS'!$A$3:$A$500,$C9,'DADOS BRUTOS'!L$3:L$500)))</f>
        <v/>
      </c>
      <c r="CM9" s="123">
        <f>IF(OR(CM$4="",$B9=""),0,SUMIF('DADOS BRUTOS'!$A$3:$A$500,$B9,'DADOS BRUTOS'!M$3:M$500)+IF($C9="",0,SUMIF('DADOS BRUTOS'!$A$3:$A$500,$C9,'DADOS BRUTOS'!M$3:M$500)))</f>
        <v/>
      </c>
      <c r="CN9" s="123">
        <f>IF(OR(CN$4="",$B9=""),0,SUMIF('DADOS BRUTOS'!$A$3:$A$500,$B9,'DADOS BRUTOS'!N$3:N$500)+IF($C9="",0,SUMIF('DADOS BRUTOS'!$A$3:$A$500,$C9,'DADOS BRUTOS'!N$3:N$500)))</f>
        <v/>
      </c>
      <c r="CO9" s="123">
        <f>IF(OR(CO$4="",$B9=""),0,SUMIF('DADOS BRUTOS'!$A$3:$A$500,$B9,'DADOS BRUTOS'!O$3:O$500)+IF($C9="",0,SUMIF('DADOS BRUTOS'!$A$3:$A$500,$C9,'DADOS BRUTOS'!O$3:O$500)))</f>
        <v/>
      </c>
      <c r="CP9" s="123">
        <f>IF(OR(CP$4="",$B9=""),0,SUMIF('DADOS BRUTOS'!$A$3:$A$500,$B9,'DADOS BRUTOS'!P$3:P$500)+IF($C9="",0,SUMIF('DADOS BRUTOS'!$A$3:$A$500,$C9,'DADOS BRUTOS'!P$3:P$500)))</f>
        <v/>
      </c>
      <c r="CQ9" s="123">
        <f>IF(OR(CQ$4="",$B9=""),0,SUMIF('DADOS BRUTOS'!$A$3:$A$500,$B9,'DADOS BRUTOS'!Q$3:Q$500)+IF($C9="",0,SUMIF('DADOS BRUTOS'!$A$3:$A$500,$C9,'DADOS BRUTOS'!Q$3:Q$500)))</f>
        <v/>
      </c>
      <c r="CR9" s="123">
        <f>IF(OR(CR$4="",$B9=""),0,SUMIF('DADOS BRUTOS'!$A$3:$A$500,$B9,'DADOS BRUTOS'!R$3:R$500)+IF($C9="",0,SUMIF('DADOS BRUTOS'!$A$3:$A$500,$C9,'DADOS BRUTOS'!R$3:R$500)))</f>
        <v/>
      </c>
      <c r="CS9" s="123">
        <f>IF(OR(CS$4="",$B9=""),0,SUMIF('DADOS BRUTOS'!$A$3:$A$500,$B9,'DADOS BRUTOS'!S$3:S$500)+IF($C9="",0,SUMIF('DADOS BRUTOS'!$A$3:$A$500,$C9,'DADOS BRUTOS'!S$3:S$500)))</f>
        <v/>
      </c>
      <c r="CT9" s="123">
        <f>IF(OR(CT$4="",$B9=""),0,SUMIF('DADOS BRUTOS'!$A$3:$A$500,$B9,'DADOS BRUTOS'!T$3:T$500)+IF($C9="",0,SUMIF('DADOS BRUTOS'!$A$3:$A$500,$C9,'DADOS BRUTOS'!T$3:T$500)))</f>
        <v/>
      </c>
      <c r="CU9" s="123">
        <f>IF(OR(CU$4="",$B9=""),0,SUMIF('DADOS BRUTOS'!$A$3:$A$500,$B9,'DADOS BRUTOS'!U$3:U$500)+IF($C9="",0,SUMIF('DADOS BRUTOS'!$A$3:$A$500,$C9,'DADOS BRUTOS'!U$3:U$500)))</f>
        <v/>
      </c>
      <c r="CV9" s="123">
        <f>IF(OR(CV$4="",$B9=""),0,SUMIF('DADOS BRUTOS'!$A$3:$A$500,$B9,'DADOS BRUTOS'!V$3:V$500)+IF($C9="",0,SUMIF('DADOS BRUTOS'!$A$3:$A$500,$C9,'DADOS BRUTOS'!V$3:V$500)))</f>
        <v/>
      </c>
      <c r="CW9" s="123">
        <f>IF(OR(CW$4="",$B9=""),0,SUMIF('DADOS BRUTOS'!$A$3:$A$500,$B9,'DADOS BRUTOS'!W$3:W$500)+IF($C9="",0,SUMIF('DADOS BRUTOS'!$A$3:$A$500,$C9,'DADOS BRUTOS'!W$3:W$500)))</f>
        <v/>
      </c>
      <c r="CX9" s="123">
        <f>IF(OR(CX$4="",$B9=""),0,SUMIF('DADOS BRUTOS'!$A$3:$A$500,$B9,'DADOS BRUTOS'!X$3:X$500)+IF($C9="",0,SUMIF('DADOS BRUTOS'!$A$3:$A$500,$C9,'DADOS BRUTOS'!X$3:X$500)))</f>
        <v/>
      </c>
      <c r="CY9" s="123">
        <f>IF(OR(CY$4="",$B9=""),0,SUMIF('DADOS BRUTOS'!$A$3:$A$500,$B9,'DADOS BRUTOS'!Y$3:Y$500)+IF($C9="",0,SUMIF('DADOS BRUTOS'!$A$3:$A$500,$C9,'DADOS BRUTOS'!Y$3:Y$500)))</f>
        <v/>
      </c>
      <c r="CZ9" s="123">
        <f>IF(OR(CZ$4="",$B9=""),0,SUMIF('DADOS BRUTOS'!$A$3:$A$500,$B9,'DADOS BRUTOS'!Z$3:Z$500)+IF($C9="",0,SUMIF('DADOS BRUTOS'!$A$3:$A$500,$C9,'DADOS BRUTOS'!Z$3:Z$500)))</f>
        <v/>
      </c>
      <c r="DA9" s="123">
        <f>IF(OR(DA$4="",$B9=""),0,SUMIF('DADOS BRUTOS'!$A$3:$A$500,$B9,'DADOS BRUTOS'!AA$3:AA$500)+IF($C9="",0,SUMIF('DADOS BRUTOS'!$A$3:$A$500,$C9,'DADOS BRUTOS'!AA$3:AA$500)))</f>
        <v/>
      </c>
      <c r="DB9" s="123">
        <f>IF(OR(DB$4="",$B9=""),0,SUMIF('DADOS BRUTOS'!$A$3:$A$500,$B9,'DADOS BRUTOS'!AB$3:AB$500)+IF($C9="",0,SUMIF('DADOS BRUTOS'!$A$3:$A$500,$C9,'DADOS BRUTOS'!AB$3:AB$500)))</f>
        <v/>
      </c>
      <c r="DC9" s="123">
        <f>IF(OR(DC$4="",$B9=""),0,SUMIF('DADOS BRUTOS'!$A$3:$A$500,$B9,'DADOS BRUTOS'!AC$3:AC$500)+IF($C9="",0,SUMIF('DADOS BRUTOS'!$A$3:$A$500,$C9,'DADOS BRUTOS'!AC$3:AC$500)))</f>
        <v/>
      </c>
      <c r="DD9" s="123">
        <f>IF(OR(DD$4="",$B9=""),0,SUMIF('DADOS BRUTOS'!$A$3:$A$500,$B9,'DADOS BRUTOS'!AD$3:AD$500)+IF($C9="",0,SUMIF('DADOS BRUTOS'!$A$3:$A$500,$C9,'DADOS BRUTOS'!AD$3:AD$500)))</f>
        <v/>
      </c>
      <c r="DE9" s="123">
        <f>IF(OR(DE$4="",$B9=""),0,SUMIF('DADOS BRUTOS'!$A$3:$A$500,$B9,'DADOS BRUTOS'!AE$3:AE$500)+IF($C9="",0,SUMIF('DADOS BRUTOS'!$A$3:$A$500,$C9,'DADOS BRUTOS'!AE$3:AE$500)))</f>
        <v/>
      </c>
      <c r="DF9" s="123">
        <f>IF(OR(DF$4="",$B9=""),0,SUMIF('DADOS BRUTOS'!$A$3:$A$500,$B9,'DADOS BRUTOS'!AF$3:AF$500)+IF($C9="",0,SUMIF('DADOS BRUTOS'!$A$3:$A$500,$C9,'DADOS BRUTOS'!AF$3:AF$500)))</f>
        <v/>
      </c>
      <c r="DG9" s="123">
        <f>IF(OR(DG$4="",$B9=""),0,SUMIF('DADOS BRUTOS'!$A$3:$A$500,$B9,'DADOS BRUTOS'!AG$3:AG$500)+IF($C9="",0,SUMIF('DADOS BRUTOS'!$A$3:$A$500,$C9,'DADOS BRUTOS'!AG$3:AG$500)))</f>
        <v/>
      </c>
      <c r="DH9" s="123">
        <f>IF(OR(DH$4="",$B9=""),0,SUMIF('DADOS BRUTOS'!$A$3:$A$500,$B9,'DADOS BRUTOS'!AH$3:AH$500)+IF($C9="",0,SUMIF('DADOS BRUTOS'!$A$3:$A$500,$C9,'DADOS BRUTOS'!AH$3:AH$500)))</f>
        <v/>
      </c>
      <c r="DI9" s="123">
        <f>IF(OR(DI$4="",$B9=""),0,SUMIF('DADOS BRUTOS'!$A$3:$A$500,$B9,'DADOS BRUTOS'!AI$3:AI$500)+IF($C9="",0,SUMIF('DADOS BRUTOS'!$A$3:$A$500,$C9,'DADOS BRUTOS'!AI$3:AI$500)))</f>
        <v/>
      </c>
      <c r="DJ9" s="123">
        <f>IF(OR(DJ$4="",$B9=""),0,SUMIF('DADOS BRUTOS'!$A$3:$A$500,$B9,'DADOS BRUTOS'!AJ$3:AJ$500)+IF($C9="",0,SUMIF('DADOS BRUTOS'!$A$3:$A$500,$C9,'DADOS BRUTOS'!AJ$3:AJ$500)))</f>
        <v/>
      </c>
      <c r="DK9" s="123">
        <f>IF(OR(DK$4="",$B9=""),0,SUMIF('DADOS BRUTOS'!$A$3:$A$500,$B9,'DADOS BRUTOS'!AK$3:AK$500)+IF($C9="",0,SUMIF('DADOS BRUTOS'!$A$3:$A$500,$C9,'DADOS BRUTOS'!AK$3:AK$500)))</f>
        <v/>
      </c>
      <c r="DL9" s="123">
        <f>IF(OR(DL$4="",$B9=""),0,SUMIF('DADOS BRUTOS'!$A$3:$A$500,$B9,'DADOS BRUTOS'!AL$3:AL$500)+IF($C9="",0,SUMIF('DADOS BRUTOS'!$A$3:$A$500,$C9,'DADOS BRUTOS'!AL$3:AL$500)))</f>
        <v/>
      </c>
      <c r="DM9" s="123">
        <f>IF(OR(DM$4="",$B9=""),0,SUMIF('DADOS BRUTOS'!$A$3:$A$500,$B9,'DADOS BRUTOS'!AM$3:AM$500)+IF($C9="",0,SUMIF('DADOS BRUTOS'!$A$3:$A$500,$C9,'DADOS BRUTOS'!AM$3:AM$500)))</f>
        <v/>
      </c>
      <c r="DN9" s="123">
        <f>IF(OR(DN$4="",$B9=""),0,SUMIF('DADOS BRUTOS'!$A$3:$A$500,$B9,'DADOS BRUTOS'!AN$3:AN$500)+IF($C9="",0,SUMIF('DADOS BRUTOS'!$A$3:$A$500,$C9,'DADOS BRUTOS'!AN$3:AN$500)))</f>
        <v/>
      </c>
      <c r="DO9" s="123">
        <f>IF(OR(DO$4="",$B9=""),0,SUMIF('DADOS BRUTOS'!$A$3:$A$500,$B9,'DADOS BRUTOS'!AO$3:AO$500)+IF($C9="",0,SUMIF('DADOS BRUTOS'!$A$3:$A$500,$C9,'DADOS BRUTOS'!AO$3:AO$500)))</f>
        <v/>
      </c>
      <c r="DP9" s="123">
        <f>IF(OR(DP$4="",$B9=""),0,SUMIF('DADOS BRUTOS'!$A$3:$A$500,$B9,'DADOS BRUTOS'!AP$3:AP$500)+IF($C9="",0,SUMIF('DADOS BRUTOS'!$A$3:$A$500,$C9,'DADOS BRUTOS'!AP$3:AP$500)))</f>
        <v/>
      </c>
      <c r="DQ9" s="123">
        <f>IF(OR(DQ$4="",$B9=""),0,SUMIF('DADOS BRUTOS'!$A$3:$A$500,$B9,'DADOS BRUTOS'!AQ$3:AQ$500)+IF($C9="",0,SUMIF('DADOS BRUTOS'!$A$3:$A$500,$C9,'DADOS BRUTOS'!AQ$3:AQ$500)))</f>
        <v/>
      </c>
      <c r="DR9" s="123">
        <f>IF(OR(DR$4="",$B9=""),0,SUMIF('DADOS BRUTOS'!$A$3:$A$500,$B9,'DADOS BRUTOS'!AR$3:AR$500)+IF($C9="",0,SUMIF('DADOS BRUTOS'!$A$3:$A$500,$C9,'DADOS BRUTOS'!AR$3:AR$500)))</f>
        <v/>
      </c>
      <c r="DS9" s="123">
        <f>IF(OR(DS$4="",$B9=""),0,SUMIF('DADOS BRUTOS'!$A$3:$A$500,$B9,'DADOS BRUTOS'!AS$3:AS$500)+IF($C9="",0,SUMIF('DADOS BRUTOS'!$A$3:$A$500,$C9,'DADOS BRUTOS'!AS$3:AS$500)))</f>
        <v/>
      </c>
      <c r="DT9" s="123">
        <f>IF(OR(DT$4="",$B9=""),0,SUMIF('DADOS BRUTOS'!$A$3:$A$500,$B9,'DADOS BRUTOS'!AT$3:AT$500)+IF($C9="",0,SUMIF('DADOS BRUTOS'!$A$3:$A$500,$C9,'DADOS BRUTOS'!AT$3:AT$500)))</f>
        <v/>
      </c>
      <c r="DU9" s="123">
        <f>IF(OR(DU$4="",$B9=""),0,SUMIF('DADOS BRUTOS'!$A$3:$A$500,$B9,'DADOS BRUTOS'!AU$3:AU$500)+IF($C9="",0,SUMIF('DADOS BRUTOS'!$A$3:$A$500,$C9,'DADOS BRUTOS'!AU$3:AU$500)))</f>
        <v/>
      </c>
      <c r="DV9" s="123">
        <f>IF(OR(DV$4="",$B9=""),0,SUMIF('DADOS BRUTOS'!$A$3:$A$500,$B9,'DADOS BRUTOS'!AV$3:AV$500)+IF($C9="",0,SUMIF('DADOS BRUTOS'!$A$3:$A$500,$C9,'DADOS BRUTOS'!AV$3:AV$500)))</f>
        <v/>
      </c>
      <c r="DW9" s="123">
        <f>IF(OR(DW$4="",$B9=""),0,SUMIF('DADOS BRUTOS'!$A$3:$A$500,$B9,'DADOS BRUTOS'!AW$3:AW$500)+IF($C9="",0,SUMIF('DADOS BRUTOS'!$A$3:$A$500,$C9,'DADOS BRUTOS'!AW$3:AW$500)))</f>
        <v/>
      </c>
      <c r="DX9" s="123">
        <f>IF(OR(DX$4="",$B9=""),0,SUMIF('DADOS BRUTOS'!$A$3:$A$500,$B9,'DADOS BRUTOS'!AX$3:AX$500)+IF($C9="",0,SUMIF('DADOS BRUTOS'!$A$3:$A$500,$C9,'DADOS BRUTOS'!AX$3:AX$500)))</f>
        <v/>
      </c>
      <c r="DY9" s="123">
        <f>IF(OR(DY$4="",$B9=""),0,SUMIF('DADOS BRUTOS'!$A$3:$A$500,$B9,'DADOS BRUTOS'!AY$3:AY$500)+IF($C9="",0,SUMIF('DADOS BRUTOS'!$A$3:$A$500,$C9,'DADOS BRUTOS'!AY$3:AY$500)))</f>
        <v/>
      </c>
      <c r="DZ9" s="123">
        <f>IF(OR(DZ$4="",$B9=""),0,SUMIF('DADOS BRUTOS'!$A$3:$A$500,$B9,'DADOS BRUTOS'!AZ$3:AZ$500)+IF($C9="",0,SUMIF('DADOS BRUTOS'!$A$3:$A$500,$C9,'DADOS BRUTOS'!AZ$3:AZ$500)))</f>
        <v/>
      </c>
      <c r="EA9" s="123">
        <f>IF(OR(EA$4="",$B9=""),0,SUMIF('DADOS BRUTOS'!$A$3:$A$500,$B9,'DADOS BRUTOS'!BA$3:BA$500)+IF($C9="",0,SUMIF('DADOS BRUTOS'!$A$3:$A$500,$C9,'DADOS BRUTOS'!BA$3:BA$500)))</f>
        <v/>
      </c>
      <c r="EB9" s="123">
        <f>IF(OR(EB$4="",$B9=""),0,SUMIF('DADOS BRUTOS'!$A$3:$A$500,$B9,'DADOS BRUTOS'!BB$3:BB$500)+IF($C9="",0,SUMIF('DADOS BRUTOS'!$A$3:$A$500,$C9,'DADOS BRUTOS'!BB$3:BB$500)))</f>
        <v/>
      </c>
      <c r="EC9" s="123">
        <f>IF(OR(EC$4="",$B9=""),0,SUMIF('DADOS BRUTOS'!$A$3:$A$500,$B9,'DADOS BRUTOS'!BC$3:BC$500)+IF($C9="",0,SUMIF('DADOS BRUTOS'!$A$3:$A$500,$C9,'DADOS BRUTOS'!BC$3:BC$500)))</f>
        <v/>
      </c>
      <c r="ED9" s="123">
        <f>IF(OR(ED$4="",$B9=""),0,SUMIF('DADOS BRUTOS'!$A$3:$A$500,$B9,'DADOS BRUTOS'!BD$3:BD$500)+IF($C9="",0,SUMIF('DADOS BRUTOS'!$A$3:$A$500,$C9,'DADOS BRUTOS'!BD$3:BD$500)))</f>
        <v/>
      </c>
      <c r="EE9" s="123">
        <f>IF(OR(EE$4="",$B9=""),0,SUMIF('DADOS BRUTOS'!$A$3:$A$500,$B9,'DADOS BRUTOS'!BE$3:BE$500)+IF($C9="",0,SUMIF('DADOS BRUTOS'!$A$3:$A$500,$C9,'DADOS BRUTOS'!BE$3:BE$500)))</f>
        <v/>
      </c>
      <c r="EF9" s="123">
        <f>IF(OR(EF$4="",$B9=""),0,SUMIF('DADOS BRUTOS'!$A$3:$A$500,$B9,'DADOS BRUTOS'!BF$3:BF$500)+IF($C9="",0,SUMIF('DADOS BRUTOS'!$A$3:$A$500,$C9,'DADOS BRUTOS'!BF$3:BF$500)))</f>
        <v/>
      </c>
      <c r="EG9" s="123">
        <f>IF(OR(EG$4="",$B9=""),0,SUMIF('DADOS BRUTOS'!$A$3:$A$500,$B9,'DADOS BRUTOS'!BG$3:BG$500)+IF($C9="",0,SUMIF('DADOS BRUTOS'!$A$3:$A$500,$C9,'DADOS BRUTOS'!BG$3:BG$500)))</f>
        <v/>
      </c>
      <c r="EH9" s="123">
        <f>IF(OR(EH$4="",$B9=""),0,SUMIF('DADOS BRUTOS'!$A$3:$A$500,$B9,'DADOS BRUTOS'!BH$3:BH$500)+IF($C9="",0,SUMIF('DADOS BRUTOS'!$A$3:$A$500,$C9,'DADOS BRUTOS'!BH$3:BH$500)))</f>
        <v/>
      </c>
      <c r="EI9" s="123">
        <f>IF(OR(EI$4="",$B9=""),0,SUMIF('DADOS BRUTOS'!$A$3:$A$500,$B9,'DADOS BRUTOS'!BI$3:BI$500)+IF($C9="",0,SUMIF('DADOS BRUTOS'!$A$3:$A$500,$C9,'DADOS BRUTOS'!BI$3:BI$500)))</f>
        <v/>
      </c>
      <c r="EJ9" s="123">
        <f>IF(OR(EJ$4="",$B9=""),0,SUMIF('DADOS BRUTOS'!$A$3:$A$500,$B9,'DADOS BRUTOS'!BJ$3:BJ$500)+IF($C9="",0,SUMIF('DADOS BRUTOS'!$A$3:$A$500,$C9,'DADOS BRUTOS'!BJ$3:BJ$500)))</f>
        <v/>
      </c>
      <c r="EK9" s="123">
        <f>IF(OR(EK$4="",$B9=""),0,SUMIF('DADOS BRUTOS'!$A$3:$A$500,$B9,'DADOS BRUTOS'!BK$3:BK$500)+IF($C9="",0,SUMIF('DADOS BRUTOS'!$A$3:$A$500,$C9,'DADOS BRUTOS'!BK$3:BK$500)))</f>
        <v/>
      </c>
      <c r="EL9" s="123">
        <f>IF(OR(EL$4="",$B9=""),0,SUMIF('DADOS BRUTOS'!$A$3:$A$500,$B9,'DADOS BRUTOS'!BL$3:BL$500)+IF($C9="",0,SUMIF('DADOS BRUTOS'!$A$3:$A$500,$C9,'DADOS BRUTOS'!BL$3:BL$500)))</f>
        <v/>
      </c>
      <c r="EM9" s="123">
        <f>IF(OR(EM$4="",$B9=""),0,SUMIF('DADOS BRUTOS'!$A$3:$A$500,$B9,'DADOS BRUTOS'!BM$3:BM$500)+IF($C9="",0,SUMIF('DADOS BRUTOS'!$A$3:$A$500,$C9,'DADOS BRUTOS'!BM$3:BM$500)))</f>
        <v/>
      </c>
      <c r="EN9" s="123">
        <f>IF(OR(EN$4="",$B9=""),0,SUMIF('DADOS BRUTOS'!$A$3:$A$500,$B9,'DADOS BRUTOS'!BN$3:BN$500)+IF($C9="",0,SUMIF('DADOS BRUTOS'!$A$3:$A$500,$C9,'DADOS BRUTOS'!BN$3:BN$500)))</f>
        <v/>
      </c>
      <c r="EO9" s="123">
        <f>IF(OR(EO$4="",$B9=""),0,SUMIF('DADOS BRUTOS'!$A$3:$A$500,$B9,'DADOS BRUTOS'!BO$3:BO$500)+IF($C9="",0,SUMIF('DADOS BRUTOS'!$A$3:$A$500,$C9,'DADOS BRUTOS'!BO$3:BO$500)))</f>
        <v/>
      </c>
      <c r="EP9" s="123">
        <f>IF(OR(EP$4="",$B9=""),0,SUMIF('DADOS BRUTOS'!$A$3:$A$500,$B9,'DADOS BRUTOS'!BP$3:BP$500)+IF($C9="",0,SUMIF('DADOS BRUTOS'!$A$3:$A$500,$C9,'DADOS BRUTOS'!BP$3:BP$500)))</f>
        <v/>
      </c>
      <c r="EQ9" s="123">
        <f>IF(OR(EQ$4="",$B9=""),0,SUMIF('DADOS BRUTOS'!$A$3:$A$500,$B9,'DADOS BRUTOS'!BQ$3:BQ$500)+IF($C9="",0,SUMIF('DADOS BRUTOS'!$A$3:$A$500,$C9,'DADOS BRUTOS'!BQ$3:BQ$500)))</f>
        <v/>
      </c>
      <c r="ER9" s="123">
        <f>IF(OR(ER$4="",$B9=""),0,SUMIF('DADOS BRUTOS'!$A$3:$A$500,$B9,'DADOS BRUTOS'!BR$3:BR$500)+IF($C9="",0,SUMIF('DADOS BRUTOS'!$A$3:$A$500,$C9,'DADOS BRUTOS'!BR$3:BR$500)))</f>
        <v/>
      </c>
      <c r="ES9" s="123">
        <f>IF(OR(ES$4="",$B9=""),0,SUMIF('DADOS BRUTOS'!$A$3:$A$500,$B9,'DADOS BRUTOS'!BS$3:BS$500)+IF($C9="",0,SUMIF('DADOS BRUTOS'!$A$3:$A$500,$C9,'DADOS BRUTOS'!BS$3:BS$500)))</f>
        <v/>
      </c>
      <c r="ET9" s="123">
        <f>IF(OR(ET$4="",$B9=""),0,SUMIF('DADOS BRUTOS'!$A$3:$A$500,$B9,'DADOS BRUTOS'!BT$3:BT$500)+IF($C9="",0,SUMIF('DADOS BRUTOS'!$A$3:$A$500,$C9,'DADOS BRUTOS'!BT$3:BT$500)))</f>
        <v/>
      </c>
      <c r="EU9" s="123">
        <f>IF(OR(EU$4="",$B9=""),0,SUMIF('DADOS BRUTOS'!$A$3:$A$500,$B9,'DADOS BRUTOS'!BU$3:BU$500)+IF($C9="",0,SUMIF('DADOS BRUTOS'!$A$3:$A$500,$C9,'DADOS BRUTOS'!BU$3:BU$500)))</f>
        <v/>
      </c>
      <c r="EV9" s="123">
        <f>IF(OR(EV$4="",$B9=""),0,SUMIF('DADOS BRUTOS'!$A$3:$A$500,$B9,'DADOS BRUTOS'!BV$3:BV$500)+IF($C9="",0,SUMIF('DADOS BRUTOS'!$A$3:$A$500,$C9,'DADOS BRUTOS'!BV$3:BV$500)))</f>
        <v/>
      </c>
      <c r="EW9" s="123">
        <f>IF(OR(EW$4="",$B9=""),0,SUMIF('DADOS BRUTOS'!$A$3:$A$500,$B9,'DADOS BRUTOS'!BW$3:BW$500)+IF($C9="",0,SUMIF('DADOS BRUTOS'!$A$3:$A$500,$C9,'DADOS BRUTOS'!BW$3:BW$500)))</f>
        <v/>
      </c>
      <c r="EX9" s="123">
        <f>IF(OR(EX$4="",$B9=""),0,SUMIF('DADOS BRUTOS'!$A$3:$A$500,$B9,'DADOS BRUTOS'!BX$3:BX$500)+IF($C9="",0,SUMIF('DADOS BRUTOS'!$A$3:$A$500,$C9,'DADOS BRUTOS'!BX$3:BX$500)))</f>
        <v/>
      </c>
      <c r="EY9" s="123">
        <f>IF(OR(EY$4="",$B9=""),0,SUMIF('DADOS BRUTOS'!$A$3:$A$500,$B9,'DADOS BRUTOS'!BY$3:BY$500)+IF($C9="",0,SUMIF('DADOS BRUTOS'!$A$3:$A$500,$C9,'DADOS BRUTOS'!BY$3:BY$500)))</f>
        <v/>
      </c>
      <c r="EZ9" s="123">
        <f>IF(OR(EZ$4="",$B9=""),0,SUMIF('DADOS BRUTOS'!$A$3:$A$500,$B9,'DADOS BRUTOS'!BZ$3:BZ$500)+IF($C9="",0,SUMIF('DADOS BRUTOS'!$A$3:$A$500,$C9,'DADOS BRUTOS'!BZ$3:BZ$500)))</f>
        <v/>
      </c>
      <c r="FA9" s="123">
        <f>IF(OR(FA$4="",$B9=""),0,SUMIF('DADOS BRUTOS'!$A$3:$A$500,$B9,'DADOS BRUTOS'!CA$3:CA$500)+IF($C9="",0,SUMIF('DADOS BRUTOS'!$A$3:$A$500,$C9,'DADOS BRUTOS'!CA$3:CA$500)))</f>
        <v/>
      </c>
      <c r="FB9" s="123">
        <f>IF(OR(FB$4="",$B9=""),0,SUMIF('DADOS BRUTOS'!$A$3:$A$500,$B9,'DADOS BRUTOS'!CB$3:CB$500)+IF($C9="",0,SUMIF('DADOS BRUTOS'!$A$3:$A$500,$C9,'DADOS BRUTOS'!CB$3:CB$500)))</f>
        <v/>
      </c>
      <c r="FC9" s="123">
        <f>IF(OR(FC$4="",$B9=""),0,SUMIF('DADOS BRUTOS'!$A$3:$A$500,$B9,'DADOS BRUTOS'!CC$3:CC$500)+IF($C9="",0,SUMIF('DADOS BRUTOS'!$A$3:$A$500,$C9,'DADOS BRUTOS'!CC$3:CC$500)))</f>
        <v/>
      </c>
      <c r="FD9" s="123">
        <f>IF(OR(FD$4="",$B9=""),0,SUMIF('DADOS BRUTOS'!$A$3:$A$500,$B9,'DADOS BRUTOS'!CD$3:CD$500)+IF($C9="",0,SUMIF('DADOS BRUTOS'!$A$3:$A$500,$C9,'DADOS BRUTOS'!CD$3:CD$500)))</f>
        <v/>
      </c>
      <c r="FE9" s="123">
        <f>IF(OR(FE$4="",$B9=""),0,SUMIF('DADOS BRUTOS'!$A$3:$A$500,$B9,'DADOS BRUTOS'!CE$3:CE$500)+IF($C9="",0,SUMIF('DADOS BRUTOS'!$A$3:$A$500,$C9,'DADOS BRUTOS'!CE$3:CE$500)))</f>
        <v/>
      </c>
      <c r="FF9" s="123">
        <f>IF(OR(FF$4="",$B9=""),0,SUMIF('DADOS BRUTOS'!$A$3:$A$500,$B9,'DADOS BRUTOS'!CF$3:CF$500)+IF($C9="",0,SUMIF('DADOS BRUTOS'!$A$3:$A$500,$C9,'DADOS BRUTOS'!CF$3:CF$500)))</f>
        <v/>
      </c>
      <c r="FG9" s="123">
        <f>IF(OR(FG$4="",$B9=""),0,SUMIF('DADOS BRUTOS'!$A$3:$A$500,$B9,'DADOS BRUTOS'!CG$3:CG$500)+IF($C9="",0,SUMIF('DADOS BRUTOS'!$A$3:$A$500,$C9,'DADOS BRUTOS'!CG$3:CG$500)))</f>
        <v/>
      </c>
      <c r="FH9" s="123">
        <f>IF(OR(FH$4="",$B9=""),0,SUMIF('DADOS BRUTOS'!$A$3:$A$500,$B9,'DADOS BRUTOS'!CH$3:CH$500)+IF($C9="",0,SUMIF('DADOS BRUTOS'!$A$3:$A$500,$C9,'DADOS BRUTOS'!CH$3:CH$500)))</f>
        <v/>
      </c>
      <c r="FI9" s="123">
        <f>IF(OR(FI$4="",$B9=""),0,SUMIF('DADOS BRUTOS'!$A$3:$A$500,$B9,'DADOS BRUTOS'!CI$3:CI$500)+IF($C9="",0,SUMIF('DADOS BRUTOS'!$A$3:$A$500,$C9,'DADOS BRUTOS'!CI$3:CI$500)))</f>
        <v/>
      </c>
      <c r="FJ9" s="123">
        <f>IF(OR(FJ$4="",$B9=""),0,SUMIF('DADOS BRUTOS'!$A$3:$A$500,$B9,'DADOS BRUTOS'!CJ$3:CJ$500)+IF($C9="",0,SUMIF('DADOS BRUTOS'!$A$3:$A$500,$C9,'DADOS BRUTOS'!CJ$3:CJ$500)))</f>
        <v/>
      </c>
      <c r="FK9" s="123">
        <f>IF(OR(FK$4="",$B9=""),0,SUMIF('DADOS BRUTOS'!$A$3:$A$500,$B9,'DADOS BRUTOS'!CK$3:CK$500)+IF($C9="",0,SUMIF('DADOS BRUTOS'!$A$3:$A$500,$C9,'DADOS BRUTOS'!CK$3:CK$500)))</f>
        <v/>
      </c>
      <c r="FL9" s="123">
        <f>IF(OR(FL$4="",$B9=""),0,SUMIF('DADOS BRUTOS'!$A$3:$A$500,$B9,'DADOS BRUTOS'!CL$3:CL$500)+IF($C9="",0,SUMIF('DADOS BRUTOS'!$A$3:$A$500,$C9,'DADOS BRUTOS'!CL$3:CL$500)))</f>
        <v/>
      </c>
      <c r="FM9" s="123">
        <f>IF(OR(FM$4="",$B9=""),0,SUMIF('DADOS BRUTOS'!$A$3:$A$500,$B9,'DADOS BRUTOS'!CM$3:CM$500)+IF($C9="",0,SUMIF('DADOS BRUTOS'!$A$3:$A$500,$C9,'DADOS BRUTOS'!CM$3:CM$500)))</f>
        <v/>
      </c>
      <c r="FN9" s="123">
        <f>IF(OR(FN$4="",$B9=""),0,SUMIF('DADOS BRUTOS'!$A$3:$A$500,$B9,'DADOS BRUTOS'!CN$3:CN$500)+IF($C9="",0,SUMIF('DADOS BRUTOS'!$A$3:$A$500,$C9,'DADOS BRUTOS'!CN$3:CN$500)))</f>
        <v/>
      </c>
      <c r="FO9" s="123">
        <f>IF(OR(FO$4="",$B9=""),0,SUMIF('DADOS BRUTOS'!$A$3:$A$500,$B9,'DADOS BRUTOS'!CO$3:CO$500)+IF($C9="",0,SUMIF('DADOS BRUTOS'!$A$3:$A$500,$C9,'DADOS BRUTOS'!CO$3:CO$500)))</f>
        <v/>
      </c>
      <c r="FP9" s="123">
        <f>IF(OR(FP$4="",$B9=""),0,SUMIF('DADOS BRUTOS'!$A$3:$A$500,$B9,'DADOS BRUTOS'!CP$3:CP$500)+IF($C9="",0,SUMIF('DADOS BRUTOS'!$A$3:$A$500,$C9,'DADOS BRUTOS'!CP$3:CP$500)))</f>
        <v/>
      </c>
      <c r="FQ9" s="123">
        <f>IF(OR(FQ$4="",$B9=""),0,SUMIF('DADOS BRUTOS'!$A$3:$A$500,$B9,'DADOS BRUTOS'!CQ$3:CQ$500)+IF($C9="",0,SUMIF('DADOS BRUTOS'!$A$3:$A$500,$C9,'DADOS BRUTOS'!CQ$3:CQ$500)))</f>
        <v/>
      </c>
      <c r="FR9" s="123">
        <f>IF(OR(FR$4="",$B9=""),0,SUMIF('DADOS BRUTOS'!$A$3:$A$500,$B9,'DADOS BRUTOS'!CR$3:CR$500)+IF($C9="",0,SUMIF('DADOS BRUTOS'!$A$3:$A$500,$C9,'DADOS BRUTOS'!CR$3:CR$500)))</f>
        <v/>
      </c>
      <c r="FS9" s="123">
        <f>IF(OR(FS$4="",$B9=""),0,SUMIF('DADOS BRUTOS'!$A$3:$A$500,$B9,'DADOS BRUTOS'!CS$3:CS$500)+IF($C9="",0,SUMIF('DADOS BRUTOS'!$A$3:$A$500,$C9,'DADOS BRUTOS'!CS$3:CS$500)))</f>
        <v/>
      </c>
      <c r="FT9" s="123">
        <f>IF(OR(FT$4="",$B9=""),0,SUMIF('DADOS BRUTOS'!$A$3:$A$500,$B9,'DADOS BRUTOS'!CT$3:CT$500)+IF($C9="",0,SUMIF('DADOS BRUTOS'!$A$3:$A$500,$C9,'DADOS BRUTOS'!CT$3:CT$500)))</f>
        <v/>
      </c>
      <c r="FU9" s="123">
        <f>IF(OR(FU$4="",$B9=""),0,SUMIF('DADOS BRUTOS'!$A$3:$A$500,$B9,'DADOS BRUTOS'!CU$3:CU$500)+IF($C9="",0,SUMIF('DADOS BRUTOS'!$A$3:$A$500,$C9,'DADOS BRUTOS'!CU$3:CU$500)))</f>
        <v/>
      </c>
      <c r="FV9" s="123">
        <f>IF(OR(FV$4="",$B9=""),0,SUMIF('DADOS BRUTOS'!$A$3:$A$500,$B9,'DADOS BRUTOS'!CV$3:CV$500)+IF($C9="",0,SUMIF('DADOS BRUTOS'!$A$3:$A$500,$C9,'DADOS BRUTOS'!CV$3:CV$500)))</f>
        <v/>
      </c>
      <c r="FW9" s="123">
        <f>IF(OR(FW$4="",$B9=""),0,SUMIF('DADOS BRUTOS'!$A$3:$A$500,$B9,'DADOS BRUTOS'!CW$3:CW$500)+IF($C9="",0,SUMIF('DADOS BRUTOS'!$A$3:$A$500,$C9,'DADOS BRUTOS'!CW$3:CW$500)))</f>
        <v/>
      </c>
      <c r="FX9" s="123">
        <f>IF(OR(FX$4="",$B9=""),0,SUMIF('DADOS BRUTOS'!$A$3:$A$500,$B9,'DADOS BRUTOS'!CX$3:CX$500)+IF($C9="",0,SUMIF('DADOS BRUTOS'!$A$3:$A$500,$C9,'DADOS BRUTOS'!CX$3:CX$500)))</f>
        <v/>
      </c>
      <c r="FY9" s="123">
        <f>IF(OR(FY$4="",$B9=""),0,SUMIF('DADOS BRUTOS'!$A$3:$A$500,$B9,'DADOS BRUTOS'!CY$3:CY$500)+IF($C9="",0,SUMIF('DADOS BRUTOS'!$A$3:$A$500,$C9,'DADOS BRUTOS'!CY$3:CY$500)))</f>
        <v/>
      </c>
      <c r="FZ9" s="123">
        <f>IF(OR(FZ$4="",$B9=""),0,SUMIF('DADOS BRUTOS'!$A$3:$A$500,$B9,'DADOS BRUTOS'!CZ$3:CZ$500)+IF($C9="",0,SUMIF('DADOS BRUTOS'!$A$3:$A$500,$C9,'DADOS BRUTOS'!CZ$3:CZ$500)))</f>
        <v/>
      </c>
      <c r="GA9" s="123">
        <f>IF(OR(GA$4="",$B9=""),0,SUMIF('DADOS BRUTOS'!$A$3:$A$500,$B9,'DADOS BRUTOS'!DA$3:DA$500)+IF($C9="",0,SUMIF('DADOS BRUTOS'!$A$3:$A$500,$C9,'DADOS BRUTOS'!DA$3:DA$500)))</f>
        <v/>
      </c>
      <c r="GB9" s="123">
        <f>IF(OR(GB$4="",$B9=""),0,SUMIF('DADOS BRUTOS'!$A$3:$A$500,$B9,'DADOS BRUTOS'!DB$3:DB$500)+IF($C9="",0,SUMIF('DADOS BRUTOS'!$A$3:$A$500,$C9,'DADOS BRUTOS'!DB$3:DB$500)))</f>
        <v/>
      </c>
      <c r="GC9" s="123">
        <f>IF(OR(GC$4="",$B9=""),0,SUMIF('DADOS BRUTOS'!$A$3:$A$500,$B9,'DADOS BRUTOS'!DC$3:DC$500)+IF($C9="",0,SUMIF('DADOS BRUTOS'!$A$3:$A$500,$C9,'DADOS BRUTOS'!DC$3:DC$500)))</f>
        <v/>
      </c>
      <c r="GD9" s="123">
        <f>IF(OR(GD$4="",$B9=""),0,SUMIF('DADOS BRUTOS'!$A$3:$A$500,$B9,'DADOS BRUTOS'!DD$3:DD$500)+IF($C9="",0,SUMIF('DADOS BRUTOS'!$A$3:$A$500,$C9,'DADOS BRUTOS'!DD$3:DD$500)))</f>
        <v/>
      </c>
      <c r="GE9" s="123">
        <f>IF(OR(GE$4="",$B9=""),0,SUMIF('DADOS BRUTOS'!$A$3:$A$500,$B9,'DADOS BRUTOS'!DE$3:DE$500)+IF($C9="",0,SUMIF('DADOS BRUTOS'!$A$3:$A$500,$C9,'DADOS BRUTOS'!DE$3:DE$500)))</f>
        <v/>
      </c>
      <c r="GF9" s="123">
        <f>IF(OR(GF$4="",$B9=""),0,SUMIF('DADOS BRUTOS'!$A$3:$A$500,$B9,'DADOS BRUTOS'!DF$3:DF$500)+IF($C9="",0,SUMIF('DADOS BRUTOS'!$A$3:$A$500,$C9,'DADOS BRUTOS'!DF$3:DF$500)))</f>
        <v/>
      </c>
      <c r="GG9" s="123">
        <f>IF(OR(GG$4="",$B9=""),0,SUMIF('DADOS BRUTOS'!$A$3:$A$500,$B9,'DADOS BRUTOS'!DG$3:DG$500)+IF($C9="",0,SUMIF('DADOS BRUTOS'!$A$3:$A$500,$C9,'DADOS BRUTOS'!DG$3:DG$500)))</f>
        <v/>
      </c>
      <c r="GH9" s="123">
        <f>IF(OR(GH$4="",$B9=""),0,SUMIF('DADOS BRUTOS'!$A$3:$A$500,$B9,'DADOS BRUTOS'!DH$3:DH$500)+IF($C9="",0,SUMIF('DADOS BRUTOS'!$A$3:$A$500,$C9,'DADOS BRUTOS'!DH$3:DH$500)))</f>
        <v/>
      </c>
      <c r="GI9" s="123">
        <f>IF(OR(GI$4="",$B9=""),0,SUMIF('DADOS BRUTOS'!$A$3:$A$500,$B9,'DADOS BRUTOS'!DI$3:DI$500)+IF($C9="",0,SUMIF('DADOS BRUTOS'!$A$3:$A$500,$C9,'DADOS BRUTOS'!DI$3:DI$500)))</f>
        <v/>
      </c>
      <c r="GJ9" s="123">
        <f>IF(OR(GJ$4="",$B9=""),0,SUMIF('DADOS BRUTOS'!$A$3:$A$500,$B9,'DADOS BRUTOS'!DJ$3:DJ$500)+IF($C9="",0,SUMIF('DADOS BRUTOS'!$A$3:$A$500,$C9,'DADOS BRUTOS'!DJ$3:DJ$500)))</f>
        <v/>
      </c>
      <c r="GK9" s="123">
        <f>IF(OR(GK$4="",$B9=""),0,SUMIF('DADOS BRUTOS'!$A$3:$A$500,$B9,'DADOS BRUTOS'!DK$3:DK$500)+IF($C9="",0,SUMIF('DADOS BRUTOS'!$A$3:$A$500,$C9,'DADOS BRUTOS'!DK$3:DK$500)))</f>
        <v/>
      </c>
      <c r="GL9" s="123">
        <f>IF(OR(GL$4="",$B9=""),0,SUMIF('DADOS BRUTOS'!$A$3:$A$500,$B9,'DADOS BRUTOS'!DL$3:DL$500)+IF($C9="",0,SUMIF('DADOS BRUTOS'!$A$3:$A$500,$C9,'DADOS BRUTOS'!DL$3:DL$500)))</f>
        <v/>
      </c>
      <c r="GM9" s="123">
        <f>IF(OR(GM$4="",$B9=""),0,SUMIF('DADOS BRUTOS'!$A$3:$A$500,$B9,'DADOS BRUTOS'!DM$3:DM$500)+IF($C9="",0,SUMIF('DADOS BRUTOS'!$A$3:$A$500,$C9,'DADOS BRUTOS'!DM$3:DM$500)))</f>
        <v/>
      </c>
      <c r="GN9" s="123">
        <f>IF(OR(GN$4="",$B9=""),0,SUMIF('DADOS BRUTOS'!$A$3:$A$500,$B9,'DADOS BRUTOS'!DN$3:DN$500)+IF($C9="",0,SUMIF('DADOS BRUTOS'!$A$3:$A$500,$C9,'DADOS BRUTOS'!DN$3:DN$500)))</f>
        <v/>
      </c>
      <c r="GO9" s="123">
        <f>IF(OR(GO$4="",$B9=""),0,SUMIF('DADOS BRUTOS'!$A$3:$A$500,$B9,'DADOS BRUTOS'!DO$3:DO$500)+IF($C9="",0,SUMIF('DADOS BRUTOS'!$A$3:$A$500,$C9,'DADOS BRUTOS'!DO$3:DO$500)))</f>
        <v/>
      </c>
      <c r="GP9" s="123">
        <f>IF(OR(GP$4="",$B9=""),0,SUMIF('DADOS BRUTOS'!$A$3:$A$500,$B9,'DADOS BRUTOS'!DP$3:DP$500)+IF($C9="",0,SUMIF('DADOS BRUTOS'!$A$3:$A$500,$C9,'DADOS BRUTOS'!DP$3:DP$500)))</f>
        <v/>
      </c>
      <c r="GQ9" s="123">
        <f>IF(OR(GQ$4="",$B9=""),0,SUMIF('DADOS BRUTOS'!$A$3:$A$500,$B9,'DADOS BRUTOS'!DQ$3:DQ$500)+IF($C9="",0,SUMIF('DADOS BRUTOS'!$A$3:$A$500,$C9,'DADOS BRUTOS'!DQ$3:DQ$500)))</f>
        <v/>
      </c>
      <c r="GR9" s="123">
        <f>IF(OR(GR$4="",$B9=""),0,SUMIF('DADOS BRUTOS'!$A$3:$A$500,$B9,'DADOS BRUTOS'!DR$3:DR$500)+IF($C9="",0,SUMIF('DADOS BRUTOS'!$A$3:$A$500,$C9,'DADOS BRUTOS'!DR$3:DR$500)))</f>
        <v/>
      </c>
      <c r="GS9" s="123">
        <f>IF(OR(GS$4="",$B9=""),0,SUMIF('DADOS BRUTOS'!$A$3:$A$500,$B9,'DADOS BRUTOS'!DS$3:DS$500)+IF($C9="",0,SUMIF('DADOS BRUTOS'!$A$3:$A$500,$C9,'DADOS BRUTOS'!DS$3:DS$500)))</f>
        <v/>
      </c>
      <c r="GT9" s="123">
        <f>IF(OR(GT$4="",$B9=""),0,SUMIF('DADOS BRUTOS'!$A$3:$A$500,$B9,'DADOS BRUTOS'!DT$3:DT$500)+IF($C9="",0,SUMIF('DADOS BRUTOS'!$A$3:$A$500,$C9,'DADOS BRUTOS'!DT$3:DT$500)))</f>
        <v/>
      </c>
      <c r="GU9" s="123">
        <f>IF(OR(GU$4="",$B9=""),0,SUMIF('DADOS BRUTOS'!$A$3:$A$500,$B9,'DADOS BRUTOS'!DU$3:DU$500)+IF($C9="",0,SUMIF('DADOS BRUTOS'!$A$3:$A$500,$C9,'DADOS BRUTOS'!DU$3:DU$500)))</f>
        <v/>
      </c>
      <c r="GV9" s="123">
        <f>IF(OR(GV$4="",$B9=""),0,SUMIF('DADOS BRUTOS'!$A$3:$A$500,$B9,'DADOS BRUTOS'!DV$3:DV$500)+IF($C9="",0,SUMIF('DADOS BRUTOS'!$A$3:$A$500,$C9,'DADOS BRUTOS'!DV$3:DV$500)))</f>
        <v/>
      </c>
      <c r="GW9" s="123">
        <f>IF(OR(GW$4="",$B9=""),0,SUMIF('DADOS BRUTOS'!$A$3:$A$500,$B9,'DADOS BRUTOS'!DW$3:DW$500)+IF($C9="",0,SUMIF('DADOS BRUTOS'!$A$3:$A$500,$C9,'DADOS BRUTOS'!DW$3:DW$500)))</f>
        <v/>
      </c>
      <c r="GX9" s="123">
        <f>IF(OR(GX$4="",$B9=""),0,SUMIF('DADOS BRUTOS'!$A$3:$A$500,$B9,'DADOS BRUTOS'!DX$3:DX$500)+IF($C9="",0,SUMIF('DADOS BRUTOS'!$A$3:$A$500,$C9,'DADOS BRUTOS'!DX$3:DX$500)))</f>
        <v/>
      </c>
      <c r="GY9" s="123">
        <f>IF(OR(GY$4="",$B9=""),0,SUMIF('DADOS BRUTOS'!$A$3:$A$500,$B9,'DADOS BRUTOS'!DY$3:DY$500)+IF($C9="",0,SUMIF('DADOS BRUTOS'!$A$3:$A$500,$C9,'DADOS BRUTOS'!DY$3:DY$500)))</f>
        <v/>
      </c>
      <c r="GZ9" s="123">
        <f>IF(OR(GZ$4="",$B9=""),0,SUMIF('DADOS BRUTOS'!$A$3:$A$500,$B9,'DADOS BRUTOS'!DZ$3:DZ$500)+IF($C9="",0,SUMIF('DADOS BRUTOS'!$A$3:$A$500,$C9,'DADOS BRUTOS'!DZ$3:DZ$500)))</f>
        <v/>
      </c>
      <c r="HA9" s="123">
        <f>IF(OR(HA$4="",$B9=""),0,SUMIF('DADOS BRUTOS'!$A$3:$A$500,$B9,'DADOS BRUTOS'!EA$3:EA$500)+IF($C9="",0,SUMIF('DADOS BRUTOS'!$A$3:$A$500,$C9,'DADOS BRUTOS'!EA$3:EA$500)))</f>
        <v/>
      </c>
      <c r="HB9" s="123">
        <f>IF(OR(HB$4="",$B9=""),0,SUMIF('DADOS BRUTOS'!$A$3:$A$500,$B9,'DADOS BRUTOS'!EB$3:EB$500)+IF($C9="",0,SUMIF('DADOS BRUTOS'!$A$3:$A$500,$C9,'DADOS BRUTOS'!EB$3:EB$500)))</f>
        <v/>
      </c>
      <c r="HC9" s="123">
        <f>IF(OR(HC$4="",$B9=""),0,SUMIF('DADOS BRUTOS'!$A$3:$A$500,$B9,'DADOS BRUTOS'!EC$3:EC$500)+IF($C9="",0,SUMIF('DADOS BRUTOS'!$A$3:$A$500,$C9,'DADOS BRUTOS'!EC$3:EC$500)))</f>
        <v/>
      </c>
      <c r="HD9" s="123">
        <f>IF(OR(HD$4="",$B9=""),0,SUMIF('DADOS BRUTOS'!$A$3:$A$500,$B9,'DADOS BRUTOS'!ED$3:ED$500)+IF($C9="",0,SUMIF('DADOS BRUTOS'!$A$3:$A$500,$C9,'DADOS BRUTOS'!ED$3:ED$500)))</f>
        <v/>
      </c>
      <c r="HE9" s="123">
        <f>IF(OR(HE$4="",$B9=""),0,SUMIF('DADOS BRUTOS'!$A$3:$A$500,$B9,'DADOS BRUTOS'!EE$3:EE$500)+IF($C9="",0,SUMIF('DADOS BRUTOS'!$A$3:$A$500,$C9,'DADOS BRUTOS'!EE$3:EE$500)))</f>
        <v/>
      </c>
      <c r="HF9" s="123">
        <f>IF(OR(HF$4="",$B9=""),0,SUMIF('DADOS BRUTOS'!$A$3:$A$500,$B9,'DADOS BRUTOS'!EF$3:EF$500)+IF($C9="",0,SUMIF('DADOS BRUTOS'!$A$3:$A$500,$C9,'DADOS BRUTOS'!EF$3:EF$500)))</f>
        <v/>
      </c>
      <c r="HG9" s="123">
        <f>IF(OR(HG$4="",$B9=""),0,SUMIF('DADOS BRUTOS'!$A$3:$A$500,$B9,'DADOS BRUTOS'!EG$3:EG$500)+IF($C9="",0,SUMIF('DADOS BRUTOS'!$A$3:$A$500,$C9,'DADOS BRUTOS'!EG$3:EG$500)))</f>
        <v/>
      </c>
      <c r="HH9" s="123">
        <f>IF(OR(HH$4="",$B9=""),0,SUMIF('DADOS BRUTOS'!$A$3:$A$500,$B9,'DADOS BRUTOS'!EH$3:EH$500)+IF($C9="",0,SUMIF('DADOS BRUTOS'!$A$3:$A$500,$C9,'DADOS BRUTOS'!EH$3:EH$500)))</f>
        <v/>
      </c>
      <c r="HI9" s="123">
        <f>IF(OR(HI$4="",$B9=""),0,SUMIF('DADOS BRUTOS'!$A$3:$A$500,$B9,'DADOS BRUTOS'!EI$3:EI$500)+IF($C9="",0,SUMIF('DADOS BRUTOS'!$A$3:$A$500,$C9,'DADOS BRUTOS'!EI$3:EI$500)))</f>
        <v/>
      </c>
      <c r="HJ9" s="123">
        <f>IF(OR(HJ$4="",$B9=""),0,SUMIF('DADOS BRUTOS'!$A$3:$A$500,$B9,'DADOS BRUTOS'!EJ$3:EJ$500)+IF($C9="",0,SUMIF('DADOS BRUTOS'!$A$3:$A$500,$C9,'DADOS BRUTOS'!EJ$3:EJ$500)))</f>
        <v/>
      </c>
      <c r="HK9" s="123">
        <f>IF(OR(HK$4="",$B9=""),0,SUMIF('DADOS BRUTOS'!$A$3:$A$500,$B9,'DADOS BRUTOS'!EK$3:EK$500)+IF($C9="",0,SUMIF('DADOS BRUTOS'!$A$3:$A$500,$C9,'DADOS BRUTOS'!EK$3:EK$500)))</f>
        <v/>
      </c>
      <c r="HL9" s="123">
        <f>IF(OR(HL$4="",$B9=""),0,SUMIF('DADOS BRUTOS'!$A$3:$A$500,$B9,'DADOS BRUTOS'!EL$3:EL$500)+IF($C9="",0,SUMIF('DADOS BRUTOS'!$A$3:$A$500,$C9,'DADOS BRUTOS'!EL$3:EL$500)))</f>
        <v/>
      </c>
      <c r="HM9" s="123">
        <f>IF(OR(HM$4="",$B9=""),0,SUMIF('DADOS BRUTOS'!$A$3:$A$500,$B9,'DADOS BRUTOS'!EM$3:EM$500)+IF($C9="",0,SUMIF('DADOS BRUTOS'!$A$3:$A$500,$C9,'DADOS BRUTOS'!EM$3:EM$500)))</f>
        <v/>
      </c>
      <c r="HN9" s="123">
        <f>IF(OR(HN$4="",$B9=""),0,SUMIF('DADOS BRUTOS'!$A$3:$A$500,$B9,'DADOS BRUTOS'!EN$3:EN$500)+IF($C9="",0,SUMIF('DADOS BRUTOS'!$A$3:$A$500,$C9,'DADOS BRUTOS'!EN$3:EN$500)))</f>
        <v/>
      </c>
      <c r="HO9" s="123">
        <f>IF(OR(HO$4="",$B9=""),0,SUMIF('DADOS BRUTOS'!$A$3:$A$500,$B9,'DADOS BRUTOS'!EO$3:EO$500)+IF($C9="",0,SUMIF('DADOS BRUTOS'!$A$3:$A$500,$C9,'DADOS BRUTOS'!EO$3:EO$500)))</f>
        <v/>
      </c>
      <c r="HP9" s="123">
        <f>IF(OR(HP$4="",$B9=""),0,SUMIF('DADOS BRUTOS'!$A$3:$A$500,$B9,'DADOS BRUTOS'!EP$3:EP$500)+IF($C9="",0,SUMIF('DADOS BRUTOS'!$A$3:$A$500,$C9,'DADOS BRUTOS'!EP$3:EP$500)))</f>
        <v/>
      </c>
      <c r="HQ9" s="123">
        <f>IF(OR(HQ$4="",$B9=""),0,SUMIF('DADOS BRUTOS'!$A$3:$A$500,$B9,'DADOS BRUTOS'!EQ$3:EQ$500)+IF($C9="",0,SUMIF('DADOS BRUTOS'!$A$3:$A$500,$C9,'DADOS BRUTOS'!EQ$3:EQ$500)))</f>
        <v/>
      </c>
      <c r="HR9" s="123">
        <f>IF(OR(HR$4="",$B9=""),0,SUMIF('DADOS BRUTOS'!$A$3:$A$500,$B9,'DADOS BRUTOS'!ER$3:ER$500)+IF($C9="",0,SUMIF('DADOS BRUTOS'!$A$3:$A$500,$C9,'DADOS BRUTOS'!ER$3:ER$500)))</f>
        <v/>
      </c>
      <c r="HS9" s="123">
        <f>IF(OR(HS$4="",$B9=""),0,SUMIF('DADOS BRUTOS'!$A$3:$A$500,$B9,'DADOS BRUTOS'!ES$3:ES$500)+IF($C9="",0,SUMIF('DADOS BRUTOS'!$A$3:$A$500,$C9,'DADOS BRUTOS'!ES$3:ES$500)))</f>
        <v/>
      </c>
      <c r="HT9" s="123">
        <f>IF(OR(HT$4="",$B9=""),0,SUMIF('DADOS BRUTOS'!$A$3:$A$500,$B9,'DADOS BRUTOS'!ET$3:ET$500)+IF($C9="",0,SUMIF('DADOS BRUTOS'!$A$3:$A$500,$C9,'DADOS BRUTOS'!ET$3:ET$500)))</f>
        <v/>
      </c>
      <c r="HU9" s="123">
        <f>IF(OR(HU$4="",$B9=""),0,SUMIF('DADOS BRUTOS'!$A$3:$A$500,$B9,'DADOS BRUTOS'!EU$3:EU$500)+IF($C9="",0,SUMIF('DADOS BRUTOS'!$A$3:$A$500,$C9,'DADOS BRUTOS'!EU$3:EU$500)))</f>
        <v/>
      </c>
      <c r="HV9" s="123">
        <f>IF(OR(HV$4="",$B9=""),0,SUMIF('DADOS BRUTOS'!$A$3:$A$500,$B9,'DADOS BRUTOS'!EV$3:EV$500)+IF($C9="",0,SUMIF('DADOS BRUTOS'!$A$3:$A$500,$C9,'DADOS BRUTOS'!EV$3:EV$500)))</f>
        <v/>
      </c>
      <c r="HW9" s="123">
        <f>IF(OR(HW$4="",$B9=""),0,SUMIF('DADOS BRUTOS'!$A$3:$A$500,$B9,'DADOS BRUTOS'!EW$3:EW$500)+IF($C9="",0,SUMIF('DADOS BRUTOS'!$A$3:$A$500,$C9,'DADOS BRUTOS'!EW$3:EW$500)))</f>
        <v/>
      </c>
      <c r="HX9" s="123">
        <f>IF(OR(HX$4="",$B9=""),0,SUMIF('DADOS BRUTOS'!$A$3:$A$500,$B9,'DADOS BRUTOS'!EX$3:EX$500)+IF($C9="",0,SUMIF('DADOS BRUTOS'!$A$3:$A$500,$C9,'DADOS BRUTOS'!EX$3:EX$500)))</f>
        <v/>
      </c>
      <c r="HY9" s="123">
        <f>IF(OR(HY$4="",$B9=""),0,SUMIF('DADOS BRUTOS'!$A$3:$A$500,$B9,'DADOS BRUTOS'!EY$3:EY$500)+IF($C9="",0,SUMIF('DADOS BRUTOS'!$A$3:$A$500,$C9,'DADOS BRUTOS'!EY$3:EY$500)))</f>
        <v/>
      </c>
      <c r="HZ9" s="123">
        <f>IF(OR(HZ$4="",$B9=""),0,SUMIF('DADOS BRUTOS'!$A$3:$A$500,$B9,'DADOS BRUTOS'!EZ$3:EZ$500)+IF($C9="",0,SUMIF('DADOS BRUTOS'!$A$3:$A$500,$C9,'DADOS BRUTOS'!EZ$3:EZ$500)))</f>
        <v/>
      </c>
      <c r="IA9" s="123">
        <f>IF(OR(IA$4="",$B9=""),0,SUMIF('DADOS BRUTOS'!$A$3:$A$500,$B9,'DADOS BRUTOS'!FA$3:FA$500)+IF($C9="",0,SUMIF('DADOS BRUTOS'!$A$3:$A$500,$C9,'DADOS BRUTOS'!FA$3:FA$500)))</f>
        <v/>
      </c>
      <c r="IB9" s="123">
        <f>IF(OR(IB$4="",$B9=""),0,SUMIF('DADOS BRUTOS'!$A$3:$A$500,$B9,'DADOS BRUTOS'!FB$3:FB$500)+IF($C9="",0,SUMIF('DADOS BRUTOS'!$A$3:$A$500,$C9,'DADOS BRUTOS'!FB$3:FB$500)))</f>
        <v/>
      </c>
      <c r="IC9" s="123">
        <f>IF(OR(IC$4="",$B9=""),0,SUMIF('DADOS BRUTOS'!$A$3:$A$500,$B9,'DADOS BRUTOS'!FC$3:FC$500)+IF($C9="",0,SUMIF('DADOS BRUTOS'!$A$3:$A$500,$C9,'DADOS BRUTOS'!FC$3:FC$500)))</f>
        <v/>
      </c>
      <c r="ID9" s="123">
        <f>IF(OR(ID$4="",$B9=""),0,SUMIF('DADOS BRUTOS'!$A$3:$A$500,$B9,'DADOS BRUTOS'!FD$3:FD$500)+IF($C9="",0,SUMIF('DADOS BRUTOS'!$A$3:$A$500,$C9,'DADOS BRUTOS'!FD$3:FD$500)))</f>
        <v/>
      </c>
      <c r="IE9" s="123">
        <f>IF(OR(IE$4="",$B9=""),0,SUMIF('DADOS BRUTOS'!$A$3:$A$500,$B9,'DADOS BRUTOS'!FE$3:FE$500)+IF($C9="",0,SUMIF('DADOS BRUTOS'!$A$3:$A$500,$C9,'DADOS BRUTOS'!FE$3:FE$500)))</f>
        <v/>
      </c>
      <c r="IF9" s="123">
        <f>IF(OR(IF$4="",$B9=""),0,SUMIF('DADOS BRUTOS'!$A$3:$A$500,$B9,'DADOS BRUTOS'!FF$3:FF$500)+IF($C9="",0,SUMIF('DADOS BRUTOS'!$A$3:$A$500,$C9,'DADOS BRUTOS'!FF$3:FF$500)))</f>
        <v/>
      </c>
      <c r="IG9" s="123">
        <f>IF(OR(IG$4="",$B9=""),0,SUMIF('DADOS BRUTOS'!$A$3:$A$500,$B9,'DADOS BRUTOS'!FG$3:FG$500)+IF($C9="",0,SUMIF('DADOS BRUTOS'!$A$3:$A$500,$C9,'DADOS BRUTOS'!FG$3:FG$500)))</f>
        <v/>
      </c>
      <c r="IH9" s="123">
        <f>IF(OR(IH$4="",$B9=""),0,SUMIF('DADOS BRUTOS'!$A$3:$A$500,$B9,'DADOS BRUTOS'!FH$3:FH$500)+IF($C9="",0,SUMIF('DADOS BRUTOS'!$A$3:$A$500,$C9,'DADOS BRUTOS'!FH$3:FH$500)))</f>
        <v/>
      </c>
      <c r="II9" s="123">
        <f>IF(OR(II$4="",$B9=""),0,SUMIF('DADOS BRUTOS'!$A$3:$A$500,$B9,'DADOS BRUTOS'!FI$3:FI$500)+IF($C9="",0,SUMIF('DADOS BRUTOS'!$A$3:$A$500,$C9,'DADOS BRUTOS'!FI$3:FI$500)))</f>
        <v/>
      </c>
      <c r="IJ9" s="123">
        <f>IF(OR(IJ$4="",$B9=""),0,SUMIF('DADOS BRUTOS'!$A$3:$A$500,$B9,'DADOS BRUTOS'!FJ$3:FJ$500)+IF($C9="",0,SUMIF('DADOS BRUTOS'!$A$3:$A$500,$C9,'DADOS BRUTOS'!FJ$3:FJ$500)))</f>
        <v/>
      </c>
      <c r="IK9" s="123">
        <f>IF(OR(IK$4="",$B9=""),0,SUMIF('DADOS BRUTOS'!$A$3:$A$500,$B9,'DADOS BRUTOS'!FK$3:FK$500)+IF($C9="",0,SUMIF('DADOS BRUTOS'!$A$3:$A$500,$C9,'DADOS BRUTOS'!FK$3:FK$500)))</f>
        <v/>
      </c>
      <c r="IL9" s="123">
        <f>IF(OR(IL$4="",$B9=""),0,SUMIF('DADOS BRUTOS'!$A$3:$A$500,$B9,'DADOS BRUTOS'!FL$3:FL$500)+IF($C9="",0,SUMIF('DADOS BRUTOS'!$A$3:$A$500,$C9,'DADOS BRUTOS'!FL$3:FL$500)))</f>
        <v/>
      </c>
      <c r="IM9" s="123">
        <f>IF(OR(IM$4="",$B9=""),0,SUMIF('DADOS BRUTOS'!$A$3:$A$500,$B9,'DADOS BRUTOS'!FM$3:FM$500)+IF($C9="",0,SUMIF('DADOS BRUTOS'!$A$3:$A$500,$C9,'DADOS BRUTOS'!FM$3:FM$500)))</f>
        <v/>
      </c>
      <c r="IN9" s="123">
        <f>IF(OR(IN$4="",$B9=""),0,SUMIF('DADOS BRUTOS'!$A$3:$A$500,$B9,'DADOS BRUTOS'!FN$3:FN$500)+IF($C9="",0,SUMIF('DADOS BRUTOS'!$A$3:$A$500,$C9,'DADOS BRUTOS'!FN$3:FN$500)))</f>
        <v/>
      </c>
      <c r="IO9" s="123">
        <f>IF(OR(IO$4="",$B9=""),0,SUMIF('DADOS BRUTOS'!$A$3:$A$500,$B9,'DADOS BRUTOS'!FO$3:FO$500)+IF($C9="",0,SUMIF('DADOS BRUTOS'!$A$3:$A$500,$C9,'DADOS BRUTOS'!FO$3:FO$500)))</f>
        <v/>
      </c>
      <c r="IP9" s="123">
        <f>IF(OR(IP$4="",$B9=""),0,SUMIF('DADOS BRUTOS'!$A$3:$A$500,$B9,'DADOS BRUTOS'!FP$3:FP$500)+IF($C9="",0,SUMIF('DADOS BRUTOS'!$A$3:$A$500,$C9,'DADOS BRUTOS'!FP$3:FP$500)))</f>
        <v/>
      </c>
      <c r="IQ9" s="123">
        <f>IF(OR(IQ$4="",$B9=""),0,SUMIF('DADOS BRUTOS'!$A$3:$A$500,$B9,'DADOS BRUTOS'!FQ$3:FQ$500)+IF($C9="",0,SUMIF('DADOS BRUTOS'!$A$3:$A$500,$C9,'DADOS BRUTOS'!FQ$3:FQ$500)))</f>
        <v/>
      </c>
      <c r="IR9" s="123">
        <f>IF(OR(IR$4="",$B9=""),0,SUMIF('DADOS BRUTOS'!$A$3:$A$500,$B9,'DADOS BRUTOS'!FR$3:FR$500)+IF($C9="",0,SUMIF('DADOS BRUTOS'!$A$3:$A$500,$C9,'DADOS BRUTOS'!FR$3:FR$500)))</f>
        <v/>
      </c>
      <c r="IS9" s="123">
        <f>IF(OR(IS$4="",$B9=""),0,SUMIF('DADOS BRUTOS'!$A$3:$A$500,$B9,'DADOS BRUTOS'!FS$3:FS$500)+IF($C9="",0,SUMIF('DADOS BRUTOS'!$A$3:$A$500,$C9,'DADOS BRUTOS'!FS$3:FS$500)))</f>
        <v/>
      </c>
      <c r="IT9" s="123">
        <f>IF(OR(IT$4="",$B9=""),0,SUMIF('DADOS BRUTOS'!$A$3:$A$500,$B9,'DADOS BRUTOS'!FT$3:FT$500)+IF($C9="",0,SUMIF('DADOS BRUTOS'!$A$3:$A$500,$C9,'DADOS BRUTOS'!FT$3:FT$500)))</f>
        <v/>
      </c>
      <c r="IU9" s="123">
        <f>IF(OR(IU$4="",$B9=""),0,SUMIF('DADOS BRUTOS'!$A$3:$A$500,$B9,'DADOS BRUTOS'!FU$3:FU$500)+IF($C9="",0,SUMIF('DADOS BRUTOS'!$A$3:$A$500,$C9,'DADOS BRUTOS'!FU$3:FU$500)))</f>
        <v/>
      </c>
      <c r="IV9" s="123">
        <f>IF(OR(IV$4="",$B9=""),0,SUMIF('DADOS BRUTOS'!$A$3:$A$500,$B9,'DADOS BRUTOS'!FV$3:FV$500)+IF($C9="",0,SUMIF('DADOS BRUTOS'!$A$3:$A$500,$C9,'DADOS BRUTOS'!FV$3:FV$500)))</f>
        <v/>
      </c>
      <c r="IW9" s="123">
        <f>IF(OR(IW$4="",$B9=""),0,SUMIF('DADOS BRUTOS'!$A$3:$A$500,$B9,'DADOS BRUTOS'!FW$3:FW$500)+IF($C9="",0,SUMIF('DADOS BRUTOS'!$A$3:$A$500,$C9,'DADOS BRUTOS'!FW$3:FW$500)))</f>
        <v/>
      </c>
      <c r="IX9" s="123">
        <f>IF(OR(IX$4="",$B9=""),0,SUMIF('DADOS BRUTOS'!$A$3:$A$500,$B9,'DADOS BRUTOS'!FX$3:FX$500)+IF($C9="",0,SUMIF('DADOS BRUTOS'!$A$3:$A$500,$C9,'DADOS BRUTOS'!FX$3:FX$500)))</f>
        <v/>
      </c>
      <c r="IY9" s="123">
        <f>IF(OR(IY$4="",$B9=""),0,SUMIF('DADOS BRUTOS'!$A$3:$A$500,$B9,'DADOS BRUTOS'!FY$3:FY$500)+IF($C9="",0,SUMIF('DADOS BRUTOS'!$A$3:$A$500,$C9,'DADOS BRUTOS'!FY$3:FY$500)))</f>
        <v/>
      </c>
      <c r="IZ9" s="123">
        <f>IF(OR(IZ$4="",$B9=""),0,SUMIF('DADOS BRUTOS'!$A$3:$A$500,$B9,'DADOS BRUTOS'!FZ$3:FZ$500)+IF($C9="",0,SUMIF('DADOS BRUTOS'!$A$3:$A$500,$C9,'DADOS BRUTOS'!FZ$3:FZ$500)))</f>
        <v/>
      </c>
      <c r="JA9" s="123">
        <f>IF(OR(JA$4="",$B9=""),0,SUMIF('DADOS BRUTOS'!$A$3:$A$500,$B9,'DADOS BRUTOS'!GA$3:GA$500)+IF($C9="",0,SUMIF('DADOS BRUTOS'!$A$3:$A$500,$C9,'DADOS BRUTOS'!GA$3:GA$500)))</f>
        <v/>
      </c>
      <c r="JB9" s="123">
        <f>IF(OR(JB$4="",$B9=""),0,SUMIF('DADOS BRUTOS'!$A$3:$A$500,$B9,'DADOS BRUTOS'!GB$3:GB$500)+IF($C9="",0,SUMIF('DADOS BRUTOS'!$A$3:$A$500,$C9,'DADOS BRUTOS'!GB$3:GB$500)))</f>
        <v/>
      </c>
      <c r="JC9" s="123">
        <f>IF(OR(JC$4="",$B9=""),0,SUMIF('DADOS BRUTOS'!$A$3:$A$500,$B9,'DADOS BRUTOS'!GC$3:GC$500)+IF($C9="",0,SUMIF('DADOS BRUTOS'!$A$3:$A$500,$C9,'DADOS BRUTOS'!GC$3:GC$500)))</f>
        <v/>
      </c>
      <c r="JD9" s="123">
        <f>IF(OR(JD$4="",$B9=""),0,SUMIF('DADOS BRUTOS'!$A$3:$A$500,$B9,'DADOS BRUTOS'!GD$3:GD$500)+IF($C9="",0,SUMIF('DADOS BRUTOS'!$A$3:$A$500,$C9,'DADOS BRUTOS'!GD$3:GD$500)))</f>
        <v/>
      </c>
      <c r="JE9" s="123">
        <f>IF(OR(JE$4="",$B9=""),0,SUMIF('DADOS BRUTOS'!$A$3:$A$500,$B9,'DADOS BRUTOS'!GE$3:GE$500)+IF($C9="",0,SUMIF('DADOS BRUTOS'!$A$3:$A$500,$C9,'DADOS BRUTOS'!GE$3:GE$500)))</f>
        <v/>
      </c>
      <c r="JF9" s="123">
        <f>IF(OR(JF$4="",$B9=""),0,SUMIF('DADOS BRUTOS'!$A$3:$A$500,$B9,'DADOS BRUTOS'!GF$3:GF$500)+IF($C9="",0,SUMIF('DADOS BRUTOS'!$A$3:$A$500,$C9,'DADOS BRUTOS'!GF$3:GF$500)))</f>
        <v/>
      </c>
      <c r="JG9" s="123">
        <f>IF(OR(JG$4="",$B9=""),0,SUMIF('DADOS BRUTOS'!$A$3:$A$500,$B9,'DADOS BRUTOS'!GG$3:GG$500)+IF($C9="",0,SUMIF('DADOS BRUTOS'!$A$3:$A$500,$C9,'DADOS BRUTOS'!GG$3:GG$500)))</f>
        <v/>
      </c>
      <c r="JH9" s="123">
        <f>IF(OR(JH$4="",$B9=""),0,SUMIF('DADOS BRUTOS'!$A$3:$A$500,$B9,'DADOS BRUTOS'!GH$3:GH$500)+IF($C9="",0,SUMIF('DADOS BRUTOS'!$A$3:$A$500,$C9,'DADOS BRUTOS'!GH$3:GH$500)))</f>
        <v/>
      </c>
      <c r="JI9" s="123">
        <f>IF(OR(JI$4="",$B9=""),0,SUMIF('DADOS BRUTOS'!$A$3:$A$500,$B9,'DADOS BRUTOS'!GI$3:GI$500)+IF($C9="",0,SUMIF('DADOS BRUTOS'!$A$3:$A$500,$C9,'DADOS BRUTOS'!GI$3:GI$500)))</f>
        <v/>
      </c>
      <c r="JJ9" s="123">
        <f>IF(OR(JJ$4="",$B9=""),0,SUMIF('DADOS BRUTOS'!$A$3:$A$500,$B9,'DADOS BRUTOS'!GJ$3:GJ$500)+IF($C9="",0,SUMIF('DADOS BRUTOS'!$A$3:$A$500,$C9,'DADOS BRUTOS'!GJ$3:GJ$500)))</f>
        <v/>
      </c>
      <c r="JK9" s="123">
        <f>IF(OR(JK$4="",$B9=""),0,SUMIF('DADOS BRUTOS'!$A$3:$A$500,$B9,'DADOS BRUTOS'!GK$3:GK$500)+IF($C9="",0,SUMIF('DADOS BRUTOS'!$A$3:$A$500,$C9,'DADOS BRUTOS'!GK$3:GK$500)))</f>
        <v/>
      </c>
      <c r="JL9" s="123">
        <f>IF(OR(JL$4="",$B9=""),0,SUMIF('DADOS BRUTOS'!$A$3:$A$500,$B9,'DADOS BRUTOS'!GL$3:GL$500)+IF($C9="",0,SUMIF('DADOS BRUTOS'!$A$3:$A$500,$C9,'DADOS BRUTOS'!GL$3:GL$500)))</f>
        <v/>
      </c>
      <c r="JM9" s="123">
        <f>IF(OR(JM$4="",$B9=""),0,SUMIF('DADOS BRUTOS'!$A$3:$A$500,$B9,'DADOS BRUTOS'!GM$3:GM$500)+IF($C9="",0,SUMIF('DADOS BRUTOS'!$A$3:$A$500,$C9,'DADOS BRUTOS'!GM$3:GM$500)))</f>
        <v/>
      </c>
      <c r="JN9" s="123">
        <f>IF(OR(JN$4="",$B9=""),0,SUMIF('DADOS BRUTOS'!$A$3:$A$500,$B9,'DADOS BRUTOS'!GN$3:GN$500)+IF($C9="",0,SUMIF('DADOS BRUTOS'!$A$3:$A$500,$C9,'DADOS BRUTOS'!GN$3:GN$500)))</f>
        <v/>
      </c>
      <c r="JO9" s="123">
        <f>IF(OR(JO$4="",$B9=""),0,SUMIF('DADOS BRUTOS'!$A$3:$A$500,$B9,'DADOS BRUTOS'!GO$3:GO$500)+IF($C9="",0,SUMIF('DADOS BRUTOS'!$A$3:$A$500,$C9,'DADOS BRUTOS'!GO$3:GO$500)))</f>
        <v/>
      </c>
      <c r="JP9" s="123">
        <f>IF(OR(JP$4="",$B9=""),0,SUMIF('DADOS BRUTOS'!$A$3:$A$500,$B9,'DADOS BRUTOS'!GP$3:GP$500)+IF($C9="",0,SUMIF('DADOS BRUTOS'!$A$3:$A$500,$C9,'DADOS BRUTOS'!GP$3:GP$500)))</f>
        <v/>
      </c>
      <c r="JQ9" s="123">
        <f>IF(OR(JQ$4="",$B9=""),0,SUMIF('DADOS BRUTOS'!$A$3:$A$500,$B9,'DADOS BRUTOS'!GQ$3:GQ$500)+IF($C9="",0,SUMIF('DADOS BRUTOS'!$A$3:$A$500,$C9,'DADOS BRUTOS'!GQ$3:GQ$500)))</f>
        <v/>
      </c>
      <c r="JR9" s="123">
        <f>IF(OR(JR$4="",$B9=""),0,SUMIF('DADOS BRUTOS'!$A$3:$A$500,$B9,'DADOS BRUTOS'!GR$3:GR$500)+IF($C9="",0,SUMIF('DADOS BRUTOS'!$A$3:$A$500,$C9,'DADOS BRUTOS'!GR$3:GR$500)))</f>
        <v/>
      </c>
      <c r="JS9" s="123">
        <f>IF(OR(JS$4="",$B9=""),0,SUMIF('DADOS BRUTOS'!$A$3:$A$500,$B9,'DADOS BRUTOS'!GS$3:GS$500)+IF($C9="",0,SUMIF('DADOS BRUTOS'!$A$3:$A$500,$C9,'DADOS BRUTOS'!GS$3:GS$500)))</f>
        <v/>
      </c>
    </row>
    <row r="10">
      <c r="A10" s="60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CB10" s="123">
        <f>IF(OR(CB$4="",$B10=""),0,SUMIF('DADOS BRUTOS'!$A$3:$A$500,$B10,'DADOS BRUTOS'!B$3:B$500)+IF($C10="",0,SUMIF('DADOS BRUTOS'!$A$3:$A$500,$C10,'DADOS BRUTOS'!B$3:B$500)))</f>
        <v/>
      </c>
      <c r="CC10" s="123">
        <f>IF(OR(CC$4="",$B10=""),0,SUMIF('DADOS BRUTOS'!$A$3:$A$500,$B10,'DADOS BRUTOS'!C$3:C$500)+IF($C10="",0,SUMIF('DADOS BRUTOS'!$A$3:$A$500,$C10,'DADOS BRUTOS'!C$3:C$500)))</f>
        <v/>
      </c>
      <c r="CD10" s="123">
        <f>IF(OR(CD$4="",$B10=""),0,SUMIF('DADOS BRUTOS'!$A$3:$A$500,$B10,'DADOS BRUTOS'!D$3:D$500)+IF($C10="",0,SUMIF('DADOS BRUTOS'!$A$3:$A$500,$C10,'DADOS BRUTOS'!D$3:D$500)))</f>
        <v/>
      </c>
      <c r="CE10" s="123">
        <f>IF(OR(CE$4="",$B10=""),0,SUMIF('DADOS BRUTOS'!$A$3:$A$500,$B10,'DADOS BRUTOS'!E$3:E$500)+IF($C10="",0,SUMIF('DADOS BRUTOS'!$A$3:$A$500,$C10,'DADOS BRUTOS'!E$3:E$500)))</f>
        <v/>
      </c>
      <c r="CF10" s="123">
        <f>IF(OR(CF$4="",$B10=""),0,SUMIF('DADOS BRUTOS'!$A$3:$A$500,$B10,'DADOS BRUTOS'!F$3:F$500)+IF($C10="",0,SUMIF('DADOS BRUTOS'!$A$3:$A$500,$C10,'DADOS BRUTOS'!F$3:F$500)))</f>
        <v/>
      </c>
      <c r="CG10" s="123">
        <f>IF(OR(CG$4="",$B10=""),0,SUMIF('DADOS BRUTOS'!$A$3:$A$500,$B10,'DADOS BRUTOS'!G$3:G$500)+IF($C10="",0,SUMIF('DADOS BRUTOS'!$A$3:$A$500,$C10,'DADOS BRUTOS'!G$3:G$500)))</f>
        <v/>
      </c>
      <c r="CH10" s="123">
        <f>IF(OR(CH$4="",$B10=""),0,SUMIF('DADOS BRUTOS'!$A$3:$A$500,$B10,'DADOS BRUTOS'!H$3:H$500)+IF($C10="",0,SUMIF('DADOS BRUTOS'!$A$3:$A$500,$C10,'DADOS BRUTOS'!H$3:H$500)))</f>
        <v/>
      </c>
      <c r="CI10" s="123">
        <f>IF(OR(CI$4="",$B10=""),0,SUMIF('DADOS BRUTOS'!$A$3:$A$500,$B10,'DADOS BRUTOS'!I$3:I$500)+IF($C10="",0,SUMIF('DADOS BRUTOS'!$A$3:$A$500,$C10,'DADOS BRUTOS'!I$3:I$500)))</f>
        <v/>
      </c>
      <c r="CJ10" s="123">
        <f>IF(OR(CJ$4="",$B10=""),0,SUMIF('DADOS BRUTOS'!$A$3:$A$500,$B10,'DADOS BRUTOS'!J$3:J$500)+IF($C10="",0,SUMIF('DADOS BRUTOS'!$A$3:$A$500,$C10,'DADOS BRUTOS'!J$3:J$500)))</f>
        <v/>
      </c>
      <c r="CK10" s="123">
        <f>IF(OR(CK$4="",$B10=""),0,SUMIF('DADOS BRUTOS'!$A$3:$A$500,$B10,'DADOS BRUTOS'!K$3:K$500)+IF($C10="",0,SUMIF('DADOS BRUTOS'!$A$3:$A$500,$C10,'DADOS BRUTOS'!K$3:K$500)))</f>
        <v/>
      </c>
      <c r="CL10" s="123">
        <f>IF(OR(CL$4="",$B10=""),0,SUMIF('DADOS BRUTOS'!$A$3:$A$500,$B10,'DADOS BRUTOS'!L$3:L$500)+IF($C10="",0,SUMIF('DADOS BRUTOS'!$A$3:$A$500,$C10,'DADOS BRUTOS'!L$3:L$500)))</f>
        <v/>
      </c>
      <c r="CM10" s="123">
        <f>IF(OR(CM$4="",$B10=""),0,SUMIF('DADOS BRUTOS'!$A$3:$A$500,$B10,'DADOS BRUTOS'!M$3:M$500)+IF($C10="",0,SUMIF('DADOS BRUTOS'!$A$3:$A$500,$C10,'DADOS BRUTOS'!M$3:M$500)))</f>
        <v/>
      </c>
      <c r="CN10" s="123">
        <f>IF(OR(CN$4="",$B10=""),0,SUMIF('DADOS BRUTOS'!$A$3:$A$500,$B10,'DADOS BRUTOS'!N$3:N$500)+IF($C10="",0,SUMIF('DADOS BRUTOS'!$A$3:$A$500,$C10,'DADOS BRUTOS'!N$3:N$500)))</f>
        <v/>
      </c>
      <c r="CO10" s="123">
        <f>IF(OR(CO$4="",$B10=""),0,SUMIF('DADOS BRUTOS'!$A$3:$A$500,$B10,'DADOS BRUTOS'!O$3:O$500)+IF($C10="",0,SUMIF('DADOS BRUTOS'!$A$3:$A$500,$C10,'DADOS BRUTOS'!O$3:O$500)))</f>
        <v/>
      </c>
      <c r="CP10" s="123">
        <f>IF(OR(CP$4="",$B10=""),0,SUMIF('DADOS BRUTOS'!$A$3:$A$500,$B10,'DADOS BRUTOS'!P$3:P$500)+IF($C10="",0,SUMIF('DADOS BRUTOS'!$A$3:$A$500,$C10,'DADOS BRUTOS'!P$3:P$500)))</f>
        <v/>
      </c>
      <c r="CQ10" s="123">
        <f>IF(OR(CQ$4="",$B10=""),0,SUMIF('DADOS BRUTOS'!$A$3:$A$500,$B10,'DADOS BRUTOS'!Q$3:Q$500)+IF($C10="",0,SUMIF('DADOS BRUTOS'!$A$3:$A$500,$C10,'DADOS BRUTOS'!Q$3:Q$500)))</f>
        <v/>
      </c>
      <c r="CR10" s="123">
        <f>IF(OR(CR$4="",$B10=""),0,SUMIF('DADOS BRUTOS'!$A$3:$A$500,$B10,'DADOS BRUTOS'!R$3:R$500)+IF($C10="",0,SUMIF('DADOS BRUTOS'!$A$3:$A$500,$C10,'DADOS BRUTOS'!R$3:R$500)))</f>
        <v/>
      </c>
      <c r="CS10" s="123">
        <f>IF(OR(CS$4="",$B10=""),0,SUMIF('DADOS BRUTOS'!$A$3:$A$500,$B10,'DADOS BRUTOS'!S$3:S$500)+IF($C10="",0,SUMIF('DADOS BRUTOS'!$A$3:$A$500,$C10,'DADOS BRUTOS'!S$3:S$500)))</f>
        <v/>
      </c>
      <c r="CT10" s="123">
        <f>IF(OR(CT$4="",$B10=""),0,SUMIF('DADOS BRUTOS'!$A$3:$A$500,$B10,'DADOS BRUTOS'!T$3:T$500)+IF($C10="",0,SUMIF('DADOS BRUTOS'!$A$3:$A$500,$C10,'DADOS BRUTOS'!T$3:T$500)))</f>
        <v/>
      </c>
      <c r="CU10" s="123">
        <f>IF(OR(CU$4="",$B10=""),0,SUMIF('DADOS BRUTOS'!$A$3:$A$500,$B10,'DADOS BRUTOS'!U$3:U$500)+IF($C10="",0,SUMIF('DADOS BRUTOS'!$A$3:$A$500,$C10,'DADOS BRUTOS'!U$3:U$500)))</f>
        <v/>
      </c>
      <c r="CV10" s="123">
        <f>IF(OR(CV$4="",$B10=""),0,SUMIF('DADOS BRUTOS'!$A$3:$A$500,$B10,'DADOS BRUTOS'!V$3:V$500)+IF($C10="",0,SUMIF('DADOS BRUTOS'!$A$3:$A$500,$C10,'DADOS BRUTOS'!V$3:V$500)))</f>
        <v/>
      </c>
      <c r="CW10" s="123">
        <f>IF(OR(CW$4="",$B10=""),0,SUMIF('DADOS BRUTOS'!$A$3:$A$500,$B10,'DADOS BRUTOS'!W$3:W$500)+IF($C10="",0,SUMIF('DADOS BRUTOS'!$A$3:$A$500,$C10,'DADOS BRUTOS'!W$3:W$500)))</f>
        <v/>
      </c>
      <c r="CX10" s="123">
        <f>IF(OR(CX$4="",$B10=""),0,SUMIF('DADOS BRUTOS'!$A$3:$A$500,$B10,'DADOS BRUTOS'!X$3:X$500)+IF($C10="",0,SUMIF('DADOS BRUTOS'!$A$3:$A$500,$C10,'DADOS BRUTOS'!X$3:X$500)))</f>
        <v/>
      </c>
      <c r="CY10" s="123">
        <f>IF(OR(CY$4="",$B10=""),0,SUMIF('DADOS BRUTOS'!$A$3:$A$500,$B10,'DADOS BRUTOS'!Y$3:Y$500)+IF($C10="",0,SUMIF('DADOS BRUTOS'!$A$3:$A$500,$C10,'DADOS BRUTOS'!Y$3:Y$500)))</f>
        <v/>
      </c>
      <c r="CZ10" s="123">
        <f>IF(OR(CZ$4="",$B10=""),0,SUMIF('DADOS BRUTOS'!$A$3:$A$500,$B10,'DADOS BRUTOS'!Z$3:Z$500)+IF($C10="",0,SUMIF('DADOS BRUTOS'!$A$3:$A$500,$C10,'DADOS BRUTOS'!Z$3:Z$500)))</f>
        <v/>
      </c>
      <c r="DA10" s="123">
        <f>IF(OR(DA$4="",$B10=""),0,SUMIF('DADOS BRUTOS'!$A$3:$A$500,$B10,'DADOS BRUTOS'!AA$3:AA$500)+IF($C10="",0,SUMIF('DADOS BRUTOS'!$A$3:$A$500,$C10,'DADOS BRUTOS'!AA$3:AA$500)))</f>
        <v/>
      </c>
      <c r="DB10" s="123">
        <f>IF(OR(DB$4="",$B10=""),0,SUMIF('DADOS BRUTOS'!$A$3:$A$500,$B10,'DADOS BRUTOS'!AB$3:AB$500)+IF($C10="",0,SUMIF('DADOS BRUTOS'!$A$3:$A$500,$C10,'DADOS BRUTOS'!AB$3:AB$500)))</f>
        <v/>
      </c>
      <c r="DC10" s="123">
        <f>IF(OR(DC$4="",$B10=""),0,SUMIF('DADOS BRUTOS'!$A$3:$A$500,$B10,'DADOS BRUTOS'!AC$3:AC$500)+IF($C10="",0,SUMIF('DADOS BRUTOS'!$A$3:$A$500,$C10,'DADOS BRUTOS'!AC$3:AC$500)))</f>
        <v/>
      </c>
      <c r="DD10" s="123">
        <f>IF(OR(DD$4="",$B10=""),0,SUMIF('DADOS BRUTOS'!$A$3:$A$500,$B10,'DADOS BRUTOS'!AD$3:AD$500)+IF($C10="",0,SUMIF('DADOS BRUTOS'!$A$3:$A$500,$C10,'DADOS BRUTOS'!AD$3:AD$500)))</f>
        <v/>
      </c>
      <c r="DE10" s="123">
        <f>IF(OR(DE$4="",$B10=""),0,SUMIF('DADOS BRUTOS'!$A$3:$A$500,$B10,'DADOS BRUTOS'!AE$3:AE$500)+IF($C10="",0,SUMIF('DADOS BRUTOS'!$A$3:$A$500,$C10,'DADOS BRUTOS'!AE$3:AE$500)))</f>
        <v/>
      </c>
      <c r="DF10" s="123">
        <f>IF(OR(DF$4="",$B10=""),0,SUMIF('DADOS BRUTOS'!$A$3:$A$500,$B10,'DADOS BRUTOS'!AF$3:AF$500)+IF($C10="",0,SUMIF('DADOS BRUTOS'!$A$3:$A$500,$C10,'DADOS BRUTOS'!AF$3:AF$500)))</f>
        <v/>
      </c>
      <c r="DG10" s="123">
        <f>IF(OR(DG$4="",$B10=""),0,SUMIF('DADOS BRUTOS'!$A$3:$A$500,$B10,'DADOS BRUTOS'!AG$3:AG$500)+IF($C10="",0,SUMIF('DADOS BRUTOS'!$A$3:$A$500,$C10,'DADOS BRUTOS'!AG$3:AG$500)))</f>
        <v/>
      </c>
      <c r="DH10" s="123">
        <f>IF(OR(DH$4="",$B10=""),0,SUMIF('DADOS BRUTOS'!$A$3:$A$500,$B10,'DADOS BRUTOS'!AH$3:AH$500)+IF($C10="",0,SUMIF('DADOS BRUTOS'!$A$3:$A$500,$C10,'DADOS BRUTOS'!AH$3:AH$500)))</f>
        <v/>
      </c>
      <c r="DI10" s="123">
        <f>IF(OR(DI$4="",$B10=""),0,SUMIF('DADOS BRUTOS'!$A$3:$A$500,$B10,'DADOS BRUTOS'!AI$3:AI$500)+IF($C10="",0,SUMIF('DADOS BRUTOS'!$A$3:$A$500,$C10,'DADOS BRUTOS'!AI$3:AI$500)))</f>
        <v/>
      </c>
      <c r="DJ10" s="123">
        <f>IF(OR(DJ$4="",$B10=""),0,SUMIF('DADOS BRUTOS'!$A$3:$A$500,$B10,'DADOS BRUTOS'!AJ$3:AJ$500)+IF($C10="",0,SUMIF('DADOS BRUTOS'!$A$3:$A$500,$C10,'DADOS BRUTOS'!AJ$3:AJ$500)))</f>
        <v/>
      </c>
      <c r="DK10" s="123">
        <f>IF(OR(DK$4="",$B10=""),0,SUMIF('DADOS BRUTOS'!$A$3:$A$500,$B10,'DADOS BRUTOS'!AK$3:AK$500)+IF($C10="",0,SUMIF('DADOS BRUTOS'!$A$3:$A$500,$C10,'DADOS BRUTOS'!AK$3:AK$500)))</f>
        <v/>
      </c>
      <c r="DL10" s="123">
        <f>IF(OR(DL$4="",$B10=""),0,SUMIF('DADOS BRUTOS'!$A$3:$A$500,$B10,'DADOS BRUTOS'!AL$3:AL$500)+IF($C10="",0,SUMIF('DADOS BRUTOS'!$A$3:$A$500,$C10,'DADOS BRUTOS'!AL$3:AL$500)))</f>
        <v/>
      </c>
      <c r="DM10" s="123">
        <f>IF(OR(DM$4="",$B10=""),0,SUMIF('DADOS BRUTOS'!$A$3:$A$500,$B10,'DADOS BRUTOS'!AM$3:AM$500)+IF($C10="",0,SUMIF('DADOS BRUTOS'!$A$3:$A$500,$C10,'DADOS BRUTOS'!AM$3:AM$500)))</f>
        <v/>
      </c>
      <c r="DN10" s="123">
        <f>IF(OR(DN$4="",$B10=""),0,SUMIF('DADOS BRUTOS'!$A$3:$A$500,$B10,'DADOS BRUTOS'!AN$3:AN$500)+IF($C10="",0,SUMIF('DADOS BRUTOS'!$A$3:$A$500,$C10,'DADOS BRUTOS'!AN$3:AN$500)))</f>
        <v/>
      </c>
      <c r="DO10" s="123">
        <f>IF(OR(DO$4="",$B10=""),0,SUMIF('DADOS BRUTOS'!$A$3:$A$500,$B10,'DADOS BRUTOS'!AO$3:AO$500)+IF($C10="",0,SUMIF('DADOS BRUTOS'!$A$3:$A$500,$C10,'DADOS BRUTOS'!AO$3:AO$500)))</f>
        <v/>
      </c>
      <c r="DP10" s="123">
        <f>IF(OR(DP$4="",$B10=""),0,SUMIF('DADOS BRUTOS'!$A$3:$A$500,$B10,'DADOS BRUTOS'!AP$3:AP$500)+IF($C10="",0,SUMIF('DADOS BRUTOS'!$A$3:$A$500,$C10,'DADOS BRUTOS'!AP$3:AP$500)))</f>
        <v/>
      </c>
      <c r="DQ10" s="123">
        <f>IF(OR(DQ$4="",$B10=""),0,SUMIF('DADOS BRUTOS'!$A$3:$A$500,$B10,'DADOS BRUTOS'!AQ$3:AQ$500)+IF($C10="",0,SUMIF('DADOS BRUTOS'!$A$3:$A$500,$C10,'DADOS BRUTOS'!AQ$3:AQ$500)))</f>
        <v/>
      </c>
      <c r="DR10" s="123">
        <f>IF(OR(DR$4="",$B10=""),0,SUMIF('DADOS BRUTOS'!$A$3:$A$500,$B10,'DADOS BRUTOS'!AR$3:AR$500)+IF($C10="",0,SUMIF('DADOS BRUTOS'!$A$3:$A$500,$C10,'DADOS BRUTOS'!AR$3:AR$500)))</f>
        <v/>
      </c>
      <c r="DS10" s="123">
        <f>IF(OR(DS$4="",$B10=""),0,SUMIF('DADOS BRUTOS'!$A$3:$A$500,$B10,'DADOS BRUTOS'!AS$3:AS$500)+IF($C10="",0,SUMIF('DADOS BRUTOS'!$A$3:$A$500,$C10,'DADOS BRUTOS'!AS$3:AS$500)))</f>
        <v/>
      </c>
      <c r="DT10" s="123">
        <f>IF(OR(DT$4="",$B10=""),0,SUMIF('DADOS BRUTOS'!$A$3:$A$500,$B10,'DADOS BRUTOS'!AT$3:AT$500)+IF($C10="",0,SUMIF('DADOS BRUTOS'!$A$3:$A$500,$C10,'DADOS BRUTOS'!AT$3:AT$500)))</f>
        <v/>
      </c>
      <c r="DU10" s="123">
        <f>IF(OR(DU$4="",$B10=""),0,SUMIF('DADOS BRUTOS'!$A$3:$A$500,$B10,'DADOS BRUTOS'!AU$3:AU$500)+IF($C10="",0,SUMIF('DADOS BRUTOS'!$A$3:$A$500,$C10,'DADOS BRUTOS'!AU$3:AU$500)))</f>
        <v/>
      </c>
      <c r="DV10" s="123">
        <f>IF(OR(DV$4="",$B10=""),0,SUMIF('DADOS BRUTOS'!$A$3:$A$500,$B10,'DADOS BRUTOS'!AV$3:AV$500)+IF($C10="",0,SUMIF('DADOS BRUTOS'!$A$3:$A$500,$C10,'DADOS BRUTOS'!AV$3:AV$500)))</f>
        <v/>
      </c>
      <c r="DW10" s="123">
        <f>IF(OR(DW$4="",$B10=""),0,SUMIF('DADOS BRUTOS'!$A$3:$A$500,$B10,'DADOS BRUTOS'!AW$3:AW$500)+IF($C10="",0,SUMIF('DADOS BRUTOS'!$A$3:$A$500,$C10,'DADOS BRUTOS'!AW$3:AW$500)))</f>
        <v/>
      </c>
      <c r="DX10" s="123">
        <f>IF(OR(DX$4="",$B10=""),0,SUMIF('DADOS BRUTOS'!$A$3:$A$500,$B10,'DADOS BRUTOS'!AX$3:AX$500)+IF($C10="",0,SUMIF('DADOS BRUTOS'!$A$3:$A$500,$C10,'DADOS BRUTOS'!AX$3:AX$500)))</f>
        <v/>
      </c>
      <c r="DY10" s="123">
        <f>IF(OR(DY$4="",$B10=""),0,SUMIF('DADOS BRUTOS'!$A$3:$A$500,$B10,'DADOS BRUTOS'!AY$3:AY$500)+IF($C10="",0,SUMIF('DADOS BRUTOS'!$A$3:$A$500,$C10,'DADOS BRUTOS'!AY$3:AY$500)))</f>
        <v/>
      </c>
      <c r="DZ10" s="123">
        <f>IF(OR(DZ$4="",$B10=""),0,SUMIF('DADOS BRUTOS'!$A$3:$A$500,$B10,'DADOS BRUTOS'!AZ$3:AZ$500)+IF($C10="",0,SUMIF('DADOS BRUTOS'!$A$3:$A$500,$C10,'DADOS BRUTOS'!AZ$3:AZ$500)))</f>
        <v/>
      </c>
      <c r="EA10" s="123">
        <f>IF(OR(EA$4="",$B10=""),0,SUMIF('DADOS BRUTOS'!$A$3:$A$500,$B10,'DADOS BRUTOS'!BA$3:BA$500)+IF($C10="",0,SUMIF('DADOS BRUTOS'!$A$3:$A$500,$C10,'DADOS BRUTOS'!BA$3:BA$500)))</f>
        <v/>
      </c>
      <c r="EB10" s="123">
        <f>IF(OR(EB$4="",$B10=""),0,SUMIF('DADOS BRUTOS'!$A$3:$A$500,$B10,'DADOS BRUTOS'!BB$3:BB$500)+IF($C10="",0,SUMIF('DADOS BRUTOS'!$A$3:$A$500,$C10,'DADOS BRUTOS'!BB$3:BB$500)))</f>
        <v/>
      </c>
      <c r="EC10" s="123">
        <f>IF(OR(EC$4="",$B10=""),0,SUMIF('DADOS BRUTOS'!$A$3:$A$500,$B10,'DADOS BRUTOS'!BC$3:BC$500)+IF($C10="",0,SUMIF('DADOS BRUTOS'!$A$3:$A$500,$C10,'DADOS BRUTOS'!BC$3:BC$500)))</f>
        <v/>
      </c>
      <c r="ED10" s="123">
        <f>IF(OR(ED$4="",$B10=""),0,SUMIF('DADOS BRUTOS'!$A$3:$A$500,$B10,'DADOS BRUTOS'!BD$3:BD$500)+IF($C10="",0,SUMIF('DADOS BRUTOS'!$A$3:$A$500,$C10,'DADOS BRUTOS'!BD$3:BD$500)))</f>
        <v/>
      </c>
      <c r="EE10" s="123">
        <f>IF(OR(EE$4="",$B10=""),0,SUMIF('DADOS BRUTOS'!$A$3:$A$500,$B10,'DADOS BRUTOS'!BE$3:BE$500)+IF($C10="",0,SUMIF('DADOS BRUTOS'!$A$3:$A$500,$C10,'DADOS BRUTOS'!BE$3:BE$500)))</f>
        <v/>
      </c>
      <c r="EF10" s="123">
        <f>IF(OR(EF$4="",$B10=""),0,SUMIF('DADOS BRUTOS'!$A$3:$A$500,$B10,'DADOS BRUTOS'!BF$3:BF$500)+IF($C10="",0,SUMIF('DADOS BRUTOS'!$A$3:$A$500,$C10,'DADOS BRUTOS'!BF$3:BF$500)))</f>
        <v/>
      </c>
      <c r="EG10" s="123">
        <f>IF(OR(EG$4="",$B10=""),0,SUMIF('DADOS BRUTOS'!$A$3:$A$500,$B10,'DADOS BRUTOS'!BG$3:BG$500)+IF($C10="",0,SUMIF('DADOS BRUTOS'!$A$3:$A$500,$C10,'DADOS BRUTOS'!BG$3:BG$500)))</f>
        <v/>
      </c>
      <c r="EH10" s="123">
        <f>IF(OR(EH$4="",$B10=""),0,SUMIF('DADOS BRUTOS'!$A$3:$A$500,$B10,'DADOS BRUTOS'!BH$3:BH$500)+IF($C10="",0,SUMIF('DADOS BRUTOS'!$A$3:$A$500,$C10,'DADOS BRUTOS'!BH$3:BH$500)))</f>
        <v/>
      </c>
      <c r="EI10" s="123">
        <f>IF(OR(EI$4="",$B10=""),0,SUMIF('DADOS BRUTOS'!$A$3:$A$500,$B10,'DADOS BRUTOS'!BI$3:BI$500)+IF($C10="",0,SUMIF('DADOS BRUTOS'!$A$3:$A$500,$C10,'DADOS BRUTOS'!BI$3:BI$500)))</f>
        <v/>
      </c>
      <c r="EJ10" s="123">
        <f>IF(OR(EJ$4="",$B10=""),0,SUMIF('DADOS BRUTOS'!$A$3:$A$500,$B10,'DADOS BRUTOS'!BJ$3:BJ$500)+IF($C10="",0,SUMIF('DADOS BRUTOS'!$A$3:$A$500,$C10,'DADOS BRUTOS'!BJ$3:BJ$500)))</f>
        <v/>
      </c>
      <c r="EK10" s="123">
        <f>IF(OR(EK$4="",$B10=""),0,SUMIF('DADOS BRUTOS'!$A$3:$A$500,$B10,'DADOS BRUTOS'!BK$3:BK$500)+IF($C10="",0,SUMIF('DADOS BRUTOS'!$A$3:$A$500,$C10,'DADOS BRUTOS'!BK$3:BK$500)))</f>
        <v/>
      </c>
      <c r="EL10" s="123">
        <f>IF(OR(EL$4="",$B10=""),0,SUMIF('DADOS BRUTOS'!$A$3:$A$500,$B10,'DADOS BRUTOS'!BL$3:BL$500)+IF($C10="",0,SUMIF('DADOS BRUTOS'!$A$3:$A$500,$C10,'DADOS BRUTOS'!BL$3:BL$500)))</f>
        <v/>
      </c>
      <c r="EM10" s="123">
        <f>IF(OR(EM$4="",$B10=""),0,SUMIF('DADOS BRUTOS'!$A$3:$A$500,$B10,'DADOS BRUTOS'!BM$3:BM$500)+IF($C10="",0,SUMIF('DADOS BRUTOS'!$A$3:$A$500,$C10,'DADOS BRUTOS'!BM$3:BM$500)))</f>
        <v/>
      </c>
      <c r="EN10" s="123">
        <f>IF(OR(EN$4="",$B10=""),0,SUMIF('DADOS BRUTOS'!$A$3:$A$500,$B10,'DADOS BRUTOS'!BN$3:BN$500)+IF($C10="",0,SUMIF('DADOS BRUTOS'!$A$3:$A$500,$C10,'DADOS BRUTOS'!BN$3:BN$500)))</f>
        <v/>
      </c>
      <c r="EO10" s="123">
        <f>IF(OR(EO$4="",$B10=""),0,SUMIF('DADOS BRUTOS'!$A$3:$A$500,$B10,'DADOS BRUTOS'!BO$3:BO$500)+IF($C10="",0,SUMIF('DADOS BRUTOS'!$A$3:$A$500,$C10,'DADOS BRUTOS'!BO$3:BO$500)))</f>
        <v/>
      </c>
      <c r="EP10" s="123">
        <f>IF(OR(EP$4="",$B10=""),0,SUMIF('DADOS BRUTOS'!$A$3:$A$500,$B10,'DADOS BRUTOS'!BP$3:BP$500)+IF($C10="",0,SUMIF('DADOS BRUTOS'!$A$3:$A$500,$C10,'DADOS BRUTOS'!BP$3:BP$500)))</f>
        <v/>
      </c>
      <c r="EQ10" s="123">
        <f>IF(OR(EQ$4="",$B10=""),0,SUMIF('DADOS BRUTOS'!$A$3:$A$500,$B10,'DADOS BRUTOS'!BQ$3:BQ$500)+IF($C10="",0,SUMIF('DADOS BRUTOS'!$A$3:$A$500,$C10,'DADOS BRUTOS'!BQ$3:BQ$500)))</f>
        <v/>
      </c>
      <c r="ER10" s="123">
        <f>IF(OR(ER$4="",$B10=""),0,SUMIF('DADOS BRUTOS'!$A$3:$A$500,$B10,'DADOS BRUTOS'!BR$3:BR$500)+IF($C10="",0,SUMIF('DADOS BRUTOS'!$A$3:$A$500,$C10,'DADOS BRUTOS'!BR$3:BR$500)))</f>
        <v/>
      </c>
      <c r="ES10" s="123">
        <f>IF(OR(ES$4="",$B10=""),0,SUMIF('DADOS BRUTOS'!$A$3:$A$500,$B10,'DADOS BRUTOS'!BS$3:BS$500)+IF($C10="",0,SUMIF('DADOS BRUTOS'!$A$3:$A$500,$C10,'DADOS BRUTOS'!BS$3:BS$500)))</f>
        <v/>
      </c>
      <c r="ET10" s="123">
        <f>IF(OR(ET$4="",$B10=""),0,SUMIF('DADOS BRUTOS'!$A$3:$A$500,$B10,'DADOS BRUTOS'!BT$3:BT$500)+IF($C10="",0,SUMIF('DADOS BRUTOS'!$A$3:$A$500,$C10,'DADOS BRUTOS'!BT$3:BT$500)))</f>
        <v/>
      </c>
      <c r="EU10" s="123">
        <f>IF(OR(EU$4="",$B10=""),0,SUMIF('DADOS BRUTOS'!$A$3:$A$500,$B10,'DADOS BRUTOS'!BU$3:BU$500)+IF($C10="",0,SUMIF('DADOS BRUTOS'!$A$3:$A$500,$C10,'DADOS BRUTOS'!BU$3:BU$500)))</f>
        <v/>
      </c>
      <c r="EV10" s="123">
        <f>IF(OR(EV$4="",$B10=""),0,SUMIF('DADOS BRUTOS'!$A$3:$A$500,$B10,'DADOS BRUTOS'!BV$3:BV$500)+IF($C10="",0,SUMIF('DADOS BRUTOS'!$A$3:$A$500,$C10,'DADOS BRUTOS'!BV$3:BV$500)))</f>
        <v/>
      </c>
      <c r="EW10" s="123">
        <f>IF(OR(EW$4="",$B10=""),0,SUMIF('DADOS BRUTOS'!$A$3:$A$500,$B10,'DADOS BRUTOS'!BW$3:BW$500)+IF($C10="",0,SUMIF('DADOS BRUTOS'!$A$3:$A$500,$C10,'DADOS BRUTOS'!BW$3:BW$500)))</f>
        <v/>
      </c>
      <c r="EX10" s="123">
        <f>IF(OR(EX$4="",$B10=""),0,SUMIF('DADOS BRUTOS'!$A$3:$A$500,$B10,'DADOS BRUTOS'!BX$3:BX$500)+IF($C10="",0,SUMIF('DADOS BRUTOS'!$A$3:$A$500,$C10,'DADOS BRUTOS'!BX$3:BX$500)))</f>
        <v/>
      </c>
      <c r="EY10" s="123">
        <f>IF(OR(EY$4="",$B10=""),0,SUMIF('DADOS BRUTOS'!$A$3:$A$500,$B10,'DADOS BRUTOS'!BY$3:BY$500)+IF($C10="",0,SUMIF('DADOS BRUTOS'!$A$3:$A$500,$C10,'DADOS BRUTOS'!BY$3:BY$500)))</f>
        <v/>
      </c>
      <c r="EZ10" s="123">
        <f>IF(OR(EZ$4="",$B10=""),0,SUMIF('DADOS BRUTOS'!$A$3:$A$500,$B10,'DADOS BRUTOS'!BZ$3:BZ$500)+IF($C10="",0,SUMIF('DADOS BRUTOS'!$A$3:$A$500,$C10,'DADOS BRUTOS'!BZ$3:BZ$500)))</f>
        <v/>
      </c>
      <c r="FA10" s="123">
        <f>IF(OR(FA$4="",$B10=""),0,SUMIF('DADOS BRUTOS'!$A$3:$A$500,$B10,'DADOS BRUTOS'!CA$3:CA$500)+IF($C10="",0,SUMIF('DADOS BRUTOS'!$A$3:$A$500,$C10,'DADOS BRUTOS'!CA$3:CA$500)))</f>
        <v/>
      </c>
      <c r="FB10" s="123">
        <f>IF(OR(FB$4="",$B10=""),0,SUMIF('DADOS BRUTOS'!$A$3:$A$500,$B10,'DADOS BRUTOS'!CB$3:CB$500)+IF($C10="",0,SUMIF('DADOS BRUTOS'!$A$3:$A$500,$C10,'DADOS BRUTOS'!CB$3:CB$500)))</f>
        <v/>
      </c>
      <c r="FC10" s="123">
        <f>IF(OR(FC$4="",$B10=""),0,SUMIF('DADOS BRUTOS'!$A$3:$A$500,$B10,'DADOS BRUTOS'!CC$3:CC$500)+IF($C10="",0,SUMIF('DADOS BRUTOS'!$A$3:$A$500,$C10,'DADOS BRUTOS'!CC$3:CC$500)))</f>
        <v/>
      </c>
      <c r="FD10" s="123">
        <f>IF(OR(FD$4="",$B10=""),0,SUMIF('DADOS BRUTOS'!$A$3:$A$500,$B10,'DADOS BRUTOS'!CD$3:CD$500)+IF($C10="",0,SUMIF('DADOS BRUTOS'!$A$3:$A$500,$C10,'DADOS BRUTOS'!CD$3:CD$500)))</f>
        <v/>
      </c>
      <c r="FE10" s="123">
        <f>IF(OR(FE$4="",$B10=""),0,SUMIF('DADOS BRUTOS'!$A$3:$A$500,$B10,'DADOS BRUTOS'!CE$3:CE$500)+IF($C10="",0,SUMIF('DADOS BRUTOS'!$A$3:$A$500,$C10,'DADOS BRUTOS'!CE$3:CE$500)))</f>
        <v/>
      </c>
      <c r="FF10" s="123">
        <f>IF(OR(FF$4="",$B10=""),0,SUMIF('DADOS BRUTOS'!$A$3:$A$500,$B10,'DADOS BRUTOS'!CF$3:CF$500)+IF($C10="",0,SUMIF('DADOS BRUTOS'!$A$3:$A$500,$C10,'DADOS BRUTOS'!CF$3:CF$500)))</f>
        <v/>
      </c>
      <c r="FG10" s="123">
        <f>IF(OR(FG$4="",$B10=""),0,SUMIF('DADOS BRUTOS'!$A$3:$A$500,$B10,'DADOS BRUTOS'!CG$3:CG$500)+IF($C10="",0,SUMIF('DADOS BRUTOS'!$A$3:$A$500,$C10,'DADOS BRUTOS'!CG$3:CG$500)))</f>
        <v/>
      </c>
      <c r="FH10" s="123">
        <f>IF(OR(FH$4="",$B10=""),0,SUMIF('DADOS BRUTOS'!$A$3:$A$500,$B10,'DADOS BRUTOS'!CH$3:CH$500)+IF($C10="",0,SUMIF('DADOS BRUTOS'!$A$3:$A$500,$C10,'DADOS BRUTOS'!CH$3:CH$500)))</f>
        <v/>
      </c>
      <c r="FI10" s="123">
        <f>IF(OR(FI$4="",$B10=""),0,SUMIF('DADOS BRUTOS'!$A$3:$A$500,$B10,'DADOS BRUTOS'!CI$3:CI$500)+IF($C10="",0,SUMIF('DADOS BRUTOS'!$A$3:$A$500,$C10,'DADOS BRUTOS'!CI$3:CI$500)))</f>
        <v/>
      </c>
      <c r="FJ10" s="123">
        <f>IF(OR(FJ$4="",$B10=""),0,SUMIF('DADOS BRUTOS'!$A$3:$A$500,$B10,'DADOS BRUTOS'!CJ$3:CJ$500)+IF($C10="",0,SUMIF('DADOS BRUTOS'!$A$3:$A$500,$C10,'DADOS BRUTOS'!CJ$3:CJ$500)))</f>
        <v/>
      </c>
      <c r="FK10" s="123">
        <f>IF(OR(FK$4="",$B10=""),0,SUMIF('DADOS BRUTOS'!$A$3:$A$500,$B10,'DADOS BRUTOS'!CK$3:CK$500)+IF($C10="",0,SUMIF('DADOS BRUTOS'!$A$3:$A$500,$C10,'DADOS BRUTOS'!CK$3:CK$500)))</f>
        <v/>
      </c>
      <c r="FL10" s="123">
        <f>IF(OR(FL$4="",$B10=""),0,SUMIF('DADOS BRUTOS'!$A$3:$A$500,$B10,'DADOS BRUTOS'!CL$3:CL$500)+IF($C10="",0,SUMIF('DADOS BRUTOS'!$A$3:$A$500,$C10,'DADOS BRUTOS'!CL$3:CL$500)))</f>
        <v/>
      </c>
      <c r="FM10" s="123">
        <f>IF(OR(FM$4="",$B10=""),0,SUMIF('DADOS BRUTOS'!$A$3:$A$500,$B10,'DADOS BRUTOS'!CM$3:CM$500)+IF($C10="",0,SUMIF('DADOS BRUTOS'!$A$3:$A$500,$C10,'DADOS BRUTOS'!CM$3:CM$500)))</f>
        <v/>
      </c>
      <c r="FN10" s="123">
        <f>IF(OR(FN$4="",$B10=""),0,SUMIF('DADOS BRUTOS'!$A$3:$A$500,$B10,'DADOS BRUTOS'!CN$3:CN$500)+IF($C10="",0,SUMIF('DADOS BRUTOS'!$A$3:$A$500,$C10,'DADOS BRUTOS'!CN$3:CN$500)))</f>
        <v/>
      </c>
      <c r="FO10" s="123">
        <f>IF(OR(FO$4="",$B10=""),0,SUMIF('DADOS BRUTOS'!$A$3:$A$500,$B10,'DADOS BRUTOS'!CO$3:CO$500)+IF($C10="",0,SUMIF('DADOS BRUTOS'!$A$3:$A$500,$C10,'DADOS BRUTOS'!CO$3:CO$500)))</f>
        <v/>
      </c>
      <c r="FP10" s="123">
        <f>IF(OR(FP$4="",$B10=""),0,SUMIF('DADOS BRUTOS'!$A$3:$A$500,$B10,'DADOS BRUTOS'!CP$3:CP$500)+IF($C10="",0,SUMIF('DADOS BRUTOS'!$A$3:$A$500,$C10,'DADOS BRUTOS'!CP$3:CP$500)))</f>
        <v/>
      </c>
      <c r="FQ10" s="123">
        <f>IF(OR(FQ$4="",$B10=""),0,SUMIF('DADOS BRUTOS'!$A$3:$A$500,$B10,'DADOS BRUTOS'!CQ$3:CQ$500)+IF($C10="",0,SUMIF('DADOS BRUTOS'!$A$3:$A$500,$C10,'DADOS BRUTOS'!CQ$3:CQ$500)))</f>
        <v/>
      </c>
      <c r="FR10" s="123">
        <f>IF(OR(FR$4="",$B10=""),0,SUMIF('DADOS BRUTOS'!$A$3:$A$500,$B10,'DADOS BRUTOS'!CR$3:CR$500)+IF($C10="",0,SUMIF('DADOS BRUTOS'!$A$3:$A$500,$C10,'DADOS BRUTOS'!CR$3:CR$500)))</f>
        <v/>
      </c>
      <c r="FS10" s="123">
        <f>IF(OR(FS$4="",$B10=""),0,SUMIF('DADOS BRUTOS'!$A$3:$A$500,$B10,'DADOS BRUTOS'!CS$3:CS$500)+IF($C10="",0,SUMIF('DADOS BRUTOS'!$A$3:$A$500,$C10,'DADOS BRUTOS'!CS$3:CS$500)))</f>
        <v/>
      </c>
      <c r="FT10" s="123">
        <f>IF(OR(FT$4="",$B10=""),0,SUMIF('DADOS BRUTOS'!$A$3:$A$500,$B10,'DADOS BRUTOS'!CT$3:CT$500)+IF($C10="",0,SUMIF('DADOS BRUTOS'!$A$3:$A$500,$C10,'DADOS BRUTOS'!CT$3:CT$500)))</f>
        <v/>
      </c>
      <c r="FU10" s="123">
        <f>IF(OR(FU$4="",$B10=""),0,SUMIF('DADOS BRUTOS'!$A$3:$A$500,$B10,'DADOS BRUTOS'!CU$3:CU$500)+IF($C10="",0,SUMIF('DADOS BRUTOS'!$A$3:$A$500,$C10,'DADOS BRUTOS'!CU$3:CU$500)))</f>
        <v/>
      </c>
      <c r="FV10" s="123">
        <f>IF(OR(FV$4="",$B10=""),0,SUMIF('DADOS BRUTOS'!$A$3:$A$500,$B10,'DADOS BRUTOS'!CV$3:CV$500)+IF($C10="",0,SUMIF('DADOS BRUTOS'!$A$3:$A$500,$C10,'DADOS BRUTOS'!CV$3:CV$500)))</f>
        <v/>
      </c>
      <c r="FW10" s="123">
        <f>IF(OR(FW$4="",$B10=""),0,SUMIF('DADOS BRUTOS'!$A$3:$A$500,$B10,'DADOS BRUTOS'!CW$3:CW$500)+IF($C10="",0,SUMIF('DADOS BRUTOS'!$A$3:$A$500,$C10,'DADOS BRUTOS'!CW$3:CW$500)))</f>
        <v/>
      </c>
      <c r="FX10" s="123">
        <f>IF(OR(FX$4="",$B10=""),0,SUMIF('DADOS BRUTOS'!$A$3:$A$500,$B10,'DADOS BRUTOS'!CX$3:CX$500)+IF($C10="",0,SUMIF('DADOS BRUTOS'!$A$3:$A$500,$C10,'DADOS BRUTOS'!CX$3:CX$500)))</f>
        <v/>
      </c>
      <c r="FY10" s="123">
        <f>IF(OR(FY$4="",$B10=""),0,SUMIF('DADOS BRUTOS'!$A$3:$A$500,$B10,'DADOS BRUTOS'!CY$3:CY$500)+IF($C10="",0,SUMIF('DADOS BRUTOS'!$A$3:$A$500,$C10,'DADOS BRUTOS'!CY$3:CY$500)))</f>
        <v/>
      </c>
      <c r="FZ10" s="123">
        <f>IF(OR(FZ$4="",$B10=""),0,SUMIF('DADOS BRUTOS'!$A$3:$A$500,$B10,'DADOS BRUTOS'!CZ$3:CZ$500)+IF($C10="",0,SUMIF('DADOS BRUTOS'!$A$3:$A$500,$C10,'DADOS BRUTOS'!CZ$3:CZ$500)))</f>
        <v/>
      </c>
      <c r="GA10" s="123">
        <f>IF(OR(GA$4="",$B10=""),0,SUMIF('DADOS BRUTOS'!$A$3:$A$500,$B10,'DADOS BRUTOS'!DA$3:DA$500)+IF($C10="",0,SUMIF('DADOS BRUTOS'!$A$3:$A$500,$C10,'DADOS BRUTOS'!DA$3:DA$500)))</f>
        <v/>
      </c>
      <c r="GB10" s="123">
        <f>IF(OR(GB$4="",$B10=""),0,SUMIF('DADOS BRUTOS'!$A$3:$A$500,$B10,'DADOS BRUTOS'!DB$3:DB$500)+IF($C10="",0,SUMIF('DADOS BRUTOS'!$A$3:$A$500,$C10,'DADOS BRUTOS'!DB$3:DB$500)))</f>
        <v/>
      </c>
      <c r="GC10" s="123">
        <f>IF(OR(GC$4="",$B10=""),0,SUMIF('DADOS BRUTOS'!$A$3:$A$500,$B10,'DADOS BRUTOS'!DC$3:DC$500)+IF($C10="",0,SUMIF('DADOS BRUTOS'!$A$3:$A$500,$C10,'DADOS BRUTOS'!DC$3:DC$500)))</f>
        <v/>
      </c>
      <c r="GD10" s="123">
        <f>IF(OR(GD$4="",$B10=""),0,SUMIF('DADOS BRUTOS'!$A$3:$A$500,$B10,'DADOS BRUTOS'!DD$3:DD$500)+IF($C10="",0,SUMIF('DADOS BRUTOS'!$A$3:$A$500,$C10,'DADOS BRUTOS'!DD$3:DD$500)))</f>
        <v/>
      </c>
      <c r="GE10" s="123">
        <f>IF(OR(GE$4="",$B10=""),0,SUMIF('DADOS BRUTOS'!$A$3:$A$500,$B10,'DADOS BRUTOS'!DE$3:DE$500)+IF($C10="",0,SUMIF('DADOS BRUTOS'!$A$3:$A$500,$C10,'DADOS BRUTOS'!DE$3:DE$500)))</f>
        <v/>
      </c>
      <c r="GF10" s="123">
        <f>IF(OR(GF$4="",$B10=""),0,SUMIF('DADOS BRUTOS'!$A$3:$A$500,$B10,'DADOS BRUTOS'!DF$3:DF$500)+IF($C10="",0,SUMIF('DADOS BRUTOS'!$A$3:$A$500,$C10,'DADOS BRUTOS'!DF$3:DF$500)))</f>
        <v/>
      </c>
      <c r="GG10" s="123">
        <f>IF(OR(GG$4="",$B10=""),0,SUMIF('DADOS BRUTOS'!$A$3:$A$500,$B10,'DADOS BRUTOS'!DG$3:DG$500)+IF($C10="",0,SUMIF('DADOS BRUTOS'!$A$3:$A$500,$C10,'DADOS BRUTOS'!DG$3:DG$500)))</f>
        <v/>
      </c>
      <c r="GH10" s="123">
        <f>IF(OR(GH$4="",$B10=""),0,SUMIF('DADOS BRUTOS'!$A$3:$A$500,$B10,'DADOS BRUTOS'!DH$3:DH$500)+IF($C10="",0,SUMIF('DADOS BRUTOS'!$A$3:$A$500,$C10,'DADOS BRUTOS'!DH$3:DH$500)))</f>
        <v/>
      </c>
      <c r="GI10" s="123">
        <f>IF(OR(GI$4="",$B10=""),0,SUMIF('DADOS BRUTOS'!$A$3:$A$500,$B10,'DADOS BRUTOS'!DI$3:DI$500)+IF($C10="",0,SUMIF('DADOS BRUTOS'!$A$3:$A$500,$C10,'DADOS BRUTOS'!DI$3:DI$500)))</f>
        <v/>
      </c>
      <c r="GJ10" s="123">
        <f>IF(OR(GJ$4="",$B10=""),0,SUMIF('DADOS BRUTOS'!$A$3:$A$500,$B10,'DADOS BRUTOS'!DJ$3:DJ$500)+IF($C10="",0,SUMIF('DADOS BRUTOS'!$A$3:$A$500,$C10,'DADOS BRUTOS'!DJ$3:DJ$500)))</f>
        <v/>
      </c>
      <c r="GK10" s="123">
        <f>IF(OR(GK$4="",$B10=""),0,SUMIF('DADOS BRUTOS'!$A$3:$A$500,$B10,'DADOS BRUTOS'!DK$3:DK$500)+IF($C10="",0,SUMIF('DADOS BRUTOS'!$A$3:$A$500,$C10,'DADOS BRUTOS'!DK$3:DK$500)))</f>
        <v/>
      </c>
      <c r="GL10" s="123">
        <f>IF(OR(GL$4="",$B10=""),0,SUMIF('DADOS BRUTOS'!$A$3:$A$500,$B10,'DADOS BRUTOS'!DL$3:DL$500)+IF($C10="",0,SUMIF('DADOS BRUTOS'!$A$3:$A$500,$C10,'DADOS BRUTOS'!DL$3:DL$500)))</f>
        <v/>
      </c>
      <c r="GM10" s="123">
        <f>IF(OR(GM$4="",$B10=""),0,SUMIF('DADOS BRUTOS'!$A$3:$A$500,$B10,'DADOS BRUTOS'!DM$3:DM$500)+IF($C10="",0,SUMIF('DADOS BRUTOS'!$A$3:$A$500,$C10,'DADOS BRUTOS'!DM$3:DM$500)))</f>
        <v/>
      </c>
      <c r="GN10" s="123">
        <f>IF(OR(GN$4="",$B10=""),0,SUMIF('DADOS BRUTOS'!$A$3:$A$500,$B10,'DADOS BRUTOS'!DN$3:DN$500)+IF($C10="",0,SUMIF('DADOS BRUTOS'!$A$3:$A$500,$C10,'DADOS BRUTOS'!DN$3:DN$500)))</f>
        <v/>
      </c>
      <c r="GO10" s="123">
        <f>IF(OR(GO$4="",$B10=""),0,SUMIF('DADOS BRUTOS'!$A$3:$A$500,$B10,'DADOS BRUTOS'!DO$3:DO$500)+IF($C10="",0,SUMIF('DADOS BRUTOS'!$A$3:$A$500,$C10,'DADOS BRUTOS'!DO$3:DO$500)))</f>
        <v/>
      </c>
      <c r="GP10" s="123">
        <f>IF(OR(GP$4="",$B10=""),0,SUMIF('DADOS BRUTOS'!$A$3:$A$500,$B10,'DADOS BRUTOS'!DP$3:DP$500)+IF($C10="",0,SUMIF('DADOS BRUTOS'!$A$3:$A$500,$C10,'DADOS BRUTOS'!DP$3:DP$500)))</f>
        <v/>
      </c>
      <c r="GQ10" s="123">
        <f>IF(OR(GQ$4="",$B10=""),0,SUMIF('DADOS BRUTOS'!$A$3:$A$500,$B10,'DADOS BRUTOS'!DQ$3:DQ$500)+IF($C10="",0,SUMIF('DADOS BRUTOS'!$A$3:$A$500,$C10,'DADOS BRUTOS'!DQ$3:DQ$500)))</f>
        <v/>
      </c>
      <c r="GR10" s="123">
        <f>IF(OR(GR$4="",$B10=""),0,SUMIF('DADOS BRUTOS'!$A$3:$A$500,$B10,'DADOS BRUTOS'!DR$3:DR$500)+IF($C10="",0,SUMIF('DADOS BRUTOS'!$A$3:$A$500,$C10,'DADOS BRUTOS'!DR$3:DR$500)))</f>
        <v/>
      </c>
      <c r="GS10" s="123">
        <f>IF(OR(GS$4="",$B10=""),0,SUMIF('DADOS BRUTOS'!$A$3:$A$500,$B10,'DADOS BRUTOS'!DS$3:DS$500)+IF($C10="",0,SUMIF('DADOS BRUTOS'!$A$3:$A$500,$C10,'DADOS BRUTOS'!DS$3:DS$500)))</f>
        <v/>
      </c>
      <c r="GT10" s="123">
        <f>IF(OR(GT$4="",$B10=""),0,SUMIF('DADOS BRUTOS'!$A$3:$A$500,$B10,'DADOS BRUTOS'!DT$3:DT$500)+IF($C10="",0,SUMIF('DADOS BRUTOS'!$A$3:$A$500,$C10,'DADOS BRUTOS'!DT$3:DT$500)))</f>
        <v/>
      </c>
      <c r="GU10" s="123">
        <f>IF(OR(GU$4="",$B10=""),0,SUMIF('DADOS BRUTOS'!$A$3:$A$500,$B10,'DADOS BRUTOS'!DU$3:DU$500)+IF($C10="",0,SUMIF('DADOS BRUTOS'!$A$3:$A$500,$C10,'DADOS BRUTOS'!DU$3:DU$500)))</f>
        <v/>
      </c>
      <c r="GV10" s="123">
        <f>IF(OR(GV$4="",$B10=""),0,SUMIF('DADOS BRUTOS'!$A$3:$A$500,$B10,'DADOS BRUTOS'!DV$3:DV$500)+IF($C10="",0,SUMIF('DADOS BRUTOS'!$A$3:$A$500,$C10,'DADOS BRUTOS'!DV$3:DV$500)))</f>
        <v/>
      </c>
      <c r="GW10" s="123">
        <f>IF(OR(GW$4="",$B10=""),0,SUMIF('DADOS BRUTOS'!$A$3:$A$500,$B10,'DADOS BRUTOS'!DW$3:DW$500)+IF($C10="",0,SUMIF('DADOS BRUTOS'!$A$3:$A$500,$C10,'DADOS BRUTOS'!DW$3:DW$500)))</f>
        <v/>
      </c>
      <c r="GX10" s="123">
        <f>IF(OR(GX$4="",$B10=""),0,SUMIF('DADOS BRUTOS'!$A$3:$A$500,$B10,'DADOS BRUTOS'!DX$3:DX$500)+IF($C10="",0,SUMIF('DADOS BRUTOS'!$A$3:$A$500,$C10,'DADOS BRUTOS'!DX$3:DX$500)))</f>
        <v/>
      </c>
      <c r="GY10" s="123">
        <f>IF(OR(GY$4="",$B10=""),0,SUMIF('DADOS BRUTOS'!$A$3:$A$500,$B10,'DADOS BRUTOS'!DY$3:DY$500)+IF($C10="",0,SUMIF('DADOS BRUTOS'!$A$3:$A$500,$C10,'DADOS BRUTOS'!DY$3:DY$500)))</f>
        <v/>
      </c>
      <c r="GZ10" s="123">
        <f>IF(OR(GZ$4="",$B10=""),0,SUMIF('DADOS BRUTOS'!$A$3:$A$500,$B10,'DADOS BRUTOS'!DZ$3:DZ$500)+IF($C10="",0,SUMIF('DADOS BRUTOS'!$A$3:$A$500,$C10,'DADOS BRUTOS'!DZ$3:DZ$500)))</f>
        <v/>
      </c>
      <c r="HA10" s="123">
        <f>IF(OR(HA$4="",$B10=""),0,SUMIF('DADOS BRUTOS'!$A$3:$A$500,$B10,'DADOS BRUTOS'!EA$3:EA$500)+IF($C10="",0,SUMIF('DADOS BRUTOS'!$A$3:$A$500,$C10,'DADOS BRUTOS'!EA$3:EA$500)))</f>
        <v/>
      </c>
      <c r="HB10" s="123">
        <f>IF(OR(HB$4="",$B10=""),0,SUMIF('DADOS BRUTOS'!$A$3:$A$500,$B10,'DADOS BRUTOS'!EB$3:EB$500)+IF($C10="",0,SUMIF('DADOS BRUTOS'!$A$3:$A$500,$C10,'DADOS BRUTOS'!EB$3:EB$500)))</f>
        <v/>
      </c>
      <c r="HC10" s="123">
        <f>IF(OR(HC$4="",$B10=""),0,SUMIF('DADOS BRUTOS'!$A$3:$A$500,$B10,'DADOS BRUTOS'!EC$3:EC$500)+IF($C10="",0,SUMIF('DADOS BRUTOS'!$A$3:$A$500,$C10,'DADOS BRUTOS'!EC$3:EC$500)))</f>
        <v/>
      </c>
      <c r="HD10" s="123">
        <f>IF(OR(HD$4="",$B10=""),0,SUMIF('DADOS BRUTOS'!$A$3:$A$500,$B10,'DADOS BRUTOS'!ED$3:ED$500)+IF($C10="",0,SUMIF('DADOS BRUTOS'!$A$3:$A$500,$C10,'DADOS BRUTOS'!ED$3:ED$500)))</f>
        <v/>
      </c>
      <c r="HE10" s="123">
        <f>IF(OR(HE$4="",$B10=""),0,SUMIF('DADOS BRUTOS'!$A$3:$A$500,$B10,'DADOS BRUTOS'!EE$3:EE$500)+IF($C10="",0,SUMIF('DADOS BRUTOS'!$A$3:$A$500,$C10,'DADOS BRUTOS'!EE$3:EE$500)))</f>
        <v/>
      </c>
      <c r="HF10" s="123">
        <f>IF(OR(HF$4="",$B10=""),0,SUMIF('DADOS BRUTOS'!$A$3:$A$500,$B10,'DADOS BRUTOS'!EF$3:EF$500)+IF($C10="",0,SUMIF('DADOS BRUTOS'!$A$3:$A$500,$C10,'DADOS BRUTOS'!EF$3:EF$500)))</f>
        <v/>
      </c>
      <c r="HG10" s="123">
        <f>IF(OR(HG$4="",$B10=""),0,SUMIF('DADOS BRUTOS'!$A$3:$A$500,$B10,'DADOS BRUTOS'!EG$3:EG$500)+IF($C10="",0,SUMIF('DADOS BRUTOS'!$A$3:$A$500,$C10,'DADOS BRUTOS'!EG$3:EG$500)))</f>
        <v/>
      </c>
      <c r="HH10" s="123">
        <f>IF(OR(HH$4="",$B10=""),0,SUMIF('DADOS BRUTOS'!$A$3:$A$500,$B10,'DADOS BRUTOS'!EH$3:EH$500)+IF($C10="",0,SUMIF('DADOS BRUTOS'!$A$3:$A$500,$C10,'DADOS BRUTOS'!EH$3:EH$500)))</f>
        <v/>
      </c>
      <c r="HI10" s="123">
        <f>IF(OR(HI$4="",$B10=""),0,SUMIF('DADOS BRUTOS'!$A$3:$A$500,$B10,'DADOS BRUTOS'!EI$3:EI$500)+IF($C10="",0,SUMIF('DADOS BRUTOS'!$A$3:$A$500,$C10,'DADOS BRUTOS'!EI$3:EI$500)))</f>
        <v/>
      </c>
      <c r="HJ10" s="123">
        <f>IF(OR(HJ$4="",$B10=""),0,SUMIF('DADOS BRUTOS'!$A$3:$A$500,$B10,'DADOS BRUTOS'!EJ$3:EJ$500)+IF($C10="",0,SUMIF('DADOS BRUTOS'!$A$3:$A$500,$C10,'DADOS BRUTOS'!EJ$3:EJ$500)))</f>
        <v/>
      </c>
      <c r="HK10" s="123">
        <f>IF(OR(HK$4="",$B10=""),0,SUMIF('DADOS BRUTOS'!$A$3:$A$500,$B10,'DADOS BRUTOS'!EK$3:EK$500)+IF($C10="",0,SUMIF('DADOS BRUTOS'!$A$3:$A$500,$C10,'DADOS BRUTOS'!EK$3:EK$500)))</f>
        <v/>
      </c>
      <c r="HL10" s="123">
        <f>IF(OR(HL$4="",$B10=""),0,SUMIF('DADOS BRUTOS'!$A$3:$A$500,$B10,'DADOS BRUTOS'!EL$3:EL$500)+IF($C10="",0,SUMIF('DADOS BRUTOS'!$A$3:$A$500,$C10,'DADOS BRUTOS'!EL$3:EL$500)))</f>
        <v/>
      </c>
      <c r="HM10" s="123">
        <f>IF(OR(HM$4="",$B10=""),0,SUMIF('DADOS BRUTOS'!$A$3:$A$500,$B10,'DADOS BRUTOS'!EM$3:EM$500)+IF($C10="",0,SUMIF('DADOS BRUTOS'!$A$3:$A$500,$C10,'DADOS BRUTOS'!EM$3:EM$500)))</f>
        <v/>
      </c>
      <c r="HN10" s="123">
        <f>IF(OR(HN$4="",$B10=""),0,SUMIF('DADOS BRUTOS'!$A$3:$A$500,$B10,'DADOS BRUTOS'!EN$3:EN$500)+IF($C10="",0,SUMIF('DADOS BRUTOS'!$A$3:$A$500,$C10,'DADOS BRUTOS'!EN$3:EN$500)))</f>
        <v/>
      </c>
      <c r="HO10" s="123">
        <f>IF(OR(HO$4="",$B10=""),0,SUMIF('DADOS BRUTOS'!$A$3:$A$500,$B10,'DADOS BRUTOS'!EO$3:EO$500)+IF($C10="",0,SUMIF('DADOS BRUTOS'!$A$3:$A$500,$C10,'DADOS BRUTOS'!EO$3:EO$500)))</f>
        <v/>
      </c>
      <c r="HP10" s="123">
        <f>IF(OR(HP$4="",$B10=""),0,SUMIF('DADOS BRUTOS'!$A$3:$A$500,$B10,'DADOS BRUTOS'!EP$3:EP$500)+IF($C10="",0,SUMIF('DADOS BRUTOS'!$A$3:$A$500,$C10,'DADOS BRUTOS'!EP$3:EP$500)))</f>
        <v/>
      </c>
      <c r="HQ10" s="123">
        <f>IF(OR(HQ$4="",$B10=""),0,SUMIF('DADOS BRUTOS'!$A$3:$A$500,$B10,'DADOS BRUTOS'!EQ$3:EQ$500)+IF($C10="",0,SUMIF('DADOS BRUTOS'!$A$3:$A$500,$C10,'DADOS BRUTOS'!EQ$3:EQ$500)))</f>
        <v/>
      </c>
      <c r="HR10" s="123">
        <f>IF(OR(HR$4="",$B10=""),0,SUMIF('DADOS BRUTOS'!$A$3:$A$500,$B10,'DADOS BRUTOS'!ER$3:ER$500)+IF($C10="",0,SUMIF('DADOS BRUTOS'!$A$3:$A$500,$C10,'DADOS BRUTOS'!ER$3:ER$500)))</f>
        <v/>
      </c>
      <c r="HS10" s="123">
        <f>IF(OR(HS$4="",$B10=""),0,SUMIF('DADOS BRUTOS'!$A$3:$A$500,$B10,'DADOS BRUTOS'!ES$3:ES$500)+IF($C10="",0,SUMIF('DADOS BRUTOS'!$A$3:$A$500,$C10,'DADOS BRUTOS'!ES$3:ES$500)))</f>
        <v/>
      </c>
      <c r="HT10" s="123">
        <f>IF(OR(HT$4="",$B10=""),0,SUMIF('DADOS BRUTOS'!$A$3:$A$500,$B10,'DADOS BRUTOS'!ET$3:ET$500)+IF($C10="",0,SUMIF('DADOS BRUTOS'!$A$3:$A$500,$C10,'DADOS BRUTOS'!ET$3:ET$500)))</f>
        <v/>
      </c>
      <c r="HU10" s="123">
        <f>IF(OR(HU$4="",$B10=""),0,SUMIF('DADOS BRUTOS'!$A$3:$A$500,$B10,'DADOS BRUTOS'!EU$3:EU$500)+IF($C10="",0,SUMIF('DADOS BRUTOS'!$A$3:$A$500,$C10,'DADOS BRUTOS'!EU$3:EU$500)))</f>
        <v/>
      </c>
      <c r="HV10" s="123">
        <f>IF(OR(HV$4="",$B10=""),0,SUMIF('DADOS BRUTOS'!$A$3:$A$500,$B10,'DADOS BRUTOS'!EV$3:EV$500)+IF($C10="",0,SUMIF('DADOS BRUTOS'!$A$3:$A$500,$C10,'DADOS BRUTOS'!EV$3:EV$500)))</f>
        <v/>
      </c>
      <c r="HW10" s="123">
        <f>IF(OR(HW$4="",$B10=""),0,SUMIF('DADOS BRUTOS'!$A$3:$A$500,$B10,'DADOS BRUTOS'!EW$3:EW$500)+IF($C10="",0,SUMIF('DADOS BRUTOS'!$A$3:$A$500,$C10,'DADOS BRUTOS'!EW$3:EW$500)))</f>
        <v/>
      </c>
      <c r="HX10" s="123">
        <f>IF(OR(HX$4="",$B10=""),0,SUMIF('DADOS BRUTOS'!$A$3:$A$500,$B10,'DADOS BRUTOS'!EX$3:EX$500)+IF($C10="",0,SUMIF('DADOS BRUTOS'!$A$3:$A$500,$C10,'DADOS BRUTOS'!EX$3:EX$500)))</f>
        <v/>
      </c>
      <c r="HY10" s="123">
        <f>IF(OR(HY$4="",$B10=""),0,SUMIF('DADOS BRUTOS'!$A$3:$A$500,$B10,'DADOS BRUTOS'!EY$3:EY$500)+IF($C10="",0,SUMIF('DADOS BRUTOS'!$A$3:$A$500,$C10,'DADOS BRUTOS'!EY$3:EY$500)))</f>
        <v/>
      </c>
      <c r="HZ10" s="123">
        <f>IF(OR(HZ$4="",$B10=""),0,SUMIF('DADOS BRUTOS'!$A$3:$A$500,$B10,'DADOS BRUTOS'!EZ$3:EZ$500)+IF($C10="",0,SUMIF('DADOS BRUTOS'!$A$3:$A$500,$C10,'DADOS BRUTOS'!EZ$3:EZ$500)))</f>
        <v/>
      </c>
      <c r="IA10" s="123">
        <f>IF(OR(IA$4="",$B10=""),0,SUMIF('DADOS BRUTOS'!$A$3:$A$500,$B10,'DADOS BRUTOS'!FA$3:FA$500)+IF($C10="",0,SUMIF('DADOS BRUTOS'!$A$3:$A$500,$C10,'DADOS BRUTOS'!FA$3:FA$500)))</f>
        <v/>
      </c>
      <c r="IB10" s="123">
        <f>IF(OR(IB$4="",$B10=""),0,SUMIF('DADOS BRUTOS'!$A$3:$A$500,$B10,'DADOS BRUTOS'!FB$3:FB$500)+IF($C10="",0,SUMIF('DADOS BRUTOS'!$A$3:$A$500,$C10,'DADOS BRUTOS'!FB$3:FB$500)))</f>
        <v/>
      </c>
      <c r="IC10" s="123">
        <f>IF(OR(IC$4="",$B10=""),0,SUMIF('DADOS BRUTOS'!$A$3:$A$500,$B10,'DADOS BRUTOS'!FC$3:FC$500)+IF($C10="",0,SUMIF('DADOS BRUTOS'!$A$3:$A$500,$C10,'DADOS BRUTOS'!FC$3:FC$500)))</f>
        <v/>
      </c>
      <c r="ID10" s="123">
        <f>IF(OR(ID$4="",$B10=""),0,SUMIF('DADOS BRUTOS'!$A$3:$A$500,$B10,'DADOS BRUTOS'!FD$3:FD$500)+IF($C10="",0,SUMIF('DADOS BRUTOS'!$A$3:$A$500,$C10,'DADOS BRUTOS'!FD$3:FD$500)))</f>
        <v/>
      </c>
      <c r="IE10" s="123">
        <f>IF(OR(IE$4="",$B10=""),0,SUMIF('DADOS BRUTOS'!$A$3:$A$500,$B10,'DADOS BRUTOS'!FE$3:FE$500)+IF($C10="",0,SUMIF('DADOS BRUTOS'!$A$3:$A$500,$C10,'DADOS BRUTOS'!FE$3:FE$500)))</f>
        <v/>
      </c>
      <c r="IF10" s="123">
        <f>IF(OR(IF$4="",$B10=""),0,SUMIF('DADOS BRUTOS'!$A$3:$A$500,$B10,'DADOS BRUTOS'!FF$3:FF$500)+IF($C10="",0,SUMIF('DADOS BRUTOS'!$A$3:$A$500,$C10,'DADOS BRUTOS'!FF$3:FF$500)))</f>
        <v/>
      </c>
      <c r="IG10" s="123">
        <f>IF(OR(IG$4="",$B10=""),0,SUMIF('DADOS BRUTOS'!$A$3:$A$500,$B10,'DADOS BRUTOS'!FG$3:FG$500)+IF($C10="",0,SUMIF('DADOS BRUTOS'!$A$3:$A$500,$C10,'DADOS BRUTOS'!FG$3:FG$500)))</f>
        <v/>
      </c>
      <c r="IH10" s="123">
        <f>IF(OR(IH$4="",$B10=""),0,SUMIF('DADOS BRUTOS'!$A$3:$A$500,$B10,'DADOS BRUTOS'!FH$3:FH$500)+IF($C10="",0,SUMIF('DADOS BRUTOS'!$A$3:$A$500,$C10,'DADOS BRUTOS'!FH$3:FH$500)))</f>
        <v/>
      </c>
      <c r="II10" s="123">
        <f>IF(OR(II$4="",$B10=""),0,SUMIF('DADOS BRUTOS'!$A$3:$A$500,$B10,'DADOS BRUTOS'!FI$3:FI$500)+IF($C10="",0,SUMIF('DADOS BRUTOS'!$A$3:$A$500,$C10,'DADOS BRUTOS'!FI$3:FI$500)))</f>
        <v/>
      </c>
      <c r="IJ10" s="123">
        <f>IF(OR(IJ$4="",$B10=""),0,SUMIF('DADOS BRUTOS'!$A$3:$A$500,$B10,'DADOS BRUTOS'!FJ$3:FJ$500)+IF($C10="",0,SUMIF('DADOS BRUTOS'!$A$3:$A$500,$C10,'DADOS BRUTOS'!FJ$3:FJ$500)))</f>
        <v/>
      </c>
      <c r="IK10" s="123">
        <f>IF(OR(IK$4="",$B10=""),0,SUMIF('DADOS BRUTOS'!$A$3:$A$500,$B10,'DADOS BRUTOS'!FK$3:FK$500)+IF($C10="",0,SUMIF('DADOS BRUTOS'!$A$3:$A$500,$C10,'DADOS BRUTOS'!FK$3:FK$500)))</f>
        <v/>
      </c>
      <c r="IL10" s="123">
        <f>IF(OR(IL$4="",$B10=""),0,SUMIF('DADOS BRUTOS'!$A$3:$A$500,$B10,'DADOS BRUTOS'!FL$3:FL$500)+IF($C10="",0,SUMIF('DADOS BRUTOS'!$A$3:$A$500,$C10,'DADOS BRUTOS'!FL$3:FL$500)))</f>
        <v/>
      </c>
      <c r="IM10" s="123">
        <f>IF(OR(IM$4="",$B10=""),0,SUMIF('DADOS BRUTOS'!$A$3:$A$500,$B10,'DADOS BRUTOS'!FM$3:FM$500)+IF($C10="",0,SUMIF('DADOS BRUTOS'!$A$3:$A$500,$C10,'DADOS BRUTOS'!FM$3:FM$500)))</f>
        <v/>
      </c>
      <c r="IN10" s="123">
        <f>IF(OR(IN$4="",$B10=""),0,SUMIF('DADOS BRUTOS'!$A$3:$A$500,$B10,'DADOS BRUTOS'!FN$3:FN$500)+IF($C10="",0,SUMIF('DADOS BRUTOS'!$A$3:$A$500,$C10,'DADOS BRUTOS'!FN$3:FN$500)))</f>
        <v/>
      </c>
      <c r="IO10" s="123">
        <f>IF(OR(IO$4="",$B10=""),0,SUMIF('DADOS BRUTOS'!$A$3:$A$500,$B10,'DADOS BRUTOS'!FO$3:FO$500)+IF($C10="",0,SUMIF('DADOS BRUTOS'!$A$3:$A$500,$C10,'DADOS BRUTOS'!FO$3:FO$500)))</f>
        <v/>
      </c>
      <c r="IP10" s="123">
        <f>IF(OR(IP$4="",$B10=""),0,SUMIF('DADOS BRUTOS'!$A$3:$A$500,$B10,'DADOS BRUTOS'!FP$3:FP$500)+IF($C10="",0,SUMIF('DADOS BRUTOS'!$A$3:$A$500,$C10,'DADOS BRUTOS'!FP$3:FP$500)))</f>
        <v/>
      </c>
      <c r="IQ10" s="123">
        <f>IF(OR(IQ$4="",$B10=""),0,SUMIF('DADOS BRUTOS'!$A$3:$A$500,$B10,'DADOS BRUTOS'!FQ$3:FQ$500)+IF($C10="",0,SUMIF('DADOS BRUTOS'!$A$3:$A$500,$C10,'DADOS BRUTOS'!FQ$3:FQ$500)))</f>
        <v/>
      </c>
      <c r="IR10" s="123">
        <f>IF(OR(IR$4="",$B10=""),0,SUMIF('DADOS BRUTOS'!$A$3:$A$500,$B10,'DADOS BRUTOS'!FR$3:FR$500)+IF($C10="",0,SUMIF('DADOS BRUTOS'!$A$3:$A$500,$C10,'DADOS BRUTOS'!FR$3:FR$500)))</f>
        <v/>
      </c>
      <c r="IS10" s="123">
        <f>IF(OR(IS$4="",$B10=""),0,SUMIF('DADOS BRUTOS'!$A$3:$A$500,$B10,'DADOS BRUTOS'!FS$3:FS$500)+IF($C10="",0,SUMIF('DADOS BRUTOS'!$A$3:$A$500,$C10,'DADOS BRUTOS'!FS$3:FS$500)))</f>
        <v/>
      </c>
      <c r="IT10" s="123">
        <f>IF(OR(IT$4="",$B10=""),0,SUMIF('DADOS BRUTOS'!$A$3:$A$500,$B10,'DADOS BRUTOS'!FT$3:FT$500)+IF($C10="",0,SUMIF('DADOS BRUTOS'!$A$3:$A$500,$C10,'DADOS BRUTOS'!FT$3:FT$500)))</f>
        <v/>
      </c>
      <c r="IU10" s="123">
        <f>IF(OR(IU$4="",$B10=""),0,SUMIF('DADOS BRUTOS'!$A$3:$A$500,$B10,'DADOS BRUTOS'!FU$3:FU$500)+IF($C10="",0,SUMIF('DADOS BRUTOS'!$A$3:$A$500,$C10,'DADOS BRUTOS'!FU$3:FU$500)))</f>
        <v/>
      </c>
      <c r="IV10" s="123">
        <f>IF(OR(IV$4="",$B10=""),0,SUMIF('DADOS BRUTOS'!$A$3:$A$500,$B10,'DADOS BRUTOS'!FV$3:FV$500)+IF($C10="",0,SUMIF('DADOS BRUTOS'!$A$3:$A$500,$C10,'DADOS BRUTOS'!FV$3:FV$500)))</f>
        <v/>
      </c>
      <c r="IW10" s="123">
        <f>IF(OR(IW$4="",$B10=""),0,SUMIF('DADOS BRUTOS'!$A$3:$A$500,$B10,'DADOS BRUTOS'!FW$3:FW$500)+IF($C10="",0,SUMIF('DADOS BRUTOS'!$A$3:$A$500,$C10,'DADOS BRUTOS'!FW$3:FW$500)))</f>
        <v/>
      </c>
      <c r="IX10" s="123">
        <f>IF(OR(IX$4="",$B10=""),0,SUMIF('DADOS BRUTOS'!$A$3:$A$500,$B10,'DADOS BRUTOS'!FX$3:FX$500)+IF($C10="",0,SUMIF('DADOS BRUTOS'!$A$3:$A$500,$C10,'DADOS BRUTOS'!FX$3:FX$500)))</f>
        <v/>
      </c>
      <c r="IY10" s="123">
        <f>IF(OR(IY$4="",$B10=""),0,SUMIF('DADOS BRUTOS'!$A$3:$A$500,$B10,'DADOS BRUTOS'!FY$3:FY$500)+IF($C10="",0,SUMIF('DADOS BRUTOS'!$A$3:$A$500,$C10,'DADOS BRUTOS'!FY$3:FY$500)))</f>
        <v/>
      </c>
      <c r="IZ10" s="123">
        <f>IF(OR(IZ$4="",$B10=""),0,SUMIF('DADOS BRUTOS'!$A$3:$A$500,$B10,'DADOS BRUTOS'!FZ$3:FZ$500)+IF($C10="",0,SUMIF('DADOS BRUTOS'!$A$3:$A$500,$C10,'DADOS BRUTOS'!FZ$3:FZ$500)))</f>
        <v/>
      </c>
      <c r="JA10" s="123">
        <f>IF(OR(JA$4="",$B10=""),0,SUMIF('DADOS BRUTOS'!$A$3:$A$500,$B10,'DADOS BRUTOS'!GA$3:GA$500)+IF($C10="",0,SUMIF('DADOS BRUTOS'!$A$3:$A$500,$C10,'DADOS BRUTOS'!GA$3:GA$500)))</f>
        <v/>
      </c>
      <c r="JB10" s="123">
        <f>IF(OR(JB$4="",$B10=""),0,SUMIF('DADOS BRUTOS'!$A$3:$A$500,$B10,'DADOS BRUTOS'!GB$3:GB$500)+IF($C10="",0,SUMIF('DADOS BRUTOS'!$A$3:$A$500,$C10,'DADOS BRUTOS'!GB$3:GB$500)))</f>
        <v/>
      </c>
      <c r="JC10" s="123">
        <f>IF(OR(JC$4="",$B10=""),0,SUMIF('DADOS BRUTOS'!$A$3:$A$500,$B10,'DADOS BRUTOS'!GC$3:GC$500)+IF($C10="",0,SUMIF('DADOS BRUTOS'!$A$3:$A$500,$C10,'DADOS BRUTOS'!GC$3:GC$500)))</f>
        <v/>
      </c>
      <c r="JD10" s="123">
        <f>IF(OR(JD$4="",$B10=""),0,SUMIF('DADOS BRUTOS'!$A$3:$A$500,$B10,'DADOS BRUTOS'!GD$3:GD$500)+IF($C10="",0,SUMIF('DADOS BRUTOS'!$A$3:$A$500,$C10,'DADOS BRUTOS'!GD$3:GD$500)))</f>
        <v/>
      </c>
      <c r="JE10" s="123">
        <f>IF(OR(JE$4="",$B10=""),0,SUMIF('DADOS BRUTOS'!$A$3:$A$500,$B10,'DADOS BRUTOS'!GE$3:GE$500)+IF($C10="",0,SUMIF('DADOS BRUTOS'!$A$3:$A$500,$C10,'DADOS BRUTOS'!GE$3:GE$500)))</f>
        <v/>
      </c>
      <c r="JF10" s="123">
        <f>IF(OR(JF$4="",$B10=""),0,SUMIF('DADOS BRUTOS'!$A$3:$A$500,$B10,'DADOS BRUTOS'!GF$3:GF$500)+IF($C10="",0,SUMIF('DADOS BRUTOS'!$A$3:$A$500,$C10,'DADOS BRUTOS'!GF$3:GF$500)))</f>
        <v/>
      </c>
      <c r="JG10" s="123">
        <f>IF(OR(JG$4="",$B10=""),0,SUMIF('DADOS BRUTOS'!$A$3:$A$500,$B10,'DADOS BRUTOS'!GG$3:GG$500)+IF($C10="",0,SUMIF('DADOS BRUTOS'!$A$3:$A$500,$C10,'DADOS BRUTOS'!GG$3:GG$500)))</f>
        <v/>
      </c>
      <c r="JH10" s="123">
        <f>IF(OR(JH$4="",$B10=""),0,SUMIF('DADOS BRUTOS'!$A$3:$A$500,$B10,'DADOS BRUTOS'!GH$3:GH$500)+IF($C10="",0,SUMIF('DADOS BRUTOS'!$A$3:$A$500,$C10,'DADOS BRUTOS'!GH$3:GH$500)))</f>
        <v/>
      </c>
      <c r="JI10" s="123">
        <f>IF(OR(JI$4="",$B10=""),0,SUMIF('DADOS BRUTOS'!$A$3:$A$500,$B10,'DADOS BRUTOS'!GI$3:GI$500)+IF($C10="",0,SUMIF('DADOS BRUTOS'!$A$3:$A$500,$C10,'DADOS BRUTOS'!GI$3:GI$500)))</f>
        <v/>
      </c>
      <c r="JJ10" s="123">
        <f>IF(OR(JJ$4="",$B10=""),0,SUMIF('DADOS BRUTOS'!$A$3:$A$500,$B10,'DADOS BRUTOS'!GJ$3:GJ$500)+IF($C10="",0,SUMIF('DADOS BRUTOS'!$A$3:$A$500,$C10,'DADOS BRUTOS'!GJ$3:GJ$500)))</f>
        <v/>
      </c>
      <c r="JK10" s="123">
        <f>IF(OR(JK$4="",$B10=""),0,SUMIF('DADOS BRUTOS'!$A$3:$A$500,$B10,'DADOS BRUTOS'!GK$3:GK$500)+IF($C10="",0,SUMIF('DADOS BRUTOS'!$A$3:$A$500,$C10,'DADOS BRUTOS'!GK$3:GK$500)))</f>
        <v/>
      </c>
      <c r="JL10" s="123">
        <f>IF(OR(JL$4="",$B10=""),0,SUMIF('DADOS BRUTOS'!$A$3:$A$500,$B10,'DADOS BRUTOS'!GL$3:GL$500)+IF($C10="",0,SUMIF('DADOS BRUTOS'!$A$3:$A$500,$C10,'DADOS BRUTOS'!GL$3:GL$500)))</f>
        <v/>
      </c>
      <c r="JM10" s="123">
        <f>IF(OR(JM$4="",$B10=""),0,SUMIF('DADOS BRUTOS'!$A$3:$A$500,$B10,'DADOS BRUTOS'!GM$3:GM$500)+IF($C10="",0,SUMIF('DADOS BRUTOS'!$A$3:$A$500,$C10,'DADOS BRUTOS'!GM$3:GM$500)))</f>
        <v/>
      </c>
      <c r="JN10" s="123">
        <f>IF(OR(JN$4="",$B10=""),0,SUMIF('DADOS BRUTOS'!$A$3:$A$500,$B10,'DADOS BRUTOS'!GN$3:GN$500)+IF($C10="",0,SUMIF('DADOS BRUTOS'!$A$3:$A$500,$C10,'DADOS BRUTOS'!GN$3:GN$500)))</f>
        <v/>
      </c>
      <c r="JO10" s="123">
        <f>IF(OR(JO$4="",$B10=""),0,SUMIF('DADOS BRUTOS'!$A$3:$A$500,$B10,'DADOS BRUTOS'!GO$3:GO$500)+IF($C10="",0,SUMIF('DADOS BRUTOS'!$A$3:$A$500,$C10,'DADOS BRUTOS'!GO$3:GO$500)))</f>
        <v/>
      </c>
      <c r="JP10" s="123">
        <f>IF(OR(JP$4="",$B10=""),0,SUMIF('DADOS BRUTOS'!$A$3:$A$500,$B10,'DADOS BRUTOS'!GP$3:GP$500)+IF($C10="",0,SUMIF('DADOS BRUTOS'!$A$3:$A$500,$C10,'DADOS BRUTOS'!GP$3:GP$500)))</f>
        <v/>
      </c>
      <c r="JQ10" s="123">
        <f>IF(OR(JQ$4="",$B10=""),0,SUMIF('DADOS BRUTOS'!$A$3:$A$500,$B10,'DADOS BRUTOS'!GQ$3:GQ$500)+IF($C10="",0,SUMIF('DADOS BRUTOS'!$A$3:$A$500,$C10,'DADOS BRUTOS'!GQ$3:GQ$500)))</f>
        <v/>
      </c>
      <c r="JR10" s="123">
        <f>IF(OR(JR$4="",$B10=""),0,SUMIF('DADOS BRUTOS'!$A$3:$A$500,$B10,'DADOS BRUTOS'!GR$3:GR$500)+IF($C10="",0,SUMIF('DADOS BRUTOS'!$A$3:$A$500,$C10,'DADOS BRUTOS'!GR$3:GR$500)))</f>
        <v/>
      </c>
      <c r="JS10" s="123">
        <f>IF(OR(JS$4="",$B10=""),0,SUMIF('DADOS BRUTOS'!$A$3:$A$500,$B10,'DADOS BRUTOS'!GS$3:GS$500)+IF($C10="",0,SUMIF('DADOS BRUTOS'!$A$3:$A$500,$C10,'DADOS BRUTOS'!GS$3:GS$500)))</f>
        <v/>
      </c>
    </row>
    <row r="11">
      <c r="A11" s="60">
        <f>'VALOR POR PL'!D17</f>
        <v/>
      </c>
      <c r="B11" s="59" t="inlineStr">
        <is>
          <t>DIVERSOS</t>
        </is>
      </c>
      <c r="C11" s="59" t="n"/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CB11" s="123">
        <f>IF(OR(CB$4="",$B11=""),0,SUMIF('DADOS BRUTOS'!$A$3:$A$500,$B11,'DADOS BRUTOS'!B$3:B$500)+IF($C11="",0,SUMIF('DADOS BRUTOS'!$A$3:$A$500,$C11,'DADOS BRUTOS'!B$3:B$500)))</f>
        <v/>
      </c>
      <c r="CC11" s="123">
        <f>IF(OR(CC$4="",$B11=""),0,SUMIF('DADOS BRUTOS'!$A$3:$A$500,$B11,'DADOS BRUTOS'!C$3:C$500)+IF($C11="",0,SUMIF('DADOS BRUTOS'!$A$3:$A$500,$C11,'DADOS BRUTOS'!C$3:C$500)))</f>
        <v/>
      </c>
      <c r="CD11" s="123">
        <f>IF(OR(CD$4="",$B11=""),0,SUMIF('DADOS BRUTOS'!$A$3:$A$500,$B11,'DADOS BRUTOS'!D$3:D$500)+IF($C11="",0,SUMIF('DADOS BRUTOS'!$A$3:$A$500,$C11,'DADOS BRUTOS'!D$3:D$500)))</f>
        <v/>
      </c>
      <c r="CE11" s="123">
        <f>IF(OR(CE$4="",$B11=""),0,SUMIF('DADOS BRUTOS'!$A$3:$A$500,$B11,'DADOS BRUTOS'!E$3:E$500)+IF($C11="",0,SUMIF('DADOS BRUTOS'!$A$3:$A$500,$C11,'DADOS BRUTOS'!E$3:E$500)))</f>
        <v/>
      </c>
      <c r="CF11" s="123">
        <f>IF(OR(CF$4="",$B11=""),0,SUMIF('DADOS BRUTOS'!$A$3:$A$500,$B11,'DADOS BRUTOS'!F$3:F$500)+IF($C11="",0,SUMIF('DADOS BRUTOS'!$A$3:$A$500,$C11,'DADOS BRUTOS'!F$3:F$500)))</f>
        <v/>
      </c>
      <c r="CG11" s="123">
        <f>IF(OR(CG$4="",$B11=""),0,SUMIF('DADOS BRUTOS'!$A$3:$A$500,$B11,'DADOS BRUTOS'!G$3:G$500)+IF($C11="",0,SUMIF('DADOS BRUTOS'!$A$3:$A$500,$C11,'DADOS BRUTOS'!G$3:G$500)))</f>
        <v/>
      </c>
      <c r="CH11" s="123">
        <f>IF(OR(CH$4="",$B11=""),0,SUMIF('DADOS BRUTOS'!$A$3:$A$500,$B11,'DADOS BRUTOS'!H$3:H$500)+IF($C11="",0,SUMIF('DADOS BRUTOS'!$A$3:$A$500,$C11,'DADOS BRUTOS'!H$3:H$500)))</f>
        <v/>
      </c>
      <c r="CI11" s="123">
        <f>IF(OR(CI$4="",$B11=""),0,SUMIF('DADOS BRUTOS'!$A$3:$A$500,$B11,'DADOS BRUTOS'!I$3:I$500)+IF($C11="",0,SUMIF('DADOS BRUTOS'!$A$3:$A$500,$C11,'DADOS BRUTOS'!I$3:I$500)))</f>
        <v/>
      </c>
      <c r="CJ11" s="123">
        <f>IF(OR(CJ$4="",$B11=""),0,SUMIF('DADOS BRUTOS'!$A$3:$A$500,$B11,'DADOS BRUTOS'!J$3:J$500)+IF($C11="",0,SUMIF('DADOS BRUTOS'!$A$3:$A$500,$C11,'DADOS BRUTOS'!J$3:J$500)))</f>
        <v/>
      </c>
      <c r="CK11" s="123">
        <f>IF(OR(CK$4="",$B11=""),0,SUMIF('DADOS BRUTOS'!$A$3:$A$500,$B11,'DADOS BRUTOS'!K$3:K$500)+IF($C11="",0,SUMIF('DADOS BRUTOS'!$A$3:$A$500,$C11,'DADOS BRUTOS'!K$3:K$500)))</f>
        <v/>
      </c>
      <c r="CL11" s="123">
        <f>IF(OR(CL$4="",$B11=""),0,SUMIF('DADOS BRUTOS'!$A$3:$A$500,$B11,'DADOS BRUTOS'!L$3:L$500)+IF($C11="",0,SUMIF('DADOS BRUTOS'!$A$3:$A$500,$C11,'DADOS BRUTOS'!L$3:L$500)))</f>
        <v/>
      </c>
      <c r="CM11" s="123">
        <f>IF(OR(CM$4="",$B11=""),0,SUMIF('DADOS BRUTOS'!$A$3:$A$500,$B11,'DADOS BRUTOS'!M$3:M$500)+IF($C11="",0,SUMIF('DADOS BRUTOS'!$A$3:$A$500,$C11,'DADOS BRUTOS'!M$3:M$500)))</f>
        <v/>
      </c>
      <c r="CN11" s="123">
        <f>IF(OR(CN$4="",$B11=""),0,SUMIF('DADOS BRUTOS'!$A$3:$A$500,$B11,'DADOS BRUTOS'!N$3:N$500)+IF($C11="",0,SUMIF('DADOS BRUTOS'!$A$3:$A$500,$C11,'DADOS BRUTOS'!N$3:N$500)))</f>
        <v/>
      </c>
      <c r="CO11" s="123">
        <f>IF(OR(CO$4="",$B11=""),0,SUMIF('DADOS BRUTOS'!$A$3:$A$500,$B11,'DADOS BRUTOS'!O$3:O$500)+IF($C11="",0,SUMIF('DADOS BRUTOS'!$A$3:$A$500,$C11,'DADOS BRUTOS'!O$3:O$500)))</f>
        <v/>
      </c>
      <c r="CP11" s="123">
        <f>IF(OR(CP$4="",$B11=""),0,SUMIF('DADOS BRUTOS'!$A$3:$A$500,$B11,'DADOS BRUTOS'!P$3:P$500)+IF($C11="",0,SUMIF('DADOS BRUTOS'!$A$3:$A$500,$C11,'DADOS BRUTOS'!P$3:P$500)))</f>
        <v/>
      </c>
      <c r="CQ11" s="123">
        <f>IF(OR(CQ$4="",$B11=""),0,SUMIF('DADOS BRUTOS'!$A$3:$A$500,$B11,'DADOS BRUTOS'!Q$3:Q$500)+IF($C11="",0,SUMIF('DADOS BRUTOS'!$A$3:$A$500,$C11,'DADOS BRUTOS'!Q$3:Q$500)))</f>
        <v/>
      </c>
      <c r="CR11" s="123">
        <f>IF(OR(CR$4="",$B11=""),0,SUMIF('DADOS BRUTOS'!$A$3:$A$500,$B11,'DADOS BRUTOS'!R$3:R$500)+IF($C11="",0,SUMIF('DADOS BRUTOS'!$A$3:$A$500,$C11,'DADOS BRUTOS'!R$3:R$500)))</f>
        <v/>
      </c>
      <c r="CS11" s="123">
        <f>IF(OR(CS$4="",$B11=""),0,SUMIF('DADOS BRUTOS'!$A$3:$A$500,$B11,'DADOS BRUTOS'!S$3:S$500)+IF($C11="",0,SUMIF('DADOS BRUTOS'!$A$3:$A$500,$C11,'DADOS BRUTOS'!S$3:S$500)))</f>
        <v/>
      </c>
      <c r="CT11" s="123">
        <f>IF(OR(CT$4="",$B11=""),0,SUMIF('DADOS BRUTOS'!$A$3:$A$500,$B11,'DADOS BRUTOS'!T$3:T$500)+IF($C11="",0,SUMIF('DADOS BRUTOS'!$A$3:$A$500,$C11,'DADOS BRUTOS'!T$3:T$500)))</f>
        <v/>
      </c>
      <c r="CU11" s="123">
        <f>IF(OR(CU$4="",$B11=""),0,SUMIF('DADOS BRUTOS'!$A$3:$A$500,$B11,'DADOS BRUTOS'!U$3:U$500)+IF($C11="",0,SUMIF('DADOS BRUTOS'!$A$3:$A$500,$C11,'DADOS BRUTOS'!U$3:U$500)))</f>
        <v/>
      </c>
      <c r="CV11" s="123">
        <f>IF(OR(CV$4="",$B11=""),0,SUMIF('DADOS BRUTOS'!$A$3:$A$500,$B11,'DADOS BRUTOS'!V$3:V$500)+IF($C11="",0,SUMIF('DADOS BRUTOS'!$A$3:$A$500,$C11,'DADOS BRUTOS'!V$3:V$500)))</f>
        <v/>
      </c>
      <c r="CW11" s="123">
        <f>IF(OR(CW$4="",$B11=""),0,SUMIF('DADOS BRUTOS'!$A$3:$A$500,$B11,'DADOS BRUTOS'!W$3:W$500)+IF($C11="",0,SUMIF('DADOS BRUTOS'!$A$3:$A$500,$C11,'DADOS BRUTOS'!W$3:W$500)))</f>
        <v/>
      </c>
      <c r="CX11" s="123">
        <f>IF(OR(CX$4="",$B11=""),0,SUMIF('DADOS BRUTOS'!$A$3:$A$500,$B11,'DADOS BRUTOS'!X$3:X$500)+IF($C11="",0,SUMIF('DADOS BRUTOS'!$A$3:$A$500,$C11,'DADOS BRUTOS'!X$3:X$500)))</f>
        <v/>
      </c>
      <c r="CY11" s="123">
        <f>IF(OR(CY$4="",$B11=""),0,SUMIF('DADOS BRUTOS'!$A$3:$A$500,$B11,'DADOS BRUTOS'!Y$3:Y$500)+IF($C11="",0,SUMIF('DADOS BRUTOS'!$A$3:$A$500,$C11,'DADOS BRUTOS'!Y$3:Y$500)))</f>
        <v/>
      </c>
      <c r="CZ11" s="123">
        <f>IF(OR(CZ$4="",$B11=""),0,SUMIF('DADOS BRUTOS'!$A$3:$A$500,$B11,'DADOS BRUTOS'!Z$3:Z$500)+IF($C11="",0,SUMIF('DADOS BRUTOS'!$A$3:$A$500,$C11,'DADOS BRUTOS'!Z$3:Z$500)))</f>
        <v/>
      </c>
      <c r="DA11" s="123">
        <f>IF(OR(DA$4="",$B11=""),0,SUMIF('DADOS BRUTOS'!$A$3:$A$500,$B11,'DADOS BRUTOS'!AA$3:AA$500)+IF($C11="",0,SUMIF('DADOS BRUTOS'!$A$3:$A$500,$C11,'DADOS BRUTOS'!AA$3:AA$500)))</f>
        <v/>
      </c>
      <c r="DB11" s="123">
        <f>IF(OR(DB$4="",$B11=""),0,SUMIF('DADOS BRUTOS'!$A$3:$A$500,$B11,'DADOS BRUTOS'!AB$3:AB$500)+IF($C11="",0,SUMIF('DADOS BRUTOS'!$A$3:$A$500,$C11,'DADOS BRUTOS'!AB$3:AB$500)))</f>
        <v/>
      </c>
      <c r="DC11" s="123">
        <f>IF(OR(DC$4="",$B11=""),0,SUMIF('DADOS BRUTOS'!$A$3:$A$500,$B11,'DADOS BRUTOS'!AC$3:AC$500)+IF($C11="",0,SUMIF('DADOS BRUTOS'!$A$3:$A$500,$C11,'DADOS BRUTOS'!AC$3:AC$500)))</f>
        <v/>
      </c>
      <c r="DD11" s="123">
        <f>IF(OR(DD$4="",$B11=""),0,SUMIF('DADOS BRUTOS'!$A$3:$A$500,$B11,'DADOS BRUTOS'!AD$3:AD$500)+IF($C11="",0,SUMIF('DADOS BRUTOS'!$A$3:$A$500,$C11,'DADOS BRUTOS'!AD$3:AD$500)))</f>
        <v/>
      </c>
      <c r="DE11" s="123">
        <f>IF(OR(DE$4="",$B11=""),0,SUMIF('DADOS BRUTOS'!$A$3:$A$500,$B11,'DADOS BRUTOS'!AE$3:AE$500)+IF($C11="",0,SUMIF('DADOS BRUTOS'!$A$3:$A$500,$C11,'DADOS BRUTOS'!AE$3:AE$500)))</f>
        <v/>
      </c>
      <c r="DF11" s="123">
        <f>IF(OR(DF$4="",$B11=""),0,SUMIF('DADOS BRUTOS'!$A$3:$A$500,$B11,'DADOS BRUTOS'!AF$3:AF$500)+IF($C11="",0,SUMIF('DADOS BRUTOS'!$A$3:$A$500,$C11,'DADOS BRUTOS'!AF$3:AF$500)))</f>
        <v/>
      </c>
      <c r="DG11" s="123">
        <f>IF(OR(DG$4="",$B11=""),0,SUMIF('DADOS BRUTOS'!$A$3:$A$500,$B11,'DADOS BRUTOS'!AG$3:AG$500)+IF($C11="",0,SUMIF('DADOS BRUTOS'!$A$3:$A$500,$C11,'DADOS BRUTOS'!AG$3:AG$500)))</f>
        <v/>
      </c>
      <c r="DH11" s="123">
        <f>IF(OR(DH$4="",$B11=""),0,SUMIF('DADOS BRUTOS'!$A$3:$A$500,$B11,'DADOS BRUTOS'!AH$3:AH$500)+IF($C11="",0,SUMIF('DADOS BRUTOS'!$A$3:$A$500,$C11,'DADOS BRUTOS'!AH$3:AH$500)))</f>
        <v/>
      </c>
      <c r="DI11" s="123">
        <f>IF(OR(DI$4="",$B11=""),0,SUMIF('DADOS BRUTOS'!$A$3:$A$500,$B11,'DADOS BRUTOS'!AI$3:AI$500)+IF($C11="",0,SUMIF('DADOS BRUTOS'!$A$3:$A$500,$C11,'DADOS BRUTOS'!AI$3:AI$500)))</f>
        <v/>
      </c>
      <c r="DJ11" s="123">
        <f>IF(OR(DJ$4="",$B11=""),0,SUMIF('DADOS BRUTOS'!$A$3:$A$500,$B11,'DADOS BRUTOS'!AJ$3:AJ$500)+IF($C11="",0,SUMIF('DADOS BRUTOS'!$A$3:$A$500,$C11,'DADOS BRUTOS'!AJ$3:AJ$500)))</f>
        <v/>
      </c>
      <c r="DK11" s="123">
        <f>IF(OR(DK$4="",$B11=""),0,SUMIF('DADOS BRUTOS'!$A$3:$A$500,$B11,'DADOS BRUTOS'!AK$3:AK$500)+IF($C11="",0,SUMIF('DADOS BRUTOS'!$A$3:$A$500,$C11,'DADOS BRUTOS'!AK$3:AK$500)))</f>
        <v/>
      </c>
      <c r="DL11" s="123">
        <f>IF(OR(DL$4="",$B11=""),0,SUMIF('DADOS BRUTOS'!$A$3:$A$500,$B11,'DADOS BRUTOS'!AL$3:AL$500)+IF($C11="",0,SUMIF('DADOS BRUTOS'!$A$3:$A$500,$C11,'DADOS BRUTOS'!AL$3:AL$500)))</f>
        <v/>
      </c>
      <c r="DM11" s="123">
        <f>IF(OR(DM$4="",$B11=""),0,SUMIF('DADOS BRUTOS'!$A$3:$A$500,$B11,'DADOS BRUTOS'!AM$3:AM$500)+IF($C11="",0,SUMIF('DADOS BRUTOS'!$A$3:$A$500,$C11,'DADOS BRUTOS'!AM$3:AM$500)))</f>
        <v/>
      </c>
      <c r="DN11" s="123">
        <f>IF(OR(DN$4="",$B11=""),0,SUMIF('DADOS BRUTOS'!$A$3:$A$500,$B11,'DADOS BRUTOS'!AN$3:AN$500)+IF($C11="",0,SUMIF('DADOS BRUTOS'!$A$3:$A$500,$C11,'DADOS BRUTOS'!AN$3:AN$500)))</f>
        <v/>
      </c>
      <c r="DO11" s="123">
        <f>IF(OR(DO$4="",$B11=""),0,SUMIF('DADOS BRUTOS'!$A$3:$A$500,$B11,'DADOS BRUTOS'!AO$3:AO$500)+IF($C11="",0,SUMIF('DADOS BRUTOS'!$A$3:$A$500,$C11,'DADOS BRUTOS'!AO$3:AO$500)))</f>
        <v/>
      </c>
      <c r="DP11" s="123">
        <f>IF(OR(DP$4="",$B11=""),0,SUMIF('DADOS BRUTOS'!$A$3:$A$500,$B11,'DADOS BRUTOS'!AP$3:AP$500)+IF($C11="",0,SUMIF('DADOS BRUTOS'!$A$3:$A$500,$C11,'DADOS BRUTOS'!AP$3:AP$500)))</f>
        <v/>
      </c>
      <c r="DQ11" s="123">
        <f>IF(OR(DQ$4="",$B11=""),0,SUMIF('DADOS BRUTOS'!$A$3:$A$500,$B11,'DADOS BRUTOS'!AQ$3:AQ$500)+IF($C11="",0,SUMIF('DADOS BRUTOS'!$A$3:$A$500,$C11,'DADOS BRUTOS'!AQ$3:AQ$500)))</f>
        <v/>
      </c>
      <c r="DR11" s="123">
        <f>IF(OR(DR$4="",$B11=""),0,SUMIF('DADOS BRUTOS'!$A$3:$A$500,$B11,'DADOS BRUTOS'!AR$3:AR$500)+IF($C11="",0,SUMIF('DADOS BRUTOS'!$A$3:$A$500,$C11,'DADOS BRUTOS'!AR$3:AR$500)))</f>
        <v/>
      </c>
      <c r="DS11" s="123">
        <f>IF(OR(DS$4="",$B11=""),0,SUMIF('DADOS BRUTOS'!$A$3:$A$500,$B11,'DADOS BRUTOS'!AS$3:AS$500)+IF($C11="",0,SUMIF('DADOS BRUTOS'!$A$3:$A$500,$C11,'DADOS BRUTOS'!AS$3:AS$500)))</f>
        <v/>
      </c>
      <c r="DT11" s="123">
        <f>IF(OR(DT$4="",$B11=""),0,SUMIF('DADOS BRUTOS'!$A$3:$A$500,$B11,'DADOS BRUTOS'!AT$3:AT$500)+IF($C11="",0,SUMIF('DADOS BRUTOS'!$A$3:$A$500,$C11,'DADOS BRUTOS'!AT$3:AT$500)))</f>
        <v/>
      </c>
      <c r="DU11" s="123">
        <f>IF(OR(DU$4="",$B11=""),0,SUMIF('DADOS BRUTOS'!$A$3:$A$500,$B11,'DADOS BRUTOS'!AU$3:AU$500)+IF($C11="",0,SUMIF('DADOS BRUTOS'!$A$3:$A$500,$C11,'DADOS BRUTOS'!AU$3:AU$500)))</f>
        <v/>
      </c>
      <c r="DV11" s="123">
        <f>IF(OR(DV$4="",$B11=""),0,SUMIF('DADOS BRUTOS'!$A$3:$A$500,$B11,'DADOS BRUTOS'!AV$3:AV$500)+IF($C11="",0,SUMIF('DADOS BRUTOS'!$A$3:$A$500,$C11,'DADOS BRUTOS'!AV$3:AV$500)))</f>
        <v/>
      </c>
      <c r="DW11" s="123">
        <f>IF(OR(DW$4="",$B11=""),0,SUMIF('DADOS BRUTOS'!$A$3:$A$500,$B11,'DADOS BRUTOS'!AW$3:AW$500)+IF($C11="",0,SUMIF('DADOS BRUTOS'!$A$3:$A$500,$C11,'DADOS BRUTOS'!AW$3:AW$500)))</f>
        <v/>
      </c>
      <c r="DX11" s="123">
        <f>IF(OR(DX$4="",$B11=""),0,SUMIF('DADOS BRUTOS'!$A$3:$A$500,$B11,'DADOS BRUTOS'!AX$3:AX$500)+IF($C11="",0,SUMIF('DADOS BRUTOS'!$A$3:$A$500,$C11,'DADOS BRUTOS'!AX$3:AX$500)))</f>
        <v/>
      </c>
      <c r="DY11" s="123">
        <f>IF(OR(DY$4="",$B11=""),0,SUMIF('DADOS BRUTOS'!$A$3:$A$500,$B11,'DADOS BRUTOS'!AY$3:AY$500)+IF($C11="",0,SUMIF('DADOS BRUTOS'!$A$3:$A$500,$C11,'DADOS BRUTOS'!AY$3:AY$500)))</f>
        <v/>
      </c>
      <c r="DZ11" s="123">
        <f>IF(OR(DZ$4="",$B11=""),0,SUMIF('DADOS BRUTOS'!$A$3:$A$500,$B11,'DADOS BRUTOS'!AZ$3:AZ$500)+IF($C11="",0,SUMIF('DADOS BRUTOS'!$A$3:$A$500,$C11,'DADOS BRUTOS'!AZ$3:AZ$500)))</f>
        <v/>
      </c>
      <c r="EA11" s="123">
        <f>IF(OR(EA$4="",$B11=""),0,SUMIF('DADOS BRUTOS'!$A$3:$A$500,$B11,'DADOS BRUTOS'!BA$3:BA$500)+IF($C11="",0,SUMIF('DADOS BRUTOS'!$A$3:$A$500,$C11,'DADOS BRUTOS'!BA$3:BA$500)))</f>
        <v/>
      </c>
      <c r="EB11" s="123">
        <f>IF(OR(EB$4="",$B11=""),0,SUMIF('DADOS BRUTOS'!$A$3:$A$500,$B11,'DADOS BRUTOS'!BB$3:BB$500)+IF($C11="",0,SUMIF('DADOS BRUTOS'!$A$3:$A$500,$C11,'DADOS BRUTOS'!BB$3:BB$500)))</f>
        <v/>
      </c>
      <c r="EC11" s="123">
        <f>IF(OR(EC$4="",$B11=""),0,SUMIF('DADOS BRUTOS'!$A$3:$A$500,$B11,'DADOS BRUTOS'!BC$3:BC$500)+IF($C11="",0,SUMIF('DADOS BRUTOS'!$A$3:$A$500,$C11,'DADOS BRUTOS'!BC$3:BC$500)))</f>
        <v/>
      </c>
      <c r="ED11" s="123">
        <f>IF(OR(ED$4="",$B11=""),0,SUMIF('DADOS BRUTOS'!$A$3:$A$500,$B11,'DADOS BRUTOS'!BD$3:BD$500)+IF($C11="",0,SUMIF('DADOS BRUTOS'!$A$3:$A$500,$C11,'DADOS BRUTOS'!BD$3:BD$500)))</f>
        <v/>
      </c>
      <c r="EE11" s="123">
        <f>IF(OR(EE$4="",$B11=""),0,SUMIF('DADOS BRUTOS'!$A$3:$A$500,$B11,'DADOS BRUTOS'!BE$3:BE$500)+IF($C11="",0,SUMIF('DADOS BRUTOS'!$A$3:$A$500,$C11,'DADOS BRUTOS'!BE$3:BE$500)))</f>
        <v/>
      </c>
      <c r="EF11" s="123">
        <f>IF(OR(EF$4="",$B11=""),0,SUMIF('DADOS BRUTOS'!$A$3:$A$500,$B11,'DADOS BRUTOS'!BF$3:BF$500)+IF($C11="",0,SUMIF('DADOS BRUTOS'!$A$3:$A$500,$C11,'DADOS BRUTOS'!BF$3:BF$500)))</f>
        <v/>
      </c>
      <c r="EG11" s="123">
        <f>IF(OR(EG$4="",$B11=""),0,SUMIF('DADOS BRUTOS'!$A$3:$A$500,$B11,'DADOS BRUTOS'!BG$3:BG$500)+IF($C11="",0,SUMIF('DADOS BRUTOS'!$A$3:$A$500,$C11,'DADOS BRUTOS'!BG$3:BG$500)))</f>
        <v/>
      </c>
      <c r="EH11" s="123">
        <f>IF(OR(EH$4="",$B11=""),0,SUMIF('DADOS BRUTOS'!$A$3:$A$500,$B11,'DADOS BRUTOS'!BH$3:BH$500)+IF($C11="",0,SUMIF('DADOS BRUTOS'!$A$3:$A$500,$C11,'DADOS BRUTOS'!BH$3:BH$500)))</f>
        <v/>
      </c>
      <c r="EI11" s="123">
        <f>IF(OR(EI$4="",$B11=""),0,SUMIF('DADOS BRUTOS'!$A$3:$A$500,$B11,'DADOS BRUTOS'!BI$3:BI$500)+IF($C11="",0,SUMIF('DADOS BRUTOS'!$A$3:$A$500,$C11,'DADOS BRUTOS'!BI$3:BI$500)))</f>
        <v/>
      </c>
      <c r="EJ11" s="123">
        <f>IF(OR(EJ$4="",$B11=""),0,SUMIF('DADOS BRUTOS'!$A$3:$A$500,$B11,'DADOS BRUTOS'!BJ$3:BJ$500)+IF($C11="",0,SUMIF('DADOS BRUTOS'!$A$3:$A$500,$C11,'DADOS BRUTOS'!BJ$3:BJ$500)))</f>
        <v/>
      </c>
      <c r="EK11" s="123">
        <f>IF(OR(EK$4="",$B11=""),0,SUMIF('DADOS BRUTOS'!$A$3:$A$500,$B11,'DADOS BRUTOS'!BK$3:BK$500)+IF($C11="",0,SUMIF('DADOS BRUTOS'!$A$3:$A$500,$C11,'DADOS BRUTOS'!BK$3:BK$500)))</f>
        <v/>
      </c>
      <c r="EL11" s="123">
        <f>IF(OR(EL$4="",$B11=""),0,SUMIF('DADOS BRUTOS'!$A$3:$A$500,$B11,'DADOS BRUTOS'!BL$3:BL$500)+IF($C11="",0,SUMIF('DADOS BRUTOS'!$A$3:$A$500,$C11,'DADOS BRUTOS'!BL$3:BL$500)))</f>
        <v/>
      </c>
      <c r="EM11" s="123">
        <f>IF(OR(EM$4="",$B11=""),0,SUMIF('DADOS BRUTOS'!$A$3:$A$500,$B11,'DADOS BRUTOS'!BM$3:BM$500)+IF($C11="",0,SUMIF('DADOS BRUTOS'!$A$3:$A$500,$C11,'DADOS BRUTOS'!BM$3:BM$500)))</f>
        <v/>
      </c>
      <c r="EN11" s="123">
        <f>IF(OR(EN$4="",$B11=""),0,SUMIF('DADOS BRUTOS'!$A$3:$A$500,$B11,'DADOS BRUTOS'!BN$3:BN$500)+IF($C11="",0,SUMIF('DADOS BRUTOS'!$A$3:$A$500,$C11,'DADOS BRUTOS'!BN$3:BN$500)))</f>
        <v/>
      </c>
      <c r="EO11" s="123">
        <f>IF(OR(EO$4="",$B11=""),0,SUMIF('DADOS BRUTOS'!$A$3:$A$500,$B11,'DADOS BRUTOS'!BO$3:BO$500)+IF($C11="",0,SUMIF('DADOS BRUTOS'!$A$3:$A$500,$C11,'DADOS BRUTOS'!BO$3:BO$500)))</f>
        <v/>
      </c>
      <c r="EP11" s="123">
        <f>IF(OR(EP$4="",$B11=""),0,SUMIF('DADOS BRUTOS'!$A$3:$A$500,$B11,'DADOS BRUTOS'!BP$3:BP$500)+IF($C11="",0,SUMIF('DADOS BRUTOS'!$A$3:$A$500,$C11,'DADOS BRUTOS'!BP$3:BP$500)))</f>
        <v/>
      </c>
      <c r="EQ11" s="123">
        <f>IF(OR(EQ$4="",$B11=""),0,SUMIF('DADOS BRUTOS'!$A$3:$A$500,$B11,'DADOS BRUTOS'!BQ$3:BQ$500)+IF($C11="",0,SUMIF('DADOS BRUTOS'!$A$3:$A$500,$C11,'DADOS BRUTOS'!BQ$3:BQ$500)))</f>
        <v/>
      </c>
      <c r="ER11" s="123">
        <f>IF(OR(ER$4="",$B11=""),0,SUMIF('DADOS BRUTOS'!$A$3:$A$500,$B11,'DADOS BRUTOS'!BR$3:BR$500)+IF($C11="",0,SUMIF('DADOS BRUTOS'!$A$3:$A$500,$C11,'DADOS BRUTOS'!BR$3:BR$500)))</f>
        <v/>
      </c>
      <c r="ES11" s="123">
        <f>IF(OR(ES$4="",$B11=""),0,SUMIF('DADOS BRUTOS'!$A$3:$A$500,$B11,'DADOS BRUTOS'!BS$3:BS$500)+IF($C11="",0,SUMIF('DADOS BRUTOS'!$A$3:$A$500,$C11,'DADOS BRUTOS'!BS$3:BS$500)))</f>
        <v/>
      </c>
      <c r="ET11" s="123">
        <f>IF(OR(ET$4="",$B11=""),0,SUMIF('DADOS BRUTOS'!$A$3:$A$500,$B11,'DADOS BRUTOS'!BT$3:BT$500)+IF($C11="",0,SUMIF('DADOS BRUTOS'!$A$3:$A$500,$C11,'DADOS BRUTOS'!BT$3:BT$500)))</f>
        <v/>
      </c>
      <c r="EU11" s="123">
        <f>IF(OR(EU$4="",$B11=""),0,SUMIF('DADOS BRUTOS'!$A$3:$A$500,$B11,'DADOS BRUTOS'!BU$3:BU$500)+IF($C11="",0,SUMIF('DADOS BRUTOS'!$A$3:$A$500,$C11,'DADOS BRUTOS'!BU$3:BU$500)))</f>
        <v/>
      </c>
      <c r="EV11" s="123">
        <f>IF(OR(EV$4="",$B11=""),0,SUMIF('DADOS BRUTOS'!$A$3:$A$500,$B11,'DADOS BRUTOS'!BV$3:BV$500)+IF($C11="",0,SUMIF('DADOS BRUTOS'!$A$3:$A$500,$C11,'DADOS BRUTOS'!BV$3:BV$500)))</f>
        <v/>
      </c>
      <c r="EW11" s="123">
        <f>IF(OR(EW$4="",$B11=""),0,SUMIF('DADOS BRUTOS'!$A$3:$A$500,$B11,'DADOS BRUTOS'!BW$3:BW$500)+IF($C11="",0,SUMIF('DADOS BRUTOS'!$A$3:$A$500,$C11,'DADOS BRUTOS'!BW$3:BW$500)))</f>
        <v/>
      </c>
      <c r="EX11" s="123">
        <f>IF(OR(EX$4="",$B11=""),0,SUMIF('DADOS BRUTOS'!$A$3:$A$500,$B11,'DADOS BRUTOS'!BX$3:BX$500)+IF($C11="",0,SUMIF('DADOS BRUTOS'!$A$3:$A$500,$C11,'DADOS BRUTOS'!BX$3:BX$500)))</f>
        <v/>
      </c>
      <c r="EY11" s="123">
        <f>IF(OR(EY$4="",$B11=""),0,SUMIF('DADOS BRUTOS'!$A$3:$A$500,$B11,'DADOS BRUTOS'!BY$3:BY$500)+IF($C11="",0,SUMIF('DADOS BRUTOS'!$A$3:$A$500,$C11,'DADOS BRUTOS'!BY$3:BY$500)))</f>
        <v/>
      </c>
      <c r="EZ11" s="123">
        <f>IF(OR(EZ$4="",$B11=""),0,SUMIF('DADOS BRUTOS'!$A$3:$A$500,$B11,'DADOS BRUTOS'!BZ$3:BZ$500)+IF($C11="",0,SUMIF('DADOS BRUTOS'!$A$3:$A$500,$C11,'DADOS BRUTOS'!BZ$3:BZ$500)))</f>
        <v/>
      </c>
      <c r="FA11" s="123">
        <f>IF(OR(FA$4="",$B11=""),0,SUMIF('DADOS BRUTOS'!$A$3:$A$500,$B11,'DADOS BRUTOS'!CA$3:CA$500)+IF($C11="",0,SUMIF('DADOS BRUTOS'!$A$3:$A$500,$C11,'DADOS BRUTOS'!CA$3:CA$500)))</f>
        <v/>
      </c>
      <c r="FB11" s="123">
        <f>IF(OR(FB$4="",$B11=""),0,SUMIF('DADOS BRUTOS'!$A$3:$A$500,$B11,'DADOS BRUTOS'!CB$3:CB$500)+IF($C11="",0,SUMIF('DADOS BRUTOS'!$A$3:$A$500,$C11,'DADOS BRUTOS'!CB$3:CB$500)))</f>
        <v/>
      </c>
      <c r="FC11" s="123">
        <f>IF(OR(FC$4="",$B11=""),0,SUMIF('DADOS BRUTOS'!$A$3:$A$500,$B11,'DADOS BRUTOS'!CC$3:CC$500)+IF($C11="",0,SUMIF('DADOS BRUTOS'!$A$3:$A$500,$C11,'DADOS BRUTOS'!CC$3:CC$500)))</f>
        <v/>
      </c>
      <c r="FD11" s="123">
        <f>IF(OR(FD$4="",$B11=""),0,SUMIF('DADOS BRUTOS'!$A$3:$A$500,$B11,'DADOS BRUTOS'!CD$3:CD$500)+IF($C11="",0,SUMIF('DADOS BRUTOS'!$A$3:$A$500,$C11,'DADOS BRUTOS'!CD$3:CD$500)))</f>
        <v/>
      </c>
      <c r="FE11" s="123">
        <f>IF(OR(FE$4="",$B11=""),0,SUMIF('DADOS BRUTOS'!$A$3:$A$500,$B11,'DADOS BRUTOS'!CE$3:CE$500)+IF($C11="",0,SUMIF('DADOS BRUTOS'!$A$3:$A$500,$C11,'DADOS BRUTOS'!CE$3:CE$500)))</f>
        <v/>
      </c>
      <c r="FF11" s="123">
        <f>IF(OR(FF$4="",$B11=""),0,SUMIF('DADOS BRUTOS'!$A$3:$A$500,$B11,'DADOS BRUTOS'!CF$3:CF$500)+IF($C11="",0,SUMIF('DADOS BRUTOS'!$A$3:$A$500,$C11,'DADOS BRUTOS'!CF$3:CF$500)))</f>
        <v/>
      </c>
      <c r="FG11" s="123">
        <f>IF(OR(FG$4="",$B11=""),0,SUMIF('DADOS BRUTOS'!$A$3:$A$500,$B11,'DADOS BRUTOS'!CG$3:CG$500)+IF($C11="",0,SUMIF('DADOS BRUTOS'!$A$3:$A$500,$C11,'DADOS BRUTOS'!CG$3:CG$500)))</f>
        <v/>
      </c>
      <c r="FH11" s="123">
        <f>IF(OR(FH$4="",$B11=""),0,SUMIF('DADOS BRUTOS'!$A$3:$A$500,$B11,'DADOS BRUTOS'!CH$3:CH$500)+IF($C11="",0,SUMIF('DADOS BRUTOS'!$A$3:$A$500,$C11,'DADOS BRUTOS'!CH$3:CH$500)))</f>
        <v/>
      </c>
      <c r="FI11" s="123">
        <f>IF(OR(FI$4="",$B11=""),0,SUMIF('DADOS BRUTOS'!$A$3:$A$500,$B11,'DADOS BRUTOS'!CI$3:CI$500)+IF($C11="",0,SUMIF('DADOS BRUTOS'!$A$3:$A$500,$C11,'DADOS BRUTOS'!CI$3:CI$500)))</f>
        <v/>
      </c>
      <c r="FJ11" s="123">
        <f>IF(OR(FJ$4="",$B11=""),0,SUMIF('DADOS BRUTOS'!$A$3:$A$500,$B11,'DADOS BRUTOS'!CJ$3:CJ$500)+IF($C11="",0,SUMIF('DADOS BRUTOS'!$A$3:$A$500,$C11,'DADOS BRUTOS'!CJ$3:CJ$500)))</f>
        <v/>
      </c>
      <c r="FK11" s="123">
        <f>IF(OR(FK$4="",$B11=""),0,SUMIF('DADOS BRUTOS'!$A$3:$A$500,$B11,'DADOS BRUTOS'!CK$3:CK$500)+IF($C11="",0,SUMIF('DADOS BRUTOS'!$A$3:$A$500,$C11,'DADOS BRUTOS'!CK$3:CK$500)))</f>
        <v/>
      </c>
      <c r="FL11" s="123">
        <f>IF(OR(FL$4="",$B11=""),0,SUMIF('DADOS BRUTOS'!$A$3:$A$500,$B11,'DADOS BRUTOS'!CL$3:CL$500)+IF($C11="",0,SUMIF('DADOS BRUTOS'!$A$3:$A$500,$C11,'DADOS BRUTOS'!CL$3:CL$500)))</f>
        <v/>
      </c>
      <c r="FM11" s="123">
        <f>IF(OR(FM$4="",$B11=""),0,SUMIF('DADOS BRUTOS'!$A$3:$A$500,$B11,'DADOS BRUTOS'!CM$3:CM$500)+IF($C11="",0,SUMIF('DADOS BRUTOS'!$A$3:$A$500,$C11,'DADOS BRUTOS'!CM$3:CM$500)))</f>
        <v/>
      </c>
      <c r="FN11" s="123">
        <f>IF(OR(FN$4="",$B11=""),0,SUMIF('DADOS BRUTOS'!$A$3:$A$500,$B11,'DADOS BRUTOS'!CN$3:CN$500)+IF($C11="",0,SUMIF('DADOS BRUTOS'!$A$3:$A$500,$C11,'DADOS BRUTOS'!CN$3:CN$500)))</f>
        <v/>
      </c>
      <c r="FO11" s="123">
        <f>IF(OR(FO$4="",$B11=""),0,SUMIF('DADOS BRUTOS'!$A$3:$A$500,$B11,'DADOS BRUTOS'!CO$3:CO$500)+IF($C11="",0,SUMIF('DADOS BRUTOS'!$A$3:$A$500,$C11,'DADOS BRUTOS'!CO$3:CO$500)))</f>
        <v/>
      </c>
      <c r="FP11" s="123">
        <f>IF(OR(FP$4="",$B11=""),0,SUMIF('DADOS BRUTOS'!$A$3:$A$500,$B11,'DADOS BRUTOS'!CP$3:CP$500)+IF($C11="",0,SUMIF('DADOS BRUTOS'!$A$3:$A$500,$C11,'DADOS BRUTOS'!CP$3:CP$500)))</f>
        <v/>
      </c>
      <c r="FQ11" s="123">
        <f>IF(OR(FQ$4="",$B11=""),0,SUMIF('DADOS BRUTOS'!$A$3:$A$500,$B11,'DADOS BRUTOS'!CQ$3:CQ$500)+IF($C11="",0,SUMIF('DADOS BRUTOS'!$A$3:$A$500,$C11,'DADOS BRUTOS'!CQ$3:CQ$500)))</f>
        <v/>
      </c>
      <c r="FR11" s="123">
        <f>IF(OR(FR$4="",$B11=""),0,SUMIF('DADOS BRUTOS'!$A$3:$A$500,$B11,'DADOS BRUTOS'!CR$3:CR$500)+IF($C11="",0,SUMIF('DADOS BRUTOS'!$A$3:$A$500,$C11,'DADOS BRUTOS'!CR$3:CR$500)))</f>
        <v/>
      </c>
      <c r="FS11" s="123">
        <f>IF(OR(FS$4="",$B11=""),0,SUMIF('DADOS BRUTOS'!$A$3:$A$500,$B11,'DADOS BRUTOS'!CS$3:CS$500)+IF($C11="",0,SUMIF('DADOS BRUTOS'!$A$3:$A$500,$C11,'DADOS BRUTOS'!CS$3:CS$500)))</f>
        <v/>
      </c>
      <c r="FT11" s="123">
        <f>IF(OR(FT$4="",$B11=""),0,SUMIF('DADOS BRUTOS'!$A$3:$A$500,$B11,'DADOS BRUTOS'!CT$3:CT$500)+IF($C11="",0,SUMIF('DADOS BRUTOS'!$A$3:$A$500,$C11,'DADOS BRUTOS'!CT$3:CT$500)))</f>
        <v/>
      </c>
      <c r="FU11" s="123">
        <f>IF(OR(FU$4="",$B11=""),0,SUMIF('DADOS BRUTOS'!$A$3:$A$500,$B11,'DADOS BRUTOS'!CU$3:CU$500)+IF($C11="",0,SUMIF('DADOS BRUTOS'!$A$3:$A$500,$C11,'DADOS BRUTOS'!CU$3:CU$500)))</f>
        <v/>
      </c>
      <c r="FV11" s="123">
        <f>IF(OR(FV$4="",$B11=""),0,SUMIF('DADOS BRUTOS'!$A$3:$A$500,$B11,'DADOS BRUTOS'!CV$3:CV$500)+IF($C11="",0,SUMIF('DADOS BRUTOS'!$A$3:$A$500,$C11,'DADOS BRUTOS'!CV$3:CV$500)))</f>
        <v/>
      </c>
      <c r="FW11" s="123">
        <f>IF(OR(FW$4="",$B11=""),0,SUMIF('DADOS BRUTOS'!$A$3:$A$500,$B11,'DADOS BRUTOS'!CW$3:CW$500)+IF($C11="",0,SUMIF('DADOS BRUTOS'!$A$3:$A$500,$C11,'DADOS BRUTOS'!CW$3:CW$500)))</f>
        <v/>
      </c>
      <c r="FX11" s="123">
        <f>IF(OR(FX$4="",$B11=""),0,SUMIF('DADOS BRUTOS'!$A$3:$A$500,$B11,'DADOS BRUTOS'!CX$3:CX$500)+IF($C11="",0,SUMIF('DADOS BRUTOS'!$A$3:$A$500,$C11,'DADOS BRUTOS'!CX$3:CX$500)))</f>
        <v/>
      </c>
      <c r="FY11" s="123">
        <f>IF(OR(FY$4="",$B11=""),0,SUMIF('DADOS BRUTOS'!$A$3:$A$500,$B11,'DADOS BRUTOS'!CY$3:CY$500)+IF($C11="",0,SUMIF('DADOS BRUTOS'!$A$3:$A$500,$C11,'DADOS BRUTOS'!CY$3:CY$500)))</f>
        <v/>
      </c>
      <c r="FZ11" s="123">
        <f>IF(OR(FZ$4="",$B11=""),0,SUMIF('DADOS BRUTOS'!$A$3:$A$500,$B11,'DADOS BRUTOS'!CZ$3:CZ$500)+IF($C11="",0,SUMIF('DADOS BRUTOS'!$A$3:$A$500,$C11,'DADOS BRUTOS'!CZ$3:CZ$500)))</f>
        <v/>
      </c>
      <c r="GA11" s="123">
        <f>IF(OR(GA$4="",$B11=""),0,SUMIF('DADOS BRUTOS'!$A$3:$A$500,$B11,'DADOS BRUTOS'!DA$3:DA$500)+IF($C11="",0,SUMIF('DADOS BRUTOS'!$A$3:$A$500,$C11,'DADOS BRUTOS'!DA$3:DA$500)))</f>
        <v/>
      </c>
      <c r="GB11" s="123">
        <f>IF(OR(GB$4="",$B11=""),0,SUMIF('DADOS BRUTOS'!$A$3:$A$500,$B11,'DADOS BRUTOS'!DB$3:DB$500)+IF($C11="",0,SUMIF('DADOS BRUTOS'!$A$3:$A$500,$C11,'DADOS BRUTOS'!DB$3:DB$500)))</f>
        <v/>
      </c>
      <c r="GC11" s="123">
        <f>IF(OR(GC$4="",$B11=""),0,SUMIF('DADOS BRUTOS'!$A$3:$A$500,$B11,'DADOS BRUTOS'!DC$3:DC$500)+IF($C11="",0,SUMIF('DADOS BRUTOS'!$A$3:$A$500,$C11,'DADOS BRUTOS'!DC$3:DC$500)))</f>
        <v/>
      </c>
      <c r="GD11" s="123">
        <f>IF(OR(GD$4="",$B11=""),0,SUMIF('DADOS BRUTOS'!$A$3:$A$500,$B11,'DADOS BRUTOS'!DD$3:DD$500)+IF($C11="",0,SUMIF('DADOS BRUTOS'!$A$3:$A$500,$C11,'DADOS BRUTOS'!DD$3:DD$500)))</f>
        <v/>
      </c>
      <c r="GE11" s="123">
        <f>IF(OR(GE$4="",$B11=""),0,SUMIF('DADOS BRUTOS'!$A$3:$A$500,$B11,'DADOS BRUTOS'!DE$3:DE$500)+IF($C11="",0,SUMIF('DADOS BRUTOS'!$A$3:$A$500,$C11,'DADOS BRUTOS'!DE$3:DE$500)))</f>
        <v/>
      </c>
      <c r="GF11" s="123">
        <f>IF(OR(GF$4="",$B11=""),0,SUMIF('DADOS BRUTOS'!$A$3:$A$500,$B11,'DADOS BRUTOS'!DF$3:DF$500)+IF($C11="",0,SUMIF('DADOS BRUTOS'!$A$3:$A$500,$C11,'DADOS BRUTOS'!DF$3:DF$500)))</f>
        <v/>
      </c>
      <c r="GG11" s="123">
        <f>IF(OR(GG$4="",$B11=""),0,SUMIF('DADOS BRUTOS'!$A$3:$A$500,$B11,'DADOS BRUTOS'!DG$3:DG$500)+IF($C11="",0,SUMIF('DADOS BRUTOS'!$A$3:$A$500,$C11,'DADOS BRUTOS'!DG$3:DG$500)))</f>
        <v/>
      </c>
      <c r="GH11" s="123">
        <f>IF(OR(GH$4="",$B11=""),0,SUMIF('DADOS BRUTOS'!$A$3:$A$500,$B11,'DADOS BRUTOS'!DH$3:DH$500)+IF($C11="",0,SUMIF('DADOS BRUTOS'!$A$3:$A$500,$C11,'DADOS BRUTOS'!DH$3:DH$500)))</f>
        <v/>
      </c>
      <c r="GI11" s="123">
        <f>IF(OR(GI$4="",$B11=""),0,SUMIF('DADOS BRUTOS'!$A$3:$A$500,$B11,'DADOS BRUTOS'!DI$3:DI$500)+IF($C11="",0,SUMIF('DADOS BRUTOS'!$A$3:$A$500,$C11,'DADOS BRUTOS'!DI$3:DI$500)))</f>
        <v/>
      </c>
      <c r="GJ11" s="123">
        <f>IF(OR(GJ$4="",$B11=""),0,SUMIF('DADOS BRUTOS'!$A$3:$A$500,$B11,'DADOS BRUTOS'!DJ$3:DJ$500)+IF($C11="",0,SUMIF('DADOS BRUTOS'!$A$3:$A$500,$C11,'DADOS BRUTOS'!DJ$3:DJ$500)))</f>
        <v/>
      </c>
      <c r="GK11" s="123">
        <f>IF(OR(GK$4="",$B11=""),0,SUMIF('DADOS BRUTOS'!$A$3:$A$500,$B11,'DADOS BRUTOS'!DK$3:DK$500)+IF($C11="",0,SUMIF('DADOS BRUTOS'!$A$3:$A$500,$C11,'DADOS BRUTOS'!DK$3:DK$500)))</f>
        <v/>
      </c>
      <c r="GL11" s="123">
        <f>IF(OR(GL$4="",$B11=""),0,SUMIF('DADOS BRUTOS'!$A$3:$A$500,$B11,'DADOS BRUTOS'!DL$3:DL$500)+IF($C11="",0,SUMIF('DADOS BRUTOS'!$A$3:$A$500,$C11,'DADOS BRUTOS'!DL$3:DL$500)))</f>
        <v/>
      </c>
      <c r="GM11" s="123">
        <f>IF(OR(GM$4="",$B11=""),0,SUMIF('DADOS BRUTOS'!$A$3:$A$500,$B11,'DADOS BRUTOS'!DM$3:DM$500)+IF($C11="",0,SUMIF('DADOS BRUTOS'!$A$3:$A$500,$C11,'DADOS BRUTOS'!DM$3:DM$500)))</f>
        <v/>
      </c>
      <c r="GN11" s="123">
        <f>IF(OR(GN$4="",$B11=""),0,SUMIF('DADOS BRUTOS'!$A$3:$A$500,$B11,'DADOS BRUTOS'!DN$3:DN$500)+IF($C11="",0,SUMIF('DADOS BRUTOS'!$A$3:$A$500,$C11,'DADOS BRUTOS'!DN$3:DN$500)))</f>
        <v/>
      </c>
      <c r="GO11" s="123">
        <f>IF(OR(GO$4="",$B11=""),0,SUMIF('DADOS BRUTOS'!$A$3:$A$500,$B11,'DADOS BRUTOS'!DO$3:DO$500)+IF($C11="",0,SUMIF('DADOS BRUTOS'!$A$3:$A$500,$C11,'DADOS BRUTOS'!DO$3:DO$500)))</f>
        <v/>
      </c>
      <c r="GP11" s="123">
        <f>IF(OR(GP$4="",$B11=""),0,SUMIF('DADOS BRUTOS'!$A$3:$A$500,$B11,'DADOS BRUTOS'!DP$3:DP$500)+IF($C11="",0,SUMIF('DADOS BRUTOS'!$A$3:$A$500,$C11,'DADOS BRUTOS'!DP$3:DP$500)))</f>
        <v/>
      </c>
      <c r="GQ11" s="123">
        <f>IF(OR(GQ$4="",$B11=""),0,SUMIF('DADOS BRUTOS'!$A$3:$A$500,$B11,'DADOS BRUTOS'!DQ$3:DQ$500)+IF($C11="",0,SUMIF('DADOS BRUTOS'!$A$3:$A$500,$C11,'DADOS BRUTOS'!DQ$3:DQ$500)))</f>
        <v/>
      </c>
      <c r="GR11" s="123">
        <f>IF(OR(GR$4="",$B11=""),0,SUMIF('DADOS BRUTOS'!$A$3:$A$500,$B11,'DADOS BRUTOS'!DR$3:DR$500)+IF($C11="",0,SUMIF('DADOS BRUTOS'!$A$3:$A$500,$C11,'DADOS BRUTOS'!DR$3:DR$500)))</f>
        <v/>
      </c>
      <c r="GS11" s="123">
        <f>IF(OR(GS$4="",$B11=""),0,SUMIF('DADOS BRUTOS'!$A$3:$A$500,$B11,'DADOS BRUTOS'!DS$3:DS$500)+IF($C11="",0,SUMIF('DADOS BRUTOS'!$A$3:$A$500,$C11,'DADOS BRUTOS'!DS$3:DS$500)))</f>
        <v/>
      </c>
      <c r="GT11" s="123">
        <f>IF(OR(GT$4="",$B11=""),0,SUMIF('DADOS BRUTOS'!$A$3:$A$500,$B11,'DADOS BRUTOS'!DT$3:DT$500)+IF($C11="",0,SUMIF('DADOS BRUTOS'!$A$3:$A$500,$C11,'DADOS BRUTOS'!DT$3:DT$500)))</f>
        <v/>
      </c>
      <c r="GU11" s="123">
        <f>IF(OR(GU$4="",$B11=""),0,SUMIF('DADOS BRUTOS'!$A$3:$A$500,$B11,'DADOS BRUTOS'!DU$3:DU$500)+IF($C11="",0,SUMIF('DADOS BRUTOS'!$A$3:$A$500,$C11,'DADOS BRUTOS'!DU$3:DU$500)))</f>
        <v/>
      </c>
      <c r="GV11" s="123">
        <f>IF(OR(GV$4="",$B11=""),0,SUMIF('DADOS BRUTOS'!$A$3:$A$500,$B11,'DADOS BRUTOS'!DV$3:DV$500)+IF($C11="",0,SUMIF('DADOS BRUTOS'!$A$3:$A$500,$C11,'DADOS BRUTOS'!DV$3:DV$500)))</f>
        <v/>
      </c>
      <c r="GW11" s="123">
        <f>IF(OR(GW$4="",$B11=""),0,SUMIF('DADOS BRUTOS'!$A$3:$A$500,$B11,'DADOS BRUTOS'!DW$3:DW$500)+IF($C11="",0,SUMIF('DADOS BRUTOS'!$A$3:$A$500,$C11,'DADOS BRUTOS'!DW$3:DW$500)))</f>
        <v/>
      </c>
      <c r="GX11" s="123">
        <f>IF(OR(GX$4="",$B11=""),0,SUMIF('DADOS BRUTOS'!$A$3:$A$500,$B11,'DADOS BRUTOS'!DX$3:DX$500)+IF($C11="",0,SUMIF('DADOS BRUTOS'!$A$3:$A$500,$C11,'DADOS BRUTOS'!DX$3:DX$500)))</f>
        <v/>
      </c>
      <c r="GY11" s="123">
        <f>IF(OR(GY$4="",$B11=""),0,SUMIF('DADOS BRUTOS'!$A$3:$A$500,$B11,'DADOS BRUTOS'!DY$3:DY$500)+IF($C11="",0,SUMIF('DADOS BRUTOS'!$A$3:$A$500,$C11,'DADOS BRUTOS'!DY$3:DY$500)))</f>
        <v/>
      </c>
      <c r="GZ11" s="123">
        <f>IF(OR(GZ$4="",$B11=""),0,SUMIF('DADOS BRUTOS'!$A$3:$A$500,$B11,'DADOS BRUTOS'!DZ$3:DZ$500)+IF($C11="",0,SUMIF('DADOS BRUTOS'!$A$3:$A$500,$C11,'DADOS BRUTOS'!DZ$3:DZ$500)))</f>
        <v/>
      </c>
      <c r="HA11" s="123">
        <f>IF(OR(HA$4="",$B11=""),0,SUMIF('DADOS BRUTOS'!$A$3:$A$500,$B11,'DADOS BRUTOS'!EA$3:EA$500)+IF($C11="",0,SUMIF('DADOS BRUTOS'!$A$3:$A$500,$C11,'DADOS BRUTOS'!EA$3:EA$500)))</f>
        <v/>
      </c>
      <c r="HB11" s="123">
        <f>IF(OR(HB$4="",$B11=""),0,SUMIF('DADOS BRUTOS'!$A$3:$A$500,$B11,'DADOS BRUTOS'!EB$3:EB$500)+IF($C11="",0,SUMIF('DADOS BRUTOS'!$A$3:$A$500,$C11,'DADOS BRUTOS'!EB$3:EB$500)))</f>
        <v/>
      </c>
      <c r="HC11" s="123">
        <f>IF(OR(HC$4="",$B11=""),0,SUMIF('DADOS BRUTOS'!$A$3:$A$500,$B11,'DADOS BRUTOS'!EC$3:EC$500)+IF($C11="",0,SUMIF('DADOS BRUTOS'!$A$3:$A$500,$C11,'DADOS BRUTOS'!EC$3:EC$500)))</f>
        <v/>
      </c>
      <c r="HD11" s="123">
        <f>IF(OR(HD$4="",$B11=""),0,SUMIF('DADOS BRUTOS'!$A$3:$A$500,$B11,'DADOS BRUTOS'!ED$3:ED$500)+IF($C11="",0,SUMIF('DADOS BRUTOS'!$A$3:$A$500,$C11,'DADOS BRUTOS'!ED$3:ED$500)))</f>
        <v/>
      </c>
      <c r="HE11" s="123">
        <f>IF(OR(HE$4="",$B11=""),0,SUMIF('DADOS BRUTOS'!$A$3:$A$500,$B11,'DADOS BRUTOS'!EE$3:EE$500)+IF($C11="",0,SUMIF('DADOS BRUTOS'!$A$3:$A$500,$C11,'DADOS BRUTOS'!EE$3:EE$500)))</f>
        <v/>
      </c>
      <c r="HF11" s="123">
        <f>IF(OR(HF$4="",$B11=""),0,SUMIF('DADOS BRUTOS'!$A$3:$A$500,$B11,'DADOS BRUTOS'!EF$3:EF$500)+IF($C11="",0,SUMIF('DADOS BRUTOS'!$A$3:$A$500,$C11,'DADOS BRUTOS'!EF$3:EF$500)))</f>
        <v/>
      </c>
      <c r="HG11" s="123">
        <f>IF(OR(HG$4="",$B11=""),0,SUMIF('DADOS BRUTOS'!$A$3:$A$500,$B11,'DADOS BRUTOS'!EG$3:EG$500)+IF($C11="",0,SUMIF('DADOS BRUTOS'!$A$3:$A$500,$C11,'DADOS BRUTOS'!EG$3:EG$500)))</f>
        <v/>
      </c>
      <c r="HH11" s="123">
        <f>IF(OR(HH$4="",$B11=""),0,SUMIF('DADOS BRUTOS'!$A$3:$A$500,$B11,'DADOS BRUTOS'!EH$3:EH$500)+IF($C11="",0,SUMIF('DADOS BRUTOS'!$A$3:$A$500,$C11,'DADOS BRUTOS'!EH$3:EH$500)))</f>
        <v/>
      </c>
      <c r="HI11" s="123">
        <f>IF(OR(HI$4="",$B11=""),0,SUMIF('DADOS BRUTOS'!$A$3:$A$500,$B11,'DADOS BRUTOS'!EI$3:EI$500)+IF($C11="",0,SUMIF('DADOS BRUTOS'!$A$3:$A$500,$C11,'DADOS BRUTOS'!EI$3:EI$500)))</f>
        <v/>
      </c>
      <c r="HJ11" s="123">
        <f>IF(OR(HJ$4="",$B11=""),0,SUMIF('DADOS BRUTOS'!$A$3:$A$500,$B11,'DADOS BRUTOS'!EJ$3:EJ$500)+IF($C11="",0,SUMIF('DADOS BRUTOS'!$A$3:$A$500,$C11,'DADOS BRUTOS'!EJ$3:EJ$500)))</f>
        <v/>
      </c>
      <c r="HK11" s="123">
        <f>IF(OR(HK$4="",$B11=""),0,SUMIF('DADOS BRUTOS'!$A$3:$A$500,$B11,'DADOS BRUTOS'!EK$3:EK$500)+IF($C11="",0,SUMIF('DADOS BRUTOS'!$A$3:$A$500,$C11,'DADOS BRUTOS'!EK$3:EK$500)))</f>
        <v/>
      </c>
      <c r="HL11" s="123">
        <f>IF(OR(HL$4="",$B11=""),0,SUMIF('DADOS BRUTOS'!$A$3:$A$500,$B11,'DADOS BRUTOS'!EL$3:EL$500)+IF($C11="",0,SUMIF('DADOS BRUTOS'!$A$3:$A$500,$C11,'DADOS BRUTOS'!EL$3:EL$500)))</f>
        <v/>
      </c>
      <c r="HM11" s="123">
        <f>IF(OR(HM$4="",$B11=""),0,SUMIF('DADOS BRUTOS'!$A$3:$A$500,$B11,'DADOS BRUTOS'!EM$3:EM$500)+IF($C11="",0,SUMIF('DADOS BRUTOS'!$A$3:$A$500,$C11,'DADOS BRUTOS'!EM$3:EM$500)))</f>
        <v/>
      </c>
      <c r="HN11" s="123">
        <f>IF(OR(HN$4="",$B11=""),0,SUMIF('DADOS BRUTOS'!$A$3:$A$500,$B11,'DADOS BRUTOS'!EN$3:EN$500)+IF($C11="",0,SUMIF('DADOS BRUTOS'!$A$3:$A$500,$C11,'DADOS BRUTOS'!EN$3:EN$500)))</f>
        <v/>
      </c>
      <c r="HO11" s="123">
        <f>IF(OR(HO$4="",$B11=""),0,SUMIF('DADOS BRUTOS'!$A$3:$A$500,$B11,'DADOS BRUTOS'!EO$3:EO$500)+IF($C11="",0,SUMIF('DADOS BRUTOS'!$A$3:$A$500,$C11,'DADOS BRUTOS'!EO$3:EO$500)))</f>
        <v/>
      </c>
      <c r="HP11" s="123">
        <f>IF(OR(HP$4="",$B11=""),0,SUMIF('DADOS BRUTOS'!$A$3:$A$500,$B11,'DADOS BRUTOS'!EP$3:EP$500)+IF($C11="",0,SUMIF('DADOS BRUTOS'!$A$3:$A$500,$C11,'DADOS BRUTOS'!EP$3:EP$500)))</f>
        <v/>
      </c>
      <c r="HQ11" s="123">
        <f>IF(OR(HQ$4="",$B11=""),0,SUMIF('DADOS BRUTOS'!$A$3:$A$500,$B11,'DADOS BRUTOS'!EQ$3:EQ$500)+IF($C11="",0,SUMIF('DADOS BRUTOS'!$A$3:$A$500,$C11,'DADOS BRUTOS'!EQ$3:EQ$500)))</f>
        <v/>
      </c>
      <c r="HR11" s="123">
        <f>IF(OR(HR$4="",$B11=""),0,SUMIF('DADOS BRUTOS'!$A$3:$A$500,$B11,'DADOS BRUTOS'!ER$3:ER$500)+IF($C11="",0,SUMIF('DADOS BRUTOS'!$A$3:$A$500,$C11,'DADOS BRUTOS'!ER$3:ER$500)))</f>
        <v/>
      </c>
      <c r="HS11" s="123">
        <f>IF(OR(HS$4="",$B11=""),0,SUMIF('DADOS BRUTOS'!$A$3:$A$500,$B11,'DADOS BRUTOS'!ES$3:ES$500)+IF($C11="",0,SUMIF('DADOS BRUTOS'!$A$3:$A$500,$C11,'DADOS BRUTOS'!ES$3:ES$500)))</f>
        <v/>
      </c>
      <c r="HT11" s="123">
        <f>IF(OR(HT$4="",$B11=""),0,SUMIF('DADOS BRUTOS'!$A$3:$A$500,$B11,'DADOS BRUTOS'!ET$3:ET$500)+IF($C11="",0,SUMIF('DADOS BRUTOS'!$A$3:$A$500,$C11,'DADOS BRUTOS'!ET$3:ET$500)))</f>
        <v/>
      </c>
      <c r="HU11" s="123">
        <f>IF(OR(HU$4="",$B11=""),0,SUMIF('DADOS BRUTOS'!$A$3:$A$500,$B11,'DADOS BRUTOS'!EU$3:EU$500)+IF($C11="",0,SUMIF('DADOS BRUTOS'!$A$3:$A$500,$C11,'DADOS BRUTOS'!EU$3:EU$500)))</f>
        <v/>
      </c>
      <c r="HV11" s="123">
        <f>IF(OR(HV$4="",$B11=""),0,SUMIF('DADOS BRUTOS'!$A$3:$A$500,$B11,'DADOS BRUTOS'!EV$3:EV$500)+IF($C11="",0,SUMIF('DADOS BRUTOS'!$A$3:$A$500,$C11,'DADOS BRUTOS'!EV$3:EV$500)))</f>
        <v/>
      </c>
      <c r="HW11" s="123">
        <f>IF(OR(HW$4="",$B11=""),0,SUMIF('DADOS BRUTOS'!$A$3:$A$500,$B11,'DADOS BRUTOS'!EW$3:EW$500)+IF($C11="",0,SUMIF('DADOS BRUTOS'!$A$3:$A$500,$C11,'DADOS BRUTOS'!EW$3:EW$500)))</f>
        <v/>
      </c>
      <c r="HX11" s="123">
        <f>IF(OR(HX$4="",$B11=""),0,SUMIF('DADOS BRUTOS'!$A$3:$A$500,$B11,'DADOS BRUTOS'!EX$3:EX$500)+IF($C11="",0,SUMIF('DADOS BRUTOS'!$A$3:$A$500,$C11,'DADOS BRUTOS'!EX$3:EX$500)))</f>
        <v/>
      </c>
      <c r="HY11" s="123">
        <f>IF(OR(HY$4="",$B11=""),0,SUMIF('DADOS BRUTOS'!$A$3:$A$500,$B11,'DADOS BRUTOS'!EY$3:EY$500)+IF($C11="",0,SUMIF('DADOS BRUTOS'!$A$3:$A$500,$C11,'DADOS BRUTOS'!EY$3:EY$500)))</f>
        <v/>
      </c>
      <c r="HZ11" s="123">
        <f>IF(OR(HZ$4="",$B11=""),0,SUMIF('DADOS BRUTOS'!$A$3:$A$500,$B11,'DADOS BRUTOS'!EZ$3:EZ$500)+IF($C11="",0,SUMIF('DADOS BRUTOS'!$A$3:$A$500,$C11,'DADOS BRUTOS'!EZ$3:EZ$500)))</f>
        <v/>
      </c>
      <c r="IA11" s="123">
        <f>IF(OR(IA$4="",$B11=""),0,SUMIF('DADOS BRUTOS'!$A$3:$A$500,$B11,'DADOS BRUTOS'!FA$3:FA$500)+IF($C11="",0,SUMIF('DADOS BRUTOS'!$A$3:$A$500,$C11,'DADOS BRUTOS'!FA$3:FA$500)))</f>
        <v/>
      </c>
      <c r="IB11" s="123">
        <f>IF(OR(IB$4="",$B11=""),0,SUMIF('DADOS BRUTOS'!$A$3:$A$500,$B11,'DADOS BRUTOS'!FB$3:FB$500)+IF($C11="",0,SUMIF('DADOS BRUTOS'!$A$3:$A$500,$C11,'DADOS BRUTOS'!FB$3:FB$500)))</f>
        <v/>
      </c>
      <c r="IC11" s="123">
        <f>IF(OR(IC$4="",$B11=""),0,SUMIF('DADOS BRUTOS'!$A$3:$A$500,$B11,'DADOS BRUTOS'!FC$3:FC$500)+IF($C11="",0,SUMIF('DADOS BRUTOS'!$A$3:$A$500,$C11,'DADOS BRUTOS'!FC$3:FC$500)))</f>
        <v/>
      </c>
      <c r="ID11" s="123">
        <f>IF(OR(ID$4="",$B11=""),0,SUMIF('DADOS BRUTOS'!$A$3:$A$500,$B11,'DADOS BRUTOS'!FD$3:FD$500)+IF($C11="",0,SUMIF('DADOS BRUTOS'!$A$3:$A$500,$C11,'DADOS BRUTOS'!FD$3:FD$500)))</f>
        <v/>
      </c>
      <c r="IE11" s="123">
        <f>IF(OR(IE$4="",$B11=""),0,SUMIF('DADOS BRUTOS'!$A$3:$A$500,$B11,'DADOS BRUTOS'!FE$3:FE$500)+IF($C11="",0,SUMIF('DADOS BRUTOS'!$A$3:$A$500,$C11,'DADOS BRUTOS'!FE$3:FE$500)))</f>
        <v/>
      </c>
      <c r="IF11" s="123">
        <f>IF(OR(IF$4="",$B11=""),0,SUMIF('DADOS BRUTOS'!$A$3:$A$500,$B11,'DADOS BRUTOS'!FF$3:FF$500)+IF($C11="",0,SUMIF('DADOS BRUTOS'!$A$3:$A$500,$C11,'DADOS BRUTOS'!FF$3:FF$500)))</f>
        <v/>
      </c>
      <c r="IG11" s="123">
        <f>IF(OR(IG$4="",$B11=""),0,SUMIF('DADOS BRUTOS'!$A$3:$A$500,$B11,'DADOS BRUTOS'!FG$3:FG$500)+IF($C11="",0,SUMIF('DADOS BRUTOS'!$A$3:$A$500,$C11,'DADOS BRUTOS'!FG$3:FG$500)))</f>
        <v/>
      </c>
      <c r="IH11" s="123">
        <f>IF(OR(IH$4="",$B11=""),0,SUMIF('DADOS BRUTOS'!$A$3:$A$500,$B11,'DADOS BRUTOS'!FH$3:FH$500)+IF($C11="",0,SUMIF('DADOS BRUTOS'!$A$3:$A$500,$C11,'DADOS BRUTOS'!FH$3:FH$500)))</f>
        <v/>
      </c>
      <c r="II11" s="123">
        <f>IF(OR(II$4="",$B11=""),0,SUMIF('DADOS BRUTOS'!$A$3:$A$500,$B11,'DADOS BRUTOS'!FI$3:FI$500)+IF($C11="",0,SUMIF('DADOS BRUTOS'!$A$3:$A$500,$C11,'DADOS BRUTOS'!FI$3:FI$500)))</f>
        <v/>
      </c>
      <c r="IJ11" s="123">
        <f>IF(OR(IJ$4="",$B11=""),0,SUMIF('DADOS BRUTOS'!$A$3:$A$500,$B11,'DADOS BRUTOS'!FJ$3:FJ$500)+IF($C11="",0,SUMIF('DADOS BRUTOS'!$A$3:$A$500,$C11,'DADOS BRUTOS'!FJ$3:FJ$500)))</f>
        <v/>
      </c>
      <c r="IK11" s="123">
        <f>IF(OR(IK$4="",$B11=""),0,SUMIF('DADOS BRUTOS'!$A$3:$A$500,$B11,'DADOS BRUTOS'!FK$3:FK$500)+IF($C11="",0,SUMIF('DADOS BRUTOS'!$A$3:$A$500,$C11,'DADOS BRUTOS'!FK$3:FK$500)))</f>
        <v/>
      </c>
      <c r="IL11" s="123">
        <f>IF(OR(IL$4="",$B11=""),0,SUMIF('DADOS BRUTOS'!$A$3:$A$500,$B11,'DADOS BRUTOS'!FL$3:FL$500)+IF($C11="",0,SUMIF('DADOS BRUTOS'!$A$3:$A$500,$C11,'DADOS BRUTOS'!FL$3:FL$500)))</f>
        <v/>
      </c>
      <c r="IM11" s="123">
        <f>IF(OR(IM$4="",$B11=""),0,SUMIF('DADOS BRUTOS'!$A$3:$A$500,$B11,'DADOS BRUTOS'!FM$3:FM$500)+IF($C11="",0,SUMIF('DADOS BRUTOS'!$A$3:$A$500,$C11,'DADOS BRUTOS'!FM$3:FM$500)))</f>
        <v/>
      </c>
      <c r="IN11" s="123">
        <f>IF(OR(IN$4="",$B11=""),0,SUMIF('DADOS BRUTOS'!$A$3:$A$500,$B11,'DADOS BRUTOS'!FN$3:FN$500)+IF($C11="",0,SUMIF('DADOS BRUTOS'!$A$3:$A$500,$C11,'DADOS BRUTOS'!FN$3:FN$500)))</f>
        <v/>
      </c>
      <c r="IO11" s="123">
        <f>IF(OR(IO$4="",$B11=""),0,SUMIF('DADOS BRUTOS'!$A$3:$A$500,$B11,'DADOS BRUTOS'!FO$3:FO$500)+IF($C11="",0,SUMIF('DADOS BRUTOS'!$A$3:$A$500,$C11,'DADOS BRUTOS'!FO$3:FO$500)))</f>
        <v/>
      </c>
      <c r="IP11" s="123">
        <f>IF(OR(IP$4="",$B11=""),0,SUMIF('DADOS BRUTOS'!$A$3:$A$500,$B11,'DADOS BRUTOS'!FP$3:FP$500)+IF($C11="",0,SUMIF('DADOS BRUTOS'!$A$3:$A$500,$C11,'DADOS BRUTOS'!FP$3:FP$500)))</f>
        <v/>
      </c>
      <c r="IQ11" s="123">
        <f>IF(OR(IQ$4="",$B11=""),0,SUMIF('DADOS BRUTOS'!$A$3:$A$500,$B11,'DADOS BRUTOS'!FQ$3:FQ$500)+IF($C11="",0,SUMIF('DADOS BRUTOS'!$A$3:$A$500,$C11,'DADOS BRUTOS'!FQ$3:FQ$500)))</f>
        <v/>
      </c>
      <c r="IR11" s="123">
        <f>IF(OR(IR$4="",$B11=""),0,SUMIF('DADOS BRUTOS'!$A$3:$A$500,$B11,'DADOS BRUTOS'!FR$3:FR$500)+IF($C11="",0,SUMIF('DADOS BRUTOS'!$A$3:$A$500,$C11,'DADOS BRUTOS'!FR$3:FR$500)))</f>
        <v/>
      </c>
      <c r="IS11" s="123">
        <f>IF(OR(IS$4="",$B11=""),0,SUMIF('DADOS BRUTOS'!$A$3:$A$500,$B11,'DADOS BRUTOS'!FS$3:FS$500)+IF($C11="",0,SUMIF('DADOS BRUTOS'!$A$3:$A$500,$C11,'DADOS BRUTOS'!FS$3:FS$500)))</f>
        <v/>
      </c>
      <c r="IT11" s="123">
        <f>IF(OR(IT$4="",$B11=""),0,SUMIF('DADOS BRUTOS'!$A$3:$A$500,$B11,'DADOS BRUTOS'!FT$3:FT$500)+IF($C11="",0,SUMIF('DADOS BRUTOS'!$A$3:$A$500,$C11,'DADOS BRUTOS'!FT$3:FT$500)))</f>
        <v/>
      </c>
      <c r="IU11" s="123">
        <f>IF(OR(IU$4="",$B11=""),0,SUMIF('DADOS BRUTOS'!$A$3:$A$500,$B11,'DADOS BRUTOS'!FU$3:FU$500)+IF($C11="",0,SUMIF('DADOS BRUTOS'!$A$3:$A$500,$C11,'DADOS BRUTOS'!FU$3:FU$500)))</f>
        <v/>
      </c>
      <c r="IV11" s="123">
        <f>IF(OR(IV$4="",$B11=""),0,SUMIF('DADOS BRUTOS'!$A$3:$A$500,$B11,'DADOS BRUTOS'!FV$3:FV$500)+IF($C11="",0,SUMIF('DADOS BRUTOS'!$A$3:$A$500,$C11,'DADOS BRUTOS'!FV$3:FV$500)))</f>
        <v/>
      </c>
      <c r="IW11" s="123">
        <f>IF(OR(IW$4="",$B11=""),0,SUMIF('DADOS BRUTOS'!$A$3:$A$500,$B11,'DADOS BRUTOS'!FW$3:FW$500)+IF($C11="",0,SUMIF('DADOS BRUTOS'!$A$3:$A$500,$C11,'DADOS BRUTOS'!FW$3:FW$500)))</f>
        <v/>
      </c>
      <c r="IX11" s="123">
        <f>IF(OR(IX$4="",$B11=""),0,SUMIF('DADOS BRUTOS'!$A$3:$A$500,$B11,'DADOS BRUTOS'!FX$3:FX$500)+IF($C11="",0,SUMIF('DADOS BRUTOS'!$A$3:$A$500,$C11,'DADOS BRUTOS'!FX$3:FX$500)))</f>
        <v/>
      </c>
      <c r="IY11" s="123">
        <f>IF(OR(IY$4="",$B11=""),0,SUMIF('DADOS BRUTOS'!$A$3:$A$500,$B11,'DADOS BRUTOS'!FY$3:FY$500)+IF($C11="",0,SUMIF('DADOS BRUTOS'!$A$3:$A$500,$C11,'DADOS BRUTOS'!FY$3:FY$500)))</f>
        <v/>
      </c>
      <c r="IZ11" s="123">
        <f>IF(OR(IZ$4="",$B11=""),0,SUMIF('DADOS BRUTOS'!$A$3:$A$500,$B11,'DADOS BRUTOS'!FZ$3:FZ$500)+IF($C11="",0,SUMIF('DADOS BRUTOS'!$A$3:$A$500,$C11,'DADOS BRUTOS'!FZ$3:FZ$500)))</f>
        <v/>
      </c>
      <c r="JA11" s="123">
        <f>IF(OR(JA$4="",$B11=""),0,SUMIF('DADOS BRUTOS'!$A$3:$A$500,$B11,'DADOS BRUTOS'!GA$3:GA$500)+IF($C11="",0,SUMIF('DADOS BRUTOS'!$A$3:$A$500,$C11,'DADOS BRUTOS'!GA$3:GA$500)))</f>
        <v/>
      </c>
      <c r="JB11" s="123">
        <f>IF(OR(JB$4="",$B11=""),0,SUMIF('DADOS BRUTOS'!$A$3:$A$500,$B11,'DADOS BRUTOS'!GB$3:GB$500)+IF($C11="",0,SUMIF('DADOS BRUTOS'!$A$3:$A$500,$C11,'DADOS BRUTOS'!GB$3:GB$500)))</f>
        <v/>
      </c>
      <c r="JC11" s="123">
        <f>IF(OR(JC$4="",$B11=""),0,SUMIF('DADOS BRUTOS'!$A$3:$A$500,$B11,'DADOS BRUTOS'!GC$3:GC$500)+IF($C11="",0,SUMIF('DADOS BRUTOS'!$A$3:$A$500,$C11,'DADOS BRUTOS'!GC$3:GC$500)))</f>
        <v/>
      </c>
      <c r="JD11" s="123">
        <f>IF(OR(JD$4="",$B11=""),0,SUMIF('DADOS BRUTOS'!$A$3:$A$500,$B11,'DADOS BRUTOS'!GD$3:GD$500)+IF($C11="",0,SUMIF('DADOS BRUTOS'!$A$3:$A$500,$C11,'DADOS BRUTOS'!GD$3:GD$500)))</f>
        <v/>
      </c>
      <c r="JE11" s="123">
        <f>IF(OR(JE$4="",$B11=""),0,SUMIF('DADOS BRUTOS'!$A$3:$A$500,$B11,'DADOS BRUTOS'!GE$3:GE$500)+IF($C11="",0,SUMIF('DADOS BRUTOS'!$A$3:$A$500,$C11,'DADOS BRUTOS'!GE$3:GE$500)))</f>
        <v/>
      </c>
      <c r="JF11" s="123">
        <f>IF(OR(JF$4="",$B11=""),0,SUMIF('DADOS BRUTOS'!$A$3:$A$500,$B11,'DADOS BRUTOS'!GF$3:GF$500)+IF($C11="",0,SUMIF('DADOS BRUTOS'!$A$3:$A$500,$C11,'DADOS BRUTOS'!GF$3:GF$500)))</f>
        <v/>
      </c>
      <c r="JG11" s="123">
        <f>IF(OR(JG$4="",$B11=""),0,SUMIF('DADOS BRUTOS'!$A$3:$A$500,$B11,'DADOS BRUTOS'!GG$3:GG$500)+IF($C11="",0,SUMIF('DADOS BRUTOS'!$A$3:$A$500,$C11,'DADOS BRUTOS'!GG$3:GG$500)))</f>
        <v/>
      </c>
      <c r="JH11" s="123">
        <f>IF(OR(JH$4="",$B11=""),0,SUMIF('DADOS BRUTOS'!$A$3:$A$500,$B11,'DADOS BRUTOS'!GH$3:GH$500)+IF($C11="",0,SUMIF('DADOS BRUTOS'!$A$3:$A$500,$C11,'DADOS BRUTOS'!GH$3:GH$500)))</f>
        <v/>
      </c>
      <c r="JI11" s="123">
        <f>IF(OR(JI$4="",$B11=""),0,SUMIF('DADOS BRUTOS'!$A$3:$A$500,$B11,'DADOS BRUTOS'!GI$3:GI$500)+IF($C11="",0,SUMIF('DADOS BRUTOS'!$A$3:$A$500,$C11,'DADOS BRUTOS'!GI$3:GI$500)))</f>
        <v/>
      </c>
      <c r="JJ11" s="123">
        <f>IF(OR(JJ$4="",$B11=""),0,SUMIF('DADOS BRUTOS'!$A$3:$A$500,$B11,'DADOS BRUTOS'!GJ$3:GJ$500)+IF($C11="",0,SUMIF('DADOS BRUTOS'!$A$3:$A$500,$C11,'DADOS BRUTOS'!GJ$3:GJ$500)))</f>
        <v/>
      </c>
      <c r="JK11" s="123">
        <f>IF(OR(JK$4="",$B11=""),0,SUMIF('DADOS BRUTOS'!$A$3:$A$500,$B11,'DADOS BRUTOS'!GK$3:GK$500)+IF($C11="",0,SUMIF('DADOS BRUTOS'!$A$3:$A$500,$C11,'DADOS BRUTOS'!GK$3:GK$500)))</f>
        <v/>
      </c>
      <c r="JL11" s="123">
        <f>IF(OR(JL$4="",$B11=""),0,SUMIF('DADOS BRUTOS'!$A$3:$A$500,$B11,'DADOS BRUTOS'!GL$3:GL$500)+IF($C11="",0,SUMIF('DADOS BRUTOS'!$A$3:$A$500,$C11,'DADOS BRUTOS'!GL$3:GL$500)))</f>
        <v/>
      </c>
      <c r="JM11" s="123">
        <f>IF(OR(JM$4="",$B11=""),0,SUMIF('DADOS BRUTOS'!$A$3:$A$500,$B11,'DADOS BRUTOS'!GM$3:GM$500)+IF($C11="",0,SUMIF('DADOS BRUTOS'!$A$3:$A$500,$C11,'DADOS BRUTOS'!GM$3:GM$500)))</f>
        <v/>
      </c>
      <c r="JN11" s="123">
        <f>IF(OR(JN$4="",$B11=""),0,SUMIF('DADOS BRUTOS'!$A$3:$A$500,$B11,'DADOS BRUTOS'!GN$3:GN$500)+IF($C11="",0,SUMIF('DADOS BRUTOS'!$A$3:$A$500,$C11,'DADOS BRUTOS'!GN$3:GN$500)))</f>
        <v/>
      </c>
      <c r="JO11" s="123">
        <f>IF(OR(JO$4="",$B11=""),0,SUMIF('DADOS BRUTOS'!$A$3:$A$500,$B11,'DADOS BRUTOS'!GO$3:GO$500)+IF($C11="",0,SUMIF('DADOS BRUTOS'!$A$3:$A$500,$C11,'DADOS BRUTOS'!GO$3:GO$500)))</f>
        <v/>
      </c>
      <c r="JP11" s="123">
        <f>IF(OR(JP$4="",$B11=""),0,SUMIF('DADOS BRUTOS'!$A$3:$A$500,$B11,'DADOS BRUTOS'!GP$3:GP$500)+IF($C11="",0,SUMIF('DADOS BRUTOS'!$A$3:$A$500,$C11,'DADOS BRUTOS'!GP$3:GP$500)))</f>
        <v/>
      </c>
      <c r="JQ11" s="123">
        <f>IF(OR(JQ$4="",$B11=""),0,SUMIF('DADOS BRUTOS'!$A$3:$A$500,$B11,'DADOS BRUTOS'!GQ$3:GQ$500)+IF($C11="",0,SUMIF('DADOS BRUTOS'!$A$3:$A$500,$C11,'DADOS BRUTOS'!GQ$3:GQ$500)))</f>
        <v/>
      </c>
      <c r="JR11" s="123">
        <f>IF(OR(JR$4="",$B11=""),0,SUMIF('DADOS BRUTOS'!$A$3:$A$500,$B11,'DADOS BRUTOS'!GR$3:GR$500)+IF($C11="",0,SUMIF('DADOS BRUTOS'!$A$3:$A$500,$C11,'DADOS BRUTOS'!GR$3:GR$500)))</f>
        <v/>
      </c>
      <c r="JS11" s="123">
        <f>IF(OR(JS$4="",$B11=""),0,SUMIF('DADOS BRUTOS'!$A$3:$A$500,$B11,'DADOS BRUTOS'!GS$3:GS$500)+IF($C11="",0,SUMIF('DADOS BRUTOS'!$A$3:$A$500,$C11,'DADOS BRUTOS'!GS$3:GS$500)))</f>
        <v/>
      </c>
    </row>
    <row r="12">
      <c r="A12" s="60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CB12" s="123">
        <f>IF(OR(CB$4="",$B12=""),0,SUMIF('DADOS BRUTOS'!$A$3:$A$500,$B12,'DADOS BRUTOS'!B$3:B$500)+IF($C12="",0,SUMIF('DADOS BRUTOS'!$A$3:$A$500,$C12,'DADOS BRUTOS'!B$3:B$500)))</f>
        <v/>
      </c>
      <c r="CC12" s="123">
        <f>IF(OR(CC$4="",$B12=""),0,SUMIF('DADOS BRUTOS'!$A$3:$A$500,$B12,'DADOS BRUTOS'!C$3:C$500)+IF($C12="",0,SUMIF('DADOS BRUTOS'!$A$3:$A$500,$C12,'DADOS BRUTOS'!C$3:C$500)))</f>
        <v/>
      </c>
      <c r="CD12" s="123">
        <f>IF(OR(CD$4="",$B12=""),0,SUMIF('DADOS BRUTOS'!$A$3:$A$500,$B12,'DADOS BRUTOS'!D$3:D$500)+IF($C12="",0,SUMIF('DADOS BRUTOS'!$A$3:$A$500,$C12,'DADOS BRUTOS'!D$3:D$500)))</f>
        <v/>
      </c>
      <c r="CE12" s="123">
        <f>IF(OR(CE$4="",$B12=""),0,SUMIF('DADOS BRUTOS'!$A$3:$A$500,$B12,'DADOS BRUTOS'!E$3:E$500)+IF($C12="",0,SUMIF('DADOS BRUTOS'!$A$3:$A$500,$C12,'DADOS BRUTOS'!E$3:E$500)))</f>
        <v/>
      </c>
      <c r="CF12" s="123">
        <f>IF(OR(CF$4="",$B12=""),0,SUMIF('DADOS BRUTOS'!$A$3:$A$500,$B12,'DADOS BRUTOS'!F$3:F$500)+IF($C12="",0,SUMIF('DADOS BRUTOS'!$A$3:$A$500,$C12,'DADOS BRUTOS'!F$3:F$500)))</f>
        <v/>
      </c>
      <c r="CG12" s="123">
        <f>IF(OR(CG$4="",$B12=""),0,SUMIF('DADOS BRUTOS'!$A$3:$A$500,$B12,'DADOS BRUTOS'!G$3:G$500)+IF($C12="",0,SUMIF('DADOS BRUTOS'!$A$3:$A$500,$C12,'DADOS BRUTOS'!G$3:G$500)))</f>
        <v/>
      </c>
      <c r="CH12" s="123">
        <f>IF(OR(CH$4="",$B12=""),0,SUMIF('DADOS BRUTOS'!$A$3:$A$500,$B12,'DADOS BRUTOS'!H$3:H$500)+IF($C12="",0,SUMIF('DADOS BRUTOS'!$A$3:$A$500,$C12,'DADOS BRUTOS'!H$3:H$500)))</f>
        <v/>
      </c>
      <c r="CI12" s="123">
        <f>IF(OR(CI$4="",$B12=""),0,SUMIF('DADOS BRUTOS'!$A$3:$A$500,$B12,'DADOS BRUTOS'!I$3:I$500)+IF($C12="",0,SUMIF('DADOS BRUTOS'!$A$3:$A$500,$C12,'DADOS BRUTOS'!I$3:I$500)))</f>
        <v/>
      </c>
      <c r="CJ12" s="123">
        <f>IF(OR(CJ$4="",$B12=""),0,SUMIF('DADOS BRUTOS'!$A$3:$A$500,$B12,'DADOS BRUTOS'!J$3:J$500)+IF($C12="",0,SUMIF('DADOS BRUTOS'!$A$3:$A$500,$C12,'DADOS BRUTOS'!J$3:J$500)))</f>
        <v/>
      </c>
      <c r="CK12" s="123">
        <f>IF(OR(CK$4="",$B12=""),0,SUMIF('DADOS BRUTOS'!$A$3:$A$500,$B12,'DADOS BRUTOS'!K$3:K$500)+IF($C12="",0,SUMIF('DADOS BRUTOS'!$A$3:$A$500,$C12,'DADOS BRUTOS'!K$3:K$500)))</f>
        <v/>
      </c>
      <c r="CL12" s="123">
        <f>IF(OR(CL$4="",$B12=""),0,SUMIF('DADOS BRUTOS'!$A$3:$A$500,$B12,'DADOS BRUTOS'!L$3:L$500)+IF($C12="",0,SUMIF('DADOS BRUTOS'!$A$3:$A$500,$C12,'DADOS BRUTOS'!L$3:L$500)))</f>
        <v/>
      </c>
      <c r="CM12" s="123">
        <f>IF(OR(CM$4="",$B12=""),0,SUMIF('DADOS BRUTOS'!$A$3:$A$500,$B12,'DADOS BRUTOS'!M$3:M$500)+IF($C12="",0,SUMIF('DADOS BRUTOS'!$A$3:$A$500,$C12,'DADOS BRUTOS'!M$3:M$500)))</f>
        <v/>
      </c>
      <c r="CN12" s="123">
        <f>IF(OR(CN$4="",$B12=""),0,SUMIF('DADOS BRUTOS'!$A$3:$A$500,$B12,'DADOS BRUTOS'!N$3:N$500)+IF($C12="",0,SUMIF('DADOS BRUTOS'!$A$3:$A$500,$C12,'DADOS BRUTOS'!N$3:N$500)))</f>
        <v/>
      </c>
      <c r="CO12" s="123">
        <f>IF(OR(CO$4="",$B12=""),0,SUMIF('DADOS BRUTOS'!$A$3:$A$500,$B12,'DADOS BRUTOS'!O$3:O$500)+IF($C12="",0,SUMIF('DADOS BRUTOS'!$A$3:$A$500,$C12,'DADOS BRUTOS'!O$3:O$500)))</f>
        <v/>
      </c>
      <c r="CP12" s="123">
        <f>IF(OR(CP$4="",$B12=""),0,SUMIF('DADOS BRUTOS'!$A$3:$A$500,$B12,'DADOS BRUTOS'!P$3:P$500)+IF($C12="",0,SUMIF('DADOS BRUTOS'!$A$3:$A$500,$C12,'DADOS BRUTOS'!P$3:P$500)))</f>
        <v/>
      </c>
      <c r="CQ12" s="123">
        <f>IF(OR(CQ$4="",$B12=""),0,SUMIF('DADOS BRUTOS'!$A$3:$A$500,$B12,'DADOS BRUTOS'!Q$3:Q$500)+IF($C12="",0,SUMIF('DADOS BRUTOS'!$A$3:$A$500,$C12,'DADOS BRUTOS'!Q$3:Q$500)))</f>
        <v/>
      </c>
      <c r="CR12" s="123">
        <f>IF(OR(CR$4="",$B12=""),0,SUMIF('DADOS BRUTOS'!$A$3:$A$500,$B12,'DADOS BRUTOS'!R$3:R$500)+IF($C12="",0,SUMIF('DADOS BRUTOS'!$A$3:$A$500,$C12,'DADOS BRUTOS'!R$3:R$500)))</f>
        <v/>
      </c>
      <c r="CS12" s="123">
        <f>IF(OR(CS$4="",$B12=""),0,SUMIF('DADOS BRUTOS'!$A$3:$A$500,$B12,'DADOS BRUTOS'!S$3:S$500)+IF($C12="",0,SUMIF('DADOS BRUTOS'!$A$3:$A$500,$C12,'DADOS BRUTOS'!S$3:S$500)))</f>
        <v/>
      </c>
      <c r="CT12" s="123">
        <f>IF(OR(CT$4="",$B12=""),0,SUMIF('DADOS BRUTOS'!$A$3:$A$500,$B12,'DADOS BRUTOS'!T$3:T$500)+IF($C12="",0,SUMIF('DADOS BRUTOS'!$A$3:$A$500,$C12,'DADOS BRUTOS'!T$3:T$500)))</f>
        <v/>
      </c>
      <c r="CU12" s="123">
        <f>IF(OR(CU$4="",$B12=""),0,SUMIF('DADOS BRUTOS'!$A$3:$A$500,$B12,'DADOS BRUTOS'!U$3:U$500)+IF($C12="",0,SUMIF('DADOS BRUTOS'!$A$3:$A$500,$C12,'DADOS BRUTOS'!U$3:U$500)))</f>
        <v/>
      </c>
      <c r="CV12" s="123">
        <f>IF(OR(CV$4="",$B12=""),0,SUMIF('DADOS BRUTOS'!$A$3:$A$500,$B12,'DADOS BRUTOS'!V$3:V$500)+IF($C12="",0,SUMIF('DADOS BRUTOS'!$A$3:$A$500,$C12,'DADOS BRUTOS'!V$3:V$500)))</f>
        <v/>
      </c>
      <c r="CW12" s="123">
        <f>IF(OR(CW$4="",$B12=""),0,SUMIF('DADOS BRUTOS'!$A$3:$A$500,$B12,'DADOS BRUTOS'!W$3:W$500)+IF($C12="",0,SUMIF('DADOS BRUTOS'!$A$3:$A$500,$C12,'DADOS BRUTOS'!W$3:W$500)))</f>
        <v/>
      </c>
      <c r="CX12" s="123">
        <f>IF(OR(CX$4="",$B12=""),0,SUMIF('DADOS BRUTOS'!$A$3:$A$500,$B12,'DADOS BRUTOS'!X$3:X$500)+IF($C12="",0,SUMIF('DADOS BRUTOS'!$A$3:$A$500,$C12,'DADOS BRUTOS'!X$3:X$500)))</f>
        <v/>
      </c>
      <c r="CY12" s="123">
        <f>IF(OR(CY$4="",$B12=""),0,SUMIF('DADOS BRUTOS'!$A$3:$A$500,$B12,'DADOS BRUTOS'!Y$3:Y$500)+IF($C12="",0,SUMIF('DADOS BRUTOS'!$A$3:$A$500,$C12,'DADOS BRUTOS'!Y$3:Y$500)))</f>
        <v/>
      </c>
      <c r="CZ12" s="123">
        <f>IF(OR(CZ$4="",$B12=""),0,SUMIF('DADOS BRUTOS'!$A$3:$A$500,$B12,'DADOS BRUTOS'!Z$3:Z$500)+IF($C12="",0,SUMIF('DADOS BRUTOS'!$A$3:$A$500,$C12,'DADOS BRUTOS'!Z$3:Z$500)))</f>
        <v/>
      </c>
      <c r="DA12" s="123">
        <f>IF(OR(DA$4="",$B12=""),0,SUMIF('DADOS BRUTOS'!$A$3:$A$500,$B12,'DADOS BRUTOS'!AA$3:AA$500)+IF($C12="",0,SUMIF('DADOS BRUTOS'!$A$3:$A$500,$C12,'DADOS BRUTOS'!AA$3:AA$500)))</f>
        <v/>
      </c>
      <c r="DB12" s="123">
        <f>IF(OR(DB$4="",$B12=""),0,SUMIF('DADOS BRUTOS'!$A$3:$A$500,$B12,'DADOS BRUTOS'!AB$3:AB$500)+IF($C12="",0,SUMIF('DADOS BRUTOS'!$A$3:$A$500,$C12,'DADOS BRUTOS'!AB$3:AB$500)))</f>
        <v/>
      </c>
      <c r="DC12" s="123">
        <f>IF(OR(DC$4="",$B12=""),0,SUMIF('DADOS BRUTOS'!$A$3:$A$500,$B12,'DADOS BRUTOS'!AC$3:AC$500)+IF($C12="",0,SUMIF('DADOS BRUTOS'!$A$3:$A$500,$C12,'DADOS BRUTOS'!AC$3:AC$500)))</f>
        <v/>
      </c>
      <c r="DD12" s="123">
        <f>IF(OR(DD$4="",$B12=""),0,SUMIF('DADOS BRUTOS'!$A$3:$A$500,$B12,'DADOS BRUTOS'!AD$3:AD$500)+IF($C12="",0,SUMIF('DADOS BRUTOS'!$A$3:$A$500,$C12,'DADOS BRUTOS'!AD$3:AD$500)))</f>
        <v/>
      </c>
      <c r="DE12" s="123">
        <f>IF(OR(DE$4="",$B12=""),0,SUMIF('DADOS BRUTOS'!$A$3:$A$500,$B12,'DADOS BRUTOS'!AE$3:AE$500)+IF($C12="",0,SUMIF('DADOS BRUTOS'!$A$3:$A$500,$C12,'DADOS BRUTOS'!AE$3:AE$500)))</f>
        <v/>
      </c>
      <c r="DF12" s="123">
        <f>IF(OR(DF$4="",$B12=""),0,SUMIF('DADOS BRUTOS'!$A$3:$A$500,$B12,'DADOS BRUTOS'!AF$3:AF$500)+IF($C12="",0,SUMIF('DADOS BRUTOS'!$A$3:$A$500,$C12,'DADOS BRUTOS'!AF$3:AF$500)))</f>
        <v/>
      </c>
      <c r="DG12" s="123">
        <f>IF(OR(DG$4="",$B12=""),0,SUMIF('DADOS BRUTOS'!$A$3:$A$500,$B12,'DADOS BRUTOS'!AG$3:AG$500)+IF($C12="",0,SUMIF('DADOS BRUTOS'!$A$3:$A$500,$C12,'DADOS BRUTOS'!AG$3:AG$500)))</f>
        <v/>
      </c>
      <c r="DH12" s="123">
        <f>IF(OR(DH$4="",$B12=""),0,SUMIF('DADOS BRUTOS'!$A$3:$A$500,$B12,'DADOS BRUTOS'!AH$3:AH$500)+IF($C12="",0,SUMIF('DADOS BRUTOS'!$A$3:$A$500,$C12,'DADOS BRUTOS'!AH$3:AH$500)))</f>
        <v/>
      </c>
      <c r="DI12" s="123">
        <f>IF(OR(DI$4="",$B12=""),0,SUMIF('DADOS BRUTOS'!$A$3:$A$500,$B12,'DADOS BRUTOS'!AI$3:AI$500)+IF($C12="",0,SUMIF('DADOS BRUTOS'!$A$3:$A$500,$C12,'DADOS BRUTOS'!AI$3:AI$500)))</f>
        <v/>
      </c>
      <c r="DJ12" s="123">
        <f>IF(OR(DJ$4="",$B12=""),0,SUMIF('DADOS BRUTOS'!$A$3:$A$500,$B12,'DADOS BRUTOS'!AJ$3:AJ$500)+IF($C12="",0,SUMIF('DADOS BRUTOS'!$A$3:$A$500,$C12,'DADOS BRUTOS'!AJ$3:AJ$500)))</f>
        <v/>
      </c>
      <c r="DK12" s="123">
        <f>IF(OR(DK$4="",$B12=""),0,SUMIF('DADOS BRUTOS'!$A$3:$A$500,$B12,'DADOS BRUTOS'!AK$3:AK$500)+IF($C12="",0,SUMIF('DADOS BRUTOS'!$A$3:$A$500,$C12,'DADOS BRUTOS'!AK$3:AK$500)))</f>
        <v/>
      </c>
      <c r="DL12" s="123">
        <f>IF(OR(DL$4="",$B12=""),0,SUMIF('DADOS BRUTOS'!$A$3:$A$500,$B12,'DADOS BRUTOS'!AL$3:AL$500)+IF($C12="",0,SUMIF('DADOS BRUTOS'!$A$3:$A$500,$C12,'DADOS BRUTOS'!AL$3:AL$500)))</f>
        <v/>
      </c>
      <c r="DM12" s="123">
        <f>IF(OR(DM$4="",$B12=""),0,SUMIF('DADOS BRUTOS'!$A$3:$A$500,$B12,'DADOS BRUTOS'!AM$3:AM$500)+IF($C12="",0,SUMIF('DADOS BRUTOS'!$A$3:$A$500,$C12,'DADOS BRUTOS'!AM$3:AM$500)))</f>
        <v/>
      </c>
      <c r="DN12" s="123">
        <f>IF(OR(DN$4="",$B12=""),0,SUMIF('DADOS BRUTOS'!$A$3:$A$500,$B12,'DADOS BRUTOS'!AN$3:AN$500)+IF($C12="",0,SUMIF('DADOS BRUTOS'!$A$3:$A$500,$C12,'DADOS BRUTOS'!AN$3:AN$500)))</f>
        <v/>
      </c>
      <c r="DO12" s="123">
        <f>IF(OR(DO$4="",$B12=""),0,SUMIF('DADOS BRUTOS'!$A$3:$A$500,$B12,'DADOS BRUTOS'!AO$3:AO$500)+IF($C12="",0,SUMIF('DADOS BRUTOS'!$A$3:$A$500,$C12,'DADOS BRUTOS'!AO$3:AO$500)))</f>
        <v/>
      </c>
      <c r="DP12" s="123">
        <f>IF(OR(DP$4="",$B12=""),0,SUMIF('DADOS BRUTOS'!$A$3:$A$500,$B12,'DADOS BRUTOS'!AP$3:AP$500)+IF($C12="",0,SUMIF('DADOS BRUTOS'!$A$3:$A$500,$C12,'DADOS BRUTOS'!AP$3:AP$500)))</f>
        <v/>
      </c>
      <c r="DQ12" s="123">
        <f>IF(OR(DQ$4="",$B12=""),0,SUMIF('DADOS BRUTOS'!$A$3:$A$500,$B12,'DADOS BRUTOS'!AQ$3:AQ$500)+IF($C12="",0,SUMIF('DADOS BRUTOS'!$A$3:$A$500,$C12,'DADOS BRUTOS'!AQ$3:AQ$500)))</f>
        <v/>
      </c>
      <c r="DR12" s="123">
        <f>IF(OR(DR$4="",$B12=""),0,SUMIF('DADOS BRUTOS'!$A$3:$A$500,$B12,'DADOS BRUTOS'!AR$3:AR$500)+IF($C12="",0,SUMIF('DADOS BRUTOS'!$A$3:$A$500,$C12,'DADOS BRUTOS'!AR$3:AR$500)))</f>
        <v/>
      </c>
      <c r="DS12" s="123">
        <f>IF(OR(DS$4="",$B12=""),0,SUMIF('DADOS BRUTOS'!$A$3:$A$500,$B12,'DADOS BRUTOS'!AS$3:AS$500)+IF($C12="",0,SUMIF('DADOS BRUTOS'!$A$3:$A$500,$C12,'DADOS BRUTOS'!AS$3:AS$500)))</f>
        <v/>
      </c>
      <c r="DT12" s="123">
        <f>IF(OR(DT$4="",$B12=""),0,SUMIF('DADOS BRUTOS'!$A$3:$A$500,$B12,'DADOS BRUTOS'!AT$3:AT$500)+IF($C12="",0,SUMIF('DADOS BRUTOS'!$A$3:$A$500,$C12,'DADOS BRUTOS'!AT$3:AT$500)))</f>
        <v/>
      </c>
      <c r="DU12" s="123">
        <f>IF(OR(DU$4="",$B12=""),0,SUMIF('DADOS BRUTOS'!$A$3:$A$500,$B12,'DADOS BRUTOS'!AU$3:AU$500)+IF($C12="",0,SUMIF('DADOS BRUTOS'!$A$3:$A$500,$C12,'DADOS BRUTOS'!AU$3:AU$500)))</f>
        <v/>
      </c>
      <c r="DV12" s="123">
        <f>IF(OR(DV$4="",$B12=""),0,SUMIF('DADOS BRUTOS'!$A$3:$A$500,$B12,'DADOS BRUTOS'!AV$3:AV$500)+IF($C12="",0,SUMIF('DADOS BRUTOS'!$A$3:$A$500,$C12,'DADOS BRUTOS'!AV$3:AV$500)))</f>
        <v/>
      </c>
      <c r="DW12" s="123">
        <f>IF(OR(DW$4="",$B12=""),0,SUMIF('DADOS BRUTOS'!$A$3:$A$500,$B12,'DADOS BRUTOS'!AW$3:AW$500)+IF($C12="",0,SUMIF('DADOS BRUTOS'!$A$3:$A$500,$C12,'DADOS BRUTOS'!AW$3:AW$500)))</f>
        <v/>
      </c>
      <c r="DX12" s="123">
        <f>IF(OR(DX$4="",$B12=""),0,SUMIF('DADOS BRUTOS'!$A$3:$A$500,$B12,'DADOS BRUTOS'!AX$3:AX$500)+IF($C12="",0,SUMIF('DADOS BRUTOS'!$A$3:$A$500,$C12,'DADOS BRUTOS'!AX$3:AX$500)))</f>
        <v/>
      </c>
      <c r="DY12" s="123">
        <f>IF(OR(DY$4="",$B12=""),0,SUMIF('DADOS BRUTOS'!$A$3:$A$500,$B12,'DADOS BRUTOS'!AY$3:AY$500)+IF($C12="",0,SUMIF('DADOS BRUTOS'!$A$3:$A$500,$C12,'DADOS BRUTOS'!AY$3:AY$500)))</f>
        <v/>
      </c>
      <c r="DZ12" s="123">
        <f>IF(OR(DZ$4="",$B12=""),0,SUMIF('DADOS BRUTOS'!$A$3:$A$500,$B12,'DADOS BRUTOS'!AZ$3:AZ$500)+IF($C12="",0,SUMIF('DADOS BRUTOS'!$A$3:$A$500,$C12,'DADOS BRUTOS'!AZ$3:AZ$500)))</f>
        <v/>
      </c>
      <c r="EA12" s="123">
        <f>IF(OR(EA$4="",$B12=""),0,SUMIF('DADOS BRUTOS'!$A$3:$A$500,$B12,'DADOS BRUTOS'!BA$3:BA$500)+IF($C12="",0,SUMIF('DADOS BRUTOS'!$A$3:$A$500,$C12,'DADOS BRUTOS'!BA$3:BA$500)))</f>
        <v/>
      </c>
      <c r="EB12" s="123">
        <f>IF(OR(EB$4="",$B12=""),0,SUMIF('DADOS BRUTOS'!$A$3:$A$500,$B12,'DADOS BRUTOS'!BB$3:BB$500)+IF($C12="",0,SUMIF('DADOS BRUTOS'!$A$3:$A$500,$C12,'DADOS BRUTOS'!BB$3:BB$500)))</f>
        <v/>
      </c>
      <c r="EC12" s="123">
        <f>IF(OR(EC$4="",$B12=""),0,SUMIF('DADOS BRUTOS'!$A$3:$A$500,$B12,'DADOS BRUTOS'!BC$3:BC$500)+IF($C12="",0,SUMIF('DADOS BRUTOS'!$A$3:$A$500,$C12,'DADOS BRUTOS'!BC$3:BC$500)))</f>
        <v/>
      </c>
      <c r="ED12" s="123">
        <f>IF(OR(ED$4="",$B12=""),0,SUMIF('DADOS BRUTOS'!$A$3:$A$500,$B12,'DADOS BRUTOS'!BD$3:BD$500)+IF($C12="",0,SUMIF('DADOS BRUTOS'!$A$3:$A$500,$C12,'DADOS BRUTOS'!BD$3:BD$500)))</f>
        <v/>
      </c>
      <c r="EE12" s="123">
        <f>IF(OR(EE$4="",$B12=""),0,SUMIF('DADOS BRUTOS'!$A$3:$A$500,$B12,'DADOS BRUTOS'!BE$3:BE$500)+IF($C12="",0,SUMIF('DADOS BRUTOS'!$A$3:$A$500,$C12,'DADOS BRUTOS'!BE$3:BE$500)))</f>
        <v/>
      </c>
      <c r="EF12" s="123">
        <f>IF(OR(EF$4="",$B12=""),0,SUMIF('DADOS BRUTOS'!$A$3:$A$500,$B12,'DADOS BRUTOS'!BF$3:BF$500)+IF($C12="",0,SUMIF('DADOS BRUTOS'!$A$3:$A$500,$C12,'DADOS BRUTOS'!BF$3:BF$500)))</f>
        <v/>
      </c>
      <c r="EG12" s="123">
        <f>IF(OR(EG$4="",$B12=""),0,SUMIF('DADOS BRUTOS'!$A$3:$A$500,$B12,'DADOS BRUTOS'!BG$3:BG$500)+IF($C12="",0,SUMIF('DADOS BRUTOS'!$A$3:$A$500,$C12,'DADOS BRUTOS'!BG$3:BG$500)))</f>
        <v/>
      </c>
      <c r="EH12" s="123">
        <f>IF(OR(EH$4="",$B12=""),0,SUMIF('DADOS BRUTOS'!$A$3:$A$500,$B12,'DADOS BRUTOS'!BH$3:BH$500)+IF($C12="",0,SUMIF('DADOS BRUTOS'!$A$3:$A$500,$C12,'DADOS BRUTOS'!BH$3:BH$500)))</f>
        <v/>
      </c>
      <c r="EI12" s="123">
        <f>IF(OR(EI$4="",$B12=""),0,SUMIF('DADOS BRUTOS'!$A$3:$A$500,$B12,'DADOS BRUTOS'!BI$3:BI$500)+IF($C12="",0,SUMIF('DADOS BRUTOS'!$A$3:$A$500,$C12,'DADOS BRUTOS'!BI$3:BI$500)))</f>
        <v/>
      </c>
      <c r="EJ12" s="123">
        <f>IF(OR(EJ$4="",$B12=""),0,SUMIF('DADOS BRUTOS'!$A$3:$A$500,$B12,'DADOS BRUTOS'!BJ$3:BJ$500)+IF($C12="",0,SUMIF('DADOS BRUTOS'!$A$3:$A$500,$C12,'DADOS BRUTOS'!BJ$3:BJ$500)))</f>
        <v/>
      </c>
      <c r="EK12" s="123">
        <f>IF(OR(EK$4="",$B12=""),0,SUMIF('DADOS BRUTOS'!$A$3:$A$500,$B12,'DADOS BRUTOS'!BK$3:BK$500)+IF($C12="",0,SUMIF('DADOS BRUTOS'!$A$3:$A$500,$C12,'DADOS BRUTOS'!BK$3:BK$500)))</f>
        <v/>
      </c>
      <c r="EL12" s="123">
        <f>IF(OR(EL$4="",$B12=""),0,SUMIF('DADOS BRUTOS'!$A$3:$A$500,$B12,'DADOS BRUTOS'!BL$3:BL$500)+IF($C12="",0,SUMIF('DADOS BRUTOS'!$A$3:$A$500,$C12,'DADOS BRUTOS'!BL$3:BL$500)))</f>
        <v/>
      </c>
      <c r="EM12" s="123">
        <f>IF(OR(EM$4="",$B12=""),0,SUMIF('DADOS BRUTOS'!$A$3:$A$500,$B12,'DADOS BRUTOS'!BM$3:BM$500)+IF($C12="",0,SUMIF('DADOS BRUTOS'!$A$3:$A$500,$C12,'DADOS BRUTOS'!BM$3:BM$500)))</f>
        <v/>
      </c>
      <c r="EN12" s="123">
        <f>IF(OR(EN$4="",$B12=""),0,SUMIF('DADOS BRUTOS'!$A$3:$A$500,$B12,'DADOS BRUTOS'!BN$3:BN$500)+IF($C12="",0,SUMIF('DADOS BRUTOS'!$A$3:$A$500,$C12,'DADOS BRUTOS'!BN$3:BN$500)))</f>
        <v/>
      </c>
      <c r="EO12" s="123">
        <f>IF(OR(EO$4="",$B12=""),0,SUMIF('DADOS BRUTOS'!$A$3:$A$500,$B12,'DADOS BRUTOS'!BO$3:BO$500)+IF($C12="",0,SUMIF('DADOS BRUTOS'!$A$3:$A$500,$C12,'DADOS BRUTOS'!BO$3:BO$500)))</f>
        <v/>
      </c>
      <c r="EP12" s="123">
        <f>IF(OR(EP$4="",$B12=""),0,SUMIF('DADOS BRUTOS'!$A$3:$A$500,$B12,'DADOS BRUTOS'!BP$3:BP$500)+IF($C12="",0,SUMIF('DADOS BRUTOS'!$A$3:$A$500,$C12,'DADOS BRUTOS'!BP$3:BP$500)))</f>
        <v/>
      </c>
      <c r="EQ12" s="123">
        <f>IF(OR(EQ$4="",$B12=""),0,SUMIF('DADOS BRUTOS'!$A$3:$A$500,$B12,'DADOS BRUTOS'!BQ$3:BQ$500)+IF($C12="",0,SUMIF('DADOS BRUTOS'!$A$3:$A$500,$C12,'DADOS BRUTOS'!BQ$3:BQ$500)))</f>
        <v/>
      </c>
      <c r="ER12" s="123">
        <f>IF(OR(ER$4="",$B12=""),0,SUMIF('DADOS BRUTOS'!$A$3:$A$500,$B12,'DADOS BRUTOS'!BR$3:BR$500)+IF($C12="",0,SUMIF('DADOS BRUTOS'!$A$3:$A$500,$C12,'DADOS BRUTOS'!BR$3:BR$500)))</f>
        <v/>
      </c>
      <c r="ES12" s="123">
        <f>IF(OR(ES$4="",$B12=""),0,SUMIF('DADOS BRUTOS'!$A$3:$A$500,$B12,'DADOS BRUTOS'!BS$3:BS$500)+IF($C12="",0,SUMIF('DADOS BRUTOS'!$A$3:$A$500,$C12,'DADOS BRUTOS'!BS$3:BS$500)))</f>
        <v/>
      </c>
      <c r="ET12" s="123">
        <f>IF(OR(ET$4="",$B12=""),0,SUMIF('DADOS BRUTOS'!$A$3:$A$500,$B12,'DADOS BRUTOS'!BT$3:BT$500)+IF($C12="",0,SUMIF('DADOS BRUTOS'!$A$3:$A$500,$C12,'DADOS BRUTOS'!BT$3:BT$500)))</f>
        <v/>
      </c>
      <c r="EU12" s="123">
        <f>IF(OR(EU$4="",$B12=""),0,SUMIF('DADOS BRUTOS'!$A$3:$A$500,$B12,'DADOS BRUTOS'!BU$3:BU$500)+IF($C12="",0,SUMIF('DADOS BRUTOS'!$A$3:$A$500,$C12,'DADOS BRUTOS'!BU$3:BU$500)))</f>
        <v/>
      </c>
      <c r="EV12" s="123">
        <f>IF(OR(EV$4="",$B12=""),0,SUMIF('DADOS BRUTOS'!$A$3:$A$500,$B12,'DADOS BRUTOS'!BV$3:BV$500)+IF($C12="",0,SUMIF('DADOS BRUTOS'!$A$3:$A$500,$C12,'DADOS BRUTOS'!BV$3:BV$500)))</f>
        <v/>
      </c>
      <c r="EW12" s="123">
        <f>IF(OR(EW$4="",$B12=""),0,SUMIF('DADOS BRUTOS'!$A$3:$A$500,$B12,'DADOS BRUTOS'!BW$3:BW$500)+IF($C12="",0,SUMIF('DADOS BRUTOS'!$A$3:$A$500,$C12,'DADOS BRUTOS'!BW$3:BW$500)))</f>
        <v/>
      </c>
      <c r="EX12" s="123">
        <f>IF(OR(EX$4="",$B12=""),0,SUMIF('DADOS BRUTOS'!$A$3:$A$500,$B12,'DADOS BRUTOS'!BX$3:BX$500)+IF($C12="",0,SUMIF('DADOS BRUTOS'!$A$3:$A$500,$C12,'DADOS BRUTOS'!BX$3:BX$500)))</f>
        <v/>
      </c>
      <c r="EY12" s="123">
        <f>IF(OR(EY$4="",$B12=""),0,SUMIF('DADOS BRUTOS'!$A$3:$A$500,$B12,'DADOS BRUTOS'!BY$3:BY$500)+IF($C12="",0,SUMIF('DADOS BRUTOS'!$A$3:$A$500,$C12,'DADOS BRUTOS'!BY$3:BY$500)))</f>
        <v/>
      </c>
      <c r="EZ12" s="123">
        <f>IF(OR(EZ$4="",$B12=""),0,SUMIF('DADOS BRUTOS'!$A$3:$A$500,$B12,'DADOS BRUTOS'!BZ$3:BZ$500)+IF($C12="",0,SUMIF('DADOS BRUTOS'!$A$3:$A$500,$C12,'DADOS BRUTOS'!BZ$3:BZ$500)))</f>
        <v/>
      </c>
      <c r="FA12" s="123">
        <f>IF(OR(FA$4="",$B12=""),0,SUMIF('DADOS BRUTOS'!$A$3:$A$500,$B12,'DADOS BRUTOS'!CA$3:CA$500)+IF($C12="",0,SUMIF('DADOS BRUTOS'!$A$3:$A$500,$C12,'DADOS BRUTOS'!CA$3:CA$500)))</f>
        <v/>
      </c>
      <c r="FB12" s="123">
        <f>IF(OR(FB$4="",$B12=""),0,SUMIF('DADOS BRUTOS'!$A$3:$A$500,$B12,'DADOS BRUTOS'!CB$3:CB$500)+IF($C12="",0,SUMIF('DADOS BRUTOS'!$A$3:$A$500,$C12,'DADOS BRUTOS'!CB$3:CB$500)))</f>
        <v/>
      </c>
      <c r="FC12" s="123">
        <f>IF(OR(FC$4="",$B12=""),0,SUMIF('DADOS BRUTOS'!$A$3:$A$500,$B12,'DADOS BRUTOS'!CC$3:CC$500)+IF($C12="",0,SUMIF('DADOS BRUTOS'!$A$3:$A$500,$C12,'DADOS BRUTOS'!CC$3:CC$500)))</f>
        <v/>
      </c>
      <c r="FD12" s="123">
        <f>IF(OR(FD$4="",$B12=""),0,SUMIF('DADOS BRUTOS'!$A$3:$A$500,$B12,'DADOS BRUTOS'!CD$3:CD$500)+IF($C12="",0,SUMIF('DADOS BRUTOS'!$A$3:$A$500,$C12,'DADOS BRUTOS'!CD$3:CD$500)))</f>
        <v/>
      </c>
      <c r="FE12" s="123">
        <f>IF(OR(FE$4="",$B12=""),0,SUMIF('DADOS BRUTOS'!$A$3:$A$500,$B12,'DADOS BRUTOS'!CE$3:CE$500)+IF($C12="",0,SUMIF('DADOS BRUTOS'!$A$3:$A$500,$C12,'DADOS BRUTOS'!CE$3:CE$500)))</f>
        <v/>
      </c>
      <c r="FF12" s="123">
        <f>IF(OR(FF$4="",$B12=""),0,SUMIF('DADOS BRUTOS'!$A$3:$A$500,$B12,'DADOS BRUTOS'!CF$3:CF$500)+IF($C12="",0,SUMIF('DADOS BRUTOS'!$A$3:$A$500,$C12,'DADOS BRUTOS'!CF$3:CF$500)))</f>
        <v/>
      </c>
      <c r="FG12" s="123">
        <f>IF(OR(FG$4="",$B12=""),0,SUMIF('DADOS BRUTOS'!$A$3:$A$500,$B12,'DADOS BRUTOS'!CG$3:CG$500)+IF($C12="",0,SUMIF('DADOS BRUTOS'!$A$3:$A$500,$C12,'DADOS BRUTOS'!CG$3:CG$500)))</f>
        <v/>
      </c>
      <c r="FH12" s="123">
        <f>IF(OR(FH$4="",$B12=""),0,SUMIF('DADOS BRUTOS'!$A$3:$A$500,$B12,'DADOS BRUTOS'!CH$3:CH$500)+IF($C12="",0,SUMIF('DADOS BRUTOS'!$A$3:$A$500,$C12,'DADOS BRUTOS'!CH$3:CH$500)))</f>
        <v/>
      </c>
      <c r="FI12" s="123">
        <f>IF(OR(FI$4="",$B12=""),0,SUMIF('DADOS BRUTOS'!$A$3:$A$500,$B12,'DADOS BRUTOS'!CI$3:CI$500)+IF($C12="",0,SUMIF('DADOS BRUTOS'!$A$3:$A$500,$C12,'DADOS BRUTOS'!CI$3:CI$500)))</f>
        <v/>
      </c>
      <c r="FJ12" s="123">
        <f>IF(OR(FJ$4="",$B12=""),0,SUMIF('DADOS BRUTOS'!$A$3:$A$500,$B12,'DADOS BRUTOS'!CJ$3:CJ$500)+IF($C12="",0,SUMIF('DADOS BRUTOS'!$A$3:$A$500,$C12,'DADOS BRUTOS'!CJ$3:CJ$500)))</f>
        <v/>
      </c>
      <c r="FK12" s="123">
        <f>IF(OR(FK$4="",$B12=""),0,SUMIF('DADOS BRUTOS'!$A$3:$A$500,$B12,'DADOS BRUTOS'!CK$3:CK$500)+IF($C12="",0,SUMIF('DADOS BRUTOS'!$A$3:$A$500,$C12,'DADOS BRUTOS'!CK$3:CK$500)))</f>
        <v/>
      </c>
      <c r="FL12" s="123">
        <f>IF(OR(FL$4="",$B12=""),0,SUMIF('DADOS BRUTOS'!$A$3:$A$500,$B12,'DADOS BRUTOS'!CL$3:CL$500)+IF($C12="",0,SUMIF('DADOS BRUTOS'!$A$3:$A$500,$C12,'DADOS BRUTOS'!CL$3:CL$500)))</f>
        <v/>
      </c>
      <c r="FM12" s="123">
        <f>IF(OR(FM$4="",$B12=""),0,SUMIF('DADOS BRUTOS'!$A$3:$A$500,$B12,'DADOS BRUTOS'!CM$3:CM$500)+IF($C12="",0,SUMIF('DADOS BRUTOS'!$A$3:$A$500,$C12,'DADOS BRUTOS'!CM$3:CM$500)))</f>
        <v/>
      </c>
      <c r="FN12" s="123">
        <f>IF(OR(FN$4="",$B12=""),0,SUMIF('DADOS BRUTOS'!$A$3:$A$500,$B12,'DADOS BRUTOS'!CN$3:CN$500)+IF($C12="",0,SUMIF('DADOS BRUTOS'!$A$3:$A$500,$C12,'DADOS BRUTOS'!CN$3:CN$500)))</f>
        <v/>
      </c>
      <c r="FO12" s="123">
        <f>IF(OR(FO$4="",$B12=""),0,SUMIF('DADOS BRUTOS'!$A$3:$A$500,$B12,'DADOS BRUTOS'!CO$3:CO$500)+IF($C12="",0,SUMIF('DADOS BRUTOS'!$A$3:$A$500,$C12,'DADOS BRUTOS'!CO$3:CO$500)))</f>
        <v/>
      </c>
      <c r="FP12" s="123">
        <f>IF(OR(FP$4="",$B12=""),0,SUMIF('DADOS BRUTOS'!$A$3:$A$500,$B12,'DADOS BRUTOS'!CP$3:CP$500)+IF($C12="",0,SUMIF('DADOS BRUTOS'!$A$3:$A$500,$C12,'DADOS BRUTOS'!CP$3:CP$500)))</f>
        <v/>
      </c>
      <c r="FQ12" s="123">
        <f>IF(OR(FQ$4="",$B12=""),0,SUMIF('DADOS BRUTOS'!$A$3:$A$500,$B12,'DADOS BRUTOS'!CQ$3:CQ$500)+IF($C12="",0,SUMIF('DADOS BRUTOS'!$A$3:$A$500,$C12,'DADOS BRUTOS'!CQ$3:CQ$500)))</f>
        <v/>
      </c>
      <c r="FR12" s="123">
        <f>IF(OR(FR$4="",$B12=""),0,SUMIF('DADOS BRUTOS'!$A$3:$A$500,$B12,'DADOS BRUTOS'!CR$3:CR$500)+IF($C12="",0,SUMIF('DADOS BRUTOS'!$A$3:$A$500,$C12,'DADOS BRUTOS'!CR$3:CR$500)))</f>
        <v/>
      </c>
      <c r="FS12" s="123">
        <f>IF(OR(FS$4="",$B12=""),0,SUMIF('DADOS BRUTOS'!$A$3:$A$500,$B12,'DADOS BRUTOS'!CS$3:CS$500)+IF($C12="",0,SUMIF('DADOS BRUTOS'!$A$3:$A$500,$C12,'DADOS BRUTOS'!CS$3:CS$500)))</f>
        <v/>
      </c>
      <c r="FT12" s="123">
        <f>IF(OR(FT$4="",$B12=""),0,SUMIF('DADOS BRUTOS'!$A$3:$A$500,$B12,'DADOS BRUTOS'!CT$3:CT$500)+IF($C12="",0,SUMIF('DADOS BRUTOS'!$A$3:$A$500,$C12,'DADOS BRUTOS'!CT$3:CT$500)))</f>
        <v/>
      </c>
      <c r="FU12" s="123">
        <f>IF(OR(FU$4="",$B12=""),0,SUMIF('DADOS BRUTOS'!$A$3:$A$500,$B12,'DADOS BRUTOS'!CU$3:CU$500)+IF($C12="",0,SUMIF('DADOS BRUTOS'!$A$3:$A$500,$C12,'DADOS BRUTOS'!CU$3:CU$500)))</f>
        <v/>
      </c>
      <c r="FV12" s="123">
        <f>IF(OR(FV$4="",$B12=""),0,SUMIF('DADOS BRUTOS'!$A$3:$A$500,$B12,'DADOS BRUTOS'!CV$3:CV$500)+IF($C12="",0,SUMIF('DADOS BRUTOS'!$A$3:$A$500,$C12,'DADOS BRUTOS'!CV$3:CV$500)))</f>
        <v/>
      </c>
      <c r="FW12" s="123">
        <f>IF(OR(FW$4="",$B12=""),0,SUMIF('DADOS BRUTOS'!$A$3:$A$500,$B12,'DADOS BRUTOS'!CW$3:CW$500)+IF($C12="",0,SUMIF('DADOS BRUTOS'!$A$3:$A$500,$C12,'DADOS BRUTOS'!CW$3:CW$500)))</f>
        <v/>
      </c>
      <c r="FX12" s="123">
        <f>IF(OR(FX$4="",$B12=""),0,SUMIF('DADOS BRUTOS'!$A$3:$A$500,$B12,'DADOS BRUTOS'!CX$3:CX$500)+IF($C12="",0,SUMIF('DADOS BRUTOS'!$A$3:$A$500,$C12,'DADOS BRUTOS'!CX$3:CX$500)))</f>
        <v/>
      </c>
      <c r="FY12" s="123">
        <f>IF(OR(FY$4="",$B12=""),0,SUMIF('DADOS BRUTOS'!$A$3:$A$500,$B12,'DADOS BRUTOS'!CY$3:CY$500)+IF($C12="",0,SUMIF('DADOS BRUTOS'!$A$3:$A$500,$C12,'DADOS BRUTOS'!CY$3:CY$500)))</f>
        <v/>
      </c>
      <c r="FZ12" s="123">
        <f>IF(OR(FZ$4="",$B12=""),0,SUMIF('DADOS BRUTOS'!$A$3:$A$500,$B12,'DADOS BRUTOS'!CZ$3:CZ$500)+IF($C12="",0,SUMIF('DADOS BRUTOS'!$A$3:$A$500,$C12,'DADOS BRUTOS'!CZ$3:CZ$500)))</f>
        <v/>
      </c>
      <c r="GA12" s="123">
        <f>IF(OR(GA$4="",$B12=""),0,SUMIF('DADOS BRUTOS'!$A$3:$A$500,$B12,'DADOS BRUTOS'!DA$3:DA$500)+IF($C12="",0,SUMIF('DADOS BRUTOS'!$A$3:$A$500,$C12,'DADOS BRUTOS'!DA$3:DA$500)))</f>
        <v/>
      </c>
      <c r="GB12" s="123">
        <f>IF(OR(GB$4="",$B12=""),0,SUMIF('DADOS BRUTOS'!$A$3:$A$500,$B12,'DADOS BRUTOS'!DB$3:DB$500)+IF($C12="",0,SUMIF('DADOS BRUTOS'!$A$3:$A$500,$C12,'DADOS BRUTOS'!DB$3:DB$500)))</f>
        <v/>
      </c>
      <c r="GC12" s="123">
        <f>IF(OR(GC$4="",$B12=""),0,SUMIF('DADOS BRUTOS'!$A$3:$A$500,$B12,'DADOS BRUTOS'!DC$3:DC$500)+IF($C12="",0,SUMIF('DADOS BRUTOS'!$A$3:$A$500,$C12,'DADOS BRUTOS'!DC$3:DC$500)))</f>
        <v/>
      </c>
      <c r="GD12" s="123">
        <f>IF(OR(GD$4="",$B12=""),0,SUMIF('DADOS BRUTOS'!$A$3:$A$500,$B12,'DADOS BRUTOS'!DD$3:DD$500)+IF($C12="",0,SUMIF('DADOS BRUTOS'!$A$3:$A$500,$C12,'DADOS BRUTOS'!DD$3:DD$500)))</f>
        <v/>
      </c>
      <c r="GE12" s="123">
        <f>IF(OR(GE$4="",$B12=""),0,SUMIF('DADOS BRUTOS'!$A$3:$A$500,$B12,'DADOS BRUTOS'!DE$3:DE$500)+IF($C12="",0,SUMIF('DADOS BRUTOS'!$A$3:$A$500,$C12,'DADOS BRUTOS'!DE$3:DE$500)))</f>
        <v/>
      </c>
      <c r="GF12" s="123">
        <f>IF(OR(GF$4="",$B12=""),0,SUMIF('DADOS BRUTOS'!$A$3:$A$500,$B12,'DADOS BRUTOS'!DF$3:DF$500)+IF($C12="",0,SUMIF('DADOS BRUTOS'!$A$3:$A$500,$C12,'DADOS BRUTOS'!DF$3:DF$500)))</f>
        <v/>
      </c>
      <c r="GG12" s="123">
        <f>IF(OR(GG$4="",$B12=""),0,SUMIF('DADOS BRUTOS'!$A$3:$A$500,$B12,'DADOS BRUTOS'!DG$3:DG$500)+IF($C12="",0,SUMIF('DADOS BRUTOS'!$A$3:$A$500,$C12,'DADOS BRUTOS'!DG$3:DG$500)))</f>
        <v/>
      </c>
      <c r="GH12" s="123">
        <f>IF(OR(GH$4="",$B12=""),0,SUMIF('DADOS BRUTOS'!$A$3:$A$500,$B12,'DADOS BRUTOS'!DH$3:DH$500)+IF($C12="",0,SUMIF('DADOS BRUTOS'!$A$3:$A$500,$C12,'DADOS BRUTOS'!DH$3:DH$500)))</f>
        <v/>
      </c>
      <c r="GI12" s="123">
        <f>IF(OR(GI$4="",$B12=""),0,SUMIF('DADOS BRUTOS'!$A$3:$A$500,$B12,'DADOS BRUTOS'!DI$3:DI$500)+IF($C12="",0,SUMIF('DADOS BRUTOS'!$A$3:$A$500,$C12,'DADOS BRUTOS'!DI$3:DI$500)))</f>
        <v/>
      </c>
      <c r="GJ12" s="123">
        <f>IF(OR(GJ$4="",$B12=""),0,SUMIF('DADOS BRUTOS'!$A$3:$A$500,$B12,'DADOS BRUTOS'!DJ$3:DJ$500)+IF($C12="",0,SUMIF('DADOS BRUTOS'!$A$3:$A$500,$C12,'DADOS BRUTOS'!DJ$3:DJ$500)))</f>
        <v/>
      </c>
      <c r="GK12" s="123">
        <f>IF(OR(GK$4="",$B12=""),0,SUMIF('DADOS BRUTOS'!$A$3:$A$500,$B12,'DADOS BRUTOS'!DK$3:DK$500)+IF($C12="",0,SUMIF('DADOS BRUTOS'!$A$3:$A$500,$C12,'DADOS BRUTOS'!DK$3:DK$500)))</f>
        <v/>
      </c>
      <c r="GL12" s="123">
        <f>IF(OR(GL$4="",$B12=""),0,SUMIF('DADOS BRUTOS'!$A$3:$A$500,$B12,'DADOS BRUTOS'!DL$3:DL$500)+IF($C12="",0,SUMIF('DADOS BRUTOS'!$A$3:$A$500,$C12,'DADOS BRUTOS'!DL$3:DL$500)))</f>
        <v/>
      </c>
      <c r="GM12" s="123">
        <f>IF(OR(GM$4="",$B12=""),0,SUMIF('DADOS BRUTOS'!$A$3:$A$500,$B12,'DADOS BRUTOS'!DM$3:DM$500)+IF($C12="",0,SUMIF('DADOS BRUTOS'!$A$3:$A$500,$C12,'DADOS BRUTOS'!DM$3:DM$500)))</f>
        <v/>
      </c>
      <c r="GN12" s="123">
        <f>IF(OR(GN$4="",$B12=""),0,SUMIF('DADOS BRUTOS'!$A$3:$A$500,$B12,'DADOS BRUTOS'!DN$3:DN$500)+IF($C12="",0,SUMIF('DADOS BRUTOS'!$A$3:$A$500,$C12,'DADOS BRUTOS'!DN$3:DN$500)))</f>
        <v/>
      </c>
      <c r="GO12" s="123">
        <f>IF(OR(GO$4="",$B12=""),0,SUMIF('DADOS BRUTOS'!$A$3:$A$500,$B12,'DADOS BRUTOS'!DO$3:DO$500)+IF($C12="",0,SUMIF('DADOS BRUTOS'!$A$3:$A$500,$C12,'DADOS BRUTOS'!DO$3:DO$500)))</f>
        <v/>
      </c>
      <c r="GP12" s="123">
        <f>IF(OR(GP$4="",$B12=""),0,SUMIF('DADOS BRUTOS'!$A$3:$A$500,$B12,'DADOS BRUTOS'!DP$3:DP$500)+IF($C12="",0,SUMIF('DADOS BRUTOS'!$A$3:$A$500,$C12,'DADOS BRUTOS'!DP$3:DP$500)))</f>
        <v/>
      </c>
      <c r="GQ12" s="123">
        <f>IF(OR(GQ$4="",$B12=""),0,SUMIF('DADOS BRUTOS'!$A$3:$A$500,$B12,'DADOS BRUTOS'!DQ$3:DQ$500)+IF($C12="",0,SUMIF('DADOS BRUTOS'!$A$3:$A$500,$C12,'DADOS BRUTOS'!DQ$3:DQ$500)))</f>
        <v/>
      </c>
      <c r="GR12" s="123">
        <f>IF(OR(GR$4="",$B12=""),0,SUMIF('DADOS BRUTOS'!$A$3:$A$500,$B12,'DADOS BRUTOS'!DR$3:DR$500)+IF($C12="",0,SUMIF('DADOS BRUTOS'!$A$3:$A$500,$C12,'DADOS BRUTOS'!DR$3:DR$500)))</f>
        <v/>
      </c>
      <c r="GS12" s="123">
        <f>IF(OR(GS$4="",$B12=""),0,SUMIF('DADOS BRUTOS'!$A$3:$A$500,$B12,'DADOS BRUTOS'!DS$3:DS$500)+IF($C12="",0,SUMIF('DADOS BRUTOS'!$A$3:$A$500,$C12,'DADOS BRUTOS'!DS$3:DS$500)))</f>
        <v/>
      </c>
      <c r="GT12" s="123">
        <f>IF(OR(GT$4="",$B12=""),0,SUMIF('DADOS BRUTOS'!$A$3:$A$500,$B12,'DADOS BRUTOS'!DT$3:DT$500)+IF($C12="",0,SUMIF('DADOS BRUTOS'!$A$3:$A$500,$C12,'DADOS BRUTOS'!DT$3:DT$500)))</f>
        <v/>
      </c>
      <c r="GU12" s="123">
        <f>IF(OR(GU$4="",$B12=""),0,SUMIF('DADOS BRUTOS'!$A$3:$A$500,$B12,'DADOS BRUTOS'!DU$3:DU$500)+IF($C12="",0,SUMIF('DADOS BRUTOS'!$A$3:$A$500,$C12,'DADOS BRUTOS'!DU$3:DU$500)))</f>
        <v/>
      </c>
      <c r="GV12" s="123">
        <f>IF(OR(GV$4="",$B12=""),0,SUMIF('DADOS BRUTOS'!$A$3:$A$500,$B12,'DADOS BRUTOS'!DV$3:DV$500)+IF($C12="",0,SUMIF('DADOS BRUTOS'!$A$3:$A$500,$C12,'DADOS BRUTOS'!DV$3:DV$500)))</f>
        <v/>
      </c>
      <c r="GW12" s="123">
        <f>IF(OR(GW$4="",$B12=""),0,SUMIF('DADOS BRUTOS'!$A$3:$A$500,$B12,'DADOS BRUTOS'!DW$3:DW$500)+IF($C12="",0,SUMIF('DADOS BRUTOS'!$A$3:$A$500,$C12,'DADOS BRUTOS'!DW$3:DW$500)))</f>
        <v/>
      </c>
      <c r="GX12" s="123">
        <f>IF(OR(GX$4="",$B12=""),0,SUMIF('DADOS BRUTOS'!$A$3:$A$500,$B12,'DADOS BRUTOS'!DX$3:DX$500)+IF($C12="",0,SUMIF('DADOS BRUTOS'!$A$3:$A$500,$C12,'DADOS BRUTOS'!DX$3:DX$500)))</f>
        <v/>
      </c>
      <c r="GY12" s="123">
        <f>IF(OR(GY$4="",$B12=""),0,SUMIF('DADOS BRUTOS'!$A$3:$A$500,$B12,'DADOS BRUTOS'!DY$3:DY$500)+IF($C12="",0,SUMIF('DADOS BRUTOS'!$A$3:$A$500,$C12,'DADOS BRUTOS'!DY$3:DY$500)))</f>
        <v/>
      </c>
      <c r="GZ12" s="123">
        <f>IF(OR(GZ$4="",$B12=""),0,SUMIF('DADOS BRUTOS'!$A$3:$A$500,$B12,'DADOS BRUTOS'!DZ$3:DZ$500)+IF($C12="",0,SUMIF('DADOS BRUTOS'!$A$3:$A$500,$C12,'DADOS BRUTOS'!DZ$3:DZ$500)))</f>
        <v/>
      </c>
      <c r="HA12" s="123">
        <f>IF(OR(HA$4="",$B12=""),0,SUMIF('DADOS BRUTOS'!$A$3:$A$500,$B12,'DADOS BRUTOS'!EA$3:EA$500)+IF($C12="",0,SUMIF('DADOS BRUTOS'!$A$3:$A$500,$C12,'DADOS BRUTOS'!EA$3:EA$500)))</f>
        <v/>
      </c>
      <c r="HB12" s="123">
        <f>IF(OR(HB$4="",$B12=""),0,SUMIF('DADOS BRUTOS'!$A$3:$A$500,$B12,'DADOS BRUTOS'!EB$3:EB$500)+IF($C12="",0,SUMIF('DADOS BRUTOS'!$A$3:$A$500,$C12,'DADOS BRUTOS'!EB$3:EB$500)))</f>
        <v/>
      </c>
      <c r="HC12" s="123">
        <f>IF(OR(HC$4="",$B12=""),0,SUMIF('DADOS BRUTOS'!$A$3:$A$500,$B12,'DADOS BRUTOS'!EC$3:EC$500)+IF($C12="",0,SUMIF('DADOS BRUTOS'!$A$3:$A$500,$C12,'DADOS BRUTOS'!EC$3:EC$500)))</f>
        <v/>
      </c>
      <c r="HD12" s="123">
        <f>IF(OR(HD$4="",$B12=""),0,SUMIF('DADOS BRUTOS'!$A$3:$A$500,$B12,'DADOS BRUTOS'!ED$3:ED$500)+IF($C12="",0,SUMIF('DADOS BRUTOS'!$A$3:$A$500,$C12,'DADOS BRUTOS'!ED$3:ED$500)))</f>
        <v/>
      </c>
      <c r="HE12" s="123">
        <f>IF(OR(HE$4="",$B12=""),0,SUMIF('DADOS BRUTOS'!$A$3:$A$500,$B12,'DADOS BRUTOS'!EE$3:EE$500)+IF($C12="",0,SUMIF('DADOS BRUTOS'!$A$3:$A$500,$C12,'DADOS BRUTOS'!EE$3:EE$500)))</f>
        <v/>
      </c>
      <c r="HF12" s="123">
        <f>IF(OR(HF$4="",$B12=""),0,SUMIF('DADOS BRUTOS'!$A$3:$A$500,$B12,'DADOS BRUTOS'!EF$3:EF$500)+IF($C12="",0,SUMIF('DADOS BRUTOS'!$A$3:$A$500,$C12,'DADOS BRUTOS'!EF$3:EF$500)))</f>
        <v/>
      </c>
      <c r="HG12" s="123">
        <f>IF(OR(HG$4="",$B12=""),0,SUMIF('DADOS BRUTOS'!$A$3:$A$500,$B12,'DADOS BRUTOS'!EG$3:EG$500)+IF($C12="",0,SUMIF('DADOS BRUTOS'!$A$3:$A$500,$C12,'DADOS BRUTOS'!EG$3:EG$500)))</f>
        <v/>
      </c>
      <c r="HH12" s="123">
        <f>IF(OR(HH$4="",$B12=""),0,SUMIF('DADOS BRUTOS'!$A$3:$A$500,$B12,'DADOS BRUTOS'!EH$3:EH$500)+IF($C12="",0,SUMIF('DADOS BRUTOS'!$A$3:$A$500,$C12,'DADOS BRUTOS'!EH$3:EH$500)))</f>
        <v/>
      </c>
      <c r="HI12" s="123">
        <f>IF(OR(HI$4="",$B12=""),0,SUMIF('DADOS BRUTOS'!$A$3:$A$500,$B12,'DADOS BRUTOS'!EI$3:EI$500)+IF($C12="",0,SUMIF('DADOS BRUTOS'!$A$3:$A$500,$C12,'DADOS BRUTOS'!EI$3:EI$500)))</f>
        <v/>
      </c>
      <c r="HJ12" s="123">
        <f>IF(OR(HJ$4="",$B12=""),0,SUMIF('DADOS BRUTOS'!$A$3:$A$500,$B12,'DADOS BRUTOS'!EJ$3:EJ$500)+IF($C12="",0,SUMIF('DADOS BRUTOS'!$A$3:$A$500,$C12,'DADOS BRUTOS'!EJ$3:EJ$500)))</f>
        <v/>
      </c>
      <c r="HK12" s="123">
        <f>IF(OR(HK$4="",$B12=""),0,SUMIF('DADOS BRUTOS'!$A$3:$A$500,$B12,'DADOS BRUTOS'!EK$3:EK$500)+IF($C12="",0,SUMIF('DADOS BRUTOS'!$A$3:$A$500,$C12,'DADOS BRUTOS'!EK$3:EK$500)))</f>
        <v/>
      </c>
      <c r="HL12" s="123">
        <f>IF(OR(HL$4="",$B12=""),0,SUMIF('DADOS BRUTOS'!$A$3:$A$500,$B12,'DADOS BRUTOS'!EL$3:EL$500)+IF($C12="",0,SUMIF('DADOS BRUTOS'!$A$3:$A$500,$C12,'DADOS BRUTOS'!EL$3:EL$500)))</f>
        <v/>
      </c>
      <c r="HM12" s="123">
        <f>IF(OR(HM$4="",$B12=""),0,SUMIF('DADOS BRUTOS'!$A$3:$A$500,$B12,'DADOS BRUTOS'!EM$3:EM$500)+IF($C12="",0,SUMIF('DADOS BRUTOS'!$A$3:$A$500,$C12,'DADOS BRUTOS'!EM$3:EM$500)))</f>
        <v/>
      </c>
      <c r="HN12" s="123">
        <f>IF(OR(HN$4="",$B12=""),0,SUMIF('DADOS BRUTOS'!$A$3:$A$500,$B12,'DADOS BRUTOS'!EN$3:EN$500)+IF($C12="",0,SUMIF('DADOS BRUTOS'!$A$3:$A$500,$C12,'DADOS BRUTOS'!EN$3:EN$500)))</f>
        <v/>
      </c>
      <c r="HO12" s="123">
        <f>IF(OR(HO$4="",$B12=""),0,SUMIF('DADOS BRUTOS'!$A$3:$A$500,$B12,'DADOS BRUTOS'!EO$3:EO$500)+IF($C12="",0,SUMIF('DADOS BRUTOS'!$A$3:$A$500,$C12,'DADOS BRUTOS'!EO$3:EO$500)))</f>
        <v/>
      </c>
      <c r="HP12" s="123">
        <f>IF(OR(HP$4="",$B12=""),0,SUMIF('DADOS BRUTOS'!$A$3:$A$500,$B12,'DADOS BRUTOS'!EP$3:EP$500)+IF($C12="",0,SUMIF('DADOS BRUTOS'!$A$3:$A$500,$C12,'DADOS BRUTOS'!EP$3:EP$500)))</f>
        <v/>
      </c>
      <c r="HQ12" s="123">
        <f>IF(OR(HQ$4="",$B12=""),0,SUMIF('DADOS BRUTOS'!$A$3:$A$500,$B12,'DADOS BRUTOS'!EQ$3:EQ$500)+IF($C12="",0,SUMIF('DADOS BRUTOS'!$A$3:$A$500,$C12,'DADOS BRUTOS'!EQ$3:EQ$500)))</f>
        <v/>
      </c>
      <c r="HR12" s="123">
        <f>IF(OR(HR$4="",$B12=""),0,SUMIF('DADOS BRUTOS'!$A$3:$A$500,$B12,'DADOS BRUTOS'!ER$3:ER$500)+IF($C12="",0,SUMIF('DADOS BRUTOS'!$A$3:$A$500,$C12,'DADOS BRUTOS'!ER$3:ER$500)))</f>
        <v/>
      </c>
      <c r="HS12" s="123">
        <f>IF(OR(HS$4="",$B12=""),0,SUMIF('DADOS BRUTOS'!$A$3:$A$500,$B12,'DADOS BRUTOS'!ES$3:ES$500)+IF($C12="",0,SUMIF('DADOS BRUTOS'!$A$3:$A$500,$C12,'DADOS BRUTOS'!ES$3:ES$500)))</f>
        <v/>
      </c>
      <c r="HT12" s="123">
        <f>IF(OR(HT$4="",$B12=""),0,SUMIF('DADOS BRUTOS'!$A$3:$A$500,$B12,'DADOS BRUTOS'!ET$3:ET$500)+IF($C12="",0,SUMIF('DADOS BRUTOS'!$A$3:$A$500,$C12,'DADOS BRUTOS'!ET$3:ET$500)))</f>
        <v/>
      </c>
      <c r="HU12" s="123">
        <f>IF(OR(HU$4="",$B12=""),0,SUMIF('DADOS BRUTOS'!$A$3:$A$500,$B12,'DADOS BRUTOS'!EU$3:EU$500)+IF($C12="",0,SUMIF('DADOS BRUTOS'!$A$3:$A$500,$C12,'DADOS BRUTOS'!EU$3:EU$500)))</f>
        <v/>
      </c>
      <c r="HV12" s="123">
        <f>IF(OR(HV$4="",$B12=""),0,SUMIF('DADOS BRUTOS'!$A$3:$A$500,$B12,'DADOS BRUTOS'!EV$3:EV$500)+IF($C12="",0,SUMIF('DADOS BRUTOS'!$A$3:$A$500,$C12,'DADOS BRUTOS'!EV$3:EV$500)))</f>
        <v/>
      </c>
      <c r="HW12" s="123">
        <f>IF(OR(HW$4="",$B12=""),0,SUMIF('DADOS BRUTOS'!$A$3:$A$500,$B12,'DADOS BRUTOS'!EW$3:EW$500)+IF($C12="",0,SUMIF('DADOS BRUTOS'!$A$3:$A$500,$C12,'DADOS BRUTOS'!EW$3:EW$500)))</f>
        <v/>
      </c>
      <c r="HX12" s="123">
        <f>IF(OR(HX$4="",$B12=""),0,SUMIF('DADOS BRUTOS'!$A$3:$A$500,$B12,'DADOS BRUTOS'!EX$3:EX$500)+IF($C12="",0,SUMIF('DADOS BRUTOS'!$A$3:$A$500,$C12,'DADOS BRUTOS'!EX$3:EX$500)))</f>
        <v/>
      </c>
      <c r="HY12" s="123">
        <f>IF(OR(HY$4="",$B12=""),0,SUMIF('DADOS BRUTOS'!$A$3:$A$500,$B12,'DADOS BRUTOS'!EY$3:EY$500)+IF($C12="",0,SUMIF('DADOS BRUTOS'!$A$3:$A$500,$C12,'DADOS BRUTOS'!EY$3:EY$500)))</f>
        <v/>
      </c>
      <c r="HZ12" s="123">
        <f>IF(OR(HZ$4="",$B12=""),0,SUMIF('DADOS BRUTOS'!$A$3:$A$500,$B12,'DADOS BRUTOS'!EZ$3:EZ$500)+IF($C12="",0,SUMIF('DADOS BRUTOS'!$A$3:$A$500,$C12,'DADOS BRUTOS'!EZ$3:EZ$500)))</f>
        <v/>
      </c>
      <c r="IA12" s="123">
        <f>IF(OR(IA$4="",$B12=""),0,SUMIF('DADOS BRUTOS'!$A$3:$A$500,$B12,'DADOS BRUTOS'!FA$3:FA$500)+IF($C12="",0,SUMIF('DADOS BRUTOS'!$A$3:$A$500,$C12,'DADOS BRUTOS'!FA$3:FA$500)))</f>
        <v/>
      </c>
      <c r="IB12" s="123">
        <f>IF(OR(IB$4="",$B12=""),0,SUMIF('DADOS BRUTOS'!$A$3:$A$500,$B12,'DADOS BRUTOS'!FB$3:FB$500)+IF($C12="",0,SUMIF('DADOS BRUTOS'!$A$3:$A$500,$C12,'DADOS BRUTOS'!FB$3:FB$500)))</f>
        <v/>
      </c>
      <c r="IC12" s="123">
        <f>IF(OR(IC$4="",$B12=""),0,SUMIF('DADOS BRUTOS'!$A$3:$A$500,$B12,'DADOS BRUTOS'!FC$3:FC$500)+IF($C12="",0,SUMIF('DADOS BRUTOS'!$A$3:$A$500,$C12,'DADOS BRUTOS'!FC$3:FC$500)))</f>
        <v/>
      </c>
      <c r="ID12" s="123">
        <f>IF(OR(ID$4="",$B12=""),0,SUMIF('DADOS BRUTOS'!$A$3:$A$500,$B12,'DADOS BRUTOS'!FD$3:FD$500)+IF($C12="",0,SUMIF('DADOS BRUTOS'!$A$3:$A$500,$C12,'DADOS BRUTOS'!FD$3:FD$500)))</f>
        <v/>
      </c>
      <c r="IE12" s="123">
        <f>IF(OR(IE$4="",$B12=""),0,SUMIF('DADOS BRUTOS'!$A$3:$A$500,$B12,'DADOS BRUTOS'!FE$3:FE$500)+IF($C12="",0,SUMIF('DADOS BRUTOS'!$A$3:$A$500,$C12,'DADOS BRUTOS'!FE$3:FE$500)))</f>
        <v/>
      </c>
      <c r="IF12" s="123">
        <f>IF(OR(IF$4="",$B12=""),0,SUMIF('DADOS BRUTOS'!$A$3:$A$500,$B12,'DADOS BRUTOS'!FF$3:FF$500)+IF($C12="",0,SUMIF('DADOS BRUTOS'!$A$3:$A$500,$C12,'DADOS BRUTOS'!FF$3:FF$500)))</f>
        <v/>
      </c>
      <c r="IG12" s="123">
        <f>IF(OR(IG$4="",$B12=""),0,SUMIF('DADOS BRUTOS'!$A$3:$A$500,$B12,'DADOS BRUTOS'!FG$3:FG$500)+IF($C12="",0,SUMIF('DADOS BRUTOS'!$A$3:$A$500,$C12,'DADOS BRUTOS'!FG$3:FG$500)))</f>
        <v/>
      </c>
      <c r="IH12" s="123">
        <f>IF(OR(IH$4="",$B12=""),0,SUMIF('DADOS BRUTOS'!$A$3:$A$500,$B12,'DADOS BRUTOS'!FH$3:FH$500)+IF($C12="",0,SUMIF('DADOS BRUTOS'!$A$3:$A$500,$C12,'DADOS BRUTOS'!FH$3:FH$500)))</f>
        <v/>
      </c>
      <c r="II12" s="123">
        <f>IF(OR(II$4="",$B12=""),0,SUMIF('DADOS BRUTOS'!$A$3:$A$500,$B12,'DADOS BRUTOS'!FI$3:FI$500)+IF($C12="",0,SUMIF('DADOS BRUTOS'!$A$3:$A$500,$C12,'DADOS BRUTOS'!FI$3:FI$500)))</f>
        <v/>
      </c>
      <c r="IJ12" s="123">
        <f>IF(OR(IJ$4="",$B12=""),0,SUMIF('DADOS BRUTOS'!$A$3:$A$500,$B12,'DADOS BRUTOS'!FJ$3:FJ$500)+IF($C12="",0,SUMIF('DADOS BRUTOS'!$A$3:$A$500,$C12,'DADOS BRUTOS'!FJ$3:FJ$500)))</f>
        <v/>
      </c>
      <c r="IK12" s="123">
        <f>IF(OR(IK$4="",$B12=""),0,SUMIF('DADOS BRUTOS'!$A$3:$A$500,$B12,'DADOS BRUTOS'!FK$3:FK$500)+IF($C12="",0,SUMIF('DADOS BRUTOS'!$A$3:$A$500,$C12,'DADOS BRUTOS'!FK$3:FK$500)))</f>
        <v/>
      </c>
      <c r="IL12" s="123">
        <f>IF(OR(IL$4="",$B12=""),0,SUMIF('DADOS BRUTOS'!$A$3:$A$500,$B12,'DADOS BRUTOS'!FL$3:FL$500)+IF($C12="",0,SUMIF('DADOS BRUTOS'!$A$3:$A$500,$C12,'DADOS BRUTOS'!FL$3:FL$500)))</f>
        <v/>
      </c>
      <c r="IM12" s="123">
        <f>IF(OR(IM$4="",$B12=""),0,SUMIF('DADOS BRUTOS'!$A$3:$A$500,$B12,'DADOS BRUTOS'!FM$3:FM$500)+IF($C12="",0,SUMIF('DADOS BRUTOS'!$A$3:$A$500,$C12,'DADOS BRUTOS'!FM$3:FM$500)))</f>
        <v/>
      </c>
      <c r="IN12" s="123">
        <f>IF(OR(IN$4="",$B12=""),0,SUMIF('DADOS BRUTOS'!$A$3:$A$500,$B12,'DADOS BRUTOS'!FN$3:FN$500)+IF($C12="",0,SUMIF('DADOS BRUTOS'!$A$3:$A$500,$C12,'DADOS BRUTOS'!FN$3:FN$500)))</f>
        <v/>
      </c>
      <c r="IO12" s="123">
        <f>IF(OR(IO$4="",$B12=""),0,SUMIF('DADOS BRUTOS'!$A$3:$A$500,$B12,'DADOS BRUTOS'!FO$3:FO$500)+IF($C12="",0,SUMIF('DADOS BRUTOS'!$A$3:$A$500,$C12,'DADOS BRUTOS'!FO$3:FO$500)))</f>
        <v/>
      </c>
      <c r="IP12" s="123">
        <f>IF(OR(IP$4="",$B12=""),0,SUMIF('DADOS BRUTOS'!$A$3:$A$500,$B12,'DADOS BRUTOS'!FP$3:FP$500)+IF($C12="",0,SUMIF('DADOS BRUTOS'!$A$3:$A$500,$C12,'DADOS BRUTOS'!FP$3:FP$500)))</f>
        <v/>
      </c>
      <c r="IQ12" s="123">
        <f>IF(OR(IQ$4="",$B12=""),0,SUMIF('DADOS BRUTOS'!$A$3:$A$500,$B12,'DADOS BRUTOS'!FQ$3:FQ$500)+IF($C12="",0,SUMIF('DADOS BRUTOS'!$A$3:$A$500,$C12,'DADOS BRUTOS'!FQ$3:FQ$500)))</f>
        <v/>
      </c>
      <c r="IR12" s="123">
        <f>IF(OR(IR$4="",$B12=""),0,SUMIF('DADOS BRUTOS'!$A$3:$A$500,$B12,'DADOS BRUTOS'!FR$3:FR$500)+IF($C12="",0,SUMIF('DADOS BRUTOS'!$A$3:$A$500,$C12,'DADOS BRUTOS'!FR$3:FR$500)))</f>
        <v/>
      </c>
      <c r="IS12" s="123">
        <f>IF(OR(IS$4="",$B12=""),0,SUMIF('DADOS BRUTOS'!$A$3:$A$500,$B12,'DADOS BRUTOS'!FS$3:FS$500)+IF($C12="",0,SUMIF('DADOS BRUTOS'!$A$3:$A$500,$C12,'DADOS BRUTOS'!FS$3:FS$500)))</f>
        <v/>
      </c>
      <c r="IT12" s="123">
        <f>IF(OR(IT$4="",$B12=""),0,SUMIF('DADOS BRUTOS'!$A$3:$A$500,$B12,'DADOS BRUTOS'!FT$3:FT$500)+IF($C12="",0,SUMIF('DADOS BRUTOS'!$A$3:$A$500,$C12,'DADOS BRUTOS'!FT$3:FT$500)))</f>
        <v/>
      </c>
      <c r="IU12" s="123">
        <f>IF(OR(IU$4="",$B12=""),0,SUMIF('DADOS BRUTOS'!$A$3:$A$500,$B12,'DADOS BRUTOS'!FU$3:FU$500)+IF($C12="",0,SUMIF('DADOS BRUTOS'!$A$3:$A$500,$C12,'DADOS BRUTOS'!FU$3:FU$500)))</f>
        <v/>
      </c>
      <c r="IV12" s="123">
        <f>IF(OR(IV$4="",$B12=""),0,SUMIF('DADOS BRUTOS'!$A$3:$A$500,$B12,'DADOS BRUTOS'!FV$3:FV$500)+IF($C12="",0,SUMIF('DADOS BRUTOS'!$A$3:$A$500,$C12,'DADOS BRUTOS'!FV$3:FV$500)))</f>
        <v/>
      </c>
      <c r="IW12" s="123">
        <f>IF(OR(IW$4="",$B12=""),0,SUMIF('DADOS BRUTOS'!$A$3:$A$500,$B12,'DADOS BRUTOS'!FW$3:FW$500)+IF($C12="",0,SUMIF('DADOS BRUTOS'!$A$3:$A$500,$C12,'DADOS BRUTOS'!FW$3:FW$500)))</f>
        <v/>
      </c>
      <c r="IX12" s="123">
        <f>IF(OR(IX$4="",$B12=""),0,SUMIF('DADOS BRUTOS'!$A$3:$A$500,$B12,'DADOS BRUTOS'!FX$3:FX$500)+IF($C12="",0,SUMIF('DADOS BRUTOS'!$A$3:$A$500,$C12,'DADOS BRUTOS'!FX$3:FX$500)))</f>
        <v/>
      </c>
      <c r="IY12" s="123">
        <f>IF(OR(IY$4="",$B12=""),0,SUMIF('DADOS BRUTOS'!$A$3:$A$500,$B12,'DADOS BRUTOS'!FY$3:FY$500)+IF($C12="",0,SUMIF('DADOS BRUTOS'!$A$3:$A$500,$C12,'DADOS BRUTOS'!FY$3:FY$500)))</f>
        <v/>
      </c>
      <c r="IZ12" s="123">
        <f>IF(OR(IZ$4="",$B12=""),0,SUMIF('DADOS BRUTOS'!$A$3:$A$500,$B12,'DADOS BRUTOS'!FZ$3:FZ$500)+IF($C12="",0,SUMIF('DADOS BRUTOS'!$A$3:$A$500,$C12,'DADOS BRUTOS'!FZ$3:FZ$500)))</f>
        <v/>
      </c>
      <c r="JA12" s="123">
        <f>IF(OR(JA$4="",$B12=""),0,SUMIF('DADOS BRUTOS'!$A$3:$A$500,$B12,'DADOS BRUTOS'!GA$3:GA$500)+IF($C12="",0,SUMIF('DADOS BRUTOS'!$A$3:$A$500,$C12,'DADOS BRUTOS'!GA$3:GA$500)))</f>
        <v/>
      </c>
      <c r="JB12" s="123">
        <f>IF(OR(JB$4="",$B12=""),0,SUMIF('DADOS BRUTOS'!$A$3:$A$500,$B12,'DADOS BRUTOS'!GB$3:GB$500)+IF($C12="",0,SUMIF('DADOS BRUTOS'!$A$3:$A$500,$C12,'DADOS BRUTOS'!GB$3:GB$500)))</f>
        <v/>
      </c>
      <c r="JC12" s="123">
        <f>IF(OR(JC$4="",$B12=""),0,SUMIF('DADOS BRUTOS'!$A$3:$A$500,$B12,'DADOS BRUTOS'!GC$3:GC$500)+IF($C12="",0,SUMIF('DADOS BRUTOS'!$A$3:$A$500,$C12,'DADOS BRUTOS'!GC$3:GC$500)))</f>
        <v/>
      </c>
      <c r="JD12" s="123">
        <f>IF(OR(JD$4="",$B12=""),0,SUMIF('DADOS BRUTOS'!$A$3:$A$500,$B12,'DADOS BRUTOS'!GD$3:GD$500)+IF($C12="",0,SUMIF('DADOS BRUTOS'!$A$3:$A$500,$C12,'DADOS BRUTOS'!GD$3:GD$500)))</f>
        <v/>
      </c>
      <c r="JE12" s="123">
        <f>IF(OR(JE$4="",$B12=""),0,SUMIF('DADOS BRUTOS'!$A$3:$A$500,$B12,'DADOS BRUTOS'!GE$3:GE$500)+IF($C12="",0,SUMIF('DADOS BRUTOS'!$A$3:$A$500,$C12,'DADOS BRUTOS'!GE$3:GE$500)))</f>
        <v/>
      </c>
      <c r="JF12" s="123">
        <f>IF(OR(JF$4="",$B12=""),0,SUMIF('DADOS BRUTOS'!$A$3:$A$500,$B12,'DADOS BRUTOS'!GF$3:GF$500)+IF($C12="",0,SUMIF('DADOS BRUTOS'!$A$3:$A$500,$C12,'DADOS BRUTOS'!GF$3:GF$500)))</f>
        <v/>
      </c>
      <c r="JG12" s="123">
        <f>IF(OR(JG$4="",$B12=""),0,SUMIF('DADOS BRUTOS'!$A$3:$A$500,$B12,'DADOS BRUTOS'!GG$3:GG$500)+IF($C12="",0,SUMIF('DADOS BRUTOS'!$A$3:$A$500,$C12,'DADOS BRUTOS'!GG$3:GG$500)))</f>
        <v/>
      </c>
      <c r="JH12" s="123">
        <f>IF(OR(JH$4="",$B12=""),0,SUMIF('DADOS BRUTOS'!$A$3:$A$500,$B12,'DADOS BRUTOS'!GH$3:GH$500)+IF($C12="",0,SUMIF('DADOS BRUTOS'!$A$3:$A$500,$C12,'DADOS BRUTOS'!GH$3:GH$500)))</f>
        <v/>
      </c>
      <c r="JI12" s="123">
        <f>IF(OR(JI$4="",$B12=""),0,SUMIF('DADOS BRUTOS'!$A$3:$A$500,$B12,'DADOS BRUTOS'!GI$3:GI$500)+IF($C12="",0,SUMIF('DADOS BRUTOS'!$A$3:$A$500,$C12,'DADOS BRUTOS'!GI$3:GI$500)))</f>
        <v/>
      </c>
      <c r="JJ12" s="123">
        <f>IF(OR(JJ$4="",$B12=""),0,SUMIF('DADOS BRUTOS'!$A$3:$A$500,$B12,'DADOS BRUTOS'!GJ$3:GJ$500)+IF($C12="",0,SUMIF('DADOS BRUTOS'!$A$3:$A$500,$C12,'DADOS BRUTOS'!GJ$3:GJ$500)))</f>
        <v/>
      </c>
      <c r="JK12" s="123">
        <f>IF(OR(JK$4="",$B12=""),0,SUMIF('DADOS BRUTOS'!$A$3:$A$500,$B12,'DADOS BRUTOS'!GK$3:GK$500)+IF($C12="",0,SUMIF('DADOS BRUTOS'!$A$3:$A$500,$C12,'DADOS BRUTOS'!GK$3:GK$500)))</f>
        <v/>
      </c>
      <c r="JL12" s="123">
        <f>IF(OR(JL$4="",$B12=""),0,SUMIF('DADOS BRUTOS'!$A$3:$A$500,$B12,'DADOS BRUTOS'!GL$3:GL$500)+IF($C12="",0,SUMIF('DADOS BRUTOS'!$A$3:$A$500,$C12,'DADOS BRUTOS'!GL$3:GL$500)))</f>
        <v/>
      </c>
      <c r="JM12" s="123">
        <f>IF(OR(JM$4="",$B12=""),0,SUMIF('DADOS BRUTOS'!$A$3:$A$500,$B12,'DADOS BRUTOS'!GM$3:GM$500)+IF($C12="",0,SUMIF('DADOS BRUTOS'!$A$3:$A$500,$C12,'DADOS BRUTOS'!GM$3:GM$500)))</f>
        <v/>
      </c>
      <c r="JN12" s="123">
        <f>IF(OR(JN$4="",$B12=""),0,SUMIF('DADOS BRUTOS'!$A$3:$A$500,$B12,'DADOS BRUTOS'!GN$3:GN$500)+IF($C12="",0,SUMIF('DADOS BRUTOS'!$A$3:$A$500,$C12,'DADOS BRUTOS'!GN$3:GN$500)))</f>
        <v/>
      </c>
      <c r="JO12" s="123">
        <f>IF(OR(JO$4="",$B12=""),0,SUMIF('DADOS BRUTOS'!$A$3:$A$500,$B12,'DADOS BRUTOS'!GO$3:GO$500)+IF($C12="",0,SUMIF('DADOS BRUTOS'!$A$3:$A$500,$C12,'DADOS BRUTOS'!GO$3:GO$500)))</f>
        <v/>
      </c>
      <c r="JP12" s="123">
        <f>IF(OR(JP$4="",$B12=""),0,SUMIF('DADOS BRUTOS'!$A$3:$A$500,$B12,'DADOS BRUTOS'!GP$3:GP$500)+IF($C12="",0,SUMIF('DADOS BRUTOS'!$A$3:$A$500,$C12,'DADOS BRUTOS'!GP$3:GP$500)))</f>
        <v/>
      </c>
      <c r="JQ12" s="123">
        <f>IF(OR(JQ$4="",$B12=""),0,SUMIF('DADOS BRUTOS'!$A$3:$A$500,$B12,'DADOS BRUTOS'!GQ$3:GQ$500)+IF($C12="",0,SUMIF('DADOS BRUTOS'!$A$3:$A$500,$C12,'DADOS BRUTOS'!GQ$3:GQ$500)))</f>
        <v/>
      </c>
      <c r="JR12" s="123">
        <f>IF(OR(JR$4="",$B12=""),0,SUMIF('DADOS BRUTOS'!$A$3:$A$500,$B12,'DADOS BRUTOS'!GR$3:GR$500)+IF($C12="",0,SUMIF('DADOS BRUTOS'!$A$3:$A$500,$C12,'DADOS BRUTOS'!GR$3:GR$500)))</f>
        <v/>
      </c>
      <c r="JS12" s="123">
        <f>IF(OR(JS$4="",$B12=""),0,SUMIF('DADOS BRUTOS'!$A$3:$A$500,$B12,'DADOS BRUTOS'!GS$3:GS$500)+IF($C12="",0,SUMIF('DADOS BRUTOS'!$A$3:$A$500,$C12,'DADOS BRUTOS'!GS$3:GS$500)))</f>
        <v/>
      </c>
    </row>
    <row r="13">
      <c r="A13" s="60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CB13" s="123">
        <f>IF(OR(CB$4="",$B13=""),0,SUMIF('DADOS BRUTOS'!$A$3:$A$500,$B13,'DADOS BRUTOS'!B$3:B$500)+IF($C13="",0,SUMIF('DADOS BRUTOS'!$A$3:$A$500,$C13,'DADOS BRUTOS'!B$3:B$500)))</f>
        <v/>
      </c>
      <c r="CC13" s="123">
        <f>IF(OR(CC$4="",$B13=""),0,SUMIF('DADOS BRUTOS'!$A$3:$A$500,$B13,'DADOS BRUTOS'!C$3:C$500)+IF($C13="",0,SUMIF('DADOS BRUTOS'!$A$3:$A$500,$C13,'DADOS BRUTOS'!C$3:C$500)))</f>
        <v/>
      </c>
      <c r="CD13" s="123">
        <f>IF(OR(CD$4="",$B13=""),0,SUMIF('DADOS BRUTOS'!$A$3:$A$500,$B13,'DADOS BRUTOS'!D$3:D$500)+IF($C13="",0,SUMIF('DADOS BRUTOS'!$A$3:$A$500,$C13,'DADOS BRUTOS'!D$3:D$500)))</f>
        <v/>
      </c>
      <c r="CE13" s="123">
        <f>IF(OR(CE$4="",$B13=""),0,SUMIF('DADOS BRUTOS'!$A$3:$A$500,$B13,'DADOS BRUTOS'!E$3:E$500)+IF($C13="",0,SUMIF('DADOS BRUTOS'!$A$3:$A$500,$C13,'DADOS BRUTOS'!E$3:E$500)))</f>
        <v/>
      </c>
      <c r="CF13" s="123">
        <f>IF(OR(CF$4="",$B13=""),0,SUMIF('DADOS BRUTOS'!$A$3:$A$500,$B13,'DADOS BRUTOS'!F$3:F$500)+IF($C13="",0,SUMIF('DADOS BRUTOS'!$A$3:$A$500,$C13,'DADOS BRUTOS'!F$3:F$500)))</f>
        <v/>
      </c>
      <c r="CG13" s="123">
        <f>IF(OR(CG$4="",$B13=""),0,SUMIF('DADOS BRUTOS'!$A$3:$A$500,$B13,'DADOS BRUTOS'!G$3:G$500)+IF($C13="",0,SUMIF('DADOS BRUTOS'!$A$3:$A$500,$C13,'DADOS BRUTOS'!G$3:G$500)))</f>
        <v/>
      </c>
      <c r="CH13" s="123">
        <f>IF(OR(CH$4="",$B13=""),0,SUMIF('DADOS BRUTOS'!$A$3:$A$500,$B13,'DADOS BRUTOS'!H$3:H$500)+IF($C13="",0,SUMIF('DADOS BRUTOS'!$A$3:$A$500,$C13,'DADOS BRUTOS'!H$3:H$500)))</f>
        <v/>
      </c>
      <c r="CI13" s="123">
        <f>IF(OR(CI$4="",$B13=""),0,SUMIF('DADOS BRUTOS'!$A$3:$A$500,$B13,'DADOS BRUTOS'!I$3:I$500)+IF($C13="",0,SUMIF('DADOS BRUTOS'!$A$3:$A$500,$C13,'DADOS BRUTOS'!I$3:I$500)))</f>
        <v/>
      </c>
      <c r="CJ13" s="123">
        <f>IF(OR(CJ$4="",$B13=""),0,SUMIF('DADOS BRUTOS'!$A$3:$A$500,$B13,'DADOS BRUTOS'!J$3:J$500)+IF($C13="",0,SUMIF('DADOS BRUTOS'!$A$3:$A$500,$C13,'DADOS BRUTOS'!J$3:J$500)))</f>
        <v/>
      </c>
      <c r="CK13" s="123">
        <f>IF(OR(CK$4="",$B13=""),0,SUMIF('DADOS BRUTOS'!$A$3:$A$500,$B13,'DADOS BRUTOS'!K$3:K$500)+IF($C13="",0,SUMIF('DADOS BRUTOS'!$A$3:$A$500,$C13,'DADOS BRUTOS'!K$3:K$500)))</f>
        <v/>
      </c>
      <c r="CL13" s="123">
        <f>IF(OR(CL$4="",$B13=""),0,SUMIF('DADOS BRUTOS'!$A$3:$A$500,$B13,'DADOS BRUTOS'!L$3:L$500)+IF($C13="",0,SUMIF('DADOS BRUTOS'!$A$3:$A$500,$C13,'DADOS BRUTOS'!L$3:L$500)))</f>
        <v/>
      </c>
      <c r="CM13" s="123">
        <f>IF(OR(CM$4="",$B13=""),0,SUMIF('DADOS BRUTOS'!$A$3:$A$500,$B13,'DADOS BRUTOS'!M$3:M$500)+IF($C13="",0,SUMIF('DADOS BRUTOS'!$A$3:$A$500,$C13,'DADOS BRUTOS'!M$3:M$500)))</f>
        <v/>
      </c>
      <c r="CN13" s="123">
        <f>IF(OR(CN$4="",$B13=""),0,SUMIF('DADOS BRUTOS'!$A$3:$A$500,$B13,'DADOS BRUTOS'!N$3:N$500)+IF($C13="",0,SUMIF('DADOS BRUTOS'!$A$3:$A$500,$C13,'DADOS BRUTOS'!N$3:N$500)))</f>
        <v/>
      </c>
      <c r="CO13" s="123">
        <f>IF(OR(CO$4="",$B13=""),0,SUMIF('DADOS BRUTOS'!$A$3:$A$500,$B13,'DADOS BRUTOS'!O$3:O$500)+IF($C13="",0,SUMIF('DADOS BRUTOS'!$A$3:$A$500,$C13,'DADOS BRUTOS'!O$3:O$500)))</f>
        <v/>
      </c>
      <c r="CP13" s="123">
        <f>IF(OR(CP$4="",$B13=""),0,SUMIF('DADOS BRUTOS'!$A$3:$A$500,$B13,'DADOS BRUTOS'!P$3:P$500)+IF($C13="",0,SUMIF('DADOS BRUTOS'!$A$3:$A$500,$C13,'DADOS BRUTOS'!P$3:P$500)))</f>
        <v/>
      </c>
      <c r="CQ13" s="123">
        <f>IF(OR(CQ$4="",$B13=""),0,SUMIF('DADOS BRUTOS'!$A$3:$A$500,$B13,'DADOS BRUTOS'!Q$3:Q$500)+IF($C13="",0,SUMIF('DADOS BRUTOS'!$A$3:$A$500,$C13,'DADOS BRUTOS'!Q$3:Q$500)))</f>
        <v/>
      </c>
      <c r="CR13" s="123">
        <f>IF(OR(CR$4="",$B13=""),0,SUMIF('DADOS BRUTOS'!$A$3:$A$500,$B13,'DADOS BRUTOS'!R$3:R$500)+IF($C13="",0,SUMIF('DADOS BRUTOS'!$A$3:$A$500,$C13,'DADOS BRUTOS'!R$3:R$500)))</f>
        <v/>
      </c>
      <c r="CS13" s="123">
        <f>IF(OR(CS$4="",$B13=""),0,SUMIF('DADOS BRUTOS'!$A$3:$A$500,$B13,'DADOS BRUTOS'!S$3:S$500)+IF($C13="",0,SUMIF('DADOS BRUTOS'!$A$3:$A$500,$C13,'DADOS BRUTOS'!S$3:S$500)))</f>
        <v/>
      </c>
      <c r="CT13" s="123">
        <f>IF(OR(CT$4="",$B13=""),0,SUMIF('DADOS BRUTOS'!$A$3:$A$500,$B13,'DADOS BRUTOS'!T$3:T$500)+IF($C13="",0,SUMIF('DADOS BRUTOS'!$A$3:$A$500,$C13,'DADOS BRUTOS'!T$3:T$500)))</f>
        <v/>
      </c>
      <c r="CU13" s="123">
        <f>IF(OR(CU$4="",$B13=""),0,SUMIF('DADOS BRUTOS'!$A$3:$A$500,$B13,'DADOS BRUTOS'!U$3:U$500)+IF($C13="",0,SUMIF('DADOS BRUTOS'!$A$3:$A$500,$C13,'DADOS BRUTOS'!U$3:U$500)))</f>
        <v/>
      </c>
      <c r="CV13" s="123">
        <f>IF(OR(CV$4="",$B13=""),0,SUMIF('DADOS BRUTOS'!$A$3:$A$500,$B13,'DADOS BRUTOS'!V$3:V$500)+IF($C13="",0,SUMIF('DADOS BRUTOS'!$A$3:$A$500,$C13,'DADOS BRUTOS'!V$3:V$500)))</f>
        <v/>
      </c>
      <c r="CW13" s="123">
        <f>IF(OR(CW$4="",$B13=""),0,SUMIF('DADOS BRUTOS'!$A$3:$A$500,$B13,'DADOS BRUTOS'!W$3:W$500)+IF($C13="",0,SUMIF('DADOS BRUTOS'!$A$3:$A$500,$C13,'DADOS BRUTOS'!W$3:W$500)))</f>
        <v/>
      </c>
      <c r="CX13" s="123">
        <f>IF(OR(CX$4="",$B13=""),0,SUMIF('DADOS BRUTOS'!$A$3:$A$500,$B13,'DADOS BRUTOS'!X$3:X$500)+IF($C13="",0,SUMIF('DADOS BRUTOS'!$A$3:$A$500,$C13,'DADOS BRUTOS'!X$3:X$500)))</f>
        <v/>
      </c>
      <c r="CY13" s="123">
        <f>IF(OR(CY$4="",$B13=""),0,SUMIF('DADOS BRUTOS'!$A$3:$A$500,$B13,'DADOS BRUTOS'!Y$3:Y$500)+IF($C13="",0,SUMIF('DADOS BRUTOS'!$A$3:$A$500,$C13,'DADOS BRUTOS'!Y$3:Y$500)))</f>
        <v/>
      </c>
      <c r="CZ13" s="123">
        <f>IF(OR(CZ$4="",$B13=""),0,SUMIF('DADOS BRUTOS'!$A$3:$A$500,$B13,'DADOS BRUTOS'!Z$3:Z$500)+IF($C13="",0,SUMIF('DADOS BRUTOS'!$A$3:$A$500,$C13,'DADOS BRUTOS'!Z$3:Z$500)))</f>
        <v/>
      </c>
      <c r="DA13" s="123">
        <f>IF(OR(DA$4="",$B13=""),0,SUMIF('DADOS BRUTOS'!$A$3:$A$500,$B13,'DADOS BRUTOS'!AA$3:AA$500)+IF($C13="",0,SUMIF('DADOS BRUTOS'!$A$3:$A$500,$C13,'DADOS BRUTOS'!AA$3:AA$500)))</f>
        <v/>
      </c>
      <c r="DB13" s="123">
        <f>IF(OR(DB$4="",$B13=""),0,SUMIF('DADOS BRUTOS'!$A$3:$A$500,$B13,'DADOS BRUTOS'!AB$3:AB$500)+IF($C13="",0,SUMIF('DADOS BRUTOS'!$A$3:$A$500,$C13,'DADOS BRUTOS'!AB$3:AB$500)))</f>
        <v/>
      </c>
      <c r="DC13" s="123">
        <f>IF(OR(DC$4="",$B13=""),0,SUMIF('DADOS BRUTOS'!$A$3:$A$500,$B13,'DADOS BRUTOS'!AC$3:AC$500)+IF($C13="",0,SUMIF('DADOS BRUTOS'!$A$3:$A$500,$C13,'DADOS BRUTOS'!AC$3:AC$500)))</f>
        <v/>
      </c>
      <c r="DD13" s="123">
        <f>IF(OR(DD$4="",$B13=""),0,SUMIF('DADOS BRUTOS'!$A$3:$A$500,$B13,'DADOS BRUTOS'!AD$3:AD$500)+IF($C13="",0,SUMIF('DADOS BRUTOS'!$A$3:$A$500,$C13,'DADOS BRUTOS'!AD$3:AD$500)))</f>
        <v/>
      </c>
      <c r="DE13" s="123">
        <f>IF(OR(DE$4="",$B13=""),0,SUMIF('DADOS BRUTOS'!$A$3:$A$500,$B13,'DADOS BRUTOS'!AE$3:AE$500)+IF($C13="",0,SUMIF('DADOS BRUTOS'!$A$3:$A$500,$C13,'DADOS BRUTOS'!AE$3:AE$500)))</f>
        <v/>
      </c>
      <c r="DF13" s="123">
        <f>IF(OR(DF$4="",$B13=""),0,SUMIF('DADOS BRUTOS'!$A$3:$A$500,$B13,'DADOS BRUTOS'!AF$3:AF$500)+IF($C13="",0,SUMIF('DADOS BRUTOS'!$A$3:$A$500,$C13,'DADOS BRUTOS'!AF$3:AF$500)))</f>
        <v/>
      </c>
      <c r="DG13" s="123">
        <f>IF(OR(DG$4="",$B13=""),0,SUMIF('DADOS BRUTOS'!$A$3:$A$500,$B13,'DADOS BRUTOS'!AG$3:AG$500)+IF($C13="",0,SUMIF('DADOS BRUTOS'!$A$3:$A$500,$C13,'DADOS BRUTOS'!AG$3:AG$500)))</f>
        <v/>
      </c>
      <c r="DH13" s="123">
        <f>IF(OR(DH$4="",$B13=""),0,SUMIF('DADOS BRUTOS'!$A$3:$A$500,$B13,'DADOS BRUTOS'!AH$3:AH$500)+IF($C13="",0,SUMIF('DADOS BRUTOS'!$A$3:$A$500,$C13,'DADOS BRUTOS'!AH$3:AH$500)))</f>
        <v/>
      </c>
      <c r="DI13" s="123">
        <f>IF(OR(DI$4="",$B13=""),0,SUMIF('DADOS BRUTOS'!$A$3:$A$500,$B13,'DADOS BRUTOS'!AI$3:AI$500)+IF($C13="",0,SUMIF('DADOS BRUTOS'!$A$3:$A$500,$C13,'DADOS BRUTOS'!AI$3:AI$500)))</f>
        <v/>
      </c>
      <c r="DJ13" s="123">
        <f>IF(OR(DJ$4="",$B13=""),0,SUMIF('DADOS BRUTOS'!$A$3:$A$500,$B13,'DADOS BRUTOS'!AJ$3:AJ$500)+IF($C13="",0,SUMIF('DADOS BRUTOS'!$A$3:$A$500,$C13,'DADOS BRUTOS'!AJ$3:AJ$500)))</f>
        <v/>
      </c>
      <c r="DK13" s="123">
        <f>IF(OR(DK$4="",$B13=""),0,SUMIF('DADOS BRUTOS'!$A$3:$A$500,$B13,'DADOS BRUTOS'!AK$3:AK$500)+IF($C13="",0,SUMIF('DADOS BRUTOS'!$A$3:$A$500,$C13,'DADOS BRUTOS'!AK$3:AK$500)))</f>
        <v/>
      </c>
      <c r="DL13" s="123">
        <f>IF(OR(DL$4="",$B13=""),0,SUMIF('DADOS BRUTOS'!$A$3:$A$500,$B13,'DADOS BRUTOS'!AL$3:AL$500)+IF($C13="",0,SUMIF('DADOS BRUTOS'!$A$3:$A$500,$C13,'DADOS BRUTOS'!AL$3:AL$500)))</f>
        <v/>
      </c>
      <c r="DM13" s="123">
        <f>IF(OR(DM$4="",$B13=""),0,SUMIF('DADOS BRUTOS'!$A$3:$A$500,$B13,'DADOS BRUTOS'!AM$3:AM$500)+IF($C13="",0,SUMIF('DADOS BRUTOS'!$A$3:$A$500,$C13,'DADOS BRUTOS'!AM$3:AM$500)))</f>
        <v/>
      </c>
      <c r="DN13" s="123">
        <f>IF(OR(DN$4="",$B13=""),0,SUMIF('DADOS BRUTOS'!$A$3:$A$500,$B13,'DADOS BRUTOS'!AN$3:AN$500)+IF($C13="",0,SUMIF('DADOS BRUTOS'!$A$3:$A$500,$C13,'DADOS BRUTOS'!AN$3:AN$500)))</f>
        <v/>
      </c>
      <c r="DO13" s="123">
        <f>IF(OR(DO$4="",$B13=""),0,SUMIF('DADOS BRUTOS'!$A$3:$A$500,$B13,'DADOS BRUTOS'!AO$3:AO$500)+IF($C13="",0,SUMIF('DADOS BRUTOS'!$A$3:$A$500,$C13,'DADOS BRUTOS'!AO$3:AO$500)))</f>
        <v/>
      </c>
      <c r="DP13" s="123">
        <f>IF(OR(DP$4="",$B13=""),0,SUMIF('DADOS BRUTOS'!$A$3:$A$500,$B13,'DADOS BRUTOS'!AP$3:AP$500)+IF($C13="",0,SUMIF('DADOS BRUTOS'!$A$3:$A$500,$C13,'DADOS BRUTOS'!AP$3:AP$500)))</f>
        <v/>
      </c>
      <c r="DQ13" s="123">
        <f>IF(OR(DQ$4="",$B13=""),0,SUMIF('DADOS BRUTOS'!$A$3:$A$500,$B13,'DADOS BRUTOS'!AQ$3:AQ$500)+IF($C13="",0,SUMIF('DADOS BRUTOS'!$A$3:$A$500,$C13,'DADOS BRUTOS'!AQ$3:AQ$500)))</f>
        <v/>
      </c>
      <c r="DR13" s="123">
        <f>IF(OR(DR$4="",$B13=""),0,SUMIF('DADOS BRUTOS'!$A$3:$A$500,$B13,'DADOS BRUTOS'!AR$3:AR$500)+IF($C13="",0,SUMIF('DADOS BRUTOS'!$A$3:$A$500,$C13,'DADOS BRUTOS'!AR$3:AR$500)))</f>
        <v/>
      </c>
      <c r="DS13" s="123">
        <f>IF(OR(DS$4="",$B13=""),0,SUMIF('DADOS BRUTOS'!$A$3:$A$500,$B13,'DADOS BRUTOS'!AS$3:AS$500)+IF($C13="",0,SUMIF('DADOS BRUTOS'!$A$3:$A$500,$C13,'DADOS BRUTOS'!AS$3:AS$500)))</f>
        <v/>
      </c>
      <c r="DT13" s="123">
        <f>IF(OR(DT$4="",$B13=""),0,SUMIF('DADOS BRUTOS'!$A$3:$A$500,$B13,'DADOS BRUTOS'!AT$3:AT$500)+IF($C13="",0,SUMIF('DADOS BRUTOS'!$A$3:$A$500,$C13,'DADOS BRUTOS'!AT$3:AT$500)))</f>
        <v/>
      </c>
      <c r="DU13" s="123">
        <f>IF(OR(DU$4="",$B13=""),0,SUMIF('DADOS BRUTOS'!$A$3:$A$500,$B13,'DADOS BRUTOS'!AU$3:AU$500)+IF($C13="",0,SUMIF('DADOS BRUTOS'!$A$3:$A$500,$C13,'DADOS BRUTOS'!AU$3:AU$500)))</f>
        <v/>
      </c>
      <c r="DV13" s="123">
        <f>IF(OR(DV$4="",$B13=""),0,SUMIF('DADOS BRUTOS'!$A$3:$A$500,$B13,'DADOS BRUTOS'!AV$3:AV$500)+IF($C13="",0,SUMIF('DADOS BRUTOS'!$A$3:$A$500,$C13,'DADOS BRUTOS'!AV$3:AV$500)))</f>
        <v/>
      </c>
      <c r="DW13" s="123">
        <f>IF(OR(DW$4="",$B13=""),0,SUMIF('DADOS BRUTOS'!$A$3:$A$500,$B13,'DADOS BRUTOS'!AW$3:AW$500)+IF($C13="",0,SUMIF('DADOS BRUTOS'!$A$3:$A$500,$C13,'DADOS BRUTOS'!AW$3:AW$500)))</f>
        <v/>
      </c>
      <c r="DX13" s="123">
        <f>IF(OR(DX$4="",$B13=""),0,SUMIF('DADOS BRUTOS'!$A$3:$A$500,$B13,'DADOS BRUTOS'!AX$3:AX$500)+IF($C13="",0,SUMIF('DADOS BRUTOS'!$A$3:$A$500,$C13,'DADOS BRUTOS'!AX$3:AX$500)))</f>
        <v/>
      </c>
      <c r="DY13" s="123">
        <f>IF(OR(DY$4="",$B13=""),0,SUMIF('DADOS BRUTOS'!$A$3:$A$500,$B13,'DADOS BRUTOS'!AY$3:AY$500)+IF($C13="",0,SUMIF('DADOS BRUTOS'!$A$3:$A$500,$C13,'DADOS BRUTOS'!AY$3:AY$500)))</f>
        <v/>
      </c>
      <c r="DZ13" s="123">
        <f>IF(OR(DZ$4="",$B13=""),0,SUMIF('DADOS BRUTOS'!$A$3:$A$500,$B13,'DADOS BRUTOS'!AZ$3:AZ$500)+IF($C13="",0,SUMIF('DADOS BRUTOS'!$A$3:$A$500,$C13,'DADOS BRUTOS'!AZ$3:AZ$500)))</f>
        <v/>
      </c>
      <c r="EA13" s="123">
        <f>IF(OR(EA$4="",$B13=""),0,SUMIF('DADOS BRUTOS'!$A$3:$A$500,$B13,'DADOS BRUTOS'!BA$3:BA$500)+IF($C13="",0,SUMIF('DADOS BRUTOS'!$A$3:$A$500,$C13,'DADOS BRUTOS'!BA$3:BA$500)))</f>
        <v/>
      </c>
      <c r="EB13" s="123">
        <f>IF(OR(EB$4="",$B13=""),0,SUMIF('DADOS BRUTOS'!$A$3:$A$500,$B13,'DADOS BRUTOS'!BB$3:BB$500)+IF($C13="",0,SUMIF('DADOS BRUTOS'!$A$3:$A$500,$C13,'DADOS BRUTOS'!BB$3:BB$500)))</f>
        <v/>
      </c>
      <c r="EC13" s="123">
        <f>IF(OR(EC$4="",$B13=""),0,SUMIF('DADOS BRUTOS'!$A$3:$A$500,$B13,'DADOS BRUTOS'!BC$3:BC$500)+IF($C13="",0,SUMIF('DADOS BRUTOS'!$A$3:$A$500,$C13,'DADOS BRUTOS'!BC$3:BC$500)))</f>
        <v/>
      </c>
      <c r="ED13" s="123">
        <f>IF(OR(ED$4="",$B13=""),0,SUMIF('DADOS BRUTOS'!$A$3:$A$500,$B13,'DADOS BRUTOS'!BD$3:BD$500)+IF($C13="",0,SUMIF('DADOS BRUTOS'!$A$3:$A$500,$C13,'DADOS BRUTOS'!BD$3:BD$500)))</f>
        <v/>
      </c>
      <c r="EE13" s="123">
        <f>IF(OR(EE$4="",$B13=""),0,SUMIF('DADOS BRUTOS'!$A$3:$A$500,$B13,'DADOS BRUTOS'!BE$3:BE$500)+IF($C13="",0,SUMIF('DADOS BRUTOS'!$A$3:$A$500,$C13,'DADOS BRUTOS'!BE$3:BE$500)))</f>
        <v/>
      </c>
      <c r="EF13" s="123">
        <f>IF(OR(EF$4="",$B13=""),0,SUMIF('DADOS BRUTOS'!$A$3:$A$500,$B13,'DADOS BRUTOS'!BF$3:BF$500)+IF($C13="",0,SUMIF('DADOS BRUTOS'!$A$3:$A$500,$C13,'DADOS BRUTOS'!BF$3:BF$500)))</f>
        <v/>
      </c>
      <c r="EG13" s="123">
        <f>IF(OR(EG$4="",$B13=""),0,SUMIF('DADOS BRUTOS'!$A$3:$A$500,$B13,'DADOS BRUTOS'!BG$3:BG$500)+IF($C13="",0,SUMIF('DADOS BRUTOS'!$A$3:$A$500,$C13,'DADOS BRUTOS'!BG$3:BG$500)))</f>
        <v/>
      </c>
      <c r="EH13" s="123">
        <f>IF(OR(EH$4="",$B13=""),0,SUMIF('DADOS BRUTOS'!$A$3:$A$500,$B13,'DADOS BRUTOS'!BH$3:BH$500)+IF($C13="",0,SUMIF('DADOS BRUTOS'!$A$3:$A$500,$C13,'DADOS BRUTOS'!BH$3:BH$500)))</f>
        <v/>
      </c>
      <c r="EI13" s="123">
        <f>IF(OR(EI$4="",$B13=""),0,SUMIF('DADOS BRUTOS'!$A$3:$A$500,$B13,'DADOS BRUTOS'!BI$3:BI$500)+IF($C13="",0,SUMIF('DADOS BRUTOS'!$A$3:$A$500,$C13,'DADOS BRUTOS'!BI$3:BI$500)))</f>
        <v/>
      </c>
      <c r="EJ13" s="123">
        <f>IF(OR(EJ$4="",$B13=""),0,SUMIF('DADOS BRUTOS'!$A$3:$A$500,$B13,'DADOS BRUTOS'!BJ$3:BJ$500)+IF($C13="",0,SUMIF('DADOS BRUTOS'!$A$3:$A$500,$C13,'DADOS BRUTOS'!BJ$3:BJ$500)))</f>
        <v/>
      </c>
      <c r="EK13" s="123">
        <f>IF(OR(EK$4="",$B13=""),0,SUMIF('DADOS BRUTOS'!$A$3:$A$500,$B13,'DADOS BRUTOS'!BK$3:BK$500)+IF($C13="",0,SUMIF('DADOS BRUTOS'!$A$3:$A$500,$C13,'DADOS BRUTOS'!BK$3:BK$500)))</f>
        <v/>
      </c>
      <c r="EL13" s="123">
        <f>IF(OR(EL$4="",$B13=""),0,SUMIF('DADOS BRUTOS'!$A$3:$A$500,$B13,'DADOS BRUTOS'!BL$3:BL$500)+IF($C13="",0,SUMIF('DADOS BRUTOS'!$A$3:$A$500,$C13,'DADOS BRUTOS'!BL$3:BL$500)))</f>
        <v/>
      </c>
      <c r="EM13" s="123">
        <f>IF(OR(EM$4="",$B13=""),0,SUMIF('DADOS BRUTOS'!$A$3:$A$500,$B13,'DADOS BRUTOS'!BM$3:BM$500)+IF($C13="",0,SUMIF('DADOS BRUTOS'!$A$3:$A$500,$C13,'DADOS BRUTOS'!BM$3:BM$500)))</f>
        <v/>
      </c>
      <c r="EN13" s="123">
        <f>IF(OR(EN$4="",$B13=""),0,SUMIF('DADOS BRUTOS'!$A$3:$A$500,$B13,'DADOS BRUTOS'!BN$3:BN$500)+IF($C13="",0,SUMIF('DADOS BRUTOS'!$A$3:$A$500,$C13,'DADOS BRUTOS'!BN$3:BN$500)))</f>
        <v/>
      </c>
      <c r="EO13" s="123">
        <f>IF(OR(EO$4="",$B13=""),0,SUMIF('DADOS BRUTOS'!$A$3:$A$500,$B13,'DADOS BRUTOS'!BO$3:BO$500)+IF($C13="",0,SUMIF('DADOS BRUTOS'!$A$3:$A$500,$C13,'DADOS BRUTOS'!BO$3:BO$500)))</f>
        <v/>
      </c>
      <c r="EP13" s="123">
        <f>IF(OR(EP$4="",$B13=""),0,SUMIF('DADOS BRUTOS'!$A$3:$A$500,$B13,'DADOS BRUTOS'!BP$3:BP$500)+IF($C13="",0,SUMIF('DADOS BRUTOS'!$A$3:$A$500,$C13,'DADOS BRUTOS'!BP$3:BP$500)))</f>
        <v/>
      </c>
      <c r="EQ13" s="123">
        <f>IF(OR(EQ$4="",$B13=""),0,SUMIF('DADOS BRUTOS'!$A$3:$A$500,$B13,'DADOS BRUTOS'!BQ$3:BQ$500)+IF($C13="",0,SUMIF('DADOS BRUTOS'!$A$3:$A$500,$C13,'DADOS BRUTOS'!BQ$3:BQ$500)))</f>
        <v/>
      </c>
      <c r="ER13" s="123">
        <f>IF(OR(ER$4="",$B13=""),0,SUMIF('DADOS BRUTOS'!$A$3:$A$500,$B13,'DADOS BRUTOS'!BR$3:BR$500)+IF($C13="",0,SUMIF('DADOS BRUTOS'!$A$3:$A$500,$C13,'DADOS BRUTOS'!BR$3:BR$500)))</f>
        <v/>
      </c>
      <c r="ES13" s="123">
        <f>IF(OR(ES$4="",$B13=""),0,SUMIF('DADOS BRUTOS'!$A$3:$A$500,$B13,'DADOS BRUTOS'!BS$3:BS$500)+IF($C13="",0,SUMIF('DADOS BRUTOS'!$A$3:$A$500,$C13,'DADOS BRUTOS'!BS$3:BS$500)))</f>
        <v/>
      </c>
      <c r="ET13" s="123">
        <f>IF(OR(ET$4="",$B13=""),0,SUMIF('DADOS BRUTOS'!$A$3:$A$500,$B13,'DADOS BRUTOS'!BT$3:BT$500)+IF($C13="",0,SUMIF('DADOS BRUTOS'!$A$3:$A$500,$C13,'DADOS BRUTOS'!BT$3:BT$500)))</f>
        <v/>
      </c>
      <c r="EU13" s="123">
        <f>IF(OR(EU$4="",$B13=""),0,SUMIF('DADOS BRUTOS'!$A$3:$A$500,$B13,'DADOS BRUTOS'!BU$3:BU$500)+IF($C13="",0,SUMIF('DADOS BRUTOS'!$A$3:$A$500,$C13,'DADOS BRUTOS'!BU$3:BU$500)))</f>
        <v/>
      </c>
      <c r="EV13" s="123">
        <f>IF(OR(EV$4="",$B13=""),0,SUMIF('DADOS BRUTOS'!$A$3:$A$500,$B13,'DADOS BRUTOS'!BV$3:BV$500)+IF($C13="",0,SUMIF('DADOS BRUTOS'!$A$3:$A$500,$C13,'DADOS BRUTOS'!BV$3:BV$500)))</f>
        <v/>
      </c>
      <c r="EW13" s="123">
        <f>IF(OR(EW$4="",$B13=""),0,SUMIF('DADOS BRUTOS'!$A$3:$A$500,$B13,'DADOS BRUTOS'!BW$3:BW$500)+IF($C13="",0,SUMIF('DADOS BRUTOS'!$A$3:$A$500,$C13,'DADOS BRUTOS'!BW$3:BW$500)))</f>
        <v/>
      </c>
      <c r="EX13" s="123">
        <f>IF(OR(EX$4="",$B13=""),0,SUMIF('DADOS BRUTOS'!$A$3:$A$500,$B13,'DADOS BRUTOS'!BX$3:BX$500)+IF($C13="",0,SUMIF('DADOS BRUTOS'!$A$3:$A$500,$C13,'DADOS BRUTOS'!BX$3:BX$500)))</f>
        <v/>
      </c>
      <c r="EY13" s="123">
        <f>IF(OR(EY$4="",$B13=""),0,SUMIF('DADOS BRUTOS'!$A$3:$A$500,$B13,'DADOS BRUTOS'!BY$3:BY$500)+IF($C13="",0,SUMIF('DADOS BRUTOS'!$A$3:$A$500,$C13,'DADOS BRUTOS'!BY$3:BY$500)))</f>
        <v/>
      </c>
      <c r="EZ13" s="123">
        <f>IF(OR(EZ$4="",$B13=""),0,SUMIF('DADOS BRUTOS'!$A$3:$A$500,$B13,'DADOS BRUTOS'!BZ$3:BZ$500)+IF($C13="",0,SUMIF('DADOS BRUTOS'!$A$3:$A$500,$C13,'DADOS BRUTOS'!BZ$3:BZ$500)))</f>
        <v/>
      </c>
      <c r="FA13" s="123">
        <f>IF(OR(FA$4="",$B13=""),0,SUMIF('DADOS BRUTOS'!$A$3:$A$500,$B13,'DADOS BRUTOS'!CA$3:CA$500)+IF($C13="",0,SUMIF('DADOS BRUTOS'!$A$3:$A$500,$C13,'DADOS BRUTOS'!CA$3:CA$500)))</f>
        <v/>
      </c>
      <c r="FB13" s="123">
        <f>IF(OR(FB$4="",$B13=""),0,SUMIF('DADOS BRUTOS'!$A$3:$A$500,$B13,'DADOS BRUTOS'!CB$3:CB$500)+IF($C13="",0,SUMIF('DADOS BRUTOS'!$A$3:$A$500,$C13,'DADOS BRUTOS'!CB$3:CB$500)))</f>
        <v/>
      </c>
      <c r="FC13" s="123">
        <f>IF(OR(FC$4="",$B13=""),0,SUMIF('DADOS BRUTOS'!$A$3:$A$500,$B13,'DADOS BRUTOS'!CC$3:CC$500)+IF($C13="",0,SUMIF('DADOS BRUTOS'!$A$3:$A$500,$C13,'DADOS BRUTOS'!CC$3:CC$500)))</f>
        <v/>
      </c>
      <c r="FD13" s="123">
        <f>IF(OR(FD$4="",$B13=""),0,SUMIF('DADOS BRUTOS'!$A$3:$A$500,$B13,'DADOS BRUTOS'!CD$3:CD$500)+IF($C13="",0,SUMIF('DADOS BRUTOS'!$A$3:$A$500,$C13,'DADOS BRUTOS'!CD$3:CD$500)))</f>
        <v/>
      </c>
      <c r="FE13" s="123">
        <f>IF(OR(FE$4="",$B13=""),0,SUMIF('DADOS BRUTOS'!$A$3:$A$500,$B13,'DADOS BRUTOS'!CE$3:CE$500)+IF($C13="",0,SUMIF('DADOS BRUTOS'!$A$3:$A$500,$C13,'DADOS BRUTOS'!CE$3:CE$500)))</f>
        <v/>
      </c>
      <c r="FF13" s="123">
        <f>IF(OR(FF$4="",$B13=""),0,SUMIF('DADOS BRUTOS'!$A$3:$A$500,$B13,'DADOS BRUTOS'!CF$3:CF$500)+IF($C13="",0,SUMIF('DADOS BRUTOS'!$A$3:$A$500,$C13,'DADOS BRUTOS'!CF$3:CF$500)))</f>
        <v/>
      </c>
      <c r="FG13" s="123">
        <f>IF(OR(FG$4="",$B13=""),0,SUMIF('DADOS BRUTOS'!$A$3:$A$500,$B13,'DADOS BRUTOS'!CG$3:CG$500)+IF($C13="",0,SUMIF('DADOS BRUTOS'!$A$3:$A$500,$C13,'DADOS BRUTOS'!CG$3:CG$500)))</f>
        <v/>
      </c>
      <c r="FH13" s="123">
        <f>IF(OR(FH$4="",$B13=""),0,SUMIF('DADOS BRUTOS'!$A$3:$A$500,$B13,'DADOS BRUTOS'!CH$3:CH$500)+IF($C13="",0,SUMIF('DADOS BRUTOS'!$A$3:$A$500,$C13,'DADOS BRUTOS'!CH$3:CH$500)))</f>
        <v/>
      </c>
      <c r="FI13" s="123">
        <f>IF(OR(FI$4="",$B13=""),0,SUMIF('DADOS BRUTOS'!$A$3:$A$500,$B13,'DADOS BRUTOS'!CI$3:CI$500)+IF($C13="",0,SUMIF('DADOS BRUTOS'!$A$3:$A$500,$C13,'DADOS BRUTOS'!CI$3:CI$500)))</f>
        <v/>
      </c>
      <c r="FJ13" s="123">
        <f>IF(OR(FJ$4="",$B13=""),0,SUMIF('DADOS BRUTOS'!$A$3:$A$500,$B13,'DADOS BRUTOS'!CJ$3:CJ$500)+IF($C13="",0,SUMIF('DADOS BRUTOS'!$A$3:$A$500,$C13,'DADOS BRUTOS'!CJ$3:CJ$500)))</f>
        <v/>
      </c>
      <c r="FK13" s="123">
        <f>IF(OR(FK$4="",$B13=""),0,SUMIF('DADOS BRUTOS'!$A$3:$A$500,$B13,'DADOS BRUTOS'!CK$3:CK$500)+IF($C13="",0,SUMIF('DADOS BRUTOS'!$A$3:$A$500,$C13,'DADOS BRUTOS'!CK$3:CK$500)))</f>
        <v/>
      </c>
      <c r="FL13" s="123">
        <f>IF(OR(FL$4="",$B13=""),0,SUMIF('DADOS BRUTOS'!$A$3:$A$500,$B13,'DADOS BRUTOS'!CL$3:CL$500)+IF($C13="",0,SUMIF('DADOS BRUTOS'!$A$3:$A$500,$C13,'DADOS BRUTOS'!CL$3:CL$500)))</f>
        <v/>
      </c>
      <c r="FM13" s="123">
        <f>IF(OR(FM$4="",$B13=""),0,SUMIF('DADOS BRUTOS'!$A$3:$A$500,$B13,'DADOS BRUTOS'!CM$3:CM$500)+IF($C13="",0,SUMIF('DADOS BRUTOS'!$A$3:$A$500,$C13,'DADOS BRUTOS'!CM$3:CM$500)))</f>
        <v/>
      </c>
      <c r="FN13" s="123">
        <f>IF(OR(FN$4="",$B13=""),0,SUMIF('DADOS BRUTOS'!$A$3:$A$500,$B13,'DADOS BRUTOS'!CN$3:CN$500)+IF($C13="",0,SUMIF('DADOS BRUTOS'!$A$3:$A$500,$C13,'DADOS BRUTOS'!CN$3:CN$500)))</f>
        <v/>
      </c>
      <c r="FO13" s="123">
        <f>IF(OR(FO$4="",$B13=""),0,SUMIF('DADOS BRUTOS'!$A$3:$A$500,$B13,'DADOS BRUTOS'!CO$3:CO$500)+IF($C13="",0,SUMIF('DADOS BRUTOS'!$A$3:$A$500,$C13,'DADOS BRUTOS'!CO$3:CO$500)))</f>
        <v/>
      </c>
      <c r="FP13" s="123">
        <f>IF(OR(FP$4="",$B13=""),0,SUMIF('DADOS BRUTOS'!$A$3:$A$500,$B13,'DADOS BRUTOS'!CP$3:CP$500)+IF($C13="",0,SUMIF('DADOS BRUTOS'!$A$3:$A$500,$C13,'DADOS BRUTOS'!CP$3:CP$500)))</f>
        <v/>
      </c>
      <c r="FQ13" s="123">
        <f>IF(OR(FQ$4="",$B13=""),0,SUMIF('DADOS BRUTOS'!$A$3:$A$500,$B13,'DADOS BRUTOS'!CQ$3:CQ$500)+IF($C13="",0,SUMIF('DADOS BRUTOS'!$A$3:$A$500,$C13,'DADOS BRUTOS'!CQ$3:CQ$500)))</f>
        <v/>
      </c>
      <c r="FR13" s="123">
        <f>IF(OR(FR$4="",$B13=""),0,SUMIF('DADOS BRUTOS'!$A$3:$A$500,$B13,'DADOS BRUTOS'!CR$3:CR$500)+IF($C13="",0,SUMIF('DADOS BRUTOS'!$A$3:$A$500,$C13,'DADOS BRUTOS'!CR$3:CR$500)))</f>
        <v/>
      </c>
      <c r="FS13" s="123">
        <f>IF(OR(FS$4="",$B13=""),0,SUMIF('DADOS BRUTOS'!$A$3:$A$500,$B13,'DADOS BRUTOS'!CS$3:CS$500)+IF($C13="",0,SUMIF('DADOS BRUTOS'!$A$3:$A$500,$C13,'DADOS BRUTOS'!CS$3:CS$500)))</f>
        <v/>
      </c>
      <c r="FT13" s="123">
        <f>IF(OR(FT$4="",$B13=""),0,SUMIF('DADOS BRUTOS'!$A$3:$A$500,$B13,'DADOS BRUTOS'!CT$3:CT$500)+IF($C13="",0,SUMIF('DADOS BRUTOS'!$A$3:$A$500,$C13,'DADOS BRUTOS'!CT$3:CT$500)))</f>
        <v/>
      </c>
      <c r="FU13" s="123">
        <f>IF(OR(FU$4="",$B13=""),0,SUMIF('DADOS BRUTOS'!$A$3:$A$500,$B13,'DADOS BRUTOS'!CU$3:CU$500)+IF($C13="",0,SUMIF('DADOS BRUTOS'!$A$3:$A$500,$C13,'DADOS BRUTOS'!CU$3:CU$500)))</f>
        <v/>
      </c>
      <c r="FV13" s="123">
        <f>IF(OR(FV$4="",$B13=""),0,SUMIF('DADOS BRUTOS'!$A$3:$A$500,$B13,'DADOS BRUTOS'!CV$3:CV$500)+IF($C13="",0,SUMIF('DADOS BRUTOS'!$A$3:$A$500,$C13,'DADOS BRUTOS'!CV$3:CV$500)))</f>
        <v/>
      </c>
      <c r="FW13" s="123">
        <f>IF(OR(FW$4="",$B13=""),0,SUMIF('DADOS BRUTOS'!$A$3:$A$500,$B13,'DADOS BRUTOS'!CW$3:CW$500)+IF($C13="",0,SUMIF('DADOS BRUTOS'!$A$3:$A$500,$C13,'DADOS BRUTOS'!CW$3:CW$500)))</f>
        <v/>
      </c>
      <c r="FX13" s="123">
        <f>IF(OR(FX$4="",$B13=""),0,SUMIF('DADOS BRUTOS'!$A$3:$A$500,$B13,'DADOS BRUTOS'!CX$3:CX$500)+IF($C13="",0,SUMIF('DADOS BRUTOS'!$A$3:$A$500,$C13,'DADOS BRUTOS'!CX$3:CX$500)))</f>
        <v/>
      </c>
      <c r="FY13" s="123">
        <f>IF(OR(FY$4="",$B13=""),0,SUMIF('DADOS BRUTOS'!$A$3:$A$500,$B13,'DADOS BRUTOS'!CY$3:CY$500)+IF($C13="",0,SUMIF('DADOS BRUTOS'!$A$3:$A$500,$C13,'DADOS BRUTOS'!CY$3:CY$500)))</f>
        <v/>
      </c>
      <c r="FZ13" s="123">
        <f>IF(OR(FZ$4="",$B13=""),0,SUMIF('DADOS BRUTOS'!$A$3:$A$500,$B13,'DADOS BRUTOS'!CZ$3:CZ$500)+IF($C13="",0,SUMIF('DADOS BRUTOS'!$A$3:$A$500,$C13,'DADOS BRUTOS'!CZ$3:CZ$500)))</f>
        <v/>
      </c>
      <c r="GA13" s="123">
        <f>IF(OR(GA$4="",$B13=""),0,SUMIF('DADOS BRUTOS'!$A$3:$A$500,$B13,'DADOS BRUTOS'!DA$3:DA$500)+IF($C13="",0,SUMIF('DADOS BRUTOS'!$A$3:$A$500,$C13,'DADOS BRUTOS'!DA$3:DA$500)))</f>
        <v/>
      </c>
      <c r="GB13" s="123">
        <f>IF(OR(GB$4="",$B13=""),0,SUMIF('DADOS BRUTOS'!$A$3:$A$500,$B13,'DADOS BRUTOS'!DB$3:DB$500)+IF($C13="",0,SUMIF('DADOS BRUTOS'!$A$3:$A$500,$C13,'DADOS BRUTOS'!DB$3:DB$500)))</f>
        <v/>
      </c>
      <c r="GC13" s="123">
        <f>IF(OR(GC$4="",$B13=""),0,SUMIF('DADOS BRUTOS'!$A$3:$A$500,$B13,'DADOS BRUTOS'!DC$3:DC$500)+IF($C13="",0,SUMIF('DADOS BRUTOS'!$A$3:$A$500,$C13,'DADOS BRUTOS'!DC$3:DC$500)))</f>
        <v/>
      </c>
      <c r="GD13" s="123">
        <f>IF(OR(GD$4="",$B13=""),0,SUMIF('DADOS BRUTOS'!$A$3:$A$500,$B13,'DADOS BRUTOS'!DD$3:DD$500)+IF($C13="",0,SUMIF('DADOS BRUTOS'!$A$3:$A$500,$C13,'DADOS BRUTOS'!DD$3:DD$500)))</f>
        <v/>
      </c>
      <c r="GE13" s="123">
        <f>IF(OR(GE$4="",$B13=""),0,SUMIF('DADOS BRUTOS'!$A$3:$A$500,$B13,'DADOS BRUTOS'!DE$3:DE$500)+IF($C13="",0,SUMIF('DADOS BRUTOS'!$A$3:$A$500,$C13,'DADOS BRUTOS'!DE$3:DE$500)))</f>
        <v/>
      </c>
      <c r="GF13" s="123">
        <f>IF(OR(GF$4="",$B13=""),0,SUMIF('DADOS BRUTOS'!$A$3:$A$500,$B13,'DADOS BRUTOS'!DF$3:DF$500)+IF($C13="",0,SUMIF('DADOS BRUTOS'!$A$3:$A$500,$C13,'DADOS BRUTOS'!DF$3:DF$500)))</f>
        <v/>
      </c>
      <c r="GG13" s="123">
        <f>IF(OR(GG$4="",$B13=""),0,SUMIF('DADOS BRUTOS'!$A$3:$A$500,$B13,'DADOS BRUTOS'!DG$3:DG$500)+IF($C13="",0,SUMIF('DADOS BRUTOS'!$A$3:$A$500,$C13,'DADOS BRUTOS'!DG$3:DG$500)))</f>
        <v/>
      </c>
      <c r="GH13" s="123">
        <f>IF(OR(GH$4="",$B13=""),0,SUMIF('DADOS BRUTOS'!$A$3:$A$500,$B13,'DADOS BRUTOS'!DH$3:DH$500)+IF($C13="",0,SUMIF('DADOS BRUTOS'!$A$3:$A$500,$C13,'DADOS BRUTOS'!DH$3:DH$500)))</f>
        <v/>
      </c>
      <c r="GI13" s="123">
        <f>IF(OR(GI$4="",$B13=""),0,SUMIF('DADOS BRUTOS'!$A$3:$A$500,$B13,'DADOS BRUTOS'!DI$3:DI$500)+IF($C13="",0,SUMIF('DADOS BRUTOS'!$A$3:$A$500,$C13,'DADOS BRUTOS'!DI$3:DI$500)))</f>
        <v/>
      </c>
      <c r="GJ13" s="123">
        <f>IF(OR(GJ$4="",$B13=""),0,SUMIF('DADOS BRUTOS'!$A$3:$A$500,$B13,'DADOS BRUTOS'!DJ$3:DJ$500)+IF($C13="",0,SUMIF('DADOS BRUTOS'!$A$3:$A$500,$C13,'DADOS BRUTOS'!DJ$3:DJ$500)))</f>
        <v/>
      </c>
      <c r="GK13" s="123">
        <f>IF(OR(GK$4="",$B13=""),0,SUMIF('DADOS BRUTOS'!$A$3:$A$500,$B13,'DADOS BRUTOS'!DK$3:DK$500)+IF($C13="",0,SUMIF('DADOS BRUTOS'!$A$3:$A$500,$C13,'DADOS BRUTOS'!DK$3:DK$500)))</f>
        <v/>
      </c>
      <c r="GL13" s="123">
        <f>IF(OR(GL$4="",$B13=""),0,SUMIF('DADOS BRUTOS'!$A$3:$A$500,$B13,'DADOS BRUTOS'!DL$3:DL$500)+IF($C13="",0,SUMIF('DADOS BRUTOS'!$A$3:$A$500,$C13,'DADOS BRUTOS'!DL$3:DL$500)))</f>
        <v/>
      </c>
      <c r="GM13" s="123">
        <f>IF(OR(GM$4="",$B13=""),0,SUMIF('DADOS BRUTOS'!$A$3:$A$500,$B13,'DADOS BRUTOS'!DM$3:DM$500)+IF($C13="",0,SUMIF('DADOS BRUTOS'!$A$3:$A$500,$C13,'DADOS BRUTOS'!DM$3:DM$500)))</f>
        <v/>
      </c>
      <c r="GN13" s="123">
        <f>IF(OR(GN$4="",$B13=""),0,SUMIF('DADOS BRUTOS'!$A$3:$A$500,$B13,'DADOS BRUTOS'!DN$3:DN$500)+IF($C13="",0,SUMIF('DADOS BRUTOS'!$A$3:$A$500,$C13,'DADOS BRUTOS'!DN$3:DN$500)))</f>
        <v/>
      </c>
      <c r="GO13" s="123">
        <f>IF(OR(GO$4="",$B13=""),0,SUMIF('DADOS BRUTOS'!$A$3:$A$500,$B13,'DADOS BRUTOS'!DO$3:DO$500)+IF($C13="",0,SUMIF('DADOS BRUTOS'!$A$3:$A$500,$C13,'DADOS BRUTOS'!DO$3:DO$500)))</f>
        <v/>
      </c>
      <c r="GP13" s="123">
        <f>IF(OR(GP$4="",$B13=""),0,SUMIF('DADOS BRUTOS'!$A$3:$A$500,$B13,'DADOS BRUTOS'!DP$3:DP$500)+IF($C13="",0,SUMIF('DADOS BRUTOS'!$A$3:$A$500,$C13,'DADOS BRUTOS'!DP$3:DP$500)))</f>
        <v/>
      </c>
      <c r="GQ13" s="123">
        <f>IF(OR(GQ$4="",$B13=""),0,SUMIF('DADOS BRUTOS'!$A$3:$A$500,$B13,'DADOS BRUTOS'!DQ$3:DQ$500)+IF($C13="",0,SUMIF('DADOS BRUTOS'!$A$3:$A$500,$C13,'DADOS BRUTOS'!DQ$3:DQ$500)))</f>
        <v/>
      </c>
      <c r="GR13" s="123">
        <f>IF(OR(GR$4="",$B13=""),0,SUMIF('DADOS BRUTOS'!$A$3:$A$500,$B13,'DADOS BRUTOS'!DR$3:DR$500)+IF($C13="",0,SUMIF('DADOS BRUTOS'!$A$3:$A$500,$C13,'DADOS BRUTOS'!DR$3:DR$500)))</f>
        <v/>
      </c>
      <c r="GS13" s="123">
        <f>IF(OR(GS$4="",$B13=""),0,SUMIF('DADOS BRUTOS'!$A$3:$A$500,$B13,'DADOS BRUTOS'!DS$3:DS$500)+IF($C13="",0,SUMIF('DADOS BRUTOS'!$A$3:$A$500,$C13,'DADOS BRUTOS'!DS$3:DS$500)))</f>
        <v/>
      </c>
      <c r="GT13" s="123">
        <f>IF(OR(GT$4="",$B13=""),0,SUMIF('DADOS BRUTOS'!$A$3:$A$500,$B13,'DADOS BRUTOS'!DT$3:DT$500)+IF($C13="",0,SUMIF('DADOS BRUTOS'!$A$3:$A$500,$C13,'DADOS BRUTOS'!DT$3:DT$500)))</f>
        <v/>
      </c>
      <c r="GU13" s="123">
        <f>IF(OR(GU$4="",$B13=""),0,SUMIF('DADOS BRUTOS'!$A$3:$A$500,$B13,'DADOS BRUTOS'!DU$3:DU$500)+IF($C13="",0,SUMIF('DADOS BRUTOS'!$A$3:$A$500,$C13,'DADOS BRUTOS'!DU$3:DU$500)))</f>
        <v/>
      </c>
      <c r="GV13" s="123">
        <f>IF(OR(GV$4="",$B13=""),0,SUMIF('DADOS BRUTOS'!$A$3:$A$500,$B13,'DADOS BRUTOS'!DV$3:DV$500)+IF($C13="",0,SUMIF('DADOS BRUTOS'!$A$3:$A$500,$C13,'DADOS BRUTOS'!DV$3:DV$500)))</f>
        <v/>
      </c>
      <c r="GW13" s="123">
        <f>IF(OR(GW$4="",$B13=""),0,SUMIF('DADOS BRUTOS'!$A$3:$A$500,$B13,'DADOS BRUTOS'!DW$3:DW$500)+IF($C13="",0,SUMIF('DADOS BRUTOS'!$A$3:$A$500,$C13,'DADOS BRUTOS'!DW$3:DW$500)))</f>
        <v/>
      </c>
      <c r="GX13" s="123">
        <f>IF(OR(GX$4="",$B13=""),0,SUMIF('DADOS BRUTOS'!$A$3:$A$500,$B13,'DADOS BRUTOS'!DX$3:DX$500)+IF($C13="",0,SUMIF('DADOS BRUTOS'!$A$3:$A$500,$C13,'DADOS BRUTOS'!DX$3:DX$500)))</f>
        <v/>
      </c>
      <c r="GY13" s="123">
        <f>IF(OR(GY$4="",$B13=""),0,SUMIF('DADOS BRUTOS'!$A$3:$A$500,$B13,'DADOS BRUTOS'!DY$3:DY$500)+IF($C13="",0,SUMIF('DADOS BRUTOS'!$A$3:$A$500,$C13,'DADOS BRUTOS'!DY$3:DY$500)))</f>
        <v/>
      </c>
      <c r="GZ13" s="123">
        <f>IF(OR(GZ$4="",$B13=""),0,SUMIF('DADOS BRUTOS'!$A$3:$A$500,$B13,'DADOS BRUTOS'!DZ$3:DZ$500)+IF($C13="",0,SUMIF('DADOS BRUTOS'!$A$3:$A$500,$C13,'DADOS BRUTOS'!DZ$3:DZ$500)))</f>
        <v/>
      </c>
      <c r="HA13" s="123">
        <f>IF(OR(HA$4="",$B13=""),0,SUMIF('DADOS BRUTOS'!$A$3:$A$500,$B13,'DADOS BRUTOS'!EA$3:EA$500)+IF($C13="",0,SUMIF('DADOS BRUTOS'!$A$3:$A$500,$C13,'DADOS BRUTOS'!EA$3:EA$500)))</f>
        <v/>
      </c>
      <c r="HB13" s="123">
        <f>IF(OR(HB$4="",$B13=""),0,SUMIF('DADOS BRUTOS'!$A$3:$A$500,$B13,'DADOS BRUTOS'!EB$3:EB$500)+IF($C13="",0,SUMIF('DADOS BRUTOS'!$A$3:$A$500,$C13,'DADOS BRUTOS'!EB$3:EB$500)))</f>
        <v/>
      </c>
      <c r="HC13" s="123">
        <f>IF(OR(HC$4="",$B13=""),0,SUMIF('DADOS BRUTOS'!$A$3:$A$500,$B13,'DADOS BRUTOS'!EC$3:EC$500)+IF($C13="",0,SUMIF('DADOS BRUTOS'!$A$3:$A$500,$C13,'DADOS BRUTOS'!EC$3:EC$500)))</f>
        <v/>
      </c>
      <c r="HD13" s="123">
        <f>IF(OR(HD$4="",$B13=""),0,SUMIF('DADOS BRUTOS'!$A$3:$A$500,$B13,'DADOS BRUTOS'!ED$3:ED$500)+IF($C13="",0,SUMIF('DADOS BRUTOS'!$A$3:$A$500,$C13,'DADOS BRUTOS'!ED$3:ED$500)))</f>
        <v/>
      </c>
      <c r="HE13" s="123">
        <f>IF(OR(HE$4="",$B13=""),0,SUMIF('DADOS BRUTOS'!$A$3:$A$500,$B13,'DADOS BRUTOS'!EE$3:EE$500)+IF($C13="",0,SUMIF('DADOS BRUTOS'!$A$3:$A$500,$C13,'DADOS BRUTOS'!EE$3:EE$500)))</f>
        <v/>
      </c>
      <c r="HF13" s="123">
        <f>IF(OR(HF$4="",$B13=""),0,SUMIF('DADOS BRUTOS'!$A$3:$A$500,$B13,'DADOS BRUTOS'!EF$3:EF$500)+IF($C13="",0,SUMIF('DADOS BRUTOS'!$A$3:$A$500,$C13,'DADOS BRUTOS'!EF$3:EF$500)))</f>
        <v/>
      </c>
      <c r="HG13" s="123">
        <f>IF(OR(HG$4="",$B13=""),0,SUMIF('DADOS BRUTOS'!$A$3:$A$500,$B13,'DADOS BRUTOS'!EG$3:EG$500)+IF($C13="",0,SUMIF('DADOS BRUTOS'!$A$3:$A$500,$C13,'DADOS BRUTOS'!EG$3:EG$500)))</f>
        <v/>
      </c>
      <c r="HH13" s="123">
        <f>IF(OR(HH$4="",$B13=""),0,SUMIF('DADOS BRUTOS'!$A$3:$A$500,$B13,'DADOS BRUTOS'!EH$3:EH$500)+IF($C13="",0,SUMIF('DADOS BRUTOS'!$A$3:$A$500,$C13,'DADOS BRUTOS'!EH$3:EH$500)))</f>
        <v/>
      </c>
      <c r="HI13" s="123">
        <f>IF(OR(HI$4="",$B13=""),0,SUMIF('DADOS BRUTOS'!$A$3:$A$500,$B13,'DADOS BRUTOS'!EI$3:EI$500)+IF($C13="",0,SUMIF('DADOS BRUTOS'!$A$3:$A$500,$C13,'DADOS BRUTOS'!EI$3:EI$500)))</f>
        <v/>
      </c>
      <c r="HJ13" s="123">
        <f>IF(OR(HJ$4="",$B13=""),0,SUMIF('DADOS BRUTOS'!$A$3:$A$500,$B13,'DADOS BRUTOS'!EJ$3:EJ$500)+IF($C13="",0,SUMIF('DADOS BRUTOS'!$A$3:$A$500,$C13,'DADOS BRUTOS'!EJ$3:EJ$500)))</f>
        <v/>
      </c>
      <c r="HK13" s="123">
        <f>IF(OR(HK$4="",$B13=""),0,SUMIF('DADOS BRUTOS'!$A$3:$A$500,$B13,'DADOS BRUTOS'!EK$3:EK$500)+IF($C13="",0,SUMIF('DADOS BRUTOS'!$A$3:$A$500,$C13,'DADOS BRUTOS'!EK$3:EK$500)))</f>
        <v/>
      </c>
      <c r="HL13" s="123">
        <f>IF(OR(HL$4="",$B13=""),0,SUMIF('DADOS BRUTOS'!$A$3:$A$500,$B13,'DADOS BRUTOS'!EL$3:EL$500)+IF($C13="",0,SUMIF('DADOS BRUTOS'!$A$3:$A$500,$C13,'DADOS BRUTOS'!EL$3:EL$500)))</f>
        <v/>
      </c>
      <c r="HM13" s="123">
        <f>IF(OR(HM$4="",$B13=""),0,SUMIF('DADOS BRUTOS'!$A$3:$A$500,$B13,'DADOS BRUTOS'!EM$3:EM$500)+IF($C13="",0,SUMIF('DADOS BRUTOS'!$A$3:$A$500,$C13,'DADOS BRUTOS'!EM$3:EM$500)))</f>
        <v/>
      </c>
      <c r="HN13" s="123">
        <f>IF(OR(HN$4="",$B13=""),0,SUMIF('DADOS BRUTOS'!$A$3:$A$500,$B13,'DADOS BRUTOS'!EN$3:EN$500)+IF($C13="",0,SUMIF('DADOS BRUTOS'!$A$3:$A$500,$C13,'DADOS BRUTOS'!EN$3:EN$500)))</f>
        <v/>
      </c>
      <c r="HO13" s="123">
        <f>IF(OR(HO$4="",$B13=""),0,SUMIF('DADOS BRUTOS'!$A$3:$A$500,$B13,'DADOS BRUTOS'!EO$3:EO$500)+IF($C13="",0,SUMIF('DADOS BRUTOS'!$A$3:$A$500,$C13,'DADOS BRUTOS'!EO$3:EO$500)))</f>
        <v/>
      </c>
      <c r="HP13" s="123">
        <f>IF(OR(HP$4="",$B13=""),0,SUMIF('DADOS BRUTOS'!$A$3:$A$500,$B13,'DADOS BRUTOS'!EP$3:EP$500)+IF($C13="",0,SUMIF('DADOS BRUTOS'!$A$3:$A$500,$C13,'DADOS BRUTOS'!EP$3:EP$500)))</f>
        <v/>
      </c>
      <c r="HQ13" s="123">
        <f>IF(OR(HQ$4="",$B13=""),0,SUMIF('DADOS BRUTOS'!$A$3:$A$500,$B13,'DADOS BRUTOS'!EQ$3:EQ$500)+IF($C13="",0,SUMIF('DADOS BRUTOS'!$A$3:$A$500,$C13,'DADOS BRUTOS'!EQ$3:EQ$500)))</f>
        <v/>
      </c>
      <c r="HR13" s="123">
        <f>IF(OR(HR$4="",$B13=""),0,SUMIF('DADOS BRUTOS'!$A$3:$A$500,$B13,'DADOS BRUTOS'!ER$3:ER$500)+IF($C13="",0,SUMIF('DADOS BRUTOS'!$A$3:$A$500,$C13,'DADOS BRUTOS'!ER$3:ER$500)))</f>
        <v/>
      </c>
      <c r="HS13" s="123">
        <f>IF(OR(HS$4="",$B13=""),0,SUMIF('DADOS BRUTOS'!$A$3:$A$500,$B13,'DADOS BRUTOS'!ES$3:ES$500)+IF($C13="",0,SUMIF('DADOS BRUTOS'!$A$3:$A$500,$C13,'DADOS BRUTOS'!ES$3:ES$500)))</f>
        <v/>
      </c>
      <c r="HT13" s="123">
        <f>IF(OR(HT$4="",$B13=""),0,SUMIF('DADOS BRUTOS'!$A$3:$A$500,$B13,'DADOS BRUTOS'!ET$3:ET$500)+IF($C13="",0,SUMIF('DADOS BRUTOS'!$A$3:$A$500,$C13,'DADOS BRUTOS'!ET$3:ET$500)))</f>
        <v/>
      </c>
      <c r="HU13" s="123">
        <f>IF(OR(HU$4="",$B13=""),0,SUMIF('DADOS BRUTOS'!$A$3:$A$500,$B13,'DADOS BRUTOS'!EU$3:EU$500)+IF($C13="",0,SUMIF('DADOS BRUTOS'!$A$3:$A$500,$C13,'DADOS BRUTOS'!EU$3:EU$500)))</f>
        <v/>
      </c>
      <c r="HV13" s="123">
        <f>IF(OR(HV$4="",$B13=""),0,SUMIF('DADOS BRUTOS'!$A$3:$A$500,$B13,'DADOS BRUTOS'!EV$3:EV$500)+IF($C13="",0,SUMIF('DADOS BRUTOS'!$A$3:$A$500,$C13,'DADOS BRUTOS'!EV$3:EV$500)))</f>
        <v/>
      </c>
      <c r="HW13" s="123">
        <f>IF(OR(HW$4="",$B13=""),0,SUMIF('DADOS BRUTOS'!$A$3:$A$500,$B13,'DADOS BRUTOS'!EW$3:EW$500)+IF($C13="",0,SUMIF('DADOS BRUTOS'!$A$3:$A$500,$C13,'DADOS BRUTOS'!EW$3:EW$500)))</f>
        <v/>
      </c>
      <c r="HX13" s="123">
        <f>IF(OR(HX$4="",$B13=""),0,SUMIF('DADOS BRUTOS'!$A$3:$A$500,$B13,'DADOS BRUTOS'!EX$3:EX$500)+IF($C13="",0,SUMIF('DADOS BRUTOS'!$A$3:$A$500,$C13,'DADOS BRUTOS'!EX$3:EX$500)))</f>
        <v/>
      </c>
      <c r="HY13" s="123">
        <f>IF(OR(HY$4="",$B13=""),0,SUMIF('DADOS BRUTOS'!$A$3:$A$500,$B13,'DADOS BRUTOS'!EY$3:EY$500)+IF($C13="",0,SUMIF('DADOS BRUTOS'!$A$3:$A$500,$C13,'DADOS BRUTOS'!EY$3:EY$500)))</f>
        <v/>
      </c>
      <c r="HZ13" s="123">
        <f>IF(OR(HZ$4="",$B13=""),0,SUMIF('DADOS BRUTOS'!$A$3:$A$500,$B13,'DADOS BRUTOS'!EZ$3:EZ$500)+IF($C13="",0,SUMIF('DADOS BRUTOS'!$A$3:$A$500,$C13,'DADOS BRUTOS'!EZ$3:EZ$500)))</f>
        <v/>
      </c>
      <c r="IA13" s="123">
        <f>IF(OR(IA$4="",$B13=""),0,SUMIF('DADOS BRUTOS'!$A$3:$A$500,$B13,'DADOS BRUTOS'!FA$3:FA$500)+IF($C13="",0,SUMIF('DADOS BRUTOS'!$A$3:$A$500,$C13,'DADOS BRUTOS'!FA$3:FA$500)))</f>
        <v/>
      </c>
      <c r="IB13" s="123">
        <f>IF(OR(IB$4="",$B13=""),0,SUMIF('DADOS BRUTOS'!$A$3:$A$500,$B13,'DADOS BRUTOS'!FB$3:FB$500)+IF($C13="",0,SUMIF('DADOS BRUTOS'!$A$3:$A$500,$C13,'DADOS BRUTOS'!FB$3:FB$500)))</f>
        <v/>
      </c>
      <c r="IC13" s="123">
        <f>IF(OR(IC$4="",$B13=""),0,SUMIF('DADOS BRUTOS'!$A$3:$A$500,$B13,'DADOS BRUTOS'!FC$3:FC$500)+IF($C13="",0,SUMIF('DADOS BRUTOS'!$A$3:$A$500,$C13,'DADOS BRUTOS'!FC$3:FC$500)))</f>
        <v/>
      </c>
      <c r="ID13" s="123">
        <f>IF(OR(ID$4="",$B13=""),0,SUMIF('DADOS BRUTOS'!$A$3:$A$500,$B13,'DADOS BRUTOS'!FD$3:FD$500)+IF($C13="",0,SUMIF('DADOS BRUTOS'!$A$3:$A$500,$C13,'DADOS BRUTOS'!FD$3:FD$500)))</f>
        <v/>
      </c>
      <c r="IE13" s="123">
        <f>IF(OR(IE$4="",$B13=""),0,SUMIF('DADOS BRUTOS'!$A$3:$A$500,$B13,'DADOS BRUTOS'!FE$3:FE$500)+IF($C13="",0,SUMIF('DADOS BRUTOS'!$A$3:$A$500,$C13,'DADOS BRUTOS'!FE$3:FE$500)))</f>
        <v/>
      </c>
      <c r="IF13" s="123">
        <f>IF(OR(IF$4="",$B13=""),0,SUMIF('DADOS BRUTOS'!$A$3:$A$500,$B13,'DADOS BRUTOS'!FF$3:FF$500)+IF($C13="",0,SUMIF('DADOS BRUTOS'!$A$3:$A$500,$C13,'DADOS BRUTOS'!FF$3:FF$500)))</f>
        <v/>
      </c>
      <c r="IG13" s="123">
        <f>IF(OR(IG$4="",$B13=""),0,SUMIF('DADOS BRUTOS'!$A$3:$A$500,$B13,'DADOS BRUTOS'!FG$3:FG$500)+IF($C13="",0,SUMIF('DADOS BRUTOS'!$A$3:$A$500,$C13,'DADOS BRUTOS'!FG$3:FG$500)))</f>
        <v/>
      </c>
      <c r="IH13" s="123">
        <f>IF(OR(IH$4="",$B13=""),0,SUMIF('DADOS BRUTOS'!$A$3:$A$500,$B13,'DADOS BRUTOS'!FH$3:FH$500)+IF($C13="",0,SUMIF('DADOS BRUTOS'!$A$3:$A$500,$C13,'DADOS BRUTOS'!FH$3:FH$500)))</f>
        <v/>
      </c>
      <c r="II13" s="123">
        <f>IF(OR(II$4="",$B13=""),0,SUMIF('DADOS BRUTOS'!$A$3:$A$500,$B13,'DADOS BRUTOS'!FI$3:FI$500)+IF($C13="",0,SUMIF('DADOS BRUTOS'!$A$3:$A$500,$C13,'DADOS BRUTOS'!FI$3:FI$500)))</f>
        <v/>
      </c>
      <c r="IJ13" s="123">
        <f>IF(OR(IJ$4="",$B13=""),0,SUMIF('DADOS BRUTOS'!$A$3:$A$500,$B13,'DADOS BRUTOS'!FJ$3:FJ$500)+IF($C13="",0,SUMIF('DADOS BRUTOS'!$A$3:$A$500,$C13,'DADOS BRUTOS'!FJ$3:FJ$500)))</f>
        <v/>
      </c>
      <c r="IK13" s="123">
        <f>IF(OR(IK$4="",$B13=""),0,SUMIF('DADOS BRUTOS'!$A$3:$A$500,$B13,'DADOS BRUTOS'!FK$3:FK$500)+IF($C13="",0,SUMIF('DADOS BRUTOS'!$A$3:$A$500,$C13,'DADOS BRUTOS'!FK$3:FK$500)))</f>
        <v/>
      </c>
      <c r="IL13" s="123">
        <f>IF(OR(IL$4="",$B13=""),0,SUMIF('DADOS BRUTOS'!$A$3:$A$500,$B13,'DADOS BRUTOS'!FL$3:FL$500)+IF($C13="",0,SUMIF('DADOS BRUTOS'!$A$3:$A$500,$C13,'DADOS BRUTOS'!FL$3:FL$500)))</f>
        <v/>
      </c>
      <c r="IM13" s="123">
        <f>IF(OR(IM$4="",$B13=""),0,SUMIF('DADOS BRUTOS'!$A$3:$A$500,$B13,'DADOS BRUTOS'!FM$3:FM$500)+IF($C13="",0,SUMIF('DADOS BRUTOS'!$A$3:$A$500,$C13,'DADOS BRUTOS'!FM$3:FM$500)))</f>
        <v/>
      </c>
      <c r="IN13" s="123">
        <f>IF(OR(IN$4="",$B13=""),0,SUMIF('DADOS BRUTOS'!$A$3:$A$500,$B13,'DADOS BRUTOS'!FN$3:FN$500)+IF($C13="",0,SUMIF('DADOS BRUTOS'!$A$3:$A$500,$C13,'DADOS BRUTOS'!FN$3:FN$500)))</f>
        <v/>
      </c>
      <c r="IO13" s="123">
        <f>IF(OR(IO$4="",$B13=""),0,SUMIF('DADOS BRUTOS'!$A$3:$A$500,$B13,'DADOS BRUTOS'!FO$3:FO$500)+IF($C13="",0,SUMIF('DADOS BRUTOS'!$A$3:$A$500,$C13,'DADOS BRUTOS'!FO$3:FO$500)))</f>
        <v/>
      </c>
      <c r="IP13" s="123">
        <f>IF(OR(IP$4="",$B13=""),0,SUMIF('DADOS BRUTOS'!$A$3:$A$500,$B13,'DADOS BRUTOS'!FP$3:FP$500)+IF($C13="",0,SUMIF('DADOS BRUTOS'!$A$3:$A$500,$C13,'DADOS BRUTOS'!FP$3:FP$500)))</f>
        <v/>
      </c>
      <c r="IQ13" s="123">
        <f>IF(OR(IQ$4="",$B13=""),0,SUMIF('DADOS BRUTOS'!$A$3:$A$500,$B13,'DADOS BRUTOS'!FQ$3:FQ$500)+IF($C13="",0,SUMIF('DADOS BRUTOS'!$A$3:$A$500,$C13,'DADOS BRUTOS'!FQ$3:FQ$500)))</f>
        <v/>
      </c>
      <c r="IR13" s="123">
        <f>IF(OR(IR$4="",$B13=""),0,SUMIF('DADOS BRUTOS'!$A$3:$A$500,$B13,'DADOS BRUTOS'!FR$3:FR$500)+IF($C13="",0,SUMIF('DADOS BRUTOS'!$A$3:$A$500,$C13,'DADOS BRUTOS'!FR$3:FR$500)))</f>
        <v/>
      </c>
      <c r="IS13" s="123">
        <f>IF(OR(IS$4="",$B13=""),0,SUMIF('DADOS BRUTOS'!$A$3:$A$500,$B13,'DADOS BRUTOS'!FS$3:FS$500)+IF($C13="",0,SUMIF('DADOS BRUTOS'!$A$3:$A$500,$C13,'DADOS BRUTOS'!FS$3:FS$500)))</f>
        <v/>
      </c>
      <c r="IT13" s="123">
        <f>IF(OR(IT$4="",$B13=""),0,SUMIF('DADOS BRUTOS'!$A$3:$A$500,$B13,'DADOS BRUTOS'!FT$3:FT$500)+IF($C13="",0,SUMIF('DADOS BRUTOS'!$A$3:$A$500,$C13,'DADOS BRUTOS'!FT$3:FT$500)))</f>
        <v/>
      </c>
      <c r="IU13" s="123">
        <f>IF(OR(IU$4="",$B13=""),0,SUMIF('DADOS BRUTOS'!$A$3:$A$500,$B13,'DADOS BRUTOS'!FU$3:FU$500)+IF($C13="",0,SUMIF('DADOS BRUTOS'!$A$3:$A$500,$C13,'DADOS BRUTOS'!FU$3:FU$500)))</f>
        <v/>
      </c>
      <c r="IV13" s="123">
        <f>IF(OR(IV$4="",$B13=""),0,SUMIF('DADOS BRUTOS'!$A$3:$A$500,$B13,'DADOS BRUTOS'!FV$3:FV$500)+IF($C13="",0,SUMIF('DADOS BRUTOS'!$A$3:$A$500,$C13,'DADOS BRUTOS'!FV$3:FV$500)))</f>
        <v/>
      </c>
      <c r="IW13" s="123">
        <f>IF(OR(IW$4="",$B13=""),0,SUMIF('DADOS BRUTOS'!$A$3:$A$500,$B13,'DADOS BRUTOS'!FW$3:FW$500)+IF($C13="",0,SUMIF('DADOS BRUTOS'!$A$3:$A$500,$C13,'DADOS BRUTOS'!FW$3:FW$500)))</f>
        <v/>
      </c>
      <c r="IX13" s="123">
        <f>IF(OR(IX$4="",$B13=""),0,SUMIF('DADOS BRUTOS'!$A$3:$A$500,$B13,'DADOS BRUTOS'!FX$3:FX$500)+IF($C13="",0,SUMIF('DADOS BRUTOS'!$A$3:$A$500,$C13,'DADOS BRUTOS'!FX$3:FX$500)))</f>
        <v/>
      </c>
      <c r="IY13" s="123">
        <f>IF(OR(IY$4="",$B13=""),0,SUMIF('DADOS BRUTOS'!$A$3:$A$500,$B13,'DADOS BRUTOS'!FY$3:FY$500)+IF($C13="",0,SUMIF('DADOS BRUTOS'!$A$3:$A$500,$C13,'DADOS BRUTOS'!FY$3:FY$500)))</f>
        <v/>
      </c>
      <c r="IZ13" s="123">
        <f>IF(OR(IZ$4="",$B13=""),0,SUMIF('DADOS BRUTOS'!$A$3:$A$500,$B13,'DADOS BRUTOS'!FZ$3:FZ$500)+IF($C13="",0,SUMIF('DADOS BRUTOS'!$A$3:$A$500,$C13,'DADOS BRUTOS'!FZ$3:FZ$500)))</f>
        <v/>
      </c>
      <c r="JA13" s="123">
        <f>IF(OR(JA$4="",$B13=""),0,SUMIF('DADOS BRUTOS'!$A$3:$A$500,$B13,'DADOS BRUTOS'!GA$3:GA$500)+IF($C13="",0,SUMIF('DADOS BRUTOS'!$A$3:$A$500,$C13,'DADOS BRUTOS'!GA$3:GA$500)))</f>
        <v/>
      </c>
      <c r="JB13" s="123">
        <f>IF(OR(JB$4="",$B13=""),0,SUMIF('DADOS BRUTOS'!$A$3:$A$500,$B13,'DADOS BRUTOS'!GB$3:GB$500)+IF($C13="",0,SUMIF('DADOS BRUTOS'!$A$3:$A$500,$C13,'DADOS BRUTOS'!GB$3:GB$500)))</f>
        <v/>
      </c>
      <c r="JC13" s="123">
        <f>IF(OR(JC$4="",$B13=""),0,SUMIF('DADOS BRUTOS'!$A$3:$A$500,$B13,'DADOS BRUTOS'!GC$3:GC$500)+IF($C13="",0,SUMIF('DADOS BRUTOS'!$A$3:$A$500,$C13,'DADOS BRUTOS'!GC$3:GC$500)))</f>
        <v/>
      </c>
      <c r="JD13" s="123">
        <f>IF(OR(JD$4="",$B13=""),0,SUMIF('DADOS BRUTOS'!$A$3:$A$500,$B13,'DADOS BRUTOS'!GD$3:GD$500)+IF($C13="",0,SUMIF('DADOS BRUTOS'!$A$3:$A$500,$C13,'DADOS BRUTOS'!GD$3:GD$500)))</f>
        <v/>
      </c>
      <c r="JE13" s="123">
        <f>IF(OR(JE$4="",$B13=""),0,SUMIF('DADOS BRUTOS'!$A$3:$A$500,$B13,'DADOS BRUTOS'!GE$3:GE$500)+IF($C13="",0,SUMIF('DADOS BRUTOS'!$A$3:$A$500,$C13,'DADOS BRUTOS'!GE$3:GE$500)))</f>
        <v/>
      </c>
      <c r="JF13" s="123">
        <f>IF(OR(JF$4="",$B13=""),0,SUMIF('DADOS BRUTOS'!$A$3:$A$500,$B13,'DADOS BRUTOS'!GF$3:GF$500)+IF($C13="",0,SUMIF('DADOS BRUTOS'!$A$3:$A$500,$C13,'DADOS BRUTOS'!GF$3:GF$500)))</f>
        <v/>
      </c>
      <c r="JG13" s="123">
        <f>IF(OR(JG$4="",$B13=""),0,SUMIF('DADOS BRUTOS'!$A$3:$A$500,$B13,'DADOS BRUTOS'!GG$3:GG$500)+IF($C13="",0,SUMIF('DADOS BRUTOS'!$A$3:$A$500,$C13,'DADOS BRUTOS'!GG$3:GG$500)))</f>
        <v/>
      </c>
      <c r="JH13" s="123">
        <f>IF(OR(JH$4="",$B13=""),0,SUMIF('DADOS BRUTOS'!$A$3:$A$500,$B13,'DADOS BRUTOS'!GH$3:GH$500)+IF($C13="",0,SUMIF('DADOS BRUTOS'!$A$3:$A$500,$C13,'DADOS BRUTOS'!GH$3:GH$500)))</f>
        <v/>
      </c>
      <c r="JI13" s="123">
        <f>IF(OR(JI$4="",$B13=""),0,SUMIF('DADOS BRUTOS'!$A$3:$A$500,$B13,'DADOS BRUTOS'!GI$3:GI$500)+IF($C13="",0,SUMIF('DADOS BRUTOS'!$A$3:$A$500,$C13,'DADOS BRUTOS'!GI$3:GI$500)))</f>
        <v/>
      </c>
      <c r="JJ13" s="123">
        <f>IF(OR(JJ$4="",$B13=""),0,SUMIF('DADOS BRUTOS'!$A$3:$A$500,$B13,'DADOS BRUTOS'!GJ$3:GJ$500)+IF($C13="",0,SUMIF('DADOS BRUTOS'!$A$3:$A$500,$C13,'DADOS BRUTOS'!GJ$3:GJ$500)))</f>
        <v/>
      </c>
      <c r="JK13" s="123">
        <f>IF(OR(JK$4="",$B13=""),0,SUMIF('DADOS BRUTOS'!$A$3:$A$500,$B13,'DADOS BRUTOS'!GK$3:GK$500)+IF($C13="",0,SUMIF('DADOS BRUTOS'!$A$3:$A$500,$C13,'DADOS BRUTOS'!GK$3:GK$500)))</f>
        <v/>
      </c>
      <c r="JL13" s="123">
        <f>IF(OR(JL$4="",$B13=""),0,SUMIF('DADOS BRUTOS'!$A$3:$A$500,$B13,'DADOS BRUTOS'!GL$3:GL$500)+IF($C13="",0,SUMIF('DADOS BRUTOS'!$A$3:$A$500,$C13,'DADOS BRUTOS'!GL$3:GL$500)))</f>
        <v/>
      </c>
      <c r="JM13" s="123">
        <f>IF(OR(JM$4="",$B13=""),0,SUMIF('DADOS BRUTOS'!$A$3:$A$500,$B13,'DADOS BRUTOS'!GM$3:GM$500)+IF($C13="",0,SUMIF('DADOS BRUTOS'!$A$3:$A$500,$C13,'DADOS BRUTOS'!GM$3:GM$500)))</f>
        <v/>
      </c>
      <c r="JN13" s="123">
        <f>IF(OR(JN$4="",$B13=""),0,SUMIF('DADOS BRUTOS'!$A$3:$A$500,$B13,'DADOS BRUTOS'!GN$3:GN$500)+IF($C13="",0,SUMIF('DADOS BRUTOS'!$A$3:$A$500,$C13,'DADOS BRUTOS'!GN$3:GN$500)))</f>
        <v/>
      </c>
      <c r="JO13" s="123">
        <f>IF(OR(JO$4="",$B13=""),0,SUMIF('DADOS BRUTOS'!$A$3:$A$500,$B13,'DADOS BRUTOS'!GO$3:GO$500)+IF($C13="",0,SUMIF('DADOS BRUTOS'!$A$3:$A$500,$C13,'DADOS BRUTOS'!GO$3:GO$500)))</f>
        <v/>
      </c>
      <c r="JP13" s="123">
        <f>IF(OR(JP$4="",$B13=""),0,SUMIF('DADOS BRUTOS'!$A$3:$A$500,$B13,'DADOS BRUTOS'!GP$3:GP$500)+IF($C13="",0,SUMIF('DADOS BRUTOS'!$A$3:$A$500,$C13,'DADOS BRUTOS'!GP$3:GP$500)))</f>
        <v/>
      </c>
      <c r="JQ13" s="123">
        <f>IF(OR(JQ$4="",$B13=""),0,SUMIF('DADOS BRUTOS'!$A$3:$A$500,$B13,'DADOS BRUTOS'!GQ$3:GQ$500)+IF($C13="",0,SUMIF('DADOS BRUTOS'!$A$3:$A$500,$C13,'DADOS BRUTOS'!GQ$3:GQ$500)))</f>
        <v/>
      </c>
      <c r="JR13" s="123">
        <f>IF(OR(JR$4="",$B13=""),0,SUMIF('DADOS BRUTOS'!$A$3:$A$500,$B13,'DADOS BRUTOS'!GR$3:GR$500)+IF($C13="",0,SUMIF('DADOS BRUTOS'!$A$3:$A$500,$C13,'DADOS BRUTOS'!GR$3:GR$500)))</f>
        <v/>
      </c>
      <c r="JS13" s="123">
        <f>IF(OR(JS$4="",$B13=""),0,SUMIF('DADOS BRUTOS'!$A$3:$A$500,$B13,'DADOS BRUTOS'!GS$3:GS$500)+IF($C13="",0,SUMIF('DADOS BRUTOS'!$A$3:$A$500,$C13,'DADOS BRUTOS'!GS$3:GS$500)))</f>
        <v/>
      </c>
    </row>
    <row r="14">
      <c r="A14" s="60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CB14" s="123">
        <f>IF(OR(CB$4="",$B14=""),0,SUMIF('DADOS BRUTOS'!$A$3:$A$500,$B14,'DADOS BRUTOS'!B$3:B$500)+IF($C14="",0,SUMIF('DADOS BRUTOS'!$A$3:$A$500,$C14,'DADOS BRUTOS'!B$3:B$500)))</f>
        <v/>
      </c>
      <c r="CC14" s="123">
        <f>IF(OR(CC$4="",$B14=""),0,SUMIF('DADOS BRUTOS'!$A$3:$A$500,$B14,'DADOS BRUTOS'!C$3:C$500)+IF($C14="",0,SUMIF('DADOS BRUTOS'!$A$3:$A$500,$C14,'DADOS BRUTOS'!C$3:C$500)))</f>
        <v/>
      </c>
      <c r="CD14" s="123">
        <f>IF(OR(CD$4="",$B14=""),0,SUMIF('DADOS BRUTOS'!$A$3:$A$500,$B14,'DADOS BRUTOS'!D$3:D$500)+IF($C14="",0,SUMIF('DADOS BRUTOS'!$A$3:$A$500,$C14,'DADOS BRUTOS'!D$3:D$500)))</f>
        <v/>
      </c>
      <c r="CE14" s="123">
        <f>IF(OR(CE$4="",$B14=""),0,SUMIF('DADOS BRUTOS'!$A$3:$A$500,$B14,'DADOS BRUTOS'!E$3:E$500)+IF($C14="",0,SUMIF('DADOS BRUTOS'!$A$3:$A$500,$C14,'DADOS BRUTOS'!E$3:E$500)))</f>
        <v/>
      </c>
      <c r="CF14" s="123">
        <f>IF(OR(CF$4="",$B14=""),0,SUMIF('DADOS BRUTOS'!$A$3:$A$500,$B14,'DADOS BRUTOS'!F$3:F$500)+IF($C14="",0,SUMIF('DADOS BRUTOS'!$A$3:$A$500,$C14,'DADOS BRUTOS'!F$3:F$500)))</f>
        <v/>
      </c>
      <c r="CG14" s="123">
        <f>IF(OR(CG$4="",$B14=""),0,SUMIF('DADOS BRUTOS'!$A$3:$A$500,$B14,'DADOS BRUTOS'!G$3:G$500)+IF($C14="",0,SUMIF('DADOS BRUTOS'!$A$3:$A$500,$C14,'DADOS BRUTOS'!G$3:G$500)))</f>
        <v/>
      </c>
      <c r="CH14" s="123">
        <f>IF(OR(CH$4="",$B14=""),0,SUMIF('DADOS BRUTOS'!$A$3:$A$500,$B14,'DADOS BRUTOS'!H$3:H$500)+IF($C14="",0,SUMIF('DADOS BRUTOS'!$A$3:$A$500,$C14,'DADOS BRUTOS'!H$3:H$500)))</f>
        <v/>
      </c>
      <c r="CI14" s="123">
        <f>IF(OR(CI$4="",$B14=""),0,SUMIF('DADOS BRUTOS'!$A$3:$A$500,$B14,'DADOS BRUTOS'!I$3:I$500)+IF($C14="",0,SUMIF('DADOS BRUTOS'!$A$3:$A$500,$C14,'DADOS BRUTOS'!I$3:I$500)))</f>
        <v/>
      </c>
      <c r="CJ14" s="123">
        <f>IF(OR(CJ$4="",$B14=""),0,SUMIF('DADOS BRUTOS'!$A$3:$A$500,$B14,'DADOS BRUTOS'!J$3:J$500)+IF($C14="",0,SUMIF('DADOS BRUTOS'!$A$3:$A$500,$C14,'DADOS BRUTOS'!J$3:J$500)))</f>
        <v/>
      </c>
      <c r="CK14" s="123">
        <f>IF(OR(CK$4="",$B14=""),0,SUMIF('DADOS BRUTOS'!$A$3:$A$500,$B14,'DADOS BRUTOS'!K$3:K$500)+IF($C14="",0,SUMIF('DADOS BRUTOS'!$A$3:$A$500,$C14,'DADOS BRUTOS'!K$3:K$500)))</f>
        <v/>
      </c>
      <c r="CL14" s="123">
        <f>IF(OR(CL$4="",$B14=""),0,SUMIF('DADOS BRUTOS'!$A$3:$A$500,$B14,'DADOS BRUTOS'!L$3:L$500)+IF($C14="",0,SUMIF('DADOS BRUTOS'!$A$3:$A$500,$C14,'DADOS BRUTOS'!L$3:L$500)))</f>
        <v/>
      </c>
      <c r="CM14" s="123">
        <f>IF(OR(CM$4="",$B14=""),0,SUMIF('DADOS BRUTOS'!$A$3:$A$500,$B14,'DADOS BRUTOS'!M$3:M$500)+IF($C14="",0,SUMIF('DADOS BRUTOS'!$A$3:$A$500,$C14,'DADOS BRUTOS'!M$3:M$500)))</f>
        <v/>
      </c>
      <c r="CN14" s="123">
        <f>IF(OR(CN$4="",$B14=""),0,SUMIF('DADOS BRUTOS'!$A$3:$A$500,$B14,'DADOS BRUTOS'!N$3:N$500)+IF($C14="",0,SUMIF('DADOS BRUTOS'!$A$3:$A$500,$C14,'DADOS BRUTOS'!N$3:N$500)))</f>
        <v/>
      </c>
      <c r="CO14" s="123">
        <f>IF(OR(CO$4="",$B14=""),0,SUMIF('DADOS BRUTOS'!$A$3:$A$500,$B14,'DADOS BRUTOS'!O$3:O$500)+IF($C14="",0,SUMIF('DADOS BRUTOS'!$A$3:$A$500,$C14,'DADOS BRUTOS'!O$3:O$500)))</f>
        <v/>
      </c>
      <c r="CP14" s="123">
        <f>IF(OR(CP$4="",$B14=""),0,SUMIF('DADOS BRUTOS'!$A$3:$A$500,$B14,'DADOS BRUTOS'!P$3:P$500)+IF($C14="",0,SUMIF('DADOS BRUTOS'!$A$3:$A$500,$C14,'DADOS BRUTOS'!P$3:P$500)))</f>
        <v/>
      </c>
      <c r="CQ14" s="123">
        <f>IF(OR(CQ$4="",$B14=""),0,SUMIF('DADOS BRUTOS'!$A$3:$A$500,$B14,'DADOS BRUTOS'!Q$3:Q$500)+IF($C14="",0,SUMIF('DADOS BRUTOS'!$A$3:$A$500,$C14,'DADOS BRUTOS'!Q$3:Q$500)))</f>
        <v/>
      </c>
      <c r="CR14" s="123">
        <f>IF(OR(CR$4="",$B14=""),0,SUMIF('DADOS BRUTOS'!$A$3:$A$500,$B14,'DADOS BRUTOS'!R$3:R$500)+IF($C14="",0,SUMIF('DADOS BRUTOS'!$A$3:$A$500,$C14,'DADOS BRUTOS'!R$3:R$500)))</f>
        <v/>
      </c>
      <c r="CS14" s="123">
        <f>IF(OR(CS$4="",$B14=""),0,SUMIF('DADOS BRUTOS'!$A$3:$A$500,$B14,'DADOS BRUTOS'!S$3:S$500)+IF($C14="",0,SUMIF('DADOS BRUTOS'!$A$3:$A$500,$C14,'DADOS BRUTOS'!S$3:S$500)))</f>
        <v/>
      </c>
      <c r="CT14" s="123">
        <f>IF(OR(CT$4="",$B14=""),0,SUMIF('DADOS BRUTOS'!$A$3:$A$500,$B14,'DADOS BRUTOS'!T$3:T$500)+IF($C14="",0,SUMIF('DADOS BRUTOS'!$A$3:$A$500,$C14,'DADOS BRUTOS'!T$3:T$500)))</f>
        <v/>
      </c>
      <c r="CU14" s="123">
        <f>IF(OR(CU$4="",$B14=""),0,SUMIF('DADOS BRUTOS'!$A$3:$A$500,$B14,'DADOS BRUTOS'!U$3:U$500)+IF($C14="",0,SUMIF('DADOS BRUTOS'!$A$3:$A$500,$C14,'DADOS BRUTOS'!U$3:U$500)))</f>
        <v/>
      </c>
      <c r="CV14" s="123">
        <f>IF(OR(CV$4="",$B14=""),0,SUMIF('DADOS BRUTOS'!$A$3:$A$500,$B14,'DADOS BRUTOS'!V$3:V$500)+IF($C14="",0,SUMIF('DADOS BRUTOS'!$A$3:$A$500,$C14,'DADOS BRUTOS'!V$3:V$500)))</f>
        <v/>
      </c>
      <c r="CW14" s="123">
        <f>IF(OR(CW$4="",$B14=""),0,SUMIF('DADOS BRUTOS'!$A$3:$A$500,$B14,'DADOS BRUTOS'!W$3:W$500)+IF($C14="",0,SUMIF('DADOS BRUTOS'!$A$3:$A$500,$C14,'DADOS BRUTOS'!W$3:W$500)))</f>
        <v/>
      </c>
      <c r="CX14" s="123">
        <f>IF(OR(CX$4="",$B14=""),0,SUMIF('DADOS BRUTOS'!$A$3:$A$500,$B14,'DADOS BRUTOS'!X$3:X$500)+IF($C14="",0,SUMIF('DADOS BRUTOS'!$A$3:$A$500,$C14,'DADOS BRUTOS'!X$3:X$500)))</f>
        <v/>
      </c>
      <c r="CY14" s="123">
        <f>IF(OR(CY$4="",$B14=""),0,SUMIF('DADOS BRUTOS'!$A$3:$A$500,$B14,'DADOS BRUTOS'!Y$3:Y$500)+IF($C14="",0,SUMIF('DADOS BRUTOS'!$A$3:$A$500,$C14,'DADOS BRUTOS'!Y$3:Y$500)))</f>
        <v/>
      </c>
      <c r="CZ14" s="123">
        <f>IF(OR(CZ$4="",$B14=""),0,SUMIF('DADOS BRUTOS'!$A$3:$A$500,$B14,'DADOS BRUTOS'!Z$3:Z$500)+IF($C14="",0,SUMIF('DADOS BRUTOS'!$A$3:$A$500,$C14,'DADOS BRUTOS'!Z$3:Z$500)))</f>
        <v/>
      </c>
      <c r="DA14" s="123">
        <f>IF(OR(DA$4="",$B14=""),0,SUMIF('DADOS BRUTOS'!$A$3:$A$500,$B14,'DADOS BRUTOS'!AA$3:AA$500)+IF($C14="",0,SUMIF('DADOS BRUTOS'!$A$3:$A$500,$C14,'DADOS BRUTOS'!AA$3:AA$500)))</f>
        <v/>
      </c>
      <c r="DB14" s="123">
        <f>IF(OR(DB$4="",$B14=""),0,SUMIF('DADOS BRUTOS'!$A$3:$A$500,$B14,'DADOS BRUTOS'!AB$3:AB$500)+IF($C14="",0,SUMIF('DADOS BRUTOS'!$A$3:$A$500,$C14,'DADOS BRUTOS'!AB$3:AB$500)))</f>
        <v/>
      </c>
      <c r="DC14" s="123">
        <f>IF(OR(DC$4="",$B14=""),0,SUMIF('DADOS BRUTOS'!$A$3:$A$500,$B14,'DADOS BRUTOS'!AC$3:AC$500)+IF($C14="",0,SUMIF('DADOS BRUTOS'!$A$3:$A$500,$C14,'DADOS BRUTOS'!AC$3:AC$500)))</f>
        <v/>
      </c>
      <c r="DD14" s="123">
        <f>IF(OR(DD$4="",$B14=""),0,SUMIF('DADOS BRUTOS'!$A$3:$A$500,$B14,'DADOS BRUTOS'!AD$3:AD$500)+IF($C14="",0,SUMIF('DADOS BRUTOS'!$A$3:$A$500,$C14,'DADOS BRUTOS'!AD$3:AD$500)))</f>
        <v/>
      </c>
      <c r="DE14" s="123">
        <f>IF(OR(DE$4="",$B14=""),0,SUMIF('DADOS BRUTOS'!$A$3:$A$500,$B14,'DADOS BRUTOS'!AE$3:AE$500)+IF($C14="",0,SUMIF('DADOS BRUTOS'!$A$3:$A$500,$C14,'DADOS BRUTOS'!AE$3:AE$500)))</f>
        <v/>
      </c>
      <c r="DF14" s="123">
        <f>IF(OR(DF$4="",$B14=""),0,SUMIF('DADOS BRUTOS'!$A$3:$A$500,$B14,'DADOS BRUTOS'!AF$3:AF$500)+IF($C14="",0,SUMIF('DADOS BRUTOS'!$A$3:$A$500,$C14,'DADOS BRUTOS'!AF$3:AF$500)))</f>
        <v/>
      </c>
      <c r="DG14" s="123">
        <f>IF(OR(DG$4="",$B14=""),0,SUMIF('DADOS BRUTOS'!$A$3:$A$500,$B14,'DADOS BRUTOS'!AG$3:AG$500)+IF($C14="",0,SUMIF('DADOS BRUTOS'!$A$3:$A$500,$C14,'DADOS BRUTOS'!AG$3:AG$500)))</f>
        <v/>
      </c>
      <c r="DH14" s="123">
        <f>IF(OR(DH$4="",$B14=""),0,SUMIF('DADOS BRUTOS'!$A$3:$A$500,$B14,'DADOS BRUTOS'!AH$3:AH$500)+IF($C14="",0,SUMIF('DADOS BRUTOS'!$A$3:$A$500,$C14,'DADOS BRUTOS'!AH$3:AH$500)))</f>
        <v/>
      </c>
      <c r="DI14" s="123">
        <f>IF(OR(DI$4="",$B14=""),0,SUMIF('DADOS BRUTOS'!$A$3:$A$500,$B14,'DADOS BRUTOS'!AI$3:AI$500)+IF($C14="",0,SUMIF('DADOS BRUTOS'!$A$3:$A$500,$C14,'DADOS BRUTOS'!AI$3:AI$500)))</f>
        <v/>
      </c>
      <c r="DJ14" s="123">
        <f>IF(OR(DJ$4="",$B14=""),0,SUMIF('DADOS BRUTOS'!$A$3:$A$500,$B14,'DADOS BRUTOS'!AJ$3:AJ$500)+IF($C14="",0,SUMIF('DADOS BRUTOS'!$A$3:$A$500,$C14,'DADOS BRUTOS'!AJ$3:AJ$500)))</f>
        <v/>
      </c>
      <c r="DK14" s="123">
        <f>IF(OR(DK$4="",$B14=""),0,SUMIF('DADOS BRUTOS'!$A$3:$A$500,$B14,'DADOS BRUTOS'!AK$3:AK$500)+IF($C14="",0,SUMIF('DADOS BRUTOS'!$A$3:$A$500,$C14,'DADOS BRUTOS'!AK$3:AK$500)))</f>
        <v/>
      </c>
      <c r="DL14" s="123">
        <f>IF(OR(DL$4="",$B14=""),0,SUMIF('DADOS BRUTOS'!$A$3:$A$500,$B14,'DADOS BRUTOS'!AL$3:AL$500)+IF($C14="",0,SUMIF('DADOS BRUTOS'!$A$3:$A$500,$C14,'DADOS BRUTOS'!AL$3:AL$500)))</f>
        <v/>
      </c>
      <c r="DM14" s="123">
        <f>IF(OR(DM$4="",$B14=""),0,SUMIF('DADOS BRUTOS'!$A$3:$A$500,$B14,'DADOS BRUTOS'!AM$3:AM$500)+IF($C14="",0,SUMIF('DADOS BRUTOS'!$A$3:$A$500,$C14,'DADOS BRUTOS'!AM$3:AM$500)))</f>
        <v/>
      </c>
      <c r="DN14" s="123">
        <f>IF(OR(DN$4="",$B14=""),0,SUMIF('DADOS BRUTOS'!$A$3:$A$500,$B14,'DADOS BRUTOS'!AN$3:AN$500)+IF($C14="",0,SUMIF('DADOS BRUTOS'!$A$3:$A$500,$C14,'DADOS BRUTOS'!AN$3:AN$500)))</f>
        <v/>
      </c>
      <c r="DO14" s="123">
        <f>IF(OR(DO$4="",$B14=""),0,SUMIF('DADOS BRUTOS'!$A$3:$A$500,$B14,'DADOS BRUTOS'!AO$3:AO$500)+IF($C14="",0,SUMIF('DADOS BRUTOS'!$A$3:$A$500,$C14,'DADOS BRUTOS'!AO$3:AO$500)))</f>
        <v/>
      </c>
      <c r="DP14" s="123">
        <f>IF(OR(DP$4="",$B14=""),0,SUMIF('DADOS BRUTOS'!$A$3:$A$500,$B14,'DADOS BRUTOS'!AP$3:AP$500)+IF($C14="",0,SUMIF('DADOS BRUTOS'!$A$3:$A$500,$C14,'DADOS BRUTOS'!AP$3:AP$500)))</f>
        <v/>
      </c>
      <c r="DQ14" s="123">
        <f>IF(OR(DQ$4="",$B14=""),0,SUMIF('DADOS BRUTOS'!$A$3:$A$500,$B14,'DADOS BRUTOS'!AQ$3:AQ$500)+IF($C14="",0,SUMIF('DADOS BRUTOS'!$A$3:$A$500,$C14,'DADOS BRUTOS'!AQ$3:AQ$500)))</f>
        <v/>
      </c>
      <c r="DR14" s="123">
        <f>IF(OR(DR$4="",$B14=""),0,SUMIF('DADOS BRUTOS'!$A$3:$A$500,$B14,'DADOS BRUTOS'!AR$3:AR$500)+IF($C14="",0,SUMIF('DADOS BRUTOS'!$A$3:$A$500,$C14,'DADOS BRUTOS'!AR$3:AR$500)))</f>
        <v/>
      </c>
      <c r="DS14" s="123">
        <f>IF(OR(DS$4="",$B14=""),0,SUMIF('DADOS BRUTOS'!$A$3:$A$500,$B14,'DADOS BRUTOS'!AS$3:AS$500)+IF($C14="",0,SUMIF('DADOS BRUTOS'!$A$3:$A$500,$C14,'DADOS BRUTOS'!AS$3:AS$500)))</f>
        <v/>
      </c>
      <c r="DT14" s="123">
        <f>IF(OR(DT$4="",$B14=""),0,SUMIF('DADOS BRUTOS'!$A$3:$A$500,$B14,'DADOS BRUTOS'!AT$3:AT$500)+IF($C14="",0,SUMIF('DADOS BRUTOS'!$A$3:$A$500,$C14,'DADOS BRUTOS'!AT$3:AT$500)))</f>
        <v/>
      </c>
      <c r="DU14" s="123">
        <f>IF(OR(DU$4="",$B14=""),0,SUMIF('DADOS BRUTOS'!$A$3:$A$500,$B14,'DADOS BRUTOS'!AU$3:AU$500)+IF($C14="",0,SUMIF('DADOS BRUTOS'!$A$3:$A$500,$C14,'DADOS BRUTOS'!AU$3:AU$500)))</f>
        <v/>
      </c>
      <c r="DV14" s="123">
        <f>IF(OR(DV$4="",$B14=""),0,SUMIF('DADOS BRUTOS'!$A$3:$A$500,$B14,'DADOS BRUTOS'!AV$3:AV$500)+IF($C14="",0,SUMIF('DADOS BRUTOS'!$A$3:$A$500,$C14,'DADOS BRUTOS'!AV$3:AV$500)))</f>
        <v/>
      </c>
      <c r="DW14" s="123">
        <f>IF(OR(DW$4="",$B14=""),0,SUMIF('DADOS BRUTOS'!$A$3:$A$500,$B14,'DADOS BRUTOS'!AW$3:AW$500)+IF($C14="",0,SUMIF('DADOS BRUTOS'!$A$3:$A$500,$C14,'DADOS BRUTOS'!AW$3:AW$500)))</f>
        <v/>
      </c>
      <c r="DX14" s="123">
        <f>IF(OR(DX$4="",$B14=""),0,SUMIF('DADOS BRUTOS'!$A$3:$A$500,$B14,'DADOS BRUTOS'!AX$3:AX$500)+IF($C14="",0,SUMIF('DADOS BRUTOS'!$A$3:$A$500,$C14,'DADOS BRUTOS'!AX$3:AX$500)))</f>
        <v/>
      </c>
      <c r="DY14" s="123">
        <f>IF(OR(DY$4="",$B14=""),0,SUMIF('DADOS BRUTOS'!$A$3:$A$500,$B14,'DADOS BRUTOS'!AY$3:AY$500)+IF($C14="",0,SUMIF('DADOS BRUTOS'!$A$3:$A$500,$C14,'DADOS BRUTOS'!AY$3:AY$500)))</f>
        <v/>
      </c>
      <c r="DZ14" s="123">
        <f>IF(OR(DZ$4="",$B14=""),0,SUMIF('DADOS BRUTOS'!$A$3:$A$500,$B14,'DADOS BRUTOS'!AZ$3:AZ$500)+IF($C14="",0,SUMIF('DADOS BRUTOS'!$A$3:$A$500,$C14,'DADOS BRUTOS'!AZ$3:AZ$500)))</f>
        <v/>
      </c>
      <c r="EA14" s="123">
        <f>IF(OR(EA$4="",$B14=""),0,SUMIF('DADOS BRUTOS'!$A$3:$A$500,$B14,'DADOS BRUTOS'!BA$3:BA$500)+IF($C14="",0,SUMIF('DADOS BRUTOS'!$A$3:$A$500,$C14,'DADOS BRUTOS'!BA$3:BA$500)))</f>
        <v/>
      </c>
      <c r="EB14" s="123">
        <f>IF(OR(EB$4="",$B14=""),0,SUMIF('DADOS BRUTOS'!$A$3:$A$500,$B14,'DADOS BRUTOS'!BB$3:BB$500)+IF($C14="",0,SUMIF('DADOS BRUTOS'!$A$3:$A$500,$C14,'DADOS BRUTOS'!BB$3:BB$500)))</f>
        <v/>
      </c>
      <c r="EC14" s="123">
        <f>IF(OR(EC$4="",$B14=""),0,SUMIF('DADOS BRUTOS'!$A$3:$A$500,$B14,'DADOS BRUTOS'!BC$3:BC$500)+IF($C14="",0,SUMIF('DADOS BRUTOS'!$A$3:$A$500,$C14,'DADOS BRUTOS'!BC$3:BC$500)))</f>
        <v/>
      </c>
      <c r="ED14" s="123">
        <f>IF(OR(ED$4="",$B14=""),0,SUMIF('DADOS BRUTOS'!$A$3:$A$500,$B14,'DADOS BRUTOS'!BD$3:BD$500)+IF($C14="",0,SUMIF('DADOS BRUTOS'!$A$3:$A$500,$C14,'DADOS BRUTOS'!BD$3:BD$500)))</f>
        <v/>
      </c>
      <c r="EE14" s="123">
        <f>IF(OR(EE$4="",$B14=""),0,SUMIF('DADOS BRUTOS'!$A$3:$A$500,$B14,'DADOS BRUTOS'!BE$3:BE$500)+IF($C14="",0,SUMIF('DADOS BRUTOS'!$A$3:$A$500,$C14,'DADOS BRUTOS'!BE$3:BE$500)))</f>
        <v/>
      </c>
      <c r="EF14" s="123">
        <f>IF(OR(EF$4="",$B14=""),0,SUMIF('DADOS BRUTOS'!$A$3:$A$500,$B14,'DADOS BRUTOS'!BF$3:BF$500)+IF($C14="",0,SUMIF('DADOS BRUTOS'!$A$3:$A$500,$C14,'DADOS BRUTOS'!BF$3:BF$500)))</f>
        <v/>
      </c>
      <c r="EG14" s="123">
        <f>IF(OR(EG$4="",$B14=""),0,SUMIF('DADOS BRUTOS'!$A$3:$A$500,$B14,'DADOS BRUTOS'!BG$3:BG$500)+IF($C14="",0,SUMIF('DADOS BRUTOS'!$A$3:$A$500,$C14,'DADOS BRUTOS'!BG$3:BG$500)))</f>
        <v/>
      </c>
      <c r="EH14" s="123">
        <f>IF(OR(EH$4="",$B14=""),0,SUMIF('DADOS BRUTOS'!$A$3:$A$500,$B14,'DADOS BRUTOS'!BH$3:BH$500)+IF($C14="",0,SUMIF('DADOS BRUTOS'!$A$3:$A$500,$C14,'DADOS BRUTOS'!BH$3:BH$500)))</f>
        <v/>
      </c>
      <c r="EI14" s="123">
        <f>IF(OR(EI$4="",$B14=""),0,SUMIF('DADOS BRUTOS'!$A$3:$A$500,$B14,'DADOS BRUTOS'!BI$3:BI$500)+IF($C14="",0,SUMIF('DADOS BRUTOS'!$A$3:$A$500,$C14,'DADOS BRUTOS'!BI$3:BI$500)))</f>
        <v/>
      </c>
      <c r="EJ14" s="123">
        <f>IF(OR(EJ$4="",$B14=""),0,SUMIF('DADOS BRUTOS'!$A$3:$A$500,$B14,'DADOS BRUTOS'!BJ$3:BJ$500)+IF($C14="",0,SUMIF('DADOS BRUTOS'!$A$3:$A$500,$C14,'DADOS BRUTOS'!BJ$3:BJ$500)))</f>
        <v/>
      </c>
      <c r="EK14" s="123">
        <f>IF(OR(EK$4="",$B14=""),0,SUMIF('DADOS BRUTOS'!$A$3:$A$500,$B14,'DADOS BRUTOS'!BK$3:BK$500)+IF($C14="",0,SUMIF('DADOS BRUTOS'!$A$3:$A$500,$C14,'DADOS BRUTOS'!BK$3:BK$500)))</f>
        <v/>
      </c>
      <c r="EL14" s="123">
        <f>IF(OR(EL$4="",$B14=""),0,SUMIF('DADOS BRUTOS'!$A$3:$A$500,$B14,'DADOS BRUTOS'!BL$3:BL$500)+IF($C14="",0,SUMIF('DADOS BRUTOS'!$A$3:$A$500,$C14,'DADOS BRUTOS'!BL$3:BL$500)))</f>
        <v/>
      </c>
      <c r="EM14" s="123">
        <f>IF(OR(EM$4="",$B14=""),0,SUMIF('DADOS BRUTOS'!$A$3:$A$500,$B14,'DADOS BRUTOS'!BM$3:BM$500)+IF($C14="",0,SUMIF('DADOS BRUTOS'!$A$3:$A$500,$C14,'DADOS BRUTOS'!BM$3:BM$500)))</f>
        <v/>
      </c>
      <c r="EN14" s="123">
        <f>IF(OR(EN$4="",$B14=""),0,SUMIF('DADOS BRUTOS'!$A$3:$A$500,$B14,'DADOS BRUTOS'!BN$3:BN$500)+IF($C14="",0,SUMIF('DADOS BRUTOS'!$A$3:$A$500,$C14,'DADOS BRUTOS'!BN$3:BN$500)))</f>
        <v/>
      </c>
      <c r="EO14" s="123">
        <f>IF(OR(EO$4="",$B14=""),0,SUMIF('DADOS BRUTOS'!$A$3:$A$500,$B14,'DADOS BRUTOS'!BO$3:BO$500)+IF($C14="",0,SUMIF('DADOS BRUTOS'!$A$3:$A$500,$C14,'DADOS BRUTOS'!BO$3:BO$500)))</f>
        <v/>
      </c>
      <c r="EP14" s="123">
        <f>IF(OR(EP$4="",$B14=""),0,SUMIF('DADOS BRUTOS'!$A$3:$A$500,$B14,'DADOS BRUTOS'!BP$3:BP$500)+IF($C14="",0,SUMIF('DADOS BRUTOS'!$A$3:$A$500,$C14,'DADOS BRUTOS'!BP$3:BP$500)))</f>
        <v/>
      </c>
      <c r="EQ14" s="123">
        <f>IF(OR(EQ$4="",$B14=""),0,SUMIF('DADOS BRUTOS'!$A$3:$A$500,$B14,'DADOS BRUTOS'!BQ$3:BQ$500)+IF($C14="",0,SUMIF('DADOS BRUTOS'!$A$3:$A$500,$C14,'DADOS BRUTOS'!BQ$3:BQ$500)))</f>
        <v/>
      </c>
      <c r="ER14" s="123">
        <f>IF(OR(ER$4="",$B14=""),0,SUMIF('DADOS BRUTOS'!$A$3:$A$500,$B14,'DADOS BRUTOS'!BR$3:BR$500)+IF($C14="",0,SUMIF('DADOS BRUTOS'!$A$3:$A$500,$C14,'DADOS BRUTOS'!BR$3:BR$500)))</f>
        <v/>
      </c>
      <c r="ES14" s="123">
        <f>IF(OR(ES$4="",$B14=""),0,SUMIF('DADOS BRUTOS'!$A$3:$A$500,$B14,'DADOS BRUTOS'!BS$3:BS$500)+IF($C14="",0,SUMIF('DADOS BRUTOS'!$A$3:$A$500,$C14,'DADOS BRUTOS'!BS$3:BS$500)))</f>
        <v/>
      </c>
      <c r="ET14" s="123">
        <f>IF(OR(ET$4="",$B14=""),0,SUMIF('DADOS BRUTOS'!$A$3:$A$500,$B14,'DADOS BRUTOS'!BT$3:BT$500)+IF($C14="",0,SUMIF('DADOS BRUTOS'!$A$3:$A$500,$C14,'DADOS BRUTOS'!BT$3:BT$500)))</f>
        <v/>
      </c>
      <c r="EU14" s="123">
        <f>IF(OR(EU$4="",$B14=""),0,SUMIF('DADOS BRUTOS'!$A$3:$A$500,$B14,'DADOS BRUTOS'!BU$3:BU$500)+IF($C14="",0,SUMIF('DADOS BRUTOS'!$A$3:$A$500,$C14,'DADOS BRUTOS'!BU$3:BU$500)))</f>
        <v/>
      </c>
      <c r="EV14" s="123">
        <f>IF(OR(EV$4="",$B14=""),0,SUMIF('DADOS BRUTOS'!$A$3:$A$500,$B14,'DADOS BRUTOS'!BV$3:BV$500)+IF($C14="",0,SUMIF('DADOS BRUTOS'!$A$3:$A$500,$C14,'DADOS BRUTOS'!BV$3:BV$500)))</f>
        <v/>
      </c>
      <c r="EW14" s="123">
        <f>IF(OR(EW$4="",$B14=""),0,SUMIF('DADOS BRUTOS'!$A$3:$A$500,$B14,'DADOS BRUTOS'!BW$3:BW$500)+IF($C14="",0,SUMIF('DADOS BRUTOS'!$A$3:$A$500,$C14,'DADOS BRUTOS'!BW$3:BW$500)))</f>
        <v/>
      </c>
      <c r="EX14" s="123">
        <f>IF(OR(EX$4="",$B14=""),0,SUMIF('DADOS BRUTOS'!$A$3:$A$500,$B14,'DADOS BRUTOS'!BX$3:BX$500)+IF($C14="",0,SUMIF('DADOS BRUTOS'!$A$3:$A$500,$C14,'DADOS BRUTOS'!BX$3:BX$500)))</f>
        <v/>
      </c>
      <c r="EY14" s="123">
        <f>IF(OR(EY$4="",$B14=""),0,SUMIF('DADOS BRUTOS'!$A$3:$A$500,$B14,'DADOS BRUTOS'!BY$3:BY$500)+IF($C14="",0,SUMIF('DADOS BRUTOS'!$A$3:$A$500,$C14,'DADOS BRUTOS'!BY$3:BY$500)))</f>
        <v/>
      </c>
      <c r="EZ14" s="123">
        <f>IF(OR(EZ$4="",$B14=""),0,SUMIF('DADOS BRUTOS'!$A$3:$A$500,$B14,'DADOS BRUTOS'!BZ$3:BZ$500)+IF($C14="",0,SUMIF('DADOS BRUTOS'!$A$3:$A$500,$C14,'DADOS BRUTOS'!BZ$3:BZ$500)))</f>
        <v/>
      </c>
      <c r="FA14" s="123">
        <f>IF(OR(FA$4="",$B14=""),0,SUMIF('DADOS BRUTOS'!$A$3:$A$500,$B14,'DADOS BRUTOS'!CA$3:CA$500)+IF($C14="",0,SUMIF('DADOS BRUTOS'!$A$3:$A$500,$C14,'DADOS BRUTOS'!CA$3:CA$500)))</f>
        <v/>
      </c>
      <c r="FB14" s="123">
        <f>IF(OR(FB$4="",$B14=""),0,SUMIF('DADOS BRUTOS'!$A$3:$A$500,$B14,'DADOS BRUTOS'!CB$3:CB$500)+IF($C14="",0,SUMIF('DADOS BRUTOS'!$A$3:$A$500,$C14,'DADOS BRUTOS'!CB$3:CB$500)))</f>
        <v/>
      </c>
      <c r="FC14" s="123">
        <f>IF(OR(FC$4="",$B14=""),0,SUMIF('DADOS BRUTOS'!$A$3:$A$500,$B14,'DADOS BRUTOS'!CC$3:CC$500)+IF($C14="",0,SUMIF('DADOS BRUTOS'!$A$3:$A$500,$C14,'DADOS BRUTOS'!CC$3:CC$500)))</f>
        <v/>
      </c>
      <c r="FD14" s="123">
        <f>IF(OR(FD$4="",$B14=""),0,SUMIF('DADOS BRUTOS'!$A$3:$A$500,$B14,'DADOS BRUTOS'!CD$3:CD$500)+IF($C14="",0,SUMIF('DADOS BRUTOS'!$A$3:$A$500,$C14,'DADOS BRUTOS'!CD$3:CD$500)))</f>
        <v/>
      </c>
      <c r="FE14" s="123">
        <f>IF(OR(FE$4="",$B14=""),0,SUMIF('DADOS BRUTOS'!$A$3:$A$500,$B14,'DADOS BRUTOS'!CE$3:CE$500)+IF($C14="",0,SUMIF('DADOS BRUTOS'!$A$3:$A$500,$C14,'DADOS BRUTOS'!CE$3:CE$500)))</f>
        <v/>
      </c>
      <c r="FF14" s="123">
        <f>IF(OR(FF$4="",$B14=""),0,SUMIF('DADOS BRUTOS'!$A$3:$A$500,$B14,'DADOS BRUTOS'!CF$3:CF$500)+IF($C14="",0,SUMIF('DADOS BRUTOS'!$A$3:$A$500,$C14,'DADOS BRUTOS'!CF$3:CF$500)))</f>
        <v/>
      </c>
      <c r="FG14" s="123">
        <f>IF(OR(FG$4="",$B14=""),0,SUMIF('DADOS BRUTOS'!$A$3:$A$500,$B14,'DADOS BRUTOS'!CG$3:CG$500)+IF($C14="",0,SUMIF('DADOS BRUTOS'!$A$3:$A$500,$C14,'DADOS BRUTOS'!CG$3:CG$500)))</f>
        <v/>
      </c>
      <c r="FH14" s="123">
        <f>IF(OR(FH$4="",$B14=""),0,SUMIF('DADOS BRUTOS'!$A$3:$A$500,$B14,'DADOS BRUTOS'!CH$3:CH$500)+IF($C14="",0,SUMIF('DADOS BRUTOS'!$A$3:$A$500,$C14,'DADOS BRUTOS'!CH$3:CH$500)))</f>
        <v/>
      </c>
      <c r="FI14" s="123">
        <f>IF(OR(FI$4="",$B14=""),0,SUMIF('DADOS BRUTOS'!$A$3:$A$500,$B14,'DADOS BRUTOS'!CI$3:CI$500)+IF($C14="",0,SUMIF('DADOS BRUTOS'!$A$3:$A$500,$C14,'DADOS BRUTOS'!CI$3:CI$500)))</f>
        <v/>
      </c>
      <c r="FJ14" s="123">
        <f>IF(OR(FJ$4="",$B14=""),0,SUMIF('DADOS BRUTOS'!$A$3:$A$500,$B14,'DADOS BRUTOS'!CJ$3:CJ$500)+IF($C14="",0,SUMIF('DADOS BRUTOS'!$A$3:$A$500,$C14,'DADOS BRUTOS'!CJ$3:CJ$500)))</f>
        <v/>
      </c>
      <c r="FK14" s="123">
        <f>IF(OR(FK$4="",$B14=""),0,SUMIF('DADOS BRUTOS'!$A$3:$A$500,$B14,'DADOS BRUTOS'!CK$3:CK$500)+IF($C14="",0,SUMIF('DADOS BRUTOS'!$A$3:$A$500,$C14,'DADOS BRUTOS'!CK$3:CK$500)))</f>
        <v/>
      </c>
      <c r="FL14" s="123">
        <f>IF(OR(FL$4="",$B14=""),0,SUMIF('DADOS BRUTOS'!$A$3:$A$500,$B14,'DADOS BRUTOS'!CL$3:CL$500)+IF($C14="",0,SUMIF('DADOS BRUTOS'!$A$3:$A$500,$C14,'DADOS BRUTOS'!CL$3:CL$500)))</f>
        <v/>
      </c>
      <c r="FM14" s="123">
        <f>IF(OR(FM$4="",$B14=""),0,SUMIF('DADOS BRUTOS'!$A$3:$A$500,$B14,'DADOS BRUTOS'!CM$3:CM$500)+IF($C14="",0,SUMIF('DADOS BRUTOS'!$A$3:$A$500,$C14,'DADOS BRUTOS'!CM$3:CM$500)))</f>
        <v/>
      </c>
      <c r="FN14" s="123">
        <f>IF(OR(FN$4="",$B14=""),0,SUMIF('DADOS BRUTOS'!$A$3:$A$500,$B14,'DADOS BRUTOS'!CN$3:CN$500)+IF($C14="",0,SUMIF('DADOS BRUTOS'!$A$3:$A$500,$C14,'DADOS BRUTOS'!CN$3:CN$500)))</f>
        <v/>
      </c>
      <c r="FO14" s="123">
        <f>IF(OR(FO$4="",$B14=""),0,SUMIF('DADOS BRUTOS'!$A$3:$A$500,$B14,'DADOS BRUTOS'!CO$3:CO$500)+IF($C14="",0,SUMIF('DADOS BRUTOS'!$A$3:$A$500,$C14,'DADOS BRUTOS'!CO$3:CO$500)))</f>
        <v/>
      </c>
      <c r="FP14" s="123">
        <f>IF(OR(FP$4="",$B14=""),0,SUMIF('DADOS BRUTOS'!$A$3:$A$500,$B14,'DADOS BRUTOS'!CP$3:CP$500)+IF($C14="",0,SUMIF('DADOS BRUTOS'!$A$3:$A$500,$C14,'DADOS BRUTOS'!CP$3:CP$500)))</f>
        <v/>
      </c>
      <c r="FQ14" s="123">
        <f>IF(OR(FQ$4="",$B14=""),0,SUMIF('DADOS BRUTOS'!$A$3:$A$500,$B14,'DADOS BRUTOS'!CQ$3:CQ$500)+IF($C14="",0,SUMIF('DADOS BRUTOS'!$A$3:$A$500,$C14,'DADOS BRUTOS'!CQ$3:CQ$500)))</f>
        <v/>
      </c>
      <c r="FR14" s="123">
        <f>IF(OR(FR$4="",$B14=""),0,SUMIF('DADOS BRUTOS'!$A$3:$A$500,$B14,'DADOS BRUTOS'!CR$3:CR$500)+IF($C14="",0,SUMIF('DADOS BRUTOS'!$A$3:$A$500,$C14,'DADOS BRUTOS'!CR$3:CR$500)))</f>
        <v/>
      </c>
      <c r="FS14" s="123">
        <f>IF(OR(FS$4="",$B14=""),0,SUMIF('DADOS BRUTOS'!$A$3:$A$500,$B14,'DADOS BRUTOS'!CS$3:CS$500)+IF($C14="",0,SUMIF('DADOS BRUTOS'!$A$3:$A$500,$C14,'DADOS BRUTOS'!CS$3:CS$500)))</f>
        <v/>
      </c>
      <c r="FT14" s="123">
        <f>IF(OR(FT$4="",$B14=""),0,SUMIF('DADOS BRUTOS'!$A$3:$A$500,$B14,'DADOS BRUTOS'!CT$3:CT$500)+IF($C14="",0,SUMIF('DADOS BRUTOS'!$A$3:$A$500,$C14,'DADOS BRUTOS'!CT$3:CT$500)))</f>
        <v/>
      </c>
      <c r="FU14" s="123">
        <f>IF(OR(FU$4="",$B14=""),0,SUMIF('DADOS BRUTOS'!$A$3:$A$500,$B14,'DADOS BRUTOS'!CU$3:CU$500)+IF($C14="",0,SUMIF('DADOS BRUTOS'!$A$3:$A$500,$C14,'DADOS BRUTOS'!CU$3:CU$500)))</f>
        <v/>
      </c>
      <c r="FV14" s="123">
        <f>IF(OR(FV$4="",$B14=""),0,SUMIF('DADOS BRUTOS'!$A$3:$A$500,$B14,'DADOS BRUTOS'!CV$3:CV$500)+IF($C14="",0,SUMIF('DADOS BRUTOS'!$A$3:$A$500,$C14,'DADOS BRUTOS'!CV$3:CV$500)))</f>
        <v/>
      </c>
      <c r="FW14" s="123">
        <f>IF(OR(FW$4="",$B14=""),0,SUMIF('DADOS BRUTOS'!$A$3:$A$500,$B14,'DADOS BRUTOS'!CW$3:CW$500)+IF($C14="",0,SUMIF('DADOS BRUTOS'!$A$3:$A$500,$C14,'DADOS BRUTOS'!CW$3:CW$500)))</f>
        <v/>
      </c>
      <c r="FX14" s="123">
        <f>IF(OR(FX$4="",$B14=""),0,SUMIF('DADOS BRUTOS'!$A$3:$A$500,$B14,'DADOS BRUTOS'!CX$3:CX$500)+IF($C14="",0,SUMIF('DADOS BRUTOS'!$A$3:$A$500,$C14,'DADOS BRUTOS'!CX$3:CX$500)))</f>
        <v/>
      </c>
      <c r="FY14" s="123">
        <f>IF(OR(FY$4="",$B14=""),0,SUMIF('DADOS BRUTOS'!$A$3:$A$500,$B14,'DADOS BRUTOS'!CY$3:CY$500)+IF($C14="",0,SUMIF('DADOS BRUTOS'!$A$3:$A$500,$C14,'DADOS BRUTOS'!CY$3:CY$500)))</f>
        <v/>
      </c>
      <c r="FZ14" s="123">
        <f>IF(OR(FZ$4="",$B14=""),0,SUMIF('DADOS BRUTOS'!$A$3:$A$500,$B14,'DADOS BRUTOS'!CZ$3:CZ$500)+IF($C14="",0,SUMIF('DADOS BRUTOS'!$A$3:$A$500,$C14,'DADOS BRUTOS'!CZ$3:CZ$500)))</f>
        <v/>
      </c>
      <c r="GA14" s="123">
        <f>IF(OR(GA$4="",$B14=""),0,SUMIF('DADOS BRUTOS'!$A$3:$A$500,$B14,'DADOS BRUTOS'!DA$3:DA$500)+IF($C14="",0,SUMIF('DADOS BRUTOS'!$A$3:$A$500,$C14,'DADOS BRUTOS'!DA$3:DA$500)))</f>
        <v/>
      </c>
      <c r="GB14" s="123">
        <f>IF(OR(GB$4="",$B14=""),0,SUMIF('DADOS BRUTOS'!$A$3:$A$500,$B14,'DADOS BRUTOS'!DB$3:DB$500)+IF($C14="",0,SUMIF('DADOS BRUTOS'!$A$3:$A$500,$C14,'DADOS BRUTOS'!DB$3:DB$500)))</f>
        <v/>
      </c>
      <c r="GC14" s="123">
        <f>IF(OR(GC$4="",$B14=""),0,SUMIF('DADOS BRUTOS'!$A$3:$A$500,$B14,'DADOS BRUTOS'!DC$3:DC$500)+IF($C14="",0,SUMIF('DADOS BRUTOS'!$A$3:$A$500,$C14,'DADOS BRUTOS'!DC$3:DC$500)))</f>
        <v/>
      </c>
      <c r="GD14" s="123">
        <f>IF(OR(GD$4="",$B14=""),0,SUMIF('DADOS BRUTOS'!$A$3:$A$500,$B14,'DADOS BRUTOS'!DD$3:DD$500)+IF($C14="",0,SUMIF('DADOS BRUTOS'!$A$3:$A$500,$C14,'DADOS BRUTOS'!DD$3:DD$500)))</f>
        <v/>
      </c>
      <c r="GE14" s="123">
        <f>IF(OR(GE$4="",$B14=""),0,SUMIF('DADOS BRUTOS'!$A$3:$A$500,$B14,'DADOS BRUTOS'!DE$3:DE$500)+IF($C14="",0,SUMIF('DADOS BRUTOS'!$A$3:$A$500,$C14,'DADOS BRUTOS'!DE$3:DE$500)))</f>
        <v/>
      </c>
      <c r="GF14" s="123">
        <f>IF(OR(GF$4="",$B14=""),0,SUMIF('DADOS BRUTOS'!$A$3:$A$500,$B14,'DADOS BRUTOS'!DF$3:DF$500)+IF($C14="",0,SUMIF('DADOS BRUTOS'!$A$3:$A$500,$C14,'DADOS BRUTOS'!DF$3:DF$500)))</f>
        <v/>
      </c>
      <c r="GG14" s="123">
        <f>IF(OR(GG$4="",$B14=""),0,SUMIF('DADOS BRUTOS'!$A$3:$A$500,$B14,'DADOS BRUTOS'!DG$3:DG$500)+IF($C14="",0,SUMIF('DADOS BRUTOS'!$A$3:$A$500,$C14,'DADOS BRUTOS'!DG$3:DG$500)))</f>
        <v/>
      </c>
      <c r="GH14" s="123">
        <f>IF(OR(GH$4="",$B14=""),0,SUMIF('DADOS BRUTOS'!$A$3:$A$500,$B14,'DADOS BRUTOS'!DH$3:DH$500)+IF($C14="",0,SUMIF('DADOS BRUTOS'!$A$3:$A$500,$C14,'DADOS BRUTOS'!DH$3:DH$500)))</f>
        <v/>
      </c>
      <c r="GI14" s="123">
        <f>IF(OR(GI$4="",$B14=""),0,SUMIF('DADOS BRUTOS'!$A$3:$A$500,$B14,'DADOS BRUTOS'!DI$3:DI$500)+IF($C14="",0,SUMIF('DADOS BRUTOS'!$A$3:$A$500,$C14,'DADOS BRUTOS'!DI$3:DI$500)))</f>
        <v/>
      </c>
      <c r="GJ14" s="123">
        <f>IF(OR(GJ$4="",$B14=""),0,SUMIF('DADOS BRUTOS'!$A$3:$A$500,$B14,'DADOS BRUTOS'!DJ$3:DJ$500)+IF($C14="",0,SUMIF('DADOS BRUTOS'!$A$3:$A$500,$C14,'DADOS BRUTOS'!DJ$3:DJ$500)))</f>
        <v/>
      </c>
      <c r="GK14" s="123">
        <f>IF(OR(GK$4="",$B14=""),0,SUMIF('DADOS BRUTOS'!$A$3:$A$500,$B14,'DADOS BRUTOS'!DK$3:DK$500)+IF($C14="",0,SUMIF('DADOS BRUTOS'!$A$3:$A$500,$C14,'DADOS BRUTOS'!DK$3:DK$500)))</f>
        <v/>
      </c>
      <c r="GL14" s="123">
        <f>IF(OR(GL$4="",$B14=""),0,SUMIF('DADOS BRUTOS'!$A$3:$A$500,$B14,'DADOS BRUTOS'!DL$3:DL$500)+IF($C14="",0,SUMIF('DADOS BRUTOS'!$A$3:$A$500,$C14,'DADOS BRUTOS'!DL$3:DL$500)))</f>
        <v/>
      </c>
      <c r="GM14" s="123">
        <f>IF(OR(GM$4="",$B14=""),0,SUMIF('DADOS BRUTOS'!$A$3:$A$500,$B14,'DADOS BRUTOS'!DM$3:DM$500)+IF($C14="",0,SUMIF('DADOS BRUTOS'!$A$3:$A$500,$C14,'DADOS BRUTOS'!DM$3:DM$500)))</f>
        <v/>
      </c>
      <c r="GN14" s="123">
        <f>IF(OR(GN$4="",$B14=""),0,SUMIF('DADOS BRUTOS'!$A$3:$A$500,$B14,'DADOS BRUTOS'!DN$3:DN$500)+IF($C14="",0,SUMIF('DADOS BRUTOS'!$A$3:$A$500,$C14,'DADOS BRUTOS'!DN$3:DN$500)))</f>
        <v/>
      </c>
      <c r="GO14" s="123">
        <f>IF(OR(GO$4="",$B14=""),0,SUMIF('DADOS BRUTOS'!$A$3:$A$500,$B14,'DADOS BRUTOS'!DO$3:DO$500)+IF($C14="",0,SUMIF('DADOS BRUTOS'!$A$3:$A$500,$C14,'DADOS BRUTOS'!DO$3:DO$500)))</f>
        <v/>
      </c>
      <c r="GP14" s="123">
        <f>IF(OR(GP$4="",$B14=""),0,SUMIF('DADOS BRUTOS'!$A$3:$A$500,$B14,'DADOS BRUTOS'!DP$3:DP$500)+IF($C14="",0,SUMIF('DADOS BRUTOS'!$A$3:$A$500,$C14,'DADOS BRUTOS'!DP$3:DP$500)))</f>
        <v/>
      </c>
      <c r="GQ14" s="123">
        <f>IF(OR(GQ$4="",$B14=""),0,SUMIF('DADOS BRUTOS'!$A$3:$A$500,$B14,'DADOS BRUTOS'!DQ$3:DQ$500)+IF($C14="",0,SUMIF('DADOS BRUTOS'!$A$3:$A$500,$C14,'DADOS BRUTOS'!DQ$3:DQ$500)))</f>
        <v/>
      </c>
      <c r="GR14" s="123">
        <f>IF(OR(GR$4="",$B14=""),0,SUMIF('DADOS BRUTOS'!$A$3:$A$500,$B14,'DADOS BRUTOS'!DR$3:DR$500)+IF($C14="",0,SUMIF('DADOS BRUTOS'!$A$3:$A$500,$C14,'DADOS BRUTOS'!DR$3:DR$500)))</f>
        <v/>
      </c>
      <c r="GS14" s="123">
        <f>IF(OR(GS$4="",$B14=""),0,SUMIF('DADOS BRUTOS'!$A$3:$A$500,$B14,'DADOS BRUTOS'!DS$3:DS$500)+IF($C14="",0,SUMIF('DADOS BRUTOS'!$A$3:$A$500,$C14,'DADOS BRUTOS'!DS$3:DS$500)))</f>
        <v/>
      </c>
      <c r="GT14" s="123">
        <f>IF(OR(GT$4="",$B14=""),0,SUMIF('DADOS BRUTOS'!$A$3:$A$500,$B14,'DADOS BRUTOS'!DT$3:DT$500)+IF($C14="",0,SUMIF('DADOS BRUTOS'!$A$3:$A$500,$C14,'DADOS BRUTOS'!DT$3:DT$500)))</f>
        <v/>
      </c>
      <c r="GU14" s="123">
        <f>IF(OR(GU$4="",$B14=""),0,SUMIF('DADOS BRUTOS'!$A$3:$A$500,$B14,'DADOS BRUTOS'!DU$3:DU$500)+IF($C14="",0,SUMIF('DADOS BRUTOS'!$A$3:$A$500,$C14,'DADOS BRUTOS'!DU$3:DU$500)))</f>
        <v/>
      </c>
      <c r="GV14" s="123">
        <f>IF(OR(GV$4="",$B14=""),0,SUMIF('DADOS BRUTOS'!$A$3:$A$500,$B14,'DADOS BRUTOS'!DV$3:DV$500)+IF($C14="",0,SUMIF('DADOS BRUTOS'!$A$3:$A$500,$C14,'DADOS BRUTOS'!DV$3:DV$500)))</f>
        <v/>
      </c>
      <c r="GW14" s="123">
        <f>IF(OR(GW$4="",$B14=""),0,SUMIF('DADOS BRUTOS'!$A$3:$A$500,$B14,'DADOS BRUTOS'!DW$3:DW$500)+IF($C14="",0,SUMIF('DADOS BRUTOS'!$A$3:$A$500,$C14,'DADOS BRUTOS'!DW$3:DW$500)))</f>
        <v/>
      </c>
      <c r="GX14" s="123">
        <f>IF(OR(GX$4="",$B14=""),0,SUMIF('DADOS BRUTOS'!$A$3:$A$500,$B14,'DADOS BRUTOS'!DX$3:DX$500)+IF($C14="",0,SUMIF('DADOS BRUTOS'!$A$3:$A$500,$C14,'DADOS BRUTOS'!DX$3:DX$500)))</f>
        <v/>
      </c>
      <c r="GY14" s="123">
        <f>IF(OR(GY$4="",$B14=""),0,SUMIF('DADOS BRUTOS'!$A$3:$A$500,$B14,'DADOS BRUTOS'!DY$3:DY$500)+IF($C14="",0,SUMIF('DADOS BRUTOS'!$A$3:$A$500,$C14,'DADOS BRUTOS'!DY$3:DY$500)))</f>
        <v/>
      </c>
      <c r="GZ14" s="123">
        <f>IF(OR(GZ$4="",$B14=""),0,SUMIF('DADOS BRUTOS'!$A$3:$A$500,$B14,'DADOS BRUTOS'!DZ$3:DZ$500)+IF($C14="",0,SUMIF('DADOS BRUTOS'!$A$3:$A$500,$C14,'DADOS BRUTOS'!DZ$3:DZ$500)))</f>
        <v/>
      </c>
      <c r="HA14" s="123">
        <f>IF(OR(HA$4="",$B14=""),0,SUMIF('DADOS BRUTOS'!$A$3:$A$500,$B14,'DADOS BRUTOS'!EA$3:EA$500)+IF($C14="",0,SUMIF('DADOS BRUTOS'!$A$3:$A$500,$C14,'DADOS BRUTOS'!EA$3:EA$500)))</f>
        <v/>
      </c>
      <c r="HB14" s="123">
        <f>IF(OR(HB$4="",$B14=""),0,SUMIF('DADOS BRUTOS'!$A$3:$A$500,$B14,'DADOS BRUTOS'!EB$3:EB$500)+IF($C14="",0,SUMIF('DADOS BRUTOS'!$A$3:$A$500,$C14,'DADOS BRUTOS'!EB$3:EB$500)))</f>
        <v/>
      </c>
      <c r="HC14" s="123">
        <f>IF(OR(HC$4="",$B14=""),0,SUMIF('DADOS BRUTOS'!$A$3:$A$500,$B14,'DADOS BRUTOS'!EC$3:EC$500)+IF($C14="",0,SUMIF('DADOS BRUTOS'!$A$3:$A$500,$C14,'DADOS BRUTOS'!EC$3:EC$500)))</f>
        <v/>
      </c>
      <c r="HD14" s="123">
        <f>IF(OR(HD$4="",$B14=""),0,SUMIF('DADOS BRUTOS'!$A$3:$A$500,$B14,'DADOS BRUTOS'!ED$3:ED$500)+IF($C14="",0,SUMIF('DADOS BRUTOS'!$A$3:$A$500,$C14,'DADOS BRUTOS'!ED$3:ED$500)))</f>
        <v/>
      </c>
      <c r="HE14" s="123">
        <f>IF(OR(HE$4="",$B14=""),0,SUMIF('DADOS BRUTOS'!$A$3:$A$500,$B14,'DADOS BRUTOS'!EE$3:EE$500)+IF($C14="",0,SUMIF('DADOS BRUTOS'!$A$3:$A$500,$C14,'DADOS BRUTOS'!EE$3:EE$500)))</f>
        <v/>
      </c>
      <c r="HF14" s="123">
        <f>IF(OR(HF$4="",$B14=""),0,SUMIF('DADOS BRUTOS'!$A$3:$A$500,$B14,'DADOS BRUTOS'!EF$3:EF$500)+IF($C14="",0,SUMIF('DADOS BRUTOS'!$A$3:$A$500,$C14,'DADOS BRUTOS'!EF$3:EF$500)))</f>
        <v/>
      </c>
      <c r="HG14" s="123">
        <f>IF(OR(HG$4="",$B14=""),0,SUMIF('DADOS BRUTOS'!$A$3:$A$500,$B14,'DADOS BRUTOS'!EG$3:EG$500)+IF($C14="",0,SUMIF('DADOS BRUTOS'!$A$3:$A$500,$C14,'DADOS BRUTOS'!EG$3:EG$500)))</f>
        <v/>
      </c>
      <c r="HH14" s="123">
        <f>IF(OR(HH$4="",$B14=""),0,SUMIF('DADOS BRUTOS'!$A$3:$A$500,$B14,'DADOS BRUTOS'!EH$3:EH$500)+IF($C14="",0,SUMIF('DADOS BRUTOS'!$A$3:$A$500,$C14,'DADOS BRUTOS'!EH$3:EH$500)))</f>
        <v/>
      </c>
      <c r="HI14" s="123">
        <f>IF(OR(HI$4="",$B14=""),0,SUMIF('DADOS BRUTOS'!$A$3:$A$500,$B14,'DADOS BRUTOS'!EI$3:EI$500)+IF($C14="",0,SUMIF('DADOS BRUTOS'!$A$3:$A$500,$C14,'DADOS BRUTOS'!EI$3:EI$500)))</f>
        <v/>
      </c>
      <c r="HJ14" s="123">
        <f>IF(OR(HJ$4="",$B14=""),0,SUMIF('DADOS BRUTOS'!$A$3:$A$500,$B14,'DADOS BRUTOS'!EJ$3:EJ$500)+IF($C14="",0,SUMIF('DADOS BRUTOS'!$A$3:$A$500,$C14,'DADOS BRUTOS'!EJ$3:EJ$500)))</f>
        <v/>
      </c>
      <c r="HK14" s="123">
        <f>IF(OR(HK$4="",$B14=""),0,SUMIF('DADOS BRUTOS'!$A$3:$A$500,$B14,'DADOS BRUTOS'!EK$3:EK$500)+IF($C14="",0,SUMIF('DADOS BRUTOS'!$A$3:$A$500,$C14,'DADOS BRUTOS'!EK$3:EK$500)))</f>
        <v/>
      </c>
      <c r="HL14" s="123">
        <f>IF(OR(HL$4="",$B14=""),0,SUMIF('DADOS BRUTOS'!$A$3:$A$500,$B14,'DADOS BRUTOS'!EL$3:EL$500)+IF($C14="",0,SUMIF('DADOS BRUTOS'!$A$3:$A$500,$C14,'DADOS BRUTOS'!EL$3:EL$500)))</f>
        <v/>
      </c>
      <c r="HM14" s="123">
        <f>IF(OR(HM$4="",$B14=""),0,SUMIF('DADOS BRUTOS'!$A$3:$A$500,$B14,'DADOS BRUTOS'!EM$3:EM$500)+IF($C14="",0,SUMIF('DADOS BRUTOS'!$A$3:$A$500,$C14,'DADOS BRUTOS'!EM$3:EM$500)))</f>
        <v/>
      </c>
      <c r="HN14" s="123">
        <f>IF(OR(HN$4="",$B14=""),0,SUMIF('DADOS BRUTOS'!$A$3:$A$500,$B14,'DADOS BRUTOS'!EN$3:EN$500)+IF($C14="",0,SUMIF('DADOS BRUTOS'!$A$3:$A$500,$C14,'DADOS BRUTOS'!EN$3:EN$500)))</f>
        <v/>
      </c>
      <c r="HO14" s="123">
        <f>IF(OR(HO$4="",$B14=""),0,SUMIF('DADOS BRUTOS'!$A$3:$A$500,$B14,'DADOS BRUTOS'!EO$3:EO$500)+IF($C14="",0,SUMIF('DADOS BRUTOS'!$A$3:$A$500,$C14,'DADOS BRUTOS'!EO$3:EO$500)))</f>
        <v/>
      </c>
      <c r="HP14" s="123">
        <f>IF(OR(HP$4="",$B14=""),0,SUMIF('DADOS BRUTOS'!$A$3:$A$500,$B14,'DADOS BRUTOS'!EP$3:EP$500)+IF($C14="",0,SUMIF('DADOS BRUTOS'!$A$3:$A$500,$C14,'DADOS BRUTOS'!EP$3:EP$500)))</f>
        <v/>
      </c>
      <c r="HQ14" s="123">
        <f>IF(OR(HQ$4="",$B14=""),0,SUMIF('DADOS BRUTOS'!$A$3:$A$500,$B14,'DADOS BRUTOS'!EQ$3:EQ$500)+IF($C14="",0,SUMIF('DADOS BRUTOS'!$A$3:$A$500,$C14,'DADOS BRUTOS'!EQ$3:EQ$500)))</f>
        <v/>
      </c>
      <c r="HR14" s="123">
        <f>IF(OR(HR$4="",$B14=""),0,SUMIF('DADOS BRUTOS'!$A$3:$A$500,$B14,'DADOS BRUTOS'!ER$3:ER$500)+IF($C14="",0,SUMIF('DADOS BRUTOS'!$A$3:$A$500,$C14,'DADOS BRUTOS'!ER$3:ER$500)))</f>
        <v/>
      </c>
      <c r="HS14" s="123">
        <f>IF(OR(HS$4="",$B14=""),0,SUMIF('DADOS BRUTOS'!$A$3:$A$500,$B14,'DADOS BRUTOS'!ES$3:ES$500)+IF($C14="",0,SUMIF('DADOS BRUTOS'!$A$3:$A$500,$C14,'DADOS BRUTOS'!ES$3:ES$500)))</f>
        <v/>
      </c>
      <c r="HT14" s="123">
        <f>IF(OR(HT$4="",$B14=""),0,SUMIF('DADOS BRUTOS'!$A$3:$A$500,$B14,'DADOS BRUTOS'!ET$3:ET$500)+IF($C14="",0,SUMIF('DADOS BRUTOS'!$A$3:$A$500,$C14,'DADOS BRUTOS'!ET$3:ET$500)))</f>
        <v/>
      </c>
      <c r="HU14" s="123">
        <f>IF(OR(HU$4="",$B14=""),0,SUMIF('DADOS BRUTOS'!$A$3:$A$500,$B14,'DADOS BRUTOS'!EU$3:EU$500)+IF($C14="",0,SUMIF('DADOS BRUTOS'!$A$3:$A$500,$C14,'DADOS BRUTOS'!EU$3:EU$500)))</f>
        <v/>
      </c>
      <c r="HV14" s="123">
        <f>IF(OR(HV$4="",$B14=""),0,SUMIF('DADOS BRUTOS'!$A$3:$A$500,$B14,'DADOS BRUTOS'!EV$3:EV$500)+IF($C14="",0,SUMIF('DADOS BRUTOS'!$A$3:$A$500,$C14,'DADOS BRUTOS'!EV$3:EV$500)))</f>
        <v/>
      </c>
      <c r="HW14" s="123">
        <f>IF(OR(HW$4="",$B14=""),0,SUMIF('DADOS BRUTOS'!$A$3:$A$500,$B14,'DADOS BRUTOS'!EW$3:EW$500)+IF($C14="",0,SUMIF('DADOS BRUTOS'!$A$3:$A$500,$C14,'DADOS BRUTOS'!EW$3:EW$500)))</f>
        <v/>
      </c>
      <c r="HX14" s="123">
        <f>IF(OR(HX$4="",$B14=""),0,SUMIF('DADOS BRUTOS'!$A$3:$A$500,$B14,'DADOS BRUTOS'!EX$3:EX$500)+IF($C14="",0,SUMIF('DADOS BRUTOS'!$A$3:$A$500,$C14,'DADOS BRUTOS'!EX$3:EX$500)))</f>
        <v/>
      </c>
      <c r="HY14" s="123">
        <f>IF(OR(HY$4="",$B14=""),0,SUMIF('DADOS BRUTOS'!$A$3:$A$500,$B14,'DADOS BRUTOS'!EY$3:EY$500)+IF($C14="",0,SUMIF('DADOS BRUTOS'!$A$3:$A$500,$C14,'DADOS BRUTOS'!EY$3:EY$500)))</f>
        <v/>
      </c>
      <c r="HZ14" s="123">
        <f>IF(OR(HZ$4="",$B14=""),0,SUMIF('DADOS BRUTOS'!$A$3:$A$500,$B14,'DADOS BRUTOS'!EZ$3:EZ$500)+IF($C14="",0,SUMIF('DADOS BRUTOS'!$A$3:$A$500,$C14,'DADOS BRUTOS'!EZ$3:EZ$500)))</f>
        <v/>
      </c>
      <c r="IA14" s="123">
        <f>IF(OR(IA$4="",$B14=""),0,SUMIF('DADOS BRUTOS'!$A$3:$A$500,$B14,'DADOS BRUTOS'!FA$3:FA$500)+IF($C14="",0,SUMIF('DADOS BRUTOS'!$A$3:$A$500,$C14,'DADOS BRUTOS'!FA$3:FA$500)))</f>
        <v/>
      </c>
      <c r="IB14" s="123">
        <f>IF(OR(IB$4="",$B14=""),0,SUMIF('DADOS BRUTOS'!$A$3:$A$500,$B14,'DADOS BRUTOS'!FB$3:FB$500)+IF($C14="",0,SUMIF('DADOS BRUTOS'!$A$3:$A$500,$C14,'DADOS BRUTOS'!FB$3:FB$500)))</f>
        <v/>
      </c>
      <c r="IC14" s="123">
        <f>IF(OR(IC$4="",$B14=""),0,SUMIF('DADOS BRUTOS'!$A$3:$A$500,$B14,'DADOS BRUTOS'!FC$3:FC$500)+IF($C14="",0,SUMIF('DADOS BRUTOS'!$A$3:$A$500,$C14,'DADOS BRUTOS'!FC$3:FC$500)))</f>
        <v/>
      </c>
      <c r="ID14" s="123">
        <f>IF(OR(ID$4="",$B14=""),0,SUMIF('DADOS BRUTOS'!$A$3:$A$500,$B14,'DADOS BRUTOS'!FD$3:FD$500)+IF($C14="",0,SUMIF('DADOS BRUTOS'!$A$3:$A$500,$C14,'DADOS BRUTOS'!FD$3:FD$500)))</f>
        <v/>
      </c>
      <c r="IE14" s="123">
        <f>IF(OR(IE$4="",$B14=""),0,SUMIF('DADOS BRUTOS'!$A$3:$A$500,$B14,'DADOS BRUTOS'!FE$3:FE$500)+IF($C14="",0,SUMIF('DADOS BRUTOS'!$A$3:$A$500,$C14,'DADOS BRUTOS'!FE$3:FE$500)))</f>
        <v/>
      </c>
      <c r="IF14" s="123">
        <f>IF(OR(IF$4="",$B14=""),0,SUMIF('DADOS BRUTOS'!$A$3:$A$500,$B14,'DADOS BRUTOS'!FF$3:FF$500)+IF($C14="",0,SUMIF('DADOS BRUTOS'!$A$3:$A$500,$C14,'DADOS BRUTOS'!FF$3:FF$500)))</f>
        <v/>
      </c>
      <c r="IG14" s="123">
        <f>IF(OR(IG$4="",$B14=""),0,SUMIF('DADOS BRUTOS'!$A$3:$A$500,$B14,'DADOS BRUTOS'!FG$3:FG$500)+IF($C14="",0,SUMIF('DADOS BRUTOS'!$A$3:$A$500,$C14,'DADOS BRUTOS'!FG$3:FG$500)))</f>
        <v/>
      </c>
      <c r="IH14" s="123">
        <f>IF(OR(IH$4="",$B14=""),0,SUMIF('DADOS BRUTOS'!$A$3:$A$500,$B14,'DADOS BRUTOS'!FH$3:FH$500)+IF($C14="",0,SUMIF('DADOS BRUTOS'!$A$3:$A$500,$C14,'DADOS BRUTOS'!FH$3:FH$500)))</f>
        <v/>
      </c>
      <c r="II14" s="123">
        <f>IF(OR(II$4="",$B14=""),0,SUMIF('DADOS BRUTOS'!$A$3:$A$500,$B14,'DADOS BRUTOS'!FI$3:FI$500)+IF($C14="",0,SUMIF('DADOS BRUTOS'!$A$3:$A$500,$C14,'DADOS BRUTOS'!FI$3:FI$500)))</f>
        <v/>
      </c>
      <c r="IJ14" s="123">
        <f>IF(OR(IJ$4="",$B14=""),0,SUMIF('DADOS BRUTOS'!$A$3:$A$500,$B14,'DADOS BRUTOS'!FJ$3:FJ$500)+IF($C14="",0,SUMIF('DADOS BRUTOS'!$A$3:$A$500,$C14,'DADOS BRUTOS'!FJ$3:FJ$500)))</f>
        <v/>
      </c>
      <c r="IK14" s="123">
        <f>IF(OR(IK$4="",$B14=""),0,SUMIF('DADOS BRUTOS'!$A$3:$A$500,$B14,'DADOS BRUTOS'!FK$3:FK$500)+IF($C14="",0,SUMIF('DADOS BRUTOS'!$A$3:$A$500,$C14,'DADOS BRUTOS'!FK$3:FK$500)))</f>
        <v/>
      </c>
      <c r="IL14" s="123">
        <f>IF(OR(IL$4="",$B14=""),0,SUMIF('DADOS BRUTOS'!$A$3:$A$500,$B14,'DADOS BRUTOS'!FL$3:FL$500)+IF($C14="",0,SUMIF('DADOS BRUTOS'!$A$3:$A$500,$C14,'DADOS BRUTOS'!FL$3:FL$500)))</f>
        <v/>
      </c>
      <c r="IM14" s="123">
        <f>IF(OR(IM$4="",$B14=""),0,SUMIF('DADOS BRUTOS'!$A$3:$A$500,$B14,'DADOS BRUTOS'!FM$3:FM$500)+IF($C14="",0,SUMIF('DADOS BRUTOS'!$A$3:$A$500,$C14,'DADOS BRUTOS'!FM$3:FM$500)))</f>
        <v/>
      </c>
      <c r="IN14" s="123">
        <f>IF(OR(IN$4="",$B14=""),0,SUMIF('DADOS BRUTOS'!$A$3:$A$500,$B14,'DADOS BRUTOS'!FN$3:FN$500)+IF($C14="",0,SUMIF('DADOS BRUTOS'!$A$3:$A$500,$C14,'DADOS BRUTOS'!FN$3:FN$500)))</f>
        <v/>
      </c>
      <c r="IO14" s="123">
        <f>IF(OR(IO$4="",$B14=""),0,SUMIF('DADOS BRUTOS'!$A$3:$A$500,$B14,'DADOS BRUTOS'!FO$3:FO$500)+IF($C14="",0,SUMIF('DADOS BRUTOS'!$A$3:$A$500,$C14,'DADOS BRUTOS'!FO$3:FO$500)))</f>
        <v/>
      </c>
      <c r="IP14" s="123">
        <f>IF(OR(IP$4="",$B14=""),0,SUMIF('DADOS BRUTOS'!$A$3:$A$500,$B14,'DADOS BRUTOS'!FP$3:FP$500)+IF($C14="",0,SUMIF('DADOS BRUTOS'!$A$3:$A$500,$C14,'DADOS BRUTOS'!FP$3:FP$500)))</f>
        <v/>
      </c>
      <c r="IQ14" s="123">
        <f>IF(OR(IQ$4="",$B14=""),0,SUMIF('DADOS BRUTOS'!$A$3:$A$500,$B14,'DADOS BRUTOS'!FQ$3:FQ$500)+IF($C14="",0,SUMIF('DADOS BRUTOS'!$A$3:$A$500,$C14,'DADOS BRUTOS'!FQ$3:FQ$500)))</f>
        <v/>
      </c>
      <c r="IR14" s="123">
        <f>IF(OR(IR$4="",$B14=""),0,SUMIF('DADOS BRUTOS'!$A$3:$A$500,$B14,'DADOS BRUTOS'!FR$3:FR$500)+IF($C14="",0,SUMIF('DADOS BRUTOS'!$A$3:$A$500,$C14,'DADOS BRUTOS'!FR$3:FR$500)))</f>
        <v/>
      </c>
      <c r="IS14" s="123">
        <f>IF(OR(IS$4="",$B14=""),0,SUMIF('DADOS BRUTOS'!$A$3:$A$500,$B14,'DADOS BRUTOS'!FS$3:FS$500)+IF($C14="",0,SUMIF('DADOS BRUTOS'!$A$3:$A$500,$C14,'DADOS BRUTOS'!FS$3:FS$500)))</f>
        <v/>
      </c>
      <c r="IT14" s="123">
        <f>IF(OR(IT$4="",$B14=""),0,SUMIF('DADOS BRUTOS'!$A$3:$A$500,$B14,'DADOS BRUTOS'!FT$3:FT$500)+IF($C14="",0,SUMIF('DADOS BRUTOS'!$A$3:$A$500,$C14,'DADOS BRUTOS'!FT$3:FT$500)))</f>
        <v/>
      </c>
      <c r="IU14" s="123">
        <f>IF(OR(IU$4="",$B14=""),0,SUMIF('DADOS BRUTOS'!$A$3:$A$500,$B14,'DADOS BRUTOS'!FU$3:FU$500)+IF($C14="",0,SUMIF('DADOS BRUTOS'!$A$3:$A$500,$C14,'DADOS BRUTOS'!FU$3:FU$500)))</f>
        <v/>
      </c>
      <c r="IV14" s="123">
        <f>IF(OR(IV$4="",$B14=""),0,SUMIF('DADOS BRUTOS'!$A$3:$A$500,$B14,'DADOS BRUTOS'!FV$3:FV$500)+IF($C14="",0,SUMIF('DADOS BRUTOS'!$A$3:$A$500,$C14,'DADOS BRUTOS'!FV$3:FV$500)))</f>
        <v/>
      </c>
      <c r="IW14" s="123">
        <f>IF(OR(IW$4="",$B14=""),0,SUMIF('DADOS BRUTOS'!$A$3:$A$500,$B14,'DADOS BRUTOS'!FW$3:FW$500)+IF($C14="",0,SUMIF('DADOS BRUTOS'!$A$3:$A$500,$C14,'DADOS BRUTOS'!FW$3:FW$500)))</f>
        <v/>
      </c>
      <c r="IX14" s="123">
        <f>IF(OR(IX$4="",$B14=""),0,SUMIF('DADOS BRUTOS'!$A$3:$A$500,$B14,'DADOS BRUTOS'!FX$3:FX$500)+IF($C14="",0,SUMIF('DADOS BRUTOS'!$A$3:$A$500,$C14,'DADOS BRUTOS'!FX$3:FX$500)))</f>
        <v/>
      </c>
      <c r="IY14" s="123">
        <f>IF(OR(IY$4="",$B14=""),0,SUMIF('DADOS BRUTOS'!$A$3:$A$500,$B14,'DADOS BRUTOS'!FY$3:FY$500)+IF($C14="",0,SUMIF('DADOS BRUTOS'!$A$3:$A$500,$C14,'DADOS BRUTOS'!FY$3:FY$500)))</f>
        <v/>
      </c>
      <c r="IZ14" s="123">
        <f>IF(OR(IZ$4="",$B14=""),0,SUMIF('DADOS BRUTOS'!$A$3:$A$500,$B14,'DADOS BRUTOS'!FZ$3:FZ$500)+IF($C14="",0,SUMIF('DADOS BRUTOS'!$A$3:$A$500,$C14,'DADOS BRUTOS'!FZ$3:FZ$500)))</f>
        <v/>
      </c>
      <c r="JA14" s="123">
        <f>IF(OR(JA$4="",$B14=""),0,SUMIF('DADOS BRUTOS'!$A$3:$A$500,$B14,'DADOS BRUTOS'!GA$3:GA$500)+IF($C14="",0,SUMIF('DADOS BRUTOS'!$A$3:$A$500,$C14,'DADOS BRUTOS'!GA$3:GA$500)))</f>
        <v/>
      </c>
      <c r="JB14" s="123">
        <f>IF(OR(JB$4="",$B14=""),0,SUMIF('DADOS BRUTOS'!$A$3:$A$500,$B14,'DADOS BRUTOS'!GB$3:GB$500)+IF($C14="",0,SUMIF('DADOS BRUTOS'!$A$3:$A$500,$C14,'DADOS BRUTOS'!GB$3:GB$500)))</f>
        <v/>
      </c>
      <c r="JC14" s="123">
        <f>IF(OR(JC$4="",$B14=""),0,SUMIF('DADOS BRUTOS'!$A$3:$A$500,$B14,'DADOS BRUTOS'!GC$3:GC$500)+IF($C14="",0,SUMIF('DADOS BRUTOS'!$A$3:$A$500,$C14,'DADOS BRUTOS'!GC$3:GC$500)))</f>
        <v/>
      </c>
      <c r="JD14" s="123">
        <f>IF(OR(JD$4="",$B14=""),0,SUMIF('DADOS BRUTOS'!$A$3:$A$500,$B14,'DADOS BRUTOS'!GD$3:GD$500)+IF($C14="",0,SUMIF('DADOS BRUTOS'!$A$3:$A$500,$C14,'DADOS BRUTOS'!GD$3:GD$500)))</f>
        <v/>
      </c>
      <c r="JE14" s="123">
        <f>IF(OR(JE$4="",$B14=""),0,SUMIF('DADOS BRUTOS'!$A$3:$A$500,$B14,'DADOS BRUTOS'!GE$3:GE$500)+IF($C14="",0,SUMIF('DADOS BRUTOS'!$A$3:$A$500,$C14,'DADOS BRUTOS'!GE$3:GE$500)))</f>
        <v/>
      </c>
      <c r="JF14" s="123">
        <f>IF(OR(JF$4="",$B14=""),0,SUMIF('DADOS BRUTOS'!$A$3:$A$500,$B14,'DADOS BRUTOS'!GF$3:GF$500)+IF($C14="",0,SUMIF('DADOS BRUTOS'!$A$3:$A$500,$C14,'DADOS BRUTOS'!GF$3:GF$500)))</f>
        <v/>
      </c>
      <c r="JG14" s="123">
        <f>IF(OR(JG$4="",$B14=""),0,SUMIF('DADOS BRUTOS'!$A$3:$A$500,$B14,'DADOS BRUTOS'!GG$3:GG$500)+IF($C14="",0,SUMIF('DADOS BRUTOS'!$A$3:$A$500,$C14,'DADOS BRUTOS'!GG$3:GG$500)))</f>
        <v/>
      </c>
      <c r="JH14" s="123">
        <f>IF(OR(JH$4="",$B14=""),0,SUMIF('DADOS BRUTOS'!$A$3:$A$500,$B14,'DADOS BRUTOS'!GH$3:GH$500)+IF($C14="",0,SUMIF('DADOS BRUTOS'!$A$3:$A$500,$C14,'DADOS BRUTOS'!GH$3:GH$500)))</f>
        <v/>
      </c>
      <c r="JI14" s="123">
        <f>IF(OR(JI$4="",$B14=""),0,SUMIF('DADOS BRUTOS'!$A$3:$A$500,$B14,'DADOS BRUTOS'!GI$3:GI$500)+IF($C14="",0,SUMIF('DADOS BRUTOS'!$A$3:$A$500,$C14,'DADOS BRUTOS'!GI$3:GI$500)))</f>
        <v/>
      </c>
      <c r="JJ14" s="123">
        <f>IF(OR(JJ$4="",$B14=""),0,SUMIF('DADOS BRUTOS'!$A$3:$A$500,$B14,'DADOS BRUTOS'!GJ$3:GJ$500)+IF($C14="",0,SUMIF('DADOS BRUTOS'!$A$3:$A$500,$C14,'DADOS BRUTOS'!GJ$3:GJ$500)))</f>
        <v/>
      </c>
      <c r="JK14" s="123">
        <f>IF(OR(JK$4="",$B14=""),0,SUMIF('DADOS BRUTOS'!$A$3:$A$500,$B14,'DADOS BRUTOS'!GK$3:GK$500)+IF($C14="",0,SUMIF('DADOS BRUTOS'!$A$3:$A$500,$C14,'DADOS BRUTOS'!GK$3:GK$500)))</f>
        <v/>
      </c>
      <c r="JL14" s="123">
        <f>IF(OR(JL$4="",$B14=""),0,SUMIF('DADOS BRUTOS'!$A$3:$A$500,$B14,'DADOS BRUTOS'!GL$3:GL$500)+IF($C14="",0,SUMIF('DADOS BRUTOS'!$A$3:$A$500,$C14,'DADOS BRUTOS'!GL$3:GL$500)))</f>
        <v/>
      </c>
      <c r="JM14" s="123">
        <f>IF(OR(JM$4="",$B14=""),0,SUMIF('DADOS BRUTOS'!$A$3:$A$500,$B14,'DADOS BRUTOS'!GM$3:GM$500)+IF($C14="",0,SUMIF('DADOS BRUTOS'!$A$3:$A$500,$C14,'DADOS BRUTOS'!GM$3:GM$500)))</f>
        <v/>
      </c>
      <c r="JN14" s="123">
        <f>IF(OR(JN$4="",$B14=""),0,SUMIF('DADOS BRUTOS'!$A$3:$A$500,$B14,'DADOS BRUTOS'!GN$3:GN$500)+IF($C14="",0,SUMIF('DADOS BRUTOS'!$A$3:$A$500,$C14,'DADOS BRUTOS'!GN$3:GN$500)))</f>
        <v/>
      </c>
      <c r="JO14" s="123">
        <f>IF(OR(JO$4="",$B14=""),0,SUMIF('DADOS BRUTOS'!$A$3:$A$500,$B14,'DADOS BRUTOS'!GO$3:GO$500)+IF($C14="",0,SUMIF('DADOS BRUTOS'!$A$3:$A$500,$C14,'DADOS BRUTOS'!GO$3:GO$500)))</f>
        <v/>
      </c>
      <c r="JP14" s="123">
        <f>IF(OR(JP$4="",$B14=""),0,SUMIF('DADOS BRUTOS'!$A$3:$A$500,$B14,'DADOS BRUTOS'!GP$3:GP$500)+IF($C14="",0,SUMIF('DADOS BRUTOS'!$A$3:$A$500,$C14,'DADOS BRUTOS'!GP$3:GP$500)))</f>
        <v/>
      </c>
      <c r="JQ14" s="123">
        <f>IF(OR(JQ$4="",$B14=""),0,SUMIF('DADOS BRUTOS'!$A$3:$A$500,$B14,'DADOS BRUTOS'!GQ$3:GQ$500)+IF($C14="",0,SUMIF('DADOS BRUTOS'!$A$3:$A$500,$C14,'DADOS BRUTOS'!GQ$3:GQ$500)))</f>
        <v/>
      </c>
      <c r="JR14" s="123">
        <f>IF(OR(JR$4="",$B14=""),0,SUMIF('DADOS BRUTOS'!$A$3:$A$500,$B14,'DADOS BRUTOS'!GR$3:GR$500)+IF($C14="",0,SUMIF('DADOS BRUTOS'!$A$3:$A$500,$C14,'DADOS BRUTOS'!GR$3:GR$500)))</f>
        <v/>
      </c>
      <c r="JS14" s="123">
        <f>IF(OR(JS$4="",$B14=""),0,SUMIF('DADOS BRUTOS'!$A$3:$A$500,$B14,'DADOS BRUTOS'!GS$3:GS$500)+IF($C14="",0,SUMIF('DADOS BRUTOS'!$A$3:$A$500,$C14,'DADOS BRUTOS'!GS$3:GS$500)))</f>
        <v/>
      </c>
    </row>
    <row r="15">
      <c r="A15" s="60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CB15" s="123">
        <f>IF(OR(CB$4="",$B15=""),0,SUMIF('DADOS BRUTOS'!$A$3:$A$500,$B15,'DADOS BRUTOS'!B$3:B$500)+IF($C15="",0,SUMIF('DADOS BRUTOS'!$A$3:$A$500,$C15,'DADOS BRUTOS'!B$3:B$500)))</f>
        <v/>
      </c>
      <c r="CC15" s="123">
        <f>IF(OR(CC$4="",$B15=""),0,SUMIF('DADOS BRUTOS'!$A$3:$A$500,$B15,'DADOS BRUTOS'!C$3:C$500)+IF($C15="",0,SUMIF('DADOS BRUTOS'!$A$3:$A$500,$C15,'DADOS BRUTOS'!C$3:C$500)))</f>
        <v/>
      </c>
      <c r="CD15" s="123">
        <f>IF(OR(CD$4="",$B15=""),0,SUMIF('DADOS BRUTOS'!$A$3:$A$500,$B15,'DADOS BRUTOS'!D$3:D$500)+IF($C15="",0,SUMIF('DADOS BRUTOS'!$A$3:$A$500,$C15,'DADOS BRUTOS'!D$3:D$500)))</f>
        <v/>
      </c>
      <c r="CE15" s="123">
        <f>IF(OR(CE$4="",$B15=""),0,SUMIF('DADOS BRUTOS'!$A$3:$A$500,$B15,'DADOS BRUTOS'!E$3:E$500)+IF($C15="",0,SUMIF('DADOS BRUTOS'!$A$3:$A$500,$C15,'DADOS BRUTOS'!E$3:E$500)))</f>
        <v/>
      </c>
      <c r="CF15" s="123">
        <f>IF(OR(CF$4="",$B15=""),0,SUMIF('DADOS BRUTOS'!$A$3:$A$500,$B15,'DADOS BRUTOS'!F$3:F$500)+IF($C15="",0,SUMIF('DADOS BRUTOS'!$A$3:$A$500,$C15,'DADOS BRUTOS'!F$3:F$500)))</f>
        <v/>
      </c>
      <c r="CG15" s="123">
        <f>IF(OR(CG$4="",$B15=""),0,SUMIF('DADOS BRUTOS'!$A$3:$A$500,$B15,'DADOS BRUTOS'!G$3:G$500)+IF($C15="",0,SUMIF('DADOS BRUTOS'!$A$3:$A$500,$C15,'DADOS BRUTOS'!G$3:G$500)))</f>
        <v/>
      </c>
      <c r="CH15" s="123">
        <f>IF(OR(CH$4="",$B15=""),0,SUMIF('DADOS BRUTOS'!$A$3:$A$500,$B15,'DADOS BRUTOS'!H$3:H$500)+IF($C15="",0,SUMIF('DADOS BRUTOS'!$A$3:$A$500,$C15,'DADOS BRUTOS'!H$3:H$500)))</f>
        <v/>
      </c>
      <c r="CI15" s="123">
        <f>IF(OR(CI$4="",$B15=""),0,SUMIF('DADOS BRUTOS'!$A$3:$A$500,$B15,'DADOS BRUTOS'!I$3:I$500)+IF($C15="",0,SUMIF('DADOS BRUTOS'!$A$3:$A$500,$C15,'DADOS BRUTOS'!I$3:I$500)))</f>
        <v/>
      </c>
      <c r="CJ15" s="123">
        <f>IF(OR(CJ$4="",$B15=""),0,SUMIF('DADOS BRUTOS'!$A$3:$A$500,$B15,'DADOS BRUTOS'!J$3:J$500)+IF($C15="",0,SUMIF('DADOS BRUTOS'!$A$3:$A$500,$C15,'DADOS BRUTOS'!J$3:J$500)))</f>
        <v/>
      </c>
      <c r="CK15" s="123">
        <f>IF(OR(CK$4="",$B15=""),0,SUMIF('DADOS BRUTOS'!$A$3:$A$500,$B15,'DADOS BRUTOS'!K$3:K$500)+IF($C15="",0,SUMIF('DADOS BRUTOS'!$A$3:$A$500,$C15,'DADOS BRUTOS'!K$3:K$500)))</f>
        <v/>
      </c>
      <c r="CL15" s="123">
        <f>IF(OR(CL$4="",$B15=""),0,SUMIF('DADOS BRUTOS'!$A$3:$A$500,$B15,'DADOS BRUTOS'!L$3:L$500)+IF($C15="",0,SUMIF('DADOS BRUTOS'!$A$3:$A$500,$C15,'DADOS BRUTOS'!L$3:L$500)))</f>
        <v/>
      </c>
      <c r="CM15" s="123">
        <f>IF(OR(CM$4="",$B15=""),0,SUMIF('DADOS BRUTOS'!$A$3:$A$500,$B15,'DADOS BRUTOS'!M$3:M$500)+IF($C15="",0,SUMIF('DADOS BRUTOS'!$A$3:$A$500,$C15,'DADOS BRUTOS'!M$3:M$500)))</f>
        <v/>
      </c>
      <c r="CN15" s="123">
        <f>IF(OR(CN$4="",$B15=""),0,SUMIF('DADOS BRUTOS'!$A$3:$A$500,$B15,'DADOS BRUTOS'!N$3:N$500)+IF($C15="",0,SUMIF('DADOS BRUTOS'!$A$3:$A$500,$C15,'DADOS BRUTOS'!N$3:N$500)))</f>
        <v/>
      </c>
      <c r="CO15" s="123">
        <f>IF(OR(CO$4="",$B15=""),0,SUMIF('DADOS BRUTOS'!$A$3:$A$500,$B15,'DADOS BRUTOS'!O$3:O$500)+IF($C15="",0,SUMIF('DADOS BRUTOS'!$A$3:$A$500,$C15,'DADOS BRUTOS'!O$3:O$500)))</f>
        <v/>
      </c>
      <c r="CP15" s="123">
        <f>IF(OR(CP$4="",$B15=""),0,SUMIF('DADOS BRUTOS'!$A$3:$A$500,$B15,'DADOS BRUTOS'!P$3:P$500)+IF($C15="",0,SUMIF('DADOS BRUTOS'!$A$3:$A$500,$C15,'DADOS BRUTOS'!P$3:P$500)))</f>
        <v/>
      </c>
      <c r="CQ15" s="123">
        <f>IF(OR(CQ$4="",$B15=""),0,SUMIF('DADOS BRUTOS'!$A$3:$A$500,$B15,'DADOS BRUTOS'!Q$3:Q$500)+IF($C15="",0,SUMIF('DADOS BRUTOS'!$A$3:$A$500,$C15,'DADOS BRUTOS'!Q$3:Q$500)))</f>
        <v/>
      </c>
      <c r="CR15" s="123">
        <f>IF(OR(CR$4="",$B15=""),0,SUMIF('DADOS BRUTOS'!$A$3:$A$500,$B15,'DADOS BRUTOS'!R$3:R$500)+IF($C15="",0,SUMIF('DADOS BRUTOS'!$A$3:$A$500,$C15,'DADOS BRUTOS'!R$3:R$500)))</f>
        <v/>
      </c>
      <c r="CS15" s="123">
        <f>IF(OR(CS$4="",$B15=""),0,SUMIF('DADOS BRUTOS'!$A$3:$A$500,$B15,'DADOS BRUTOS'!S$3:S$500)+IF($C15="",0,SUMIF('DADOS BRUTOS'!$A$3:$A$500,$C15,'DADOS BRUTOS'!S$3:S$500)))</f>
        <v/>
      </c>
      <c r="CT15" s="123">
        <f>IF(OR(CT$4="",$B15=""),0,SUMIF('DADOS BRUTOS'!$A$3:$A$500,$B15,'DADOS BRUTOS'!T$3:T$500)+IF($C15="",0,SUMIF('DADOS BRUTOS'!$A$3:$A$500,$C15,'DADOS BRUTOS'!T$3:T$500)))</f>
        <v/>
      </c>
      <c r="CU15" s="123">
        <f>IF(OR(CU$4="",$B15=""),0,SUMIF('DADOS BRUTOS'!$A$3:$A$500,$B15,'DADOS BRUTOS'!U$3:U$500)+IF($C15="",0,SUMIF('DADOS BRUTOS'!$A$3:$A$500,$C15,'DADOS BRUTOS'!U$3:U$500)))</f>
        <v/>
      </c>
      <c r="CV15" s="123">
        <f>IF(OR(CV$4="",$B15=""),0,SUMIF('DADOS BRUTOS'!$A$3:$A$500,$B15,'DADOS BRUTOS'!V$3:V$500)+IF($C15="",0,SUMIF('DADOS BRUTOS'!$A$3:$A$500,$C15,'DADOS BRUTOS'!V$3:V$500)))</f>
        <v/>
      </c>
      <c r="CW15" s="123">
        <f>IF(OR(CW$4="",$B15=""),0,SUMIF('DADOS BRUTOS'!$A$3:$A$500,$B15,'DADOS BRUTOS'!W$3:W$500)+IF($C15="",0,SUMIF('DADOS BRUTOS'!$A$3:$A$500,$C15,'DADOS BRUTOS'!W$3:W$500)))</f>
        <v/>
      </c>
      <c r="CX15" s="123">
        <f>IF(OR(CX$4="",$B15=""),0,SUMIF('DADOS BRUTOS'!$A$3:$A$500,$B15,'DADOS BRUTOS'!X$3:X$500)+IF($C15="",0,SUMIF('DADOS BRUTOS'!$A$3:$A$500,$C15,'DADOS BRUTOS'!X$3:X$500)))</f>
        <v/>
      </c>
      <c r="CY15" s="123">
        <f>IF(OR(CY$4="",$B15=""),0,SUMIF('DADOS BRUTOS'!$A$3:$A$500,$B15,'DADOS BRUTOS'!Y$3:Y$500)+IF($C15="",0,SUMIF('DADOS BRUTOS'!$A$3:$A$500,$C15,'DADOS BRUTOS'!Y$3:Y$500)))</f>
        <v/>
      </c>
      <c r="CZ15" s="123">
        <f>IF(OR(CZ$4="",$B15=""),0,SUMIF('DADOS BRUTOS'!$A$3:$A$500,$B15,'DADOS BRUTOS'!Z$3:Z$500)+IF($C15="",0,SUMIF('DADOS BRUTOS'!$A$3:$A$500,$C15,'DADOS BRUTOS'!Z$3:Z$500)))</f>
        <v/>
      </c>
      <c r="DA15" s="123">
        <f>IF(OR(DA$4="",$B15=""),0,SUMIF('DADOS BRUTOS'!$A$3:$A$500,$B15,'DADOS BRUTOS'!AA$3:AA$500)+IF($C15="",0,SUMIF('DADOS BRUTOS'!$A$3:$A$500,$C15,'DADOS BRUTOS'!AA$3:AA$500)))</f>
        <v/>
      </c>
      <c r="DB15" s="123">
        <f>IF(OR(DB$4="",$B15=""),0,SUMIF('DADOS BRUTOS'!$A$3:$A$500,$B15,'DADOS BRUTOS'!AB$3:AB$500)+IF($C15="",0,SUMIF('DADOS BRUTOS'!$A$3:$A$500,$C15,'DADOS BRUTOS'!AB$3:AB$500)))</f>
        <v/>
      </c>
      <c r="DC15" s="123">
        <f>IF(OR(DC$4="",$B15=""),0,SUMIF('DADOS BRUTOS'!$A$3:$A$500,$B15,'DADOS BRUTOS'!AC$3:AC$500)+IF($C15="",0,SUMIF('DADOS BRUTOS'!$A$3:$A$500,$C15,'DADOS BRUTOS'!AC$3:AC$500)))</f>
        <v/>
      </c>
      <c r="DD15" s="123">
        <f>IF(OR(DD$4="",$B15=""),0,SUMIF('DADOS BRUTOS'!$A$3:$A$500,$B15,'DADOS BRUTOS'!AD$3:AD$500)+IF($C15="",0,SUMIF('DADOS BRUTOS'!$A$3:$A$500,$C15,'DADOS BRUTOS'!AD$3:AD$500)))</f>
        <v/>
      </c>
      <c r="DE15" s="123">
        <f>IF(OR(DE$4="",$B15=""),0,SUMIF('DADOS BRUTOS'!$A$3:$A$500,$B15,'DADOS BRUTOS'!AE$3:AE$500)+IF($C15="",0,SUMIF('DADOS BRUTOS'!$A$3:$A$500,$C15,'DADOS BRUTOS'!AE$3:AE$500)))</f>
        <v/>
      </c>
      <c r="DF15" s="123">
        <f>IF(OR(DF$4="",$B15=""),0,SUMIF('DADOS BRUTOS'!$A$3:$A$500,$B15,'DADOS BRUTOS'!AF$3:AF$500)+IF($C15="",0,SUMIF('DADOS BRUTOS'!$A$3:$A$500,$C15,'DADOS BRUTOS'!AF$3:AF$500)))</f>
        <v/>
      </c>
      <c r="DG15" s="123">
        <f>IF(OR(DG$4="",$B15=""),0,SUMIF('DADOS BRUTOS'!$A$3:$A$500,$B15,'DADOS BRUTOS'!AG$3:AG$500)+IF($C15="",0,SUMIF('DADOS BRUTOS'!$A$3:$A$500,$C15,'DADOS BRUTOS'!AG$3:AG$500)))</f>
        <v/>
      </c>
      <c r="DH15" s="123">
        <f>IF(OR(DH$4="",$B15=""),0,SUMIF('DADOS BRUTOS'!$A$3:$A$500,$B15,'DADOS BRUTOS'!AH$3:AH$500)+IF($C15="",0,SUMIF('DADOS BRUTOS'!$A$3:$A$500,$C15,'DADOS BRUTOS'!AH$3:AH$500)))</f>
        <v/>
      </c>
      <c r="DI15" s="123">
        <f>IF(OR(DI$4="",$B15=""),0,SUMIF('DADOS BRUTOS'!$A$3:$A$500,$B15,'DADOS BRUTOS'!AI$3:AI$500)+IF($C15="",0,SUMIF('DADOS BRUTOS'!$A$3:$A$500,$C15,'DADOS BRUTOS'!AI$3:AI$500)))</f>
        <v/>
      </c>
      <c r="DJ15" s="123">
        <f>IF(OR(DJ$4="",$B15=""),0,SUMIF('DADOS BRUTOS'!$A$3:$A$500,$B15,'DADOS BRUTOS'!AJ$3:AJ$500)+IF($C15="",0,SUMIF('DADOS BRUTOS'!$A$3:$A$500,$C15,'DADOS BRUTOS'!AJ$3:AJ$500)))</f>
        <v/>
      </c>
      <c r="DK15" s="123">
        <f>IF(OR(DK$4="",$B15=""),0,SUMIF('DADOS BRUTOS'!$A$3:$A$500,$B15,'DADOS BRUTOS'!AK$3:AK$500)+IF($C15="",0,SUMIF('DADOS BRUTOS'!$A$3:$A$500,$C15,'DADOS BRUTOS'!AK$3:AK$500)))</f>
        <v/>
      </c>
      <c r="DL15" s="123">
        <f>IF(OR(DL$4="",$B15=""),0,SUMIF('DADOS BRUTOS'!$A$3:$A$500,$B15,'DADOS BRUTOS'!AL$3:AL$500)+IF($C15="",0,SUMIF('DADOS BRUTOS'!$A$3:$A$500,$C15,'DADOS BRUTOS'!AL$3:AL$500)))</f>
        <v/>
      </c>
      <c r="DM15" s="123">
        <f>IF(OR(DM$4="",$B15=""),0,SUMIF('DADOS BRUTOS'!$A$3:$A$500,$B15,'DADOS BRUTOS'!AM$3:AM$500)+IF($C15="",0,SUMIF('DADOS BRUTOS'!$A$3:$A$500,$C15,'DADOS BRUTOS'!AM$3:AM$500)))</f>
        <v/>
      </c>
      <c r="DN15" s="123">
        <f>IF(OR(DN$4="",$B15=""),0,SUMIF('DADOS BRUTOS'!$A$3:$A$500,$B15,'DADOS BRUTOS'!AN$3:AN$500)+IF($C15="",0,SUMIF('DADOS BRUTOS'!$A$3:$A$500,$C15,'DADOS BRUTOS'!AN$3:AN$500)))</f>
        <v/>
      </c>
      <c r="DO15" s="123">
        <f>IF(OR(DO$4="",$B15=""),0,SUMIF('DADOS BRUTOS'!$A$3:$A$500,$B15,'DADOS BRUTOS'!AO$3:AO$500)+IF($C15="",0,SUMIF('DADOS BRUTOS'!$A$3:$A$500,$C15,'DADOS BRUTOS'!AO$3:AO$500)))</f>
        <v/>
      </c>
      <c r="DP15" s="123">
        <f>IF(OR(DP$4="",$B15=""),0,SUMIF('DADOS BRUTOS'!$A$3:$A$500,$B15,'DADOS BRUTOS'!AP$3:AP$500)+IF($C15="",0,SUMIF('DADOS BRUTOS'!$A$3:$A$500,$C15,'DADOS BRUTOS'!AP$3:AP$500)))</f>
        <v/>
      </c>
      <c r="DQ15" s="123">
        <f>IF(OR(DQ$4="",$B15=""),0,SUMIF('DADOS BRUTOS'!$A$3:$A$500,$B15,'DADOS BRUTOS'!AQ$3:AQ$500)+IF($C15="",0,SUMIF('DADOS BRUTOS'!$A$3:$A$500,$C15,'DADOS BRUTOS'!AQ$3:AQ$500)))</f>
        <v/>
      </c>
      <c r="DR15" s="123">
        <f>IF(OR(DR$4="",$B15=""),0,SUMIF('DADOS BRUTOS'!$A$3:$A$500,$B15,'DADOS BRUTOS'!AR$3:AR$500)+IF($C15="",0,SUMIF('DADOS BRUTOS'!$A$3:$A$500,$C15,'DADOS BRUTOS'!AR$3:AR$500)))</f>
        <v/>
      </c>
      <c r="DS15" s="123">
        <f>IF(OR(DS$4="",$B15=""),0,SUMIF('DADOS BRUTOS'!$A$3:$A$500,$B15,'DADOS BRUTOS'!AS$3:AS$500)+IF($C15="",0,SUMIF('DADOS BRUTOS'!$A$3:$A$500,$C15,'DADOS BRUTOS'!AS$3:AS$500)))</f>
        <v/>
      </c>
      <c r="DT15" s="123">
        <f>IF(OR(DT$4="",$B15=""),0,SUMIF('DADOS BRUTOS'!$A$3:$A$500,$B15,'DADOS BRUTOS'!AT$3:AT$500)+IF($C15="",0,SUMIF('DADOS BRUTOS'!$A$3:$A$500,$C15,'DADOS BRUTOS'!AT$3:AT$500)))</f>
        <v/>
      </c>
      <c r="DU15" s="123">
        <f>IF(OR(DU$4="",$B15=""),0,SUMIF('DADOS BRUTOS'!$A$3:$A$500,$B15,'DADOS BRUTOS'!AU$3:AU$500)+IF($C15="",0,SUMIF('DADOS BRUTOS'!$A$3:$A$500,$C15,'DADOS BRUTOS'!AU$3:AU$500)))</f>
        <v/>
      </c>
      <c r="DV15" s="123">
        <f>IF(OR(DV$4="",$B15=""),0,SUMIF('DADOS BRUTOS'!$A$3:$A$500,$B15,'DADOS BRUTOS'!AV$3:AV$500)+IF($C15="",0,SUMIF('DADOS BRUTOS'!$A$3:$A$500,$C15,'DADOS BRUTOS'!AV$3:AV$500)))</f>
        <v/>
      </c>
      <c r="DW15" s="123">
        <f>IF(OR(DW$4="",$B15=""),0,SUMIF('DADOS BRUTOS'!$A$3:$A$500,$B15,'DADOS BRUTOS'!AW$3:AW$500)+IF($C15="",0,SUMIF('DADOS BRUTOS'!$A$3:$A$500,$C15,'DADOS BRUTOS'!AW$3:AW$500)))</f>
        <v/>
      </c>
      <c r="DX15" s="123">
        <f>IF(OR(DX$4="",$B15=""),0,SUMIF('DADOS BRUTOS'!$A$3:$A$500,$B15,'DADOS BRUTOS'!AX$3:AX$500)+IF($C15="",0,SUMIF('DADOS BRUTOS'!$A$3:$A$500,$C15,'DADOS BRUTOS'!AX$3:AX$500)))</f>
        <v/>
      </c>
      <c r="DY15" s="123">
        <f>IF(OR(DY$4="",$B15=""),0,SUMIF('DADOS BRUTOS'!$A$3:$A$500,$B15,'DADOS BRUTOS'!AY$3:AY$500)+IF($C15="",0,SUMIF('DADOS BRUTOS'!$A$3:$A$500,$C15,'DADOS BRUTOS'!AY$3:AY$500)))</f>
        <v/>
      </c>
      <c r="DZ15" s="123">
        <f>IF(OR(DZ$4="",$B15=""),0,SUMIF('DADOS BRUTOS'!$A$3:$A$500,$B15,'DADOS BRUTOS'!AZ$3:AZ$500)+IF($C15="",0,SUMIF('DADOS BRUTOS'!$A$3:$A$500,$C15,'DADOS BRUTOS'!AZ$3:AZ$500)))</f>
        <v/>
      </c>
      <c r="EA15" s="123">
        <f>IF(OR(EA$4="",$B15=""),0,SUMIF('DADOS BRUTOS'!$A$3:$A$500,$B15,'DADOS BRUTOS'!BA$3:BA$500)+IF($C15="",0,SUMIF('DADOS BRUTOS'!$A$3:$A$500,$C15,'DADOS BRUTOS'!BA$3:BA$500)))</f>
        <v/>
      </c>
      <c r="EB15" s="123">
        <f>IF(OR(EB$4="",$B15=""),0,SUMIF('DADOS BRUTOS'!$A$3:$A$500,$B15,'DADOS BRUTOS'!BB$3:BB$500)+IF($C15="",0,SUMIF('DADOS BRUTOS'!$A$3:$A$500,$C15,'DADOS BRUTOS'!BB$3:BB$500)))</f>
        <v/>
      </c>
      <c r="EC15" s="123">
        <f>IF(OR(EC$4="",$B15=""),0,SUMIF('DADOS BRUTOS'!$A$3:$A$500,$B15,'DADOS BRUTOS'!BC$3:BC$500)+IF($C15="",0,SUMIF('DADOS BRUTOS'!$A$3:$A$500,$C15,'DADOS BRUTOS'!BC$3:BC$500)))</f>
        <v/>
      </c>
      <c r="ED15" s="123">
        <f>IF(OR(ED$4="",$B15=""),0,SUMIF('DADOS BRUTOS'!$A$3:$A$500,$B15,'DADOS BRUTOS'!BD$3:BD$500)+IF($C15="",0,SUMIF('DADOS BRUTOS'!$A$3:$A$500,$C15,'DADOS BRUTOS'!BD$3:BD$500)))</f>
        <v/>
      </c>
      <c r="EE15" s="123">
        <f>IF(OR(EE$4="",$B15=""),0,SUMIF('DADOS BRUTOS'!$A$3:$A$500,$B15,'DADOS BRUTOS'!BE$3:BE$500)+IF($C15="",0,SUMIF('DADOS BRUTOS'!$A$3:$A$500,$C15,'DADOS BRUTOS'!BE$3:BE$500)))</f>
        <v/>
      </c>
      <c r="EF15" s="123">
        <f>IF(OR(EF$4="",$B15=""),0,SUMIF('DADOS BRUTOS'!$A$3:$A$500,$B15,'DADOS BRUTOS'!BF$3:BF$500)+IF($C15="",0,SUMIF('DADOS BRUTOS'!$A$3:$A$500,$C15,'DADOS BRUTOS'!BF$3:BF$500)))</f>
        <v/>
      </c>
      <c r="EG15" s="123">
        <f>IF(OR(EG$4="",$B15=""),0,SUMIF('DADOS BRUTOS'!$A$3:$A$500,$B15,'DADOS BRUTOS'!BG$3:BG$500)+IF($C15="",0,SUMIF('DADOS BRUTOS'!$A$3:$A$500,$C15,'DADOS BRUTOS'!BG$3:BG$500)))</f>
        <v/>
      </c>
      <c r="EH15" s="123">
        <f>IF(OR(EH$4="",$B15=""),0,SUMIF('DADOS BRUTOS'!$A$3:$A$500,$B15,'DADOS BRUTOS'!BH$3:BH$500)+IF($C15="",0,SUMIF('DADOS BRUTOS'!$A$3:$A$500,$C15,'DADOS BRUTOS'!BH$3:BH$500)))</f>
        <v/>
      </c>
      <c r="EI15" s="123">
        <f>IF(OR(EI$4="",$B15=""),0,SUMIF('DADOS BRUTOS'!$A$3:$A$500,$B15,'DADOS BRUTOS'!BI$3:BI$500)+IF($C15="",0,SUMIF('DADOS BRUTOS'!$A$3:$A$500,$C15,'DADOS BRUTOS'!BI$3:BI$500)))</f>
        <v/>
      </c>
      <c r="EJ15" s="123">
        <f>IF(OR(EJ$4="",$B15=""),0,SUMIF('DADOS BRUTOS'!$A$3:$A$500,$B15,'DADOS BRUTOS'!BJ$3:BJ$500)+IF($C15="",0,SUMIF('DADOS BRUTOS'!$A$3:$A$500,$C15,'DADOS BRUTOS'!BJ$3:BJ$500)))</f>
        <v/>
      </c>
      <c r="EK15" s="123">
        <f>IF(OR(EK$4="",$B15=""),0,SUMIF('DADOS BRUTOS'!$A$3:$A$500,$B15,'DADOS BRUTOS'!BK$3:BK$500)+IF($C15="",0,SUMIF('DADOS BRUTOS'!$A$3:$A$500,$C15,'DADOS BRUTOS'!BK$3:BK$500)))</f>
        <v/>
      </c>
      <c r="EL15" s="123">
        <f>IF(OR(EL$4="",$B15=""),0,SUMIF('DADOS BRUTOS'!$A$3:$A$500,$B15,'DADOS BRUTOS'!BL$3:BL$500)+IF($C15="",0,SUMIF('DADOS BRUTOS'!$A$3:$A$500,$C15,'DADOS BRUTOS'!BL$3:BL$500)))</f>
        <v/>
      </c>
      <c r="EM15" s="123">
        <f>IF(OR(EM$4="",$B15=""),0,SUMIF('DADOS BRUTOS'!$A$3:$A$500,$B15,'DADOS BRUTOS'!BM$3:BM$500)+IF($C15="",0,SUMIF('DADOS BRUTOS'!$A$3:$A$500,$C15,'DADOS BRUTOS'!BM$3:BM$500)))</f>
        <v/>
      </c>
      <c r="EN15" s="123">
        <f>IF(OR(EN$4="",$B15=""),0,SUMIF('DADOS BRUTOS'!$A$3:$A$500,$B15,'DADOS BRUTOS'!BN$3:BN$500)+IF($C15="",0,SUMIF('DADOS BRUTOS'!$A$3:$A$500,$C15,'DADOS BRUTOS'!BN$3:BN$500)))</f>
        <v/>
      </c>
      <c r="EO15" s="123">
        <f>IF(OR(EO$4="",$B15=""),0,SUMIF('DADOS BRUTOS'!$A$3:$A$500,$B15,'DADOS BRUTOS'!BO$3:BO$500)+IF($C15="",0,SUMIF('DADOS BRUTOS'!$A$3:$A$500,$C15,'DADOS BRUTOS'!BO$3:BO$500)))</f>
        <v/>
      </c>
      <c r="EP15" s="123">
        <f>IF(OR(EP$4="",$B15=""),0,SUMIF('DADOS BRUTOS'!$A$3:$A$500,$B15,'DADOS BRUTOS'!BP$3:BP$500)+IF($C15="",0,SUMIF('DADOS BRUTOS'!$A$3:$A$500,$C15,'DADOS BRUTOS'!BP$3:BP$500)))</f>
        <v/>
      </c>
      <c r="EQ15" s="123">
        <f>IF(OR(EQ$4="",$B15=""),0,SUMIF('DADOS BRUTOS'!$A$3:$A$500,$B15,'DADOS BRUTOS'!BQ$3:BQ$500)+IF($C15="",0,SUMIF('DADOS BRUTOS'!$A$3:$A$500,$C15,'DADOS BRUTOS'!BQ$3:BQ$500)))</f>
        <v/>
      </c>
      <c r="ER15" s="123">
        <f>IF(OR(ER$4="",$B15=""),0,SUMIF('DADOS BRUTOS'!$A$3:$A$500,$B15,'DADOS BRUTOS'!BR$3:BR$500)+IF($C15="",0,SUMIF('DADOS BRUTOS'!$A$3:$A$500,$C15,'DADOS BRUTOS'!BR$3:BR$500)))</f>
        <v/>
      </c>
      <c r="ES15" s="123">
        <f>IF(OR(ES$4="",$B15=""),0,SUMIF('DADOS BRUTOS'!$A$3:$A$500,$B15,'DADOS BRUTOS'!BS$3:BS$500)+IF($C15="",0,SUMIF('DADOS BRUTOS'!$A$3:$A$500,$C15,'DADOS BRUTOS'!BS$3:BS$500)))</f>
        <v/>
      </c>
      <c r="ET15" s="123">
        <f>IF(OR(ET$4="",$B15=""),0,SUMIF('DADOS BRUTOS'!$A$3:$A$500,$B15,'DADOS BRUTOS'!BT$3:BT$500)+IF($C15="",0,SUMIF('DADOS BRUTOS'!$A$3:$A$500,$C15,'DADOS BRUTOS'!BT$3:BT$500)))</f>
        <v/>
      </c>
      <c r="EU15" s="123">
        <f>IF(OR(EU$4="",$B15=""),0,SUMIF('DADOS BRUTOS'!$A$3:$A$500,$B15,'DADOS BRUTOS'!BU$3:BU$500)+IF($C15="",0,SUMIF('DADOS BRUTOS'!$A$3:$A$500,$C15,'DADOS BRUTOS'!BU$3:BU$500)))</f>
        <v/>
      </c>
      <c r="EV15" s="123">
        <f>IF(OR(EV$4="",$B15=""),0,SUMIF('DADOS BRUTOS'!$A$3:$A$500,$B15,'DADOS BRUTOS'!BV$3:BV$500)+IF($C15="",0,SUMIF('DADOS BRUTOS'!$A$3:$A$500,$C15,'DADOS BRUTOS'!BV$3:BV$500)))</f>
        <v/>
      </c>
      <c r="EW15" s="123">
        <f>IF(OR(EW$4="",$B15=""),0,SUMIF('DADOS BRUTOS'!$A$3:$A$500,$B15,'DADOS BRUTOS'!BW$3:BW$500)+IF($C15="",0,SUMIF('DADOS BRUTOS'!$A$3:$A$500,$C15,'DADOS BRUTOS'!BW$3:BW$500)))</f>
        <v/>
      </c>
      <c r="EX15" s="123">
        <f>IF(OR(EX$4="",$B15=""),0,SUMIF('DADOS BRUTOS'!$A$3:$A$500,$B15,'DADOS BRUTOS'!BX$3:BX$500)+IF($C15="",0,SUMIF('DADOS BRUTOS'!$A$3:$A$500,$C15,'DADOS BRUTOS'!BX$3:BX$500)))</f>
        <v/>
      </c>
      <c r="EY15" s="123">
        <f>IF(OR(EY$4="",$B15=""),0,SUMIF('DADOS BRUTOS'!$A$3:$A$500,$B15,'DADOS BRUTOS'!BY$3:BY$500)+IF($C15="",0,SUMIF('DADOS BRUTOS'!$A$3:$A$500,$C15,'DADOS BRUTOS'!BY$3:BY$500)))</f>
        <v/>
      </c>
      <c r="EZ15" s="123">
        <f>IF(OR(EZ$4="",$B15=""),0,SUMIF('DADOS BRUTOS'!$A$3:$A$500,$B15,'DADOS BRUTOS'!BZ$3:BZ$500)+IF($C15="",0,SUMIF('DADOS BRUTOS'!$A$3:$A$500,$C15,'DADOS BRUTOS'!BZ$3:BZ$500)))</f>
        <v/>
      </c>
      <c r="FA15" s="123">
        <f>IF(OR(FA$4="",$B15=""),0,SUMIF('DADOS BRUTOS'!$A$3:$A$500,$B15,'DADOS BRUTOS'!CA$3:CA$500)+IF($C15="",0,SUMIF('DADOS BRUTOS'!$A$3:$A$500,$C15,'DADOS BRUTOS'!CA$3:CA$500)))</f>
        <v/>
      </c>
      <c r="FB15" s="123">
        <f>IF(OR(FB$4="",$B15=""),0,SUMIF('DADOS BRUTOS'!$A$3:$A$500,$B15,'DADOS BRUTOS'!CB$3:CB$500)+IF($C15="",0,SUMIF('DADOS BRUTOS'!$A$3:$A$500,$C15,'DADOS BRUTOS'!CB$3:CB$500)))</f>
        <v/>
      </c>
      <c r="FC15" s="123">
        <f>IF(OR(FC$4="",$B15=""),0,SUMIF('DADOS BRUTOS'!$A$3:$A$500,$B15,'DADOS BRUTOS'!CC$3:CC$500)+IF($C15="",0,SUMIF('DADOS BRUTOS'!$A$3:$A$500,$C15,'DADOS BRUTOS'!CC$3:CC$500)))</f>
        <v/>
      </c>
      <c r="FD15" s="123">
        <f>IF(OR(FD$4="",$B15=""),0,SUMIF('DADOS BRUTOS'!$A$3:$A$500,$B15,'DADOS BRUTOS'!CD$3:CD$500)+IF($C15="",0,SUMIF('DADOS BRUTOS'!$A$3:$A$500,$C15,'DADOS BRUTOS'!CD$3:CD$500)))</f>
        <v/>
      </c>
      <c r="FE15" s="123">
        <f>IF(OR(FE$4="",$B15=""),0,SUMIF('DADOS BRUTOS'!$A$3:$A$500,$B15,'DADOS BRUTOS'!CE$3:CE$500)+IF($C15="",0,SUMIF('DADOS BRUTOS'!$A$3:$A$500,$C15,'DADOS BRUTOS'!CE$3:CE$500)))</f>
        <v/>
      </c>
      <c r="FF15" s="123">
        <f>IF(OR(FF$4="",$B15=""),0,SUMIF('DADOS BRUTOS'!$A$3:$A$500,$B15,'DADOS BRUTOS'!CF$3:CF$500)+IF($C15="",0,SUMIF('DADOS BRUTOS'!$A$3:$A$500,$C15,'DADOS BRUTOS'!CF$3:CF$500)))</f>
        <v/>
      </c>
      <c r="FG15" s="123">
        <f>IF(OR(FG$4="",$B15=""),0,SUMIF('DADOS BRUTOS'!$A$3:$A$500,$B15,'DADOS BRUTOS'!CG$3:CG$500)+IF($C15="",0,SUMIF('DADOS BRUTOS'!$A$3:$A$500,$C15,'DADOS BRUTOS'!CG$3:CG$500)))</f>
        <v/>
      </c>
      <c r="FH15" s="123">
        <f>IF(OR(FH$4="",$B15=""),0,SUMIF('DADOS BRUTOS'!$A$3:$A$500,$B15,'DADOS BRUTOS'!CH$3:CH$500)+IF($C15="",0,SUMIF('DADOS BRUTOS'!$A$3:$A$500,$C15,'DADOS BRUTOS'!CH$3:CH$500)))</f>
        <v/>
      </c>
      <c r="FI15" s="123">
        <f>IF(OR(FI$4="",$B15=""),0,SUMIF('DADOS BRUTOS'!$A$3:$A$500,$B15,'DADOS BRUTOS'!CI$3:CI$500)+IF($C15="",0,SUMIF('DADOS BRUTOS'!$A$3:$A$500,$C15,'DADOS BRUTOS'!CI$3:CI$500)))</f>
        <v/>
      </c>
      <c r="FJ15" s="123">
        <f>IF(OR(FJ$4="",$B15=""),0,SUMIF('DADOS BRUTOS'!$A$3:$A$500,$B15,'DADOS BRUTOS'!CJ$3:CJ$500)+IF($C15="",0,SUMIF('DADOS BRUTOS'!$A$3:$A$500,$C15,'DADOS BRUTOS'!CJ$3:CJ$500)))</f>
        <v/>
      </c>
      <c r="FK15" s="123">
        <f>IF(OR(FK$4="",$B15=""),0,SUMIF('DADOS BRUTOS'!$A$3:$A$500,$B15,'DADOS BRUTOS'!CK$3:CK$500)+IF($C15="",0,SUMIF('DADOS BRUTOS'!$A$3:$A$500,$C15,'DADOS BRUTOS'!CK$3:CK$500)))</f>
        <v/>
      </c>
      <c r="FL15" s="123">
        <f>IF(OR(FL$4="",$B15=""),0,SUMIF('DADOS BRUTOS'!$A$3:$A$500,$B15,'DADOS BRUTOS'!CL$3:CL$500)+IF($C15="",0,SUMIF('DADOS BRUTOS'!$A$3:$A$500,$C15,'DADOS BRUTOS'!CL$3:CL$500)))</f>
        <v/>
      </c>
      <c r="FM15" s="123">
        <f>IF(OR(FM$4="",$B15=""),0,SUMIF('DADOS BRUTOS'!$A$3:$A$500,$B15,'DADOS BRUTOS'!CM$3:CM$500)+IF($C15="",0,SUMIF('DADOS BRUTOS'!$A$3:$A$500,$C15,'DADOS BRUTOS'!CM$3:CM$500)))</f>
        <v/>
      </c>
      <c r="FN15" s="123">
        <f>IF(OR(FN$4="",$B15=""),0,SUMIF('DADOS BRUTOS'!$A$3:$A$500,$B15,'DADOS BRUTOS'!CN$3:CN$500)+IF($C15="",0,SUMIF('DADOS BRUTOS'!$A$3:$A$500,$C15,'DADOS BRUTOS'!CN$3:CN$500)))</f>
        <v/>
      </c>
      <c r="FO15" s="123">
        <f>IF(OR(FO$4="",$B15=""),0,SUMIF('DADOS BRUTOS'!$A$3:$A$500,$B15,'DADOS BRUTOS'!CO$3:CO$500)+IF($C15="",0,SUMIF('DADOS BRUTOS'!$A$3:$A$500,$C15,'DADOS BRUTOS'!CO$3:CO$500)))</f>
        <v/>
      </c>
      <c r="FP15" s="123">
        <f>IF(OR(FP$4="",$B15=""),0,SUMIF('DADOS BRUTOS'!$A$3:$A$500,$B15,'DADOS BRUTOS'!CP$3:CP$500)+IF($C15="",0,SUMIF('DADOS BRUTOS'!$A$3:$A$500,$C15,'DADOS BRUTOS'!CP$3:CP$500)))</f>
        <v/>
      </c>
      <c r="FQ15" s="123">
        <f>IF(OR(FQ$4="",$B15=""),0,SUMIF('DADOS BRUTOS'!$A$3:$A$500,$B15,'DADOS BRUTOS'!CQ$3:CQ$500)+IF($C15="",0,SUMIF('DADOS BRUTOS'!$A$3:$A$500,$C15,'DADOS BRUTOS'!CQ$3:CQ$500)))</f>
        <v/>
      </c>
      <c r="FR15" s="123">
        <f>IF(OR(FR$4="",$B15=""),0,SUMIF('DADOS BRUTOS'!$A$3:$A$500,$B15,'DADOS BRUTOS'!CR$3:CR$500)+IF($C15="",0,SUMIF('DADOS BRUTOS'!$A$3:$A$500,$C15,'DADOS BRUTOS'!CR$3:CR$500)))</f>
        <v/>
      </c>
      <c r="FS15" s="123">
        <f>IF(OR(FS$4="",$B15=""),0,SUMIF('DADOS BRUTOS'!$A$3:$A$500,$B15,'DADOS BRUTOS'!CS$3:CS$500)+IF($C15="",0,SUMIF('DADOS BRUTOS'!$A$3:$A$500,$C15,'DADOS BRUTOS'!CS$3:CS$500)))</f>
        <v/>
      </c>
      <c r="FT15" s="123">
        <f>IF(OR(FT$4="",$B15=""),0,SUMIF('DADOS BRUTOS'!$A$3:$A$500,$B15,'DADOS BRUTOS'!CT$3:CT$500)+IF($C15="",0,SUMIF('DADOS BRUTOS'!$A$3:$A$500,$C15,'DADOS BRUTOS'!CT$3:CT$500)))</f>
        <v/>
      </c>
      <c r="FU15" s="123">
        <f>IF(OR(FU$4="",$B15=""),0,SUMIF('DADOS BRUTOS'!$A$3:$A$500,$B15,'DADOS BRUTOS'!CU$3:CU$500)+IF($C15="",0,SUMIF('DADOS BRUTOS'!$A$3:$A$500,$C15,'DADOS BRUTOS'!CU$3:CU$500)))</f>
        <v/>
      </c>
      <c r="FV15" s="123">
        <f>IF(OR(FV$4="",$B15=""),0,SUMIF('DADOS BRUTOS'!$A$3:$A$500,$B15,'DADOS BRUTOS'!CV$3:CV$500)+IF($C15="",0,SUMIF('DADOS BRUTOS'!$A$3:$A$500,$C15,'DADOS BRUTOS'!CV$3:CV$500)))</f>
        <v/>
      </c>
      <c r="FW15" s="123">
        <f>IF(OR(FW$4="",$B15=""),0,SUMIF('DADOS BRUTOS'!$A$3:$A$500,$B15,'DADOS BRUTOS'!CW$3:CW$500)+IF($C15="",0,SUMIF('DADOS BRUTOS'!$A$3:$A$500,$C15,'DADOS BRUTOS'!CW$3:CW$500)))</f>
        <v/>
      </c>
      <c r="FX15" s="123">
        <f>IF(OR(FX$4="",$B15=""),0,SUMIF('DADOS BRUTOS'!$A$3:$A$500,$B15,'DADOS BRUTOS'!CX$3:CX$500)+IF($C15="",0,SUMIF('DADOS BRUTOS'!$A$3:$A$500,$C15,'DADOS BRUTOS'!CX$3:CX$500)))</f>
        <v/>
      </c>
      <c r="FY15" s="123">
        <f>IF(OR(FY$4="",$B15=""),0,SUMIF('DADOS BRUTOS'!$A$3:$A$500,$B15,'DADOS BRUTOS'!CY$3:CY$500)+IF($C15="",0,SUMIF('DADOS BRUTOS'!$A$3:$A$500,$C15,'DADOS BRUTOS'!CY$3:CY$500)))</f>
        <v/>
      </c>
      <c r="FZ15" s="123">
        <f>IF(OR(FZ$4="",$B15=""),0,SUMIF('DADOS BRUTOS'!$A$3:$A$500,$B15,'DADOS BRUTOS'!CZ$3:CZ$500)+IF($C15="",0,SUMIF('DADOS BRUTOS'!$A$3:$A$500,$C15,'DADOS BRUTOS'!CZ$3:CZ$500)))</f>
        <v/>
      </c>
      <c r="GA15" s="123">
        <f>IF(OR(GA$4="",$B15=""),0,SUMIF('DADOS BRUTOS'!$A$3:$A$500,$B15,'DADOS BRUTOS'!DA$3:DA$500)+IF($C15="",0,SUMIF('DADOS BRUTOS'!$A$3:$A$500,$C15,'DADOS BRUTOS'!DA$3:DA$500)))</f>
        <v/>
      </c>
      <c r="GB15" s="123">
        <f>IF(OR(GB$4="",$B15=""),0,SUMIF('DADOS BRUTOS'!$A$3:$A$500,$B15,'DADOS BRUTOS'!DB$3:DB$500)+IF($C15="",0,SUMIF('DADOS BRUTOS'!$A$3:$A$500,$C15,'DADOS BRUTOS'!DB$3:DB$500)))</f>
        <v/>
      </c>
      <c r="GC15" s="123">
        <f>IF(OR(GC$4="",$B15=""),0,SUMIF('DADOS BRUTOS'!$A$3:$A$500,$B15,'DADOS BRUTOS'!DC$3:DC$500)+IF($C15="",0,SUMIF('DADOS BRUTOS'!$A$3:$A$500,$C15,'DADOS BRUTOS'!DC$3:DC$500)))</f>
        <v/>
      </c>
      <c r="GD15" s="123">
        <f>IF(OR(GD$4="",$B15=""),0,SUMIF('DADOS BRUTOS'!$A$3:$A$500,$B15,'DADOS BRUTOS'!DD$3:DD$500)+IF($C15="",0,SUMIF('DADOS BRUTOS'!$A$3:$A$500,$C15,'DADOS BRUTOS'!DD$3:DD$500)))</f>
        <v/>
      </c>
      <c r="GE15" s="123">
        <f>IF(OR(GE$4="",$B15=""),0,SUMIF('DADOS BRUTOS'!$A$3:$A$500,$B15,'DADOS BRUTOS'!DE$3:DE$500)+IF($C15="",0,SUMIF('DADOS BRUTOS'!$A$3:$A$500,$C15,'DADOS BRUTOS'!DE$3:DE$500)))</f>
        <v/>
      </c>
      <c r="GF15" s="123">
        <f>IF(OR(GF$4="",$B15=""),0,SUMIF('DADOS BRUTOS'!$A$3:$A$500,$B15,'DADOS BRUTOS'!DF$3:DF$500)+IF($C15="",0,SUMIF('DADOS BRUTOS'!$A$3:$A$500,$C15,'DADOS BRUTOS'!DF$3:DF$500)))</f>
        <v/>
      </c>
      <c r="GG15" s="123">
        <f>IF(OR(GG$4="",$B15=""),0,SUMIF('DADOS BRUTOS'!$A$3:$A$500,$B15,'DADOS BRUTOS'!DG$3:DG$500)+IF($C15="",0,SUMIF('DADOS BRUTOS'!$A$3:$A$500,$C15,'DADOS BRUTOS'!DG$3:DG$500)))</f>
        <v/>
      </c>
      <c r="GH15" s="123">
        <f>IF(OR(GH$4="",$B15=""),0,SUMIF('DADOS BRUTOS'!$A$3:$A$500,$B15,'DADOS BRUTOS'!DH$3:DH$500)+IF($C15="",0,SUMIF('DADOS BRUTOS'!$A$3:$A$500,$C15,'DADOS BRUTOS'!DH$3:DH$500)))</f>
        <v/>
      </c>
      <c r="GI15" s="123">
        <f>IF(OR(GI$4="",$B15=""),0,SUMIF('DADOS BRUTOS'!$A$3:$A$500,$B15,'DADOS BRUTOS'!DI$3:DI$500)+IF($C15="",0,SUMIF('DADOS BRUTOS'!$A$3:$A$500,$C15,'DADOS BRUTOS'!DI$3:DI$500)))</f>
        <v/>
      </c>
      <c r="GJ15" s="123">
        <f>IF(OR(GJ$4="",$B15=""),0,SUMIF('DADOS BRUTOS'!$A$3:$A$500,$B15,'DADOS BRUTOS'!DJ$3:DJ$500)+IF($C15="",0,SUMIF('DADOS BRUTOS'!$A$3:$A$500,$C15,'DADOS BRUTOS'!DJ$3:DJ$500)))</f>
        <v/>
      </c>
      <c r="GK15" s="123">
        <f>IF(OR(GK$4="",$B15=""),0,SUMIF('DADOS BRUTOS'!$A$3:$A$500,$B15,'DADOS BRUTOS'!DK$3:DK$500)+IF($C15="",0,SUMIF('DADOS BRUTOS'!$A$3:$A$500,$C15,'DADOS BRUTOS'!DK$3:DK$500)))</f>
        <v/>
      </c>
      <c r="GL15" s="123">
        <f>IF(OR(GL$4="",$B15=""),0,SUMIF('DADOS BRUTOS'!$A$3:$A$500,$B15,'DADOS BRUTOS'!DL$3:DL$500)+IF($C15="",0,SUMIF('DADOS BRUTOS'!$A$3:$A$500,$C15,'DADOS BRUTOS'!DL$3:DL$500)))</f>
        <v/>
      </c>
      <c r="GM15" s="123">
        <f>IF(OR(GM$4="",$B15=""),0,SUMIF('DADOS BRUTOS'!$A$3:$A$500,$B15,'DADOS BRUTOS'!DM$3:DM$500)+IF($C15="",0,SUMIF('DADOS BRUTOS'!$A$3:$A$500,$C15,'DADOS BRUTOS'!DM$3:DM$500)))</f>
        <v/>
      </c>
      <c r="GN15" s="123">
        <f>IF(OR(GN$4="",$B15=""),0,SUMIF('DADOS BRUTOS'!$A$3:$A$500,$B15,'DADOS BRUTOS'!DN$3:DN$500)+IF($C15="",0,SUMIF('DADOS BRUTOS'!$A$3:$A$500,$C15,'DADOS BRUTOS'!DN$3:DN$500)))</f>
        <v/>
      </c>
      <c r="GO15" s="123">
        <f>IF(OR(GO$4="",$B15=""),0,SUMIF('DADOS BRUTOS'!$A$3:$A$500,$B15,'DADOS BRUTOS'!DO$3:DO$500)+IF($C15="",0,SUMIF('DADOS BRUTOS'!$A$3:$A$500,$C15,'DADOS BRUTOS'!DO$3:DO$500)))</f>
        <v/>
      </c>
      <c r="GP15" s="123">
        <f>IF(OR(GP$4="",$B15=""),0,SUMIF('DADOS BRUTOS'!$A$3:$A$500,$B15,'DADOS BRUTOS'!DP$3:DP$500)+IF($C15="",0,SUMIF('DADOS BRUTOS'!$A$3:$A$500,$C15,'DADOS BRUTOS'!DP$3:DP$500)))</f>
        <v/>
      </c>
      <c r="GQ15" s="123">
        <f>IF(OR(GQ$4="",$B15=""),0,SUMIF('DADOS BRUTOS'!$A$3:$A$500,$B15,'DADOS BRUTOS'!DQ$3:DQ$500)+IF($C15="",0,SUMIF('DADOS BRUTOS'!$A$3:$A$500,$C15,'DADOS BRUTOS'!DQ$3:DQ$500)))</f>
        <v/>
      </c>
      <c r="GR15" s="123">
        <f>IF(OR(GR$4="",$B15=""),0,SUMIF('DADOS BRUTOS'!$A$3:$A$500,$B15,'DADOS BRUTOS'!DR$3:DR$500)+IF($C15="",0,SUMIF('DADOS BRUTOS'!$A$3:$A$500,$C15,'DADOS BRUTOS'!DR$3:DR$500)))</f>
        <v/>
      </c>
      <c r="GS15" s="123">
        <f>IF(OR(GS$4="",$B15=""),0,SUMIF('DADOS BRUTOS'!$A$3:$A$500,$B15,'DADOS BRUTOS'!DS$3:DS$500)+IF($C15="",0,SUMIF('DADOS BRUTOS'!$A$3:$A$500,$C15,'DADOS BRUTOS'!DS$3:DS$500)))</f>
        <v/>
      </c>
      <c r="GT15" s="123">
        <f>IF(OR(GT$4="",$B15=""),0,SUMIF('DADOS BRUTOS'!$A$3:$A$500,$B15,'DADOS BRUTOS'!DT$3:DT$500)+IF($C15="",0,SUMIF('DADOS BRUTOS'!$A$3:$A$500,$C15,'DADOS BRUTOS'!DT$3:DT$500)))</f>
        <v/>
      </c>
      <c r="GU15" s="123">
        <f>IF(OR(GU$4="",$B15=""),0,SUMIF('DADOS BRUTOS'!$A$3:$A$500,$B15,'DADOS BRUTOS'!DU$3:DU$500)+IF($C15="",0,SUMIF('DADOS BRUTOS'!$A$3:$A$500,$C15,'DADOS BRUTOS'!DU$3:DU$500)))</f>
        <v/>
      </c>
      <c r="GV15" s="123">
        <f>IF(OR(GV$4="",$B15=""),0,SUMIF('DADOS BRUTOS'!$A$3:$A$500,$B15,'DADOS BRUTOS'!DV$3:DV$500)+IF($C15="",0,SUMIF('DADOS BRUTOS'!$A$3:$A$500,$C15,'DADOS BRUTOS'!DV$3:DV$500)))</f>
        <v/>
      </c>
      <c r="GW15" s="123">
        <f>IF(OR(GW$4="",$B15=""),0,SUMIF('DADOS BRUTOS'!$A$3:$A$500,$B15,'DADOS BRUTOS'!DW$3:DW$500)+IF($C15="",0,SUMIF('DADOS BRUTOS'!$A$3:$A$500,$C15,'DADOS BRUTOS'!DW$3:DW$500)))</f>
        <v/>
      </c>
      <c r="GX15" s="123">
        <f>IF(OR(GX$4="",$B15=""),0,SUMIF('DADOS BRUTOS'!$A$3:$A$500,$B15,'DADOS BRUTOS'!DX$3:DX$500)+IF($C15="",0,SUMIF('DADOS BRUTOS'!$A$3:$A$500,$C15,'DADOS BRUTOS'!DX$3:DX$500)))</f>
        <v/>
      </c>
      <c r="GY15" s="123">
        <f>IF(OR(GY$4="",$B15=""),0,SUMIF('DADOS BRUTOS'!$A$3:$A$500,$B15,'DADOS BRUTOS'!DY$3:DY$500)+IF($C15="",0,SUMIF('DADOS BRUTOS'!$A$3:$A$500,$C15,'DADOS BRUTOS'!DY$3:DY$500)))</f>
        <v/>
      </c>
      <c r="GZ15" s="123">
        <f>IF(OR(GZ$4="",$B15=""),0,SUMIF('DADOS BRUTOS'!$A$3:$A$500,$B15,'DADOS BRUTOS'!DZ$3:DZ$500)+IF($C15="",0,SUMIF('DADOS BRUTOS'!$A$3:$A$500,$C15,'DADOS BRUTOS'!DZ$3:DZ$500)))</f>
        <v/>
      </c>
      <c r="HA15" s="123">
        <f>IF(OR(HA$4="",$B15=""),0,SUMIF('DADOS BRUTOS'!$A$3:$A$500,$B15,'DADOS BRUTOS'!EA$3:EA$500)+IF($C15="",0,SUMIF('DADOS BRUTOS'!$A$3:$A$500,$C15,'DADOS BRUTOS'!EA$3:EA$500)))</f>
        <v/>
      </c>
      <c r="HB15" s="123">
        <f>IF(OR(HB$4="",$B15=""),0,SUMIF('DADOS BRUTOS'!$A$3:$A$500,$B15,'DADOS BRUTOS'!EB$3:EB$500)+IF($C15="",0,SUMIF('DADOS BRUTOS'!$A$3:$A$500,$C15,'DADOS BRUTOS'!EB$3:EB$500)))</f>
        <v/>
      </c>
      <c r="HC15" s="123">
        <f>IF(OR(HC$4="",$B15=""),0,SUMIF('DADOS BRUTOS'!$A$3:$A$500,$B15,'DADOS BRUTOS'!EC$3:EC$500)+IF($C15="",0,SUMIF('DADOS BRUTOS'!$A$3:$A$500,$C15,'DADOS BRUTOS'!EC$3:EC$500)))</f>
        <v/>
      </c>
      <c r="HD15" s="123">
        <f>IF(OR(HD$4="",$B15=""),0,SUMIF('DADOS BRUTOS'!$A$3:$A$500,$B15,'DADOS BRUTOS'!ED$3:ED$500)+IF($C15="",0,SUMIF('DADOS BRUTOS'!$A$3:$A$500,$C15,'DADOS BRUTOS'!ED$3:ED$500)))</f>
        <v/>
      </c>
      <c r="HE15" s="123">
        <f>IF(OR(HE$4="",$B15=""),0,SUMIF('DADOS BRUTOS'!$A$3:$A$500,$B15,'DADOS BRUTOS'!EE$3:EE$500)+IF($C15="",0,SUMIF('DADOS BRUTOS'!$A$3:$A$500,$C15,'DADOS BRUTOS'!EE$3:EE$500)))</f>
        <v/>
      </c>
      <c r="HF15" s="123">
        <f>IF(OR(HF$4="",$B15=""),0,SUMIF('DADOS BRUTOS'!$A$3:$A$500,$B15,'DADOS BRUTOS'!EF$3:EF$500)+IF($C15="",0,SUMIF('DADOS BRUTOS'!$A$3:$A$500,$C15,'DADOS BRUTOS'!EF$3:EF$500)))</f>
        <v/>
      </c>
      <c r="HG15" s="123">
        <f>IF(OR(HG$4="",$B15=""),0,SUMIF('DADOS BRUTOS'!$A$3:$A$500,$B15,'DADOS BRUTOS'!EG$3:EG$500)+IF($C15="",0,SUMIF('DADOS BRUTOS'!$A$3:$A$500,$C15,'DADOS BRUTOS'!EG$3:EG$500)))</f>
        <v/>
      </c>
      <c r="HH15" s="123">
        <f>IF(OR(HH$4="",$B15=""),0,SUMIF('DADOS BRUTOS'!$A$3:$A$500,$B15,'DADOS BRUTOS'!EH$3:EH$500)+IF($C15="",0,SUMIF('DADOS BRUTOS'!$A$3:$A$500,$C15,'DADOS BRUTOS'!EH$3:EH$500)))</f>
        <v/>
      </c>
      <c r="HI15" s="123">
        <f>IF(OR(HI$4="",$B15=""),0,SUMIF('DADOS BRUTOS'!$A$3:$A$500,$B15,'DADOS BRUTOS'!EI$3:EI$500)+IF($C15="",0,SUMIF('DADOS BRUTOS'!$A$3:$A$500,$C15,'DADOS BRUTOS'!EI$3:EI$500)))</f>
        <v/>
      </c>
      <c r="HJ15" s="123">
        <f>IF(OR(HJ$4="",$B15=""),0,SUMIF('DADOS BRUTOS'!$A$3:$A$500,$B15,'DADOS BRUTOS'!EJ$3:EJ$500)+IF($C15="",0,SUMIF('DADOS BRUTOS'!$A$3:$A$500,$C15,'DADOS BRUTOS'!EJ$3:EJ$500)))</f>
        <v/>
      </c>
      <c r="HK15" s="123">
        <f>IF(OR(HK$4="",$B15=""),0,SUMIF('DADOS BRUTOS'!$A$3:$A$500,$B15,'DADOS BRUTOS'!EK$3:EK$500)+IF($C15="",0,SUMIF('DADOS BRUTOS'!$A$3:$A$500,$C15,'DADOS BRUTOS'!EK$3:EK$500)))</f>
        <v/>
      </c>
      <c r="HL15" s="123">
        <f>IF(OR(HL$4="",$B15=""),0,SUMIF('DADOS BRUTOS'!$A$3:$A$500,$B15,'DADOS BRUTOS'!EL$3:EL$500)+IF($C15="",0,SUMIF('DADOS BRUTOS'!$A$3:$A$500,$C15,'DADOS BRUTOS'!EL$3:EL$500)))</f>
        <v/>
      </c>
      <c r="HM15" s="123">
        <f>IF(OR(HM$4="",$B15=""),0,SUMIF('DADOS BRUTOS'!$A$3:$A$500,$B15,'DADOS BRUTOS'!EM$3:EM$500)+IF($C15="",0,SUMIF('DADOS BRUTOS'!$A$3:$A$500,$C15,'DADOS BRUTOS'!EM$3:EM$500)))</f>
        <v/>
      </c>
      <c r="HN15" s="123">
        <f>IF(OR(HN$4="",$B15=""),0,SUMIF('DADOS BRUTOS'!$A$3:$A$500,$B15,'DADOS BRUTOS'!EN$3:EN$500)+IF($C15="",0,SUMIF('DADOS BRUTOS'!$A$3:$A$500,$C15,'DADOS BRUTOS'!EN$3:EN$500)))</f>
        <v/>
      </c>
      <c r="HO15" s="123">
        <f>IF(OR(HO$4="",$B15=""),0,SUMIF('DADOS BRUTOS'!$A$3:$A$500,$B15,'DADOS BRUTOS'!EO$3:EO$500)+IF($C15="",0,SUMIF('DADOS BRUTOS'!$A$3:$A$500,$C15,'DADOS BRUTOS'!EO$3:EO$500)))</f>
        <v/>
      </c>
      <c r="HP15" s="123">
        <f>IF(OR(HP$4="",$B15=""),0,SUMIF('DADOS BRUTOS'!$A$3:$A$500,$B15,'DADOS BRUTOS'!EP$3:EP$500)+IF($C15="",0,SUMIF('DADOS BRUTOS'!$A$3:$A$500,$C15,'DADOS BRUTOS'!EP$3:EP$500)))</f>
        <v/>
      </c>
      <c r="HQ15" s="123">
        <f>IF(OR(HQ$4="",$B15=""),0,SUMIF('DADOS BRUTOS'!$A$3:$A$500,$B15,'DADOS BRUTOS'!EQ$3:EQ$500)+IF($C15="",0,SUMIF('DADOS BRUTOS'!$A$3:$A$500,$C15,'DADOS BRUTOS'!EQ$3:EQ$500)))</f>
        <v/>
      </c>
      <c r="HR15" s="123">
        <f>IF(OR(HR$4="",$B15=""),0,SUMIF('DADOS BRUTOS'!$A$3:$A$500,$B15,'DADOS BRUTOS'!ER$3:ER$500)+IF($C15="",0,SUMIF('DADOS BRUTOS'!$A$3:$A$500,$C15,'DADOS BRUTOS'!ER$3:ER$500)))</f>
        <v/>
      </c>
      <c r="HS15" s="123">
        <f>IF(OR(HS$4="",$B15=""),0,SUMIF('DADOS BRUTOS'!$A$3:$A$500,$B15,'DADOS BRUTOS'!ES$3:ES$500)+IF($C15="",0,SUMIF('DADOS BRUTOS'!$A$3:$A$500,$C15,'DADOS BRUTOS'!ES$3:ES$500)))</f>
        <v/>
      </c>
      <c r="HT15" s="123">
        <f>IF(OR(HT$4="",$B15=""),0,SUMIF('DADOS BRUTOS'!$A$3:$A$500,$B15,'DADOS BRUTOS'!ET$3:ET$500)+IF($C15="",0,SUMIF('DADOS BRUTOS'!$A$3:$A$500,$C15,'DADOS BRUTOS'!ET$3:ET$500)))</f>
        <v/>
      </c>
      <c r="HU15" s="123">
        <f>IF(OR(HU$4="",$B15=""),0,SUMIF('DADOS BRUTOS'!$A$3:$A$500,$B15,'DADOS BRUTOS'!EU$3:EU$500)+IF($C15="",0,SUMIF('DADOS BRUTOS'!$A$3:$A$500,$C15,'DADOS BRUTOS'!EU$3:EU$500)))</f>
        <v/>
      </c>
      <c r="HV15" s="123">
        <f>IF(OR(HV$4="",$B15=""),0,SUMIF('DADOS BRUTOS'!$A$3:$A$500,$B15,'DADOS BRUTOS'!EV$3:EV$500)+IF($C15="",0,SUMIF('DADOS BRUTOS'!$A$3:$A$500,$C15,'DADOS BRUTOS'!EV$3:EV$500)))</f>
        <v/>
      </c>
      <c r="HW15" s="123">
        <f>IF(OR(HW$4="",$B15=""),0,SUMIF('DADOS BRUTOS'!$A$3:$A$500,$B15,'DADOS BRUTOS'!EW$3:EW$500)+IF($C15="",0,SUMIF('DADOS BRUTOS'!$A$3:$A$500,$C15,'DADOS BRUTOS'!EW$3:EW$500)))</f>
        <v/>
      </c>
      <c r="HX15" s="123">
        <f>IF(OR(HX$4="",$B15=""),0,SUMIF('DADOS BRUTOS'!$A$3:$A$500,$B15,'DADOS BRUTOS'!EX$3:EX$500)+IF($C15="",0,SUMIF('DADOS BRUTOS'!$A$3:$A$500,$C15,'DADOS BRUTOS'!EX$3:EX$500)))</f>
        <v/>
      </c>
      <c r="HY15" s="123">
        <f>IF(OR(HY$4="",$B15=""),0,SUMIF('DADOS BRUTOS'!$A$3:$A$500,$B15,'DADOS BRUTOS'!EY$3:EY$500)+IF($C15="",0,SUMIF('DADOS BRUTOS'!$A$3:$A$500,$C15,'DADOS BRUTOS'!EY$3:EY$500)))</f>
        <v/>
      </c>
      <c r="HZ15" s="123">
        <f>IF(OR(HZ$4="",$B15=""),0,SUMIF('DADOS BRUTOS'!$A$3:$A$500,$B15,'DADOS BRUTOS'!EZ$3:EZ$500)+IF($C15="",0,SUMIF('DADOS BRUTOS'!$A$3:$A$500,$C15,'DADOS BRUTOS'!EZ$3:EZ$500)))</f>
        <v/>
      </c>
      <c r="IA15" s="123">
        <f>IF(OR(IA$4="",$B15=""),0,SUMIF('DADOS BRUTOS'!$A$3:$A$500,$B15,'DADOS BRUTOS'!FA$3:FA$500)+IF($C15="",0,SUMIF('DADOS BRUTOS'!$A$3:$A$500,$C15,'DADOS BRUTOS'!FA$3:FA$500)))</f>
        <v/>
      </c>
      <c r="IB15" s="123">
        <f>IF(OR(IB$4="",$B15=""),0,SUMIF('DADOS BRUTOS'!$A$3:$A$500,$B15,'DADOS BRUTOS'!FB$3:FB$500)+IF($C15="",0,SUMIF('DADOS BRUTOS'!$A$3:$A$500,$C15,'DADOS BRUTOS'!FB$3:FB$500)))</f>
        <v/>
      </c>
      <c r="IC15" s="123">
        <f>IF(OR(IC$4="",$B15=""),0,SUMIF('DADOS BRUTOS'!$A$3:$A$500,$B15,'DADOS BRUTOS'!FC$3:FC$500)+IF($C15="",0,SUMIF('DADOS BRUTOS'!$A$3:$A$500,$C15,'DADOS BRUTOS'!FC$3:FC$500)))</f>
        <v/>
      </c>
      <c r="ID15" s="123">
        <f>IF(OR(ID$4="",$B15=""),0,SUMIF('DADOS BRUTOS'!$A$3:$A$500,$B15,'DADOS BRUTOS'!FD$3:FD$500)+IF($C15="",0,SUMIF('DADOS BRUTOS'!$A$3:$A$500,$C15,'DADOS BRUTOS'!FD$3:FD$500)))</f>
        <v/>
      </c>
      <c r="IE15" s="123">
        <f>IF(OR(IE$4="",$B15=""),0,SUMIF('DADOS BRUTOS'!$A$3:$A$500,$B15,'DADOS BRUTOS'!FE$3:FE$500)+IF($C15="",0,SUMIF('DADOS BRUTOS'!$A$3:$A$500,$C15,'DADOS BRUTOS'!FE$3:FE$500)))</f>
        <v/>
      </c>
      <c r="IF15" s="123">
        <f>IF(OR(IF$4="",$B15=""),0,SUMIF('DADOS BRUTOS'!$A$3:$A$500,$B15,'DADOS BRUTOS'!FF$3:FF$500)+IF($C15="",0,SUMIF('DADOS BRUTOS'!$A$3:$A$500,$C15,'DADOS BRUTOS'!FF$3:FF$500)))</f>
        <v/>
      </c>
      <c r="IG15" s="123">
        <f>IF(OR(IG$4="",$B15=""),0,SUMIF('DADOS BRUTOS'!$A$3:$A$500,$B15,'DADOS BRUTOS'!FG$3:FG$500)+IF($C15="",0,SUMIF('DADOS BRUTOS'!$A$3:$A$500,$C15,'DADOS BRUTOS'!FG$3:FG$500)))</f>
        <v/>
      </c>
      <c r="IH15" s="123">
        <f>IF(OR(IH$4="",$B15=""),0,SUMIF('DADOS BRUTOS'!$A$3:$A$500,$B15,'DADOS BRUTOS'!FH$3:FH$500)+IF($C15="",0,SUMIF('DADOS BRUTOS'!$A$3:$A$500,$C15,'DADOS BRUTOS'!FH$3:FH$500)))</f>
        <v/>
      </c>
      <c r="II15" s="123">
        <f>IF(OR(II$4="",$B15=""),0,SUMIF('DADOS BRUTOS'!$A$3:$A$500,$B15,'DADOS BRUTOS'!FI$3:FI$500)+IF($C15="",0,SUMIF('DADOS BRUTOS'!$A$3:$A$500,$C15,'DADOS BRUTOS'!FI$3:FI$500)))</f>
        <v/>
      </c>
      <c r="IJ15" s="123">
        <f>IF(OR(IJ$4="",$B15=""),0,SUMIF('DADOS BRUTOS'!$A$3:$A$500,$B15,'DADOS BRUTOS'!FJ$3:FJ$500)+IF($C15="",0,SUMIF('DADOS BRUTOS'!$A$3:$A$500,$C15,'DADOS BRUTOS'!FJ$3:FJ$500)))</f>
        <v/>
      </c>
      <c r="IK15" s="123">
        <f>IF(OR(IK$4="",$B15=""),0,SUMIF('DADOS BRUTOS'!$A$3:$A$500,$B15,'DADOS BRUTOS'!FK$3:FK$500)+IF($C15="",0,SUMIF('DADOS BRUTOS'!$A$3:$A$500,$C15,'DADOS BRUTOS'!FK$3:FK$500)))</f>
        <v/>
      </c>
      <c r="IL15" s="123">
        <f>IF(OR(IL$4="",$B15=""),0,SUMIF('DADOS BRUTOS'!$A$3:$A$500,$B15,'DADOS BRUTOS'!FL$3:FL$500)+IF($C15="",0,SUMIF('DADOS BRUTOS'!$A$3:$A$500,$C15,'DADOS BRUTOS'!FL$3:FL$500)))</f>
        <v/>
      </c>
      <c r="IM15" s="123">
        <f>IF(OR(IM$4="",$B15=""),0,SUMIF('DADOS BRUTOS'!$A$3:$A$500,$B15,'DADOS BRUTOS'!FM$3:FM$500)+IF($C15="",0,SUMIF('DADOS BRUTOS'!$A$3:$A$500,$C15,'DADOS BRUTOS'!FM$3:FM$500)))</f>
        <v/>
      </c>
      <c r="IN15" s="123">
        <f>IF(OR(IN$4="",$B15=""),0,SUMIF('DADOS BRUTOS'!$A$3:$A$500,$B15,'DADOS BRUTOS'!FN$3:FN$500)+IF($C15="",0,SUMIF('DADOS BRUTOS'!$A$3:$A$500,$C15,'DADOS BRUTOS'!FN$3:FN$500)))</f>
        <v/>
      </c>
      <c r="IO15" s="123">
        <f>IF(OR(IO$4="",$B15=""),0,SUMIF('DADOS BRUTOS'!$A$3:$A$500,$B15,'DADOS BRUTOS'!FO$3:FO$500)+IF($C15="",0,SUMIF('DADOS BRUTOS'!$A$3:$A$500,$C15,'DADOS BRUTOS'!FO$3:FO$500)))</f>
        <v/>
      </c>
      <c r="IP15" s="123">
        <f>IF(OR(IP$4="",$B15=""),0,SUMIF('DADOS BRUTOS'!$A$3:$A$500,$B15,'DADOS BRUTOS'!FP$3:FP$500)+IF($C15="",0,SUMIF('DADOS BRUTOS'!$A$3:$A$500,$C15,'DADOS BRUTOS'!FP$3:FP$500)))</f>
        <v/>
      </c>
      <c r="IQ15" s="123">
        <f>IF(OR(IQ$4="",$B15=""),0,SUMIF('DADOS BRUTOS'!$A$3:$A$500,$B15,'DADOS BRUTOS'!FQ$3:FQ$500)+IF($C15="",0,SUMIF('DADOS BRUTOS'!$A$3:$A$500,$C15,'DADOS BRUTOS'!FQ$3:FQ$500)))</f>
        <v/>
      </c>
      <c r="IR15" s="123">
        <f>IF(OR(IR$4="",$B15=""),0,SUMIF('DADOS BRUTOS'!$A$3:$A$500,$B15,'DADOS BRUTOS'!FR$3:FR$500)+IF($C15="",0,SUMIF('DADOS BRUTOS'!$A$3:$A$500,$C15,'DADOS BRUTOS'!FR$3:FR$500)))</f>
        <v/>
      </c>
      <c r="IS15" s="123">
        <f>IF(OR(IS$4="",$B15=""),0,SUMIF('DADOS BRUTOS'!$A$3:$A$500,$B15,'DADOS BRUTOS'!FS$3:FS$500)+IF($C15="",0,SUMIF('DADOS BRUTOS'!$A$3:$A$500,$C15,'DADOS BRUTOS'!FS$3:FS$500)))</f>
        <v/>
      </c>
      <c r="IT15" s="123">
        <f>IF(OR(IT$4="",$B15=""),0,SUMIF('DADOS BRUTOS'!$A$3:$A$500,$B15,'DADOS BRUTOS'!FT$3:FT$500)+IF($C15="",0,SUMIF('DADOS BRUTOS'!$A$3:$A$500,$C15,'DADOS BRUTOS'!FT$3:FT$500)))</f>
        <v/>
      </c>
      <c r="IU15" s="123">
        <f>IF(OR(IU$4="",$B15=""),0,SUMIF('DADOS BRUTOS'!$A$3:$A$500,$B15,'DADOS BRUTOS'!FU$3:FU$500)+IF($C15="",0,SUMIF('DADOS BRUTOS'!$A$3:$A$500,$C15,'DADOS BRUTOS'!FU$3:FU$500)))</f>
        <v/>
      </c>
      <c r="IV15" s="123">
        <f>IF(OR(IV$4="",$B15=""),0,SUMIF('DADOS BRUTOS'!$A$3:$A$500,$B15,'DADOS BRUTOS'!FV$3:FV$500)+IF($C15="",0,SUMIF('DADOS BRUTOS'!$A$3:$A$500,$C15,'DADOS BRUTOS'!FV$3:FV$500)))</f>
        <v/>
      </c>
      <c r="IW15" s="123">
        <f>IF(OR(IW$4="",$B15=""),0,SUMIF('DADOS BRUTOS'!$A$3:$A$500,$B15,'DADOS BRUTOS'!FW$3:FW$500)+IF($C15="",0,SUMIF('DADOS BRUTOS'!$A$3:$A$500,$C15,'DADOS BRUTOS'!FW$3:FW$500)))</f>
        <v/>
      </c>
      <c r="IX15" s="123">
        <f>IF(OR(IX$4="",$B15=""),0,SUMIF('DADOS BRUTOS'!$A$3:$A$500,$B15,'DADOS BRUTOS'!FX$3:FX$500)+IF($C15="",0,SUMIF('DADOS BRUTOS'!$A$3:$A$500,$C15,'DADOS BRUTOS'!FX$3:FX$500)))</f>
        <v/>
      </c>
      <c r="IY15" s="123">
        <f>IF(OR(IY$4="",$B15=""),0,SUMIF('DADOS BRUTOS'!$A$3:$A$500,$B15,'DADOS BRUTOS'!FY$3:FY$500)+IF($C15="",0,SUMIF('DADOS BRUTOS'!$A$3:$A$500,$C15,'DADOS BRUTOS'!FY$3:FY$500)))</f>
        <v/>
      </c>
      <c r="IZ15" s="123">
        <f>IF(OR(IZ$4="",$B15=""),0,SUMIF('DADOS BRUTOS'!$A$3:$A$500,$B15,'DADOS BRUTOS'!FZ$3:FZ$500)+IF($C15="",0,SUMIF('DADOS BRUTOS'!$A$3:$A$500,$C15,'DADOS BRUTOS'!FZ$3:FZ$500)))</f>
        <v/>
      </c>
      <c r="JA15" s="123">
        <f>IF(OR(JA$4="",$B15=""),0,SUMIF('DADOS BRUTOS'!$A$3:$A$500,$B15,'DADOS BRUTOS'!GA$3:GA$500)+IF($C15="",0,SUMIF('DADOS BRUTOS'!$A$3:$A$500,$C15,'DADOS BRUTOS'!GA$3:GA$500)))</f>
        <v/>
      </c>
      <c r="JB15" s="123">
        <f>IF(OR(JB$4="",$B15=""),0,SUMIF('DADOS BRUTOS'!$A$3:$A$500,$B15,'DADOS BRUTOS'!GB$3:GB$500)+IF($C15="",0,SUMIF('DADOS BRUTOS'!$A$3:$A$500,$C15,'DADOS BRUTOS'!GB$3:GB$500)))</f>
        <v/>
      </c>
      <c r="JC15" s="123">
        <f>IF(OR(JC$4="",$B15=""),0,SUMIF('DADOS BRUTOS'!$A$3:$A$500,$B15,'DADOS BRUTOS'!GC$3:GC$500)+IF($C15="",0,SUMIF('DADOS BRUTOS'!$A$3:$A$500,$C15,'DADOS BRUTOS'!GC$3:GC$500)))</f>
        <v/>
      </c>
      <c r="JD15" s="123">
        <f>IF(OR(JD$4="",$B15=""),0,SUMIF('DADOS BRUTOS'!$A$3:$A$500,$B15,'DADOS BRUTOS'!GD$3:GD$500)+IF($C15="",0,SUMIF('DADOS BRUTOS'!$A$3:$A$500,$C15,'DADOS BRUTOS'!GD$3:GD$500)))</f>
        <v/>
      </c>
      <c r="JE15" s="123">
        <f>IF(OR(JE$4="",$B15=""),0,SUMIF('DADOS BRUTOS'!$A$3:$A$500,$B15,'DADOS BRUTOS'!GE$3:GE$500)+IF($C15="",0,SUMIF('DADOS BRUTOS'!$A$3:$A$500,$C15,'DADOS BRUTOS'!GE$3:GE$500)))</f>
        <v/>
      </c>
      <c r="JF15" s="123">
        <f>IF(OR(JF$4="",$B15=""),0,SUMIF('DADOS BRUTOS'!$A$3:$A$500,$B15,'DADOS BRUTOS'!GF$3:GF$500)+IF($C15="",0,SUMIF('DADOS BRUTOS'!$A$3:$A$500,$C15,'DADOS BRUTOS'!GF$3:GF$500)))</f>
        <v/>
      </c>
      <c r="JG15" s="123">
        <f>IF(OR(JG$4="",$B15=""),0,SUMIF('DADOS BRUTOS'!$A$3:$A$500,$B15,'DADOS BRUTOS'!GG$3:GG$500)+IF($C15="",0,SUMIF('DADOS BRUTOS'!$A$3:$A$500,$C15,'DADOS BRUTOS'!GG$3:GG$500)))</f>
        <v/>
      </c>
      <c r="JH15" s="123">
        <f>IF(OR(JH$4="",$B15=""),0,SUMIF('DADOS BRUTOS'!$A$3:$A$500,$B15,'DADOS BRUTOS'!GH$3:GH$500)+IF($C15="",0,SUMIF('DADOS BRUTOS'!$A$3:$A$500,$C15,'DADOS BRUTOS'!GH$3:GH$500)))</f>
        <v/>
      </c>
      <c r="JI15" s="123">
        <f>IF(OR(JI$4="",$B15=""),0,SUMIF('DADOS BRUTOS'!$A$3:$A$500,$B15,'DADOS BRUTOS'!GI$3:GI$500)+IF($C15="",0,SUMIF('DADOS BRUTOS'!$A$3:$A$500,$C15,'DADOS BRUTOS'!GI$3:GI$500)))</f>
        <v/>
      </c>
      <c r="JJ15" s="123">
        <f>IF(OR(JJ$4="",$B15=""),0,SUMIF('DADOS BRUTOS'!$A$3:$A$500,$B15,'DADOS BRUTOS'!GJ$3:GJ$500)+IF($C15="",0,SUMIF('DADOS BRUTOS'!$A$3:$A$500,$C15,'DADOS BRUTOS'!GJ$3:GJ$500)))</f>
        <v/>
      </c>
      <c r="JK15" s="123">
        <f>IF(OR(JK$4="",$B15=""),0,SUMIF('DADOS BRUTOS'!$A$3:$A$500,$B15,'DADOS BRUTOS'!GK$3:GK$500)+IF($C15="",0,SUMIF('DADOS BRUTOS'!$A$3:$A$500,$C15,'DADOS BRUTOS'!GK$3:GK$500)))</f>
        <v/>
      </c>
      <c r="JL15" s="123">
        <f>IF(OR(JL$4="",$B15=""),0,SUMIF('DADOS BRUTOS'!$A$3:$A$500,$B15,'DADOS BRUTOS'!GL$3:GL$500)+IF($C15="",0,SUMIF('DADOS BRUTOS'!$A$3:$A$500,$C15,'DADOS BRUTOS'!GL$3:GL$500)))</f>
        <v/>
      </c>
      <c r="JM15" s="123">
        <f>IF(OR(JM$4="",$B15=""),0,SUMIF('DADOS BRUTOS'!$A$3:$A$500,$B15,'DADOS BRUTOS'!GM$3:GM$500)+IF($C15="",0,SUMIF('DADOS BRUTOS'!$A$3:$A$500,$C15,'DADOS BRUTOS'!GM$3:GM$500)))</f>
        <v/>
      </c>
      <c r="JN15" s="123">
        <f>IF(OR(JN$4="",$B15=""),0,SUMIF('DADOS BRUTOS'!$A$3:$A$500,$B15,'DADOS BRUTOS'!GN$3:GN$500)+IF($C15="",0,SUMIF('DADOS BRUTOS'!$A$3:$A$500,$C15,'DADOS BRUTOS'!GN$3:GN$500)))</f>
        <v/>
      </c>
      <c r="JO15" s="123">
        <f>IF(OR(JO$4="",$B15=""),0,SUMIF('DADOS BRUTOS'!$A$3:$A$500,$B15,'DADOS BRUTOS'!GO$3:GO$500)+IF($C15="",0,SUMIF('DADOS BRUTOS'!$A$3:$A$500,$C15,'DADOS BRUTOS'!GO$3:GO$500)))</f>
        <v/>
      </c>
      <c r="JP15" s="123">
        <f>IF(OR(JP$4="",$B15=""),0,SUMIF('DADOS BRUTOS'!$A$3:$A$500,$B15,'DADOS BRUTOS'!GP$3:GP$500)+IF($C15="",0,SUMIF('DADOS BRUTOS'!$A$3:$A$500,$C15,'DADOS BRUTOS'!GP$3:GP$500)))</f>
        <v/>
      </c>
      <c r="JQ15" s="123">
        <f>IF(OR(JQ$4="",$B15=""),0,SUMIF('DADOS BRUTOS'!$A$3:$A$500,$B15,'DADOS BRUTOS'!GQ$3:GQ$500)+IF($C15="",0,SUMIF('DADOS BRUTOS'!$A$3:$A$500,$C15,'DADOS BRUTOS'!GQ$3:GQ$500)))</f>
        <v/>
      </c>
      <c r="JR15" s="123">
        <f>IF(OR(JR$4="",$B15=""),0,SUMIF('DADOS BRUTOS'!$A$3:$A$500,$B15,'DADOS BRUTOS'!GR$3:GR$500)+IF($C15="",0,SUMIF('DADOS BRUTOS'!$A$3:$A$500,$C15,'DADOS BRUTOS'!GR$3:GR$500)))</f>
        <v/>
      </c>
      <c r="JS15" s="123">
        <f>IF(OR(JS$4="",$B15=""),0,SUMIF('DADOS BRUTOS'!$A$3:$A$500,$B15,'DADOS BRUTOS'!GS$3:GS$500)+IF($C15="",0,SUMIF('DADOS BRUTOS'!$A$3:$A$500,$C15,'DADOS BRUTOS'!GS$3:GS$500)))</f>
        <v/>
      </c>
    </row>
    <row r="16">
      <c r="A16" s="60">
        <f>'VALOR POR PL'!D22</f>
        <v/>
      </c>
      <c r="B16" s="59" t="inlineStr">
        <is>
          <t>SERVIÇOS INICIAIS</t>
        </is>
      </c>
      <c r="C16" s="59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CB16" s="123">
        <f>IF(OR(CB$4="",$B16=""),0,SUMIF('DADOS BRUTOS'!$A$3:$A$500,$B16,'DADOS BRUTOS'!B$3:B$500)+IF($C16="",0,SUMIF('DADOS BRUTOS'!$A$3:$A$500,$C16,'DADOS BRUTOS'!B$3:B$500)))</f>
        <v/>
      </c>
      <c r="CC16" s="123">
        <f>IF(OR(CC$4="",$B16=""),0,SUMIF('DADOS BRUTOS'!$A$3:$A$500,$B16,'DADOS BRUTOS'!C$3:C$500)+IF($C16="",0,SUMIF('DADOS BRUTOS'!$A$3:$A$500,$C16,'DADOS BRUTOS'!C$3:C$500)))</f>
        <v/>
      </c>
      <c r="CD16" s="123">
        <f>IF(OR(CD$4="",$B16=""),0,SUMIF('DADOS BRUTOS'!$A$3:$A$500,$B16,'DADOS BRUTOS'!D$3:D$500)+IF($C16="",0,SUMIF('DADOS BRUTOS'!$A$3:$A$500,$C16,'DADOS BRUTOS'!D$3:D$500)))</f>
        <v/>
      </c>
      <c r="CE16" s="123">
        <f>IF(OR(CE$4="",$B16=""),0,SUMIF('DADOS BRUTOS'!$A$3:$A$500,$B16,'DADOS BRUTOS'!E$3:E$500)+IF($C16="",0,SUMIF('DADOS BRUTOS'!$A$3:$A$500,$C16,'DADOS BRUTOS'!E$3:E$500)))</f>
        <v/>
      </c>
      <c r="CF16" s="123">
        <f>IF(OR(CF$4="",$B16=""),0,SUMIF('DADOS BRUTOS'!$A$3:$A$500,$B16,'DADOS BRUTOS'!F$3:F$500)+IF($C16="",0,SUMIF('DADOS BRUTOS'!$A$3:$A$500,$C16,'DADOS BRUTOS'!F$3:F$500)))</f>
        <v/>
      </c>
      <c r="CG16" s="123">
        <f>IF(OR(CG$4="",$B16=""),0,SUMIF('DADOS BRUTOS'!$A$3:$A$500,$B16,'DADOS BRUTOS'!G$3:G$500)+IF($C16="",0,SUMIF('DADOS BRUTOS'!$A$3:$A$500,$C16,'DADOS BRUTOS'!G$3:G$500)))</f>
        <v/>
      </c>
      <c r="CH16" s="123">
        <f>IF(OR(CH$4="",$B16=""),0,SUMIF('DADOS BRUTOS'!$A$3:$A$500,$B16,'DADOS BRUTOS'!H$3:H$500)+IF($C16="",0,SUMIF('DADOS BRUTOS'!$A$3:$A$500,$C16,'DADOS BRUTOS'!H$3:H$500)))</f>
        <v/>
      </c>
      <c r="CI16" s="123">
        <f>IF(OR(CI$4="",$B16=""),0,SUMIF('DADOS BRUTOS'!$A$3:$A$500,$B16,'DADOS BRUTOS'!I$3:I$500)+IF($C16="",0,SUMIF('DADOS BRUTOS'!$A$3:$A$500,$C16,'DADOS BRUTOS'!I$3:I$500)))</f>
        <v/>
      </c>
      <c r="CJ16" s="123">
        <f>IF(OR(CJ$4="",$B16=""),0,SUMIF('DADOS BRUTOS'!$A$3:$A$500,$B16,'DADOS BRUTOS'!J$3:J$500)+IF($C16="",0,SUMIF('DADOS BRUTOS'!$A$3:$A$500,$C16,'DADOS BRUTOS'!J$3:J$500)))</f>
        <v/>
      </c>
      <c r="CK16" s="123">
        <f>IF(OR(CK$4="",$B16=""),0,SUMIF('DADOS BRUTOS'!$A$3:$A$500,$B16,'DADOS BRUTOS'!K$3:K$500)+IF($C16="",0,SUMIF('DADOS BRUTOS'!$A$3:$A$500,$C16,'DADOS BRUTOS'!K$3:K$500)))</f>
        <v/>
      </c>
      <c r="CL16" s="123">
        <f>IF(OR(CL$4="",$B16=""),0,SUMIF('DADOS BRUTOS'!$A$3:$A$500,$B16,'DADOS BRUTOS'!L$3:L$500)+IF($C16="",0,SUMIF('DADOS BRUTOS'!$A$3:$A$500,$C16,'DADOS BRUTOS'!L$3:L$500)))</f>
        <v/>
      </c>
      <c r="CM16" s="123">
        <f>IF(OR(CM$4="",$B16=""),0,SUMIF('DADOS BRUTOS'!$A$3:$A$500,$B16,'DADOS BRUTOS'!M$3:M$500)+IF($C16="",0,SUMIF('DADOS BRUTOS'!$A$3:$A$500,$C16,'DADOS BRUTOS'!M$3:M$500)))</f>
        <v/>
      </c>
      <c r="CN16" s="123">
        <f>IF(OR(CN$4="",$B16=""),0,SUMIF('DADOS BRUTOS'!$A$3:$A$500,$B16,'DADOS BRUTOS'!N$3:N$500)+IF($C16="",0,SUMIF('DADOS BRUTOS'!$A$3:$A$500,$C16,'DADOS BRUTOS'!N$3:N$500)))</f>
        <v/>
      </c>
      <c r="CO16" s="123">
        <f>IF(OR(CO$4="",$B16=""),0,SUMIF('DADOS BRUTOS'!$A$3:$A$500,$B16,'DADOS BRUTOS'!O$3:O$500)+IF($C16="",0,SUMIF('DADOS BRUTOS'!$A$3:$A$500,$C16,'DADOS BRUTOS'!O$3:O$500)))</f>
        <v/>
      </c>
      <c r="CP16" s="123">
        <f>IF(OR(CP$4="",$B16=""),0,SUMIF('DADOS BRUTOS'!$A$3:$A$500,$B16,'DADOS BRUTOS'!P$3:P$500)+IF($C16="",0,SUMIF('DADOS BRUTOS'!$A$3:$A$500,$C16,'DADOS BRUTOS'!P$3:P$500)))</f>
        <v/>
      </c>
      <c r="CQ16" s="123">
        <f>IF(OR(CQ$4="",$B16=""),0,SUMIF('DADOS BRUTOS'!$A$3:$A$500,$B16,'DADOS BRUTOS'!Q$3:Q$500)+IF($C16="",0,SUMIF('DADOS BRUTOS'!$A$3:$A$500,$C16,'DADOS BRUTOS'!Q$3:Q$500)))</f>
        <v/>
      </c>
      <c r="CR16" s="123">
        <f>IF(OR(CR$4="",$B16=""),0,SUMIF('DADOS BRUTOS'!$A$3:$A$500,$B16,'DADOS BRUTOS'!R$3:R$500)+IF($C16="",0,SUMIF('DADOS BRUTOS'!$A$3:$A$500,$C16,'DADOS BRUTOS'!R$3:R$500)))</f>
        <v/>
      </c>
      <c r="CS16" s="123">
        <f>IF(OR(CS$4="",$B16=""),0,SUMIF('DADOS BRUTOS'!$A$3:$A$500,$B16,'DADOS BRUTOS'!S$3:S$500)+IF($C16="",0,SUMIF('DADOS BRUTOS'!$A$3:$A$500,$C16,'DADOS BRUTOS'!S$3:S$500)))</f>
        <v/>
      </c>
      <c r="CT16" s="123">
        <f>IF(OR(CT$4="",$B16=""),0,SUMIF('DADOS BRUTOS'!$A$3:$A$500,$B16,'DADOS BRUTOS'!T$3:T$500)+IF($C16="",0,SUMIF('DADOS BRUTOS'!$A$3:$A$500,$C16,'DADOS BRUTOS'!T$3:T$500)))</f>
        <v/>
      </c>
      <c r="CU16" s="123">
        <f>IF(OR(CU$4="",$B16=""),0,SUMIF('DADOS BRUTOS'!$A$3:$A$500,$B16,'DADOS BRUTOS'!U$3:U$500)+IF($C16="",0,SUMIF('DADOS BRUTOS'!$A$3:$A$500,$C16,'DADOS BRUTOS'!U$3:U$500)))</f>
        <v/>
      </c>
      <c r="CV16" s="123">
        <f>IF(OR(CV$4="",$B16=""),0,SUMIF('DADOS BRUTOS'!$A$3:$A$500,$B16,'DADOS BRUTOS'!V$3:V$500)+IF($C16="",0,SUMIF('DADOS BRUTOS'!$A$3:$A$500,$C16,'DADOS BRUTOS'!V$3:V$500)))</f>
        <v/>
      </c>
      <c r="CW16" s="123">
        <f>IF(OR(CW$4="",$B16=""),0,SUMIF('DADOS BRUTOS'!$A$3:$A$500,$B16,'DADOS BRUTOS'!W$3:W$500)+IF($C16="",0,SUMIF('DADOS BRUTOS'!$A$3:$A$500,$C16,'DADOS BRUTOS'!W$3:W$500)))</f>
        <v/>
      </c>
      <c r="CX16" s="123">
        <f>IF(OR(CX$4="",$B16=""),0,SUMIF('DADOS BRUTOS'!$A$3:$A$500,$B16,'DADOS BRUTOS'!X$3:X$500)+IF($C16="",0,SUMIF('DADOS BRUTOS'!$A$3:$A$500,$C16,'DADOS BRUTOS'!X$3:X$500)))</f>
        <v/>
      </c>
      <c r="CY16" s="123">
        <f>IF(OR(CY$4="",$B16=""),0,SUMIF('DADOS BRUTOS'!$A$3:$A$500,$B16,'DADOS BRUTOS'!Y$3:Y$500)+IF($C16="",0,SUMIF('DADOS BRUTOS'!$A$3:$A$500,$C16,'DADOS BRUTOS'!Y$3:Y$500)))</f>
        <v/>
      </c>
      <c r="CZ16" s="123">
        <f>IF(OR(CZ$4="",$B16=""),0,SUMIF('DADOS BRUTOS'!$A$3:$A$500,$B16,'DADOS BRUTOS'!Z$3:Z$500)+IF($C16="",0,SUMIF('DADOS BRUTOS'!$A$3:$A$500,$C16,'DADOS BRUTOS'!Z$3:Z$500)))</f>
        <v/>
      </c>
      <c r="DA16" s="123">
        <f>IF(OR(DA$4="",$B16=""),0,SUMIF('DADOS BRUTOS'!$A$3:$A$500,$B16,'DADOS BRUTOS'!AA$3:AA$500)+IF($C16="",0,SUMIF('DADOS BRUTOS'!$A$3:$A$500,$C16,'DADOS BRUTOS'!AA$3:AA$500)))</f>
        <v/>
      </c>
      <c r="DB16" s="123">
        <f>IF(OR(DB$4="",$B16=""),0,SUMIF('DADOS BRUTOS'!$A$3:$A$500,$B16,'DADOS BRUTOS'!AB$3:AB$500)+IF($C16="",0,SUMIF('DADOS BRUTOS'!$A$3:$A$500,$C16,'DADOS BRUTOS'!AB$3:AB$500)))</f>
        <v/>
      </c>
      <c r="DC16" s="123">
        <f>IF(OR(DC$4="",$B16=""),0,SUMIF('DADOS BRUTOS'!$A$3:$A$500,$B16,'DADOS BRUTOS'!AC$3:AC$500)+IF($C16="",0,SUMIF('DADOS BRUTOS'!$A$3:$A$500,$C16,'DADOS BRUTOS'!AC$3:AC$500)))</f>
        <v/>
      </c>
      <c r="DD16" s="123">
        <f>IF(OR(DD$4="",$B16=""),0,SUMIF('DADOS BRUTOS'!$A$3:$A$500,$B16,'DADOS BRUTOS'!AD$3:AD$500)+IF($C16="",0,SUMIF('DADOS BRUTOS'!$A$3:$A$500,$C16,'DADOS BRUTOS'!AD$3:AD$500)))</f>
        <v/>
      </c>
      <c r="DE16" s="123">
        <f>IF(OR(DE$4="",$B16=""),0,SUMIF('DADOS BRUTOS'!$A$3:$A$500,$B16,'DADOS BRUTOS'!AE$3:AE$500)+IF($C16="",0,SUMIF('DADOS BRUTOS'!$A$3:$A$500,$C16,'DADOS BRUTOS'!AE$3:AE$500)))</f>
        <v/>
      </c>
      <c r="DF16" s="123">
        <f>IF(OR(DF$4="",$B16=""),0,SUMIF('DADOS BRUTOS'!$A$3:$A$500,$B16,'DADOS BRUTOS'!AF$3:AF$500)+IF($C16="",0,SUMIF('DADOS BRUTOS'!$A$3:$A$500,$C16,'DADOS BRUTOS'!AF$3:AF$500)))</f>
        <v/>
      </c>
      <c r="DG16" s="123">
        <f>IF(OR(DG$4="",$B16=""),0,SUMIF('DADOS BRUTOS'!$A$3:$A$500,$B16,'DADOS BRUTOS'!AG$3:AG$500)+IF($C16="",0,SUMIF('DADOS BRUTOS'!$A$3:$A$500,$C16,'DADOS BRUTOS'!AG$3:AG$500)))</f>
        <v/>
      </c>
      <c r="DH16" s="123">
        <f>IF(OR(DH$4="",$B16=""),0,SUMIF('DADOS BRUTOS'!$A$3:$A$500,$B16,'DADOS BRUTOS'!AH$3:AH$500)+IF($C16="",0,SUMIF('DADOS BRUTOS'!$A$3:$A$500,$C16,'DADOS BRUTOS'!AH$3:AH$500)))</f>
        <v/>
      </c>
      <c r="DI16" s="123">
        <f>IF(OR(DI$4="",$B16=""),0,SUMIF('DADOS BRUTOS'!$A$3:$A$500,$B16,'DADOS BRUTOS'!AI$3:AI$500)+IF($C16="",0,SUMIF('DADOS BRUTOS'!$A$3:$A$500,$C16,'DADOS BRUTOS'!AI$3:AI$500)))</f>
        <v/>
      </c>
      <c r="DJ16" s="123">
        <f>IF(OR(DJ$4="",$B16=""),0,SUMIF('DADOS BRUTOS'!$A$3:$A$500,$B16,'DADOS BRUTOS'!AJ$3:AJ$500)+IF($C16="",0,SUMIF('DADOS BRUTOS'!$A$3:$A$500,$C16,'DADOS BRUTOS'!AJ$3:AJ$500)))</f>
        <v/>
      </c>
      <c r="DK16" s="123">
        <f>IF(OR(DK$4="",$B16=""),0,SUMIF('DADOS BRUTOS'!$A$3:$A$500,$B16,'DADOS BRUTOS'!AK$3:AK$500)+IF($C16="",0,SUMIF('DADOS BRUTOS'!$A$3:$A$500,$C16,'DADOS BRUTOS'!AK$3:AK$500)))</f>
        <v/>
      </c>
      <c r="DL16" s="123">
        <f>IF(OR(DL$4="",$B16=""),0,SUMIF('DADOS BRUTOS'!$A$3:$A$500,$B16,'DADOS BRUTOS'!AL$3:AL$500)+IF($C16="",0,SUMIF('DADOS BRUTOS'!$A$3:$A$500,$C16,'DADOS BRUTOS'!AL$3:AL$500)))</f>
        <v/>
      </c>
      <c r="DM16" s="123">
        <f>IF(OR(DM$4="",$B16=""),0,SUMIF('DADOS BRUTOS'!$A$3:$A$500,$B16,'DADOS BRUTOS'!AM$3:AM$500)+IF($C16="",0,SUMIF('DADOS BRUTOS'!$A$3:$A$500,$C16,'DADOS BRUTOS'!AM$3:AM$500)))</f>
        <v/>
      </c>
      <c r="DN16" s="123">
        <f>IF(OR(DN$4="",$B16=""),0,SUMIF('DADOS BRUTOS'!$A$3:$A$500,$B16,'DADOS BRUTOS'!AN$3:AN$500)+IF($C16="",0,SUMIF('DADOS BRUTOS'!$A$3:$A$500,$C16,'DADOS BRUTOS'!AN$3:AN$500)))</f>
        <v/>
      </c>
      <c r="DO16" s="123">
        <f>IF(OR(DO$4="",$B16=""),0,SUMIF('DADOS BRUTOS'!$A$3:$A$500,$B16,'DADOS BRUTOS'!AO$3:AO$500)+IF($C16="",0,SUMIF('DADOS BRUTOS'!$A$3:$A$500,$C16,'DADOS BRUTOS'!AO$3:AO$500)))</f>
        <v/>
      </c>
      <c r="DP16" s="123">
        <f>IF(OR(DP$4="",$B16=""),0,SUMIF('DADOS BRUTOS'!$A$3:$A$500,$B16,'DADOS BRUTOS'!AP$3:AP$500)+IF($C16="",0,SUMIF('DADOS BRUTOS'!$A$3:$A$500,$C16,'DADOS BRUTOS'!AP$3:AP$500)))</f>
        <v/>
      </c>
      <c r="DQ16" s="123">
        <f>IF(OR(DQ$4="",$B16=""),0,SUMIF('DADOS BRUTOS'!$A$3:$A$500,$B16,'DADOS BRUTOS'!AQ$3:AQ$500)+IF($C16="",0,SUMIF('DADOS BRUTOS'!$A$3:$A$500,$C16,'DADOS BRUTOS'!AQ$3:AQ$500)))</f>
        <v/>
      </c>
      <c r="DR16" s="123">
        <f>IF(OR(DR$4="",$B16=""),0,SUMIF('DADOS BRUTOS'!$A$3:$A$500,$B16,'DADOS BRUTOS'!AR$3:AR$500)+IF($C16="",0,SUMIF('DADOS BRUTOS'!$A$3:$A$500,$C16,'DADOS BRUTOS'!AR$3:AR$500)))</f>
        <v/>
      </c>
      <c r="DS16" s="123">
        <f>IF(OR(DS$4="",$B16=""),0,SUMIF('DADOS BRUTOS'!$A$3:$A$500,$B16,'DADOS BRUTOS'!AS$3:AS$500)+IF($C16="",0,SUMIF('DADOS BRUTOS'!$A$3:$A$500,$C16,'DADOS BRUTOS'!AS$3:AS$500)))</f>
        <v/>
      </c>
      <c r="DT16" s="123">
        <f>IF(OR(DT$4="",$B16=""),0,SUMIF('DADOS BRUTOS'!$A$3:$A$500,$B16,'DADOS BRUTOS'!AT$3:AT$500)+IF($C16="",0,SUMIF('DADOS BRUTOS'!$A$3:$A$500,$C16,'DADOS BRUTOS'!AT$3:AT$500)))</f>
        <v/>
      </c>
      <c r="DU16" s="123">
        <f>IF(OR(DU$4="",$B16=""),0,SUMIF('DADOS BRUTOS'!$A$3:$A$500,$B16,'DADOS BRUTOS'!AU$3:AU$500)+IF($C16="",0,SUMIF('DADOS BRUTOS'!$A$3:$A$500,$C16,'DADOS BRUTOS'!AU$3:AU$500)))</f>
        <v/>
      </c>
      <c r="DV16" s="123">
        <f>IF(OR(DV$4="",$B16=""),0,SUMIF('DADOS BRUTOS'!$A$3:$A$500,$B16,'DADOS BRUTOS'!AV$3:AV$500)+IF($C16="",0,SUMIF('DADOS BRUTOS'!$A$3:$A$500,$C16,'DADOS BRUTOS'!AV$3:AV$500)))</f>
        <v/>
      </c>
      <c r="DW16" s="123">
        <f>IF(OR(DW$4="",$B16=""),0,SUMIF('DADOS BRUTOS'!$A$3:$A$500,$B16,'DADOS BRUTOS'!AW$3:AW$500)+IF($C16="",0,SUMIF('DADOS BRUTOS'!$A$3:$A$500,$C16,'DADOS BRUTOS'!AW$3:AW$500)))</f>
        <v/>
      </c>
      <c r="DX16" s="123">
        <f>IF(OR(DX$4="",$B16=""),0,SUMIF('DADOS BRUTOS'!$A$3:$A$500,$B16,'DADOS BRUTOS'!AX$3:AX$500)+IF($C16="",0,SUMIF('DADOS BRUTOS'!$A$3:$A$500,$C16,'DADOS BRUTOS'!AX$3:AX$500)))</f>
        <v/>
      </c>
      <c r="DY16" s="123">
        <f>IF(OR(DY$4="",$B16=""),0,SUMIF('DADOS BRUTOS'!$A$3:$A$500,$B16,'DADOS BRUTOS'!AY$3:AY$500)+IF($C16="",0,SUMIF('DADOS BRUTOS'!$A$3:$A$500,$C16,'DADOS BRUTOS'!AY$3:AY$500)))</f>
        <v/>
      </c>
      <c r="DZ16" s="123">
        <f>IF(OR(DZ$4="",$B16=""),0,SUMIF('DADOS BRUTOS'!$A$3:$A$500,$B16,'DADOS BRUTOS'!AZ$3:AZ$500)+IF($C16="",0,SUMIF('DADOS BRUTOS'!$A$3:$A$500,$C16,'DADOS BRUTOS'!AZ$3:AZ$500)))</f>
        <v/>
      </c>
      <c r="EA16" s="123">
        <f>IF(OR(EA$4="",$B16=""),0,SUMIF('DADOS BRUTOS'!$A$3:$A$500,$B16,'DADOS BRUTOS'!BA$3:BA$500)+IF($C16="",0,SUMIF('DADOS BRUTOS'!$A$3:$A$500,$C16,'DADOS BRUTOS'!BA$3:BA$500)))</f>
        <v/>
      </c>
      <c r="EB16" s="123">
        <f>IF(OR(EB$4="",$B16=""),0,SUMIF('DADOS BRUTOS'!$A$3:$A$500,$B16,'DADOS BRUTOS'!BB$3:BB$500)+IF($C16="",0,SUMIF('DADOS BRUTOS'!$A$3:$A$500,$C16,'DADOS BRUTOS'!BB$3:BB$500)))</f>
        <v/>
      </c>
      <c r="EC16" s="123">
        <f>IF(OR(EC$4="",$B16=""),0,SUMIF('DADOS BRUTOS'!$A$3:$A$500,$B16,'DADOS BRUTOS'!BC$3:BC$500)+IF($C16="",0,SUMIF('DADOS BRUTOS'!$A$3:$A$500,$C16,'DADOS BRUTOS'!BC$3:BC$500)))</f>
        <v/>
      </c>
      <c r="ED16" s="123">
        <f>IF(OR(ED$4="",$B16=""),0,SUMIF('DADOS BRUTOS'!$A$3:$A$500,$B16,'DADOS BRUTOS'!BD$3:BD$500)+IF($C16="",0,SUMIF('DADOS BRUTOS'!$A$3:$A$500,$C16,'DADOS BRUTOS'!BD$3:BD$500)))</f>
        <v/>
      </c>
      <c r="EE16" s="123">
        <f>IF(OR(EE$4="",$B16=""),0,SUMIF('DADOS BRUTOS'!$A$3:$A$500,$B16,'DADOS BRUTOS'!BE$3:BE$500)+IF($C16="",0,SUMIF('DADOS BRUTOS'!$A$3:$A$500,$C16,'DADOS BRUTOS'!BE$3:BE$500)))</f>
        <v/>
      </c>
      <c r="EF16" s="123">
        <f>IF(OR(EF$4="",$B16=""),0,SUMIF('DADOS BRUTOS'!$A$3:$A$500,$B16,'DADOS BRUTOS'!BF$3:BF$500)+IF($C16="",0,SUMIF('DADOS BRUTOS'!$A$3:$A$500,$C16,'DADOS BRUTOS'!BF$3:BF$500)))</f>
        <v/>
      </c>
      <c r="EG16" s="123">
        <f>IF(OR(EG$4="",$B16=""),0,SUMIF('DADOS BRUTOS'!$A$3:$A$500,$B16,'DADOS BRUTOS'!BG$3:BG$500)+IF($C16="",0,SUMIF('DADOS BRUTOS'!$A$3:$A$500,$C16,'DADOS BRUTOS'!BG$3:BG$500)))</f>
        <v/>
      </c>
      <c r="EH16" s="123">
        <f>IF(OR(EH$4="",$B16=""),0,SUMIF('DADOS BRUTOS'!$A$3:$A$500,$B16,'DADOS BRUTOS'!BH$3:BH$500)+IF($C16="",0,SUMIF('DADOS BRUTOS'!$A$3:$A$500,$C16,'DADOS BRUTOS'!BH$3:BH$500)))</f>
        <v/>
      </c>
      <c r="EI16" s="123">
        <f>IF(OR(EI$4="",$B16=""),0,SUMIF('DADOS BRUTOS'!$A$3:$A$500,$B16,'DADOS BRUTOS'!BI$3:BI$500)+IF($C16="",0,SUMIF('DADOS BRUTOS'!$A$3:$A$500,$C16,'DADOS BRUTOS'!BI$3:BI$500)))</f>
        <v/>
      </c>
      <c r="EJ16" s="123">
        <f>IF(OR(EJ$4="",$B16=""),0,SUMIF('DADOS BRUTOS'!$A$3:$A$500,$B16,'DADOS BRUTOS'!BJ$3:BJ$500)+IF($C16="",0,SUMIF('DADOS BRUTOS'!$A$3:$A$500,$C16,'DADOS BRUTOS'!BJ$3:BJ$500)))</f>
        <v/>
      </c>
      <c r="EK16" s="123">
        <f>IF(OR(EK$4="",$B16=""),0,SUMIF('DADOS BRUTOS'!$A$3:$A$500,$B16,'DADOS BRUTOS'!BK$3:BK$500)+IF($C16="",0,SUMIF('DADOS BRUTOS'!$A$3:$A$500,$C16,'DADOS BRUTOS'!BK$3:BK$500)))</f>
        <v/>
      </c>
      <c r="EL16" s="123">
        <f>IF(OR(EL$4="",$B16=""),0,SUMIF('DADOS BRUTOS'!$A$3:$A$500,$B16,'DADOS BRUTOS'!BL$3:BL$500)+IF($C16="",0,SUMIF('DADOS BRUTOS'!$A$3:$A$500,$C16,'DADOS BRUTOS'!BL$3:BL$500)))</f>
        <v/>
      </c>
      <c r="EM16" s="123">
        <f>IF(OR(EM$4="",$B16=""),0,SUMIF('DADOS BRUTOS'!$A$3:$A$500,$B16,'DADOS BRUTOS'!BM$3:BM$500)+IF($C16="",0,SUMIF('DADOS BRUTOS'!$A$3:$A$500,$C16,'DADOS BRUTOS'!BM$3:BM$500)))</f>
        <v/>
      </c>
      <c r="EN16" s="123">
        <f>IF(OR(EN$4="",$B16=""),0,SUMIF('DADOS BRUTOS'!$A$3:$A$500,$B16,'DADOS BRUTOS'!BN$3:BN$500)+IF($C16="",0,SUMIF('DADOS BRUTOS'!$A$3:$A$500,$C16,'DADOS BRUTOS'!BN$3:BN$500)))</f>
        <v/>
      </c>
      <c r="EO16" s="123">
        <f>IF(OR(EO$4="",$B16=""),0,SUMIF('DADOS BRUTOS'!$A$3:$A$500,$B16,'DADOS BRUTOS'!BO$3:BO$500)+IF($C16="",0,SUMIF('DADOS BRUTOS'!$A$3:$A$500,$C16,'DADOS BRUTOS'!BO$3:BO$500)))</f>
        <v/>
      </c>
      <c r="EP16" s="123">
        <f>IF(OR(EP$4="",$B16=""),0,SUMIF('DADOS BRUTOS'!$A$3:$A$500,$B16,'DADOS BRUTOS'!BP$3:BP$500)+IF($C16="",0,SUMIF('DADOS BRUTOS'!$A$3:$A$500,$C16,'DADOS BRUTOS'!BP$3:BP$500)))</f>
        <v/>
      </c>
      <c r="EQ16" s="123">
        <f>IF(OR(EQ$4="",$B16=""),0,SUMIF('DADOS BRUTOS'!$A$3:$A$500,$B16,'DADOS BRUTOS'!BQ$3:BQ$500)+IF($C16="",0,SUMIF('DADOS BRUTOS'!$A$3:$A$500,$C16,'DADOS BRUTOS'!BQ$3:BQ$500)))</f>
        <v/>
      </c>
      <c r="ER16" s="123">
        <f>IF(OR(ER$4="",$B16=""),0,SUMIF('DADOS BRUTOS'!$A$3:$A$500,$B16,'DADOS BRUTOS'!BR$3:BR$500)+IF($C16="",0,SUMIF('DADOS BRUTOS'!$A$3:$A$500,$C16,'DADOS BRUTOS'!BR$3:BR$500)))</f>
        <v/>
      </c>
      <c r="ES16" s="123">
        <f>IF(OR(ES$4="",$B16=""),0,SUMIF('DADOS BRUTOS'!$A$3:$A$500,$B16,'DADOS BRUTOS'!BS$3:BS$500)+IF($C16="",0,SUMIF('DADOS BRUTOS'!$A$3:$A$500,$C16,'DADOS BRUTOS'!BS$3:BS$500)))</f>
        <v/>
      </c>
      <c r="ET16" s="123">
        <f>IF(OR(ET$4="",$B16=""),0,SUMIF('DADOS BRUTOS'!$A$3:$A$500,$B16,'DADOS BRUTOS'!BT$3:BT$500)+IF($C16="",0,SUMIF('DADOS BRUTOS'!$A$3:$A$500,$C16,'DADOS BRUTOS'!BT$3:BT$500)))</f>
        <v/>
      </c>
      <c r="EU16" s="123">
        <f>IF(OR(EU$4="",$B16=""),0,SUMIF('DADOS BRUTOS'!$A$3:$A$500,$B16,'DADOS BRUTOS'!BU$3:BU$500)+IF($C16="",0,SUMIF('DADOS BRUTOS'!$A$3:$A$500,$C16,'DADOS BRUTOS'!BU$3:BU$500)))</f>
        <v/>
      </c>
      <c r="EV16" s="123">
        <f>IF(OR(EV$4="",$B16=""),0,SUMIF('DADOS BRUTOS'!$A$3:$A$500,$B16,'DADOS BRUTOS'!BV$3:BV$500)+IF($C16="",0,SUMIF('DADOS BRUTOS'!$A$3:$A$500,$C16,'DADOS BRUTOS'!BV$3:BV$500)))</f>
        <v/>
      </c>
      <c r="EW16" s="123">
        <f>IF(OR(EW$4="",$B16=""),0,SUMIF('DADOS BRUTOS'!$A$3:$A$500,$B16,'DADOS BRUTOS'!BW$3:BW$500)+IF($C16="",0,SUMIF('DADOS BRUTOS'!$A$3:$A$500,$C16,'DADOS BRUTOS'!BW$3:BW$500)))</f>
        <v/>
      </c>
      <c r="EX16" s="123">
        <f>IF(OR(EX$4="",$B16=""),0,SUMIF('DADOS BRUTOS'!$A$3:$A$500,$B16,'DADOS BRUTOS'!BX$3:BX$500)+IF($C16="",0,SUMIF('DADOS BRUTOS'!$A$3:$A$500,$C16,'DADOS BRUTOS'!BX$3:BX$500)))</f>
        <v/>
      </c>
      <c r="EY16" s="123">
        <f>IF(OR(EY$4="",$B16=""),0,SUMIF('DADOS BRUTOS'!$A$3:$A$500,$B16,'DADOS BRUTOS'!BY$3:BY$500)+IF($C16="",0,SUMIF('DADOS BRUTOS'!$A$3:$A$500,$C16,'DADOS BRUTOS'!BY$3:BY$500)))</f>
        <v/>
      </c>
      <c r="EZ16" s="123">
        <f>IF(OR(EZ$4="",$B16=""),0,SUMIF('DADOS BRUTOS'!$A$3:$A$500,$B16,'DADOS BRUTOS'!BZ$3:BZ$500)+IF($C16="",0,SUMIF('DADOS BRUTOS'!$A$3:$A$500,$C16,'DADOS BRUTOS'!BZ$3:BZ$500)))</f>
        <v/>
      </c>
      <c r="FA16" s="123">
        <f>IF(OR(FA$4="",$B16=""),0,SUMIF('DADOS BRUTOS'!$A$3:$A$500,$B16,'DADOS BRUTOS'!CA$3:CA$500)+IF($C16="",0,SUMIF('DADOS BRUTOS'!$A$3:$A$500,$C16,'DADOS BRUTOS'!CA$3:CA$500)))</f>
        <v/>
      </c>
      <c r="FB16" s="123">
        <f>IF(OR(FB$4="",$B16=""),0,SUMIF('DADOS BRUTOS'!$A$3:$A$500,$B16,'DADOS BRUTOS'!CB$3:CB$500)+IF($C16="",0,SUMIF('DADOS BRUTOS'!$A$3:$A$500,$C16,'DADOS BRUTOS'!CB$3:CB$500)))</f>
        <v/>
      </c>
      <c r="FC16" s="123">
        <f>IF(OR(FC$4="",$B16=""),0,SUMIF('DADOS BRUTOS'!$A$3:$A$500,$B16,'DADOS BRUTOS'!CC$3:CC$500)+IF($C16="",0,SUMIF('DADOS BRUTOS'!$A$3:$A$500,$C16,'DADOS BRUTOS'!CC$3:CC$500)))</f>
        <v/>
      </c>
      <c r="FD16" s="123">
        <f>IF(OR(FD$4="",$B16=""),0,SUMIF('DADOS BRUTOS'!$A$3:$A$500,$B16,'DADOS BRUTOS'!CD$3:CD$500)+IF($C16="",0,SUMIF('DADOS BRUTOS'!$A$3:$A$500,$C16,'DADOS BRUTOS'!CD$3:CD$500)))</f>
        <v/>
      </c>
      <c r="FE16" s="123">
        <f>IF(OR(FE$4="",$B16=""),0,SUMIF('DADOS BRUTOS'!$A$3:$A$500,$B16,'DADOS BRUTOS'!CE$3:CE$500)+IF($C16="",0,SUMIF('DADOS BRUTOS'!$A$3:$A$500,$C16,'DADOS BRUTOS'!CE$3:CE$500)))</f>
        <v/>
      </c>
      <c r="FF16" s="123">
        <f>IF(OR(FF$4="",$B16=""),0,SUMIF('DADOS BRUTOS'!$A$3:$A$500,$B16,'DADOS BRUTOS'!CF$3:CF$500)+IF($C16="",0,SUMIF('DADOS BRUTOS'!$A$3:$A$500,$C16,'DADOS BRUTOS'!CF$3:CF$500)))</f>
        <v/>
      </c>
      <c r="FG16" s="123">
        <f>IF(OR(FG$4="",$B16=""),0,SUMIF('DADOS BRUTOS'!$A$3:$A$500,$B16,'DADOS BRUTOS'!CG$3:CG$500)+IF($C16="",0,SUMIF('DADOS BRUTOS'!$A$3:$A$500,$C16,'DADOS BRUTOS'!CG$3:CG$500)))</f>
        <v/>
      </c>
      <c r="FH16" s="123">
        <f>IF(OR(FH$4="",$B16=""),0,SUMIF('DADOS BRUTOS'!$A$3:$A$500,$B16,'DADOS BRUTOS'!CH$3:CH$500)+IF($C16="",0,SUMIF('DADOS BRUTOS'!$A$3:$A$500,$C16,'DADOS BRUTOS'!CH$3:CH$500)))</f>
        <v/>
      </c>
      <c r="FI16" s="123">
        <f>IF(OR(FI$4="",$B16=""),0,SUMIF('DADOS BRUTOS'!$A$3:$A$500,$B16,'DADOS BRUTOS'!CI$3:CI$500)+IF($C16="",0,SUMIF('DADOS BRUTOS'!$A$3:$A$500,$C16,'DADOS BRUTOS'!CI$3:CI$500)))</f>
        <v/>
      </c>
      <c r="FJ16" s="123">
        <f>IF(OR(FJ$4="",$B16=""),0,SUMIF('DADOS BRUTOS'!$A$3:$A$500,$B16,'DADOS BRUTOS'!CJ$3:CJ$500)+IF($C16="",0,SUMIF('DADOS BRUTOS'!$A$3:$A$500,$C16,'DADOS BRUTOS'!CJ$3:CJ$500)))</f>
        <v/>
      </c>
      <c r="FK16" s="123">
        <f>IF(OR(FK$4="",$B16=""),0,SUMIF('DADOS BRUTOS'!$A$3:$A$500,$B16,'DADOS BRUTOS'!CK$3:CK$500)+IF($C16="",0,SUMIF('DADOS BRUTOS'!$A$3:$A$500,$C16,'DADOS BRUTOS'!CK$3:CK$500)))</f>
        <v/>
      </c>
      <c r="FL16" s="123">
        <f>IF(OR(FL$4="",$B16=""),0,SUMIF('DADOS BRUTOS'!$A$3:$A$500,$B16,'DADOS BRUTOS'!CL$3:CL$500)+IF($C16="",0,SUMIF('DADOS BRUTOS'!$A$3:$A$500,$C16,'DADOS BRUTOS'!CL$3:CL$500)))</f>
        <v/>
      </c>
      <c r="FM16" s="123">
        <f>IF(OR(FM$4="",$B16=""),0,SUMIF('DADOS BRUTOS'!$A$3:$A$500,$B16,'DADOS BRUTOS'!CM$3:CM$500)+IF($C16="",0,SUMIF('DADOS BRUTOS'!$A$3:$A$500,$C16,'DADOS BRUTOS'!CM$3:CM$500)))</f>
        <v/>
      </c>
      <c r="FN16" s="123">
        <f>IF(OR(FN$4="",$B16=""),0,SUMIF('DADOS BRUTOS'!$A$3:$A$500,$B16,'DADOS BRUTOS'!CN$3:CN$500)+IF($C16="",0,SUMIF('DADOS BRUTOS'!$A$3:$A$500,$C16,'DADOS BRUTOS'!CN$3:CN$500)))</f>
        <v/>
      </c>
      <c r="FO16" s="123">
        <f>IF(OR(FO$4="",$B16=""),0,SUMIF('DADOS BRUTOS'!$A$3:$A$500,$B16,'DADOS BRUTOS'!CO$3:CO$500)+IF($C16="",0,SUMIF('DADOS BRUTOS'!$A$3:$A$500,$C16,'DADOS BRUTOS'!CO$3:CO$500)))</f>
        <v/>
      </c>
      <c r="FP16" s="123">
        <f>IF(OR(FP$4="",$B16=""),0,SUMIF('DADOS BRUTOS'!$A$3:$A$500,$B16,'DADOS BRUTOS'!CP$3:CP$500)+IF($C16="",0,SUMIF('DADOS BRUTOS'!$A$3:$A$500,$C16,'DADOS BRUTOS'!CP$3:CP$500)))</f>
        <v/>
      </c>
      <c r="FQ16" s="123">
        <f>IF(OR(FQ$4="",$B16=""),0,SUMIF('DADOS BRUTOS'!$A$3:$A$500,$B16,'DADOS BRUTOS'!CQ$3:CQ$500)+IF($C16="",0,SUMIF('DADOS BRUTOS'!$A$3:$A$500,$C16,'DADOS BRUTOS'!CQ$3:CQ$500)))</f>
        <v/>
      </c>
      <c r="FR16" s="123">
        <f>IF(OR(FR$4="",$B16=""),0,SUMIF('DADOS BRUTOS'!$A$3:$A$500,$B16,'DADOS BRUTOS'!CR$3:CR$500)+IF($C16="",0,SUMIF('DADOS BRUTOS'!$A$3:$A$500,$C16,'DADOS BRUTOS'!CR$3:CR$500)))</f>
        <v/>
      </c>
      <c r="FS16" s="123">
        <f>IF(OR(FS$4="",$B16=""),0,SUMIF('DADOS BRUTOS'!$A$3:$A$500,$B16,'DADOS BRUTOS'!CS$3:CS$500)+IF($C16="",0,SUMIF('DADOS BRUTOS'!$A$3:$A$500,$C16,'DADOS BRUTOS'!CS$3:CS$500)))</f>
        <v/>
      </c>
      <c r="FT16" s="123">
        <f>IF(OR(FT$4="",$B16=""),0,SUMIF('DADOS BRUTOS'!$A$3:$A$500,$B16,'DADOS BRUTOS'!CT$3:CT$500)+IF($C16="",0,SUMIF('DADOS BRUTOS'!$A$3:$A$500,$C16,'DADOS BRUTOS'!CT$3:CT$500)))</f>
        <v/>
      </c>
      <c r="FU16" s="123">
        <f>IF(OR(FU$4="",$B16=""),0,SUMIF('DADOS BRUTOS'!$A$3:$A$500,$B16,'DADOS BRUTOS'!CU$3:CU$500)+IF($C16="",0,SUMIF('DADOS BRUTOS'!$A$3:$A$500,$C16,'DADOS BRUTOS'!CU$3:CU$500)))</f>
        <v/>
      </c>
      <c r="FV16" s="123">
        <f>IF(OR(FV$4="",$B16=""),0,SUMIF('DADOS BRUTOS'!$A$3:$A$500,$B16,'DADOS BRUTOS'!CV$3:CV$500)+IF($C16="",0,SUMIF('DADOS BRUTOS'!$A$3:$A$500,$C16,'DADOS BRUTOS'!CV$3:CV$500)))</f>
        <v/>
      </c>
      <c r="FW16" s="123">
        <f>IF(OR(FW$4="",$B16=""),0,SUMIF('DADOS BRUTOS'!$A$3:$A$500,$B16,'DADOS BRUTOS'!CW$3:CW$500)+IF($C16="",0,SUMIF('DADOS BRUTOS'!$A$3:$A$500,$C16,'DADOS BRUTOS'!CW$3:CW$500)))</f>
        <v/>
      </c>
      <c r="FX16" s="123">
        <f>IF(OR(FX$4="",$B16=""),0,SUMIF('DADOS BRUTOS'!$A$3:$A$500,$B16,'DADOS BRUTOS'!CX$3:CX$500)+IF($C16="",0,SUMIF('DADOS BRUTOS'!$A$3:$A$500,$C16,'DADOS BRUTOS'!CX$3:CX$500)))</f>
        <v/>
      </c>
      <c r="FY16" s="123">
        <f>IF(OR(FY$4="",$B16=""),0,SUMIF('DADOS BRUTOS'!$A$3:$A$500,$B16,'DADOS BRUTOS'!CY$3:CY$500)+IF($C16="",0,SUMIF('DADOS BRUTOS'!$A$3:$A$500,$C16,'DADOS BRUTOS'!CY$3:CY$500)))</f>
        <v/>
      </c>
      <c r="FZ16" s="123">
        <f>IF(OR(FZ$4="",$B16=""),0,SUMIF('DADOS BRUTOS'!$A$3:$A$500,$B16,'DADOS BRUTOS'!CZ$3:CZ$500)+IF($C16="",0,SUMIF('DADOS BRUTOS'!$A$3:$A$500,$C16,'DADOS BRUTOS'!CZ$3:CZ$500)))</f>
        <v/>
      </c>
      <c r="GA16" s="123">
        <f>IF(OR(GA$4="",$B16=""),0,SUMIF('DADOS BRUTOS'!$A$3:$A$500,$B16,'DADOS BRUTOS'!DA$3:DA$500)+IF($C16="",0,SUMIF('DADOS BRUTOS'!$A$3:$A$500,$C16,'DADOS BRUTOS'!DA$3:DA$500)))</f>
        <v/>
      </c>
      <c r="GB16" s="123">
        <f>IF(OR(GB$4="",$B16=""),0,SUMIF('DADOS BRUTOS'!$A$3:$A$500,$B16,'DADOS BRUTOS'!DB$3:DB$500)+IF($C16="",0,SUMIF('DADOS BRUTOS'!$A$3:$A$500,$C16,'DADOS BRUTOS'!DB$3:DB$500)))</f>
        <v/>
      </c>
      <c r="GC16" s="123">
        <f>IF(OR(GC$4="",$B16=""),0,SUMIF('DADOS BRUTOS'!$A$3:$A$500,$B16,'DADOS BRUTOS'!DC$3:DC$500)+IF($C16="",0,SUMIF('DADOS BRUTOS'!$A$3:$A$500,$C16,'DADOS BRUTOS'!DC$3:DC$500)))</f>
        <v/>
      </c>
      <c r="GD16" s="123">
        <f>IF(OR(GD$4="",$B16=""),0,SUMIF('DADOS BRUTOS'!$A$3:$A$500,$B16,'DADOS BRUTOS'!DD$3:DD$500)+IF($C16="",0,SUMIF('DADOS BRUTOS'!$A$3:$A$500,$C16,'DADOS BRUTOS'!DD$3:DD$500)))</f>
        <v/>
      </c>
      <c r="GE16" s="123">
        <f>IF(OR(GE$4="",$B16=""),0,SUMIF('DADOS BRUTOS'!$A$3:$A$500,$B16,'DADOS BRUTOS'!DE$3:DE$500)+IF($C16="",0,SUMIF('DADOS BRUTOS'!$A$3:$A$500,$C16,'DADOS BRUTOS'!DE$3:DE$500)))</f>
        <v/>
      </c>
      <c r="GF16" s="123">
        <f>IF(OR(GF$4="",$B16=""),0,SUMIF('DADOS BRUTOS'!$A$3:$A$500,$B16,'DADOS BRUTOS'!DF$3:DF$500)+IF($C16="",0,SUMIF('DADOS BRUTOS'!$A$3:$A$500,$C16,'DADOS BRUTOS'!DF$3:DF$500)))</f>
        <v/>
      </c>
      <c r="GG16" s="123">
        <f>IF(OR(GG$4="",$B16=""),0,SUMIF('DADOS BRUTOS'!$A$3:$A$500,$B16,'DADOS BRUTOS'!DG$3:DG$500)+IF($C16="",0,SUMIF('DADOS BRUTOS'!$A$3:$A$500,$C16,'DADOS BRUTOS'!DG$3:DG$500)))</f>
        <v/>
      </c>
      <c r="GH16" s="123">
        <f>IF(OR(GH$4="",$B16=""),0,SUMIF('DADOS BRUTOS'!$A$3:$A$500,$B16,'DADOS BRUTOS'!DH$3:DH$500)+IF($C16="",0,SUMIF('DADOS BRUTOS'!$A$3:$A$500,$C16,'DADOS BRUTOS'!DH$3:DH$500)))</f>
        <v/>
      </c>
      <c r="GI16" s="123">
        <f>IF(OR(GI$4="",$B16=""),0,SUMIF('DADOS BRUTOS'!$A$3:$A$500,$B16,'DADOS BRUTOS'!DI$3:DI$500)+IF($C16="",0,SUMIF('DADOS BRUTOS'!$A$3:$A$500,$C16,'DADOS BRUTOS'!DI$3:DI$500)))</f>
        <v/>
      </c>
      <c r="GJ16" s="123">
        <f>IF(OR(GJ$4="",$B16=""),0,SUMIF('DADOS BRUTOS'!$A$3:$A$500,$B16,'DADOS BRUTOS'!DJ$3:DJ$500)+IF($C16="",0,SUMIF('DADOS BRUTOS'!$A$3:$A$500,$C16,'DADOS BRUTOS'!DJ$3:DJ$500)))</f>
        <v/>
      </c>
      <c r="GK16" s="123">
        <f>IF(OR(GK$4="",$B16=""),0,SUMIF('DADOS BRUTOS'!$A$3:$A$500,$B16,'DADOS BRUTOS'!DK$3:DK$500)+IF($C16="",0,SUMIF('DADOS BRUTOS'!$A$3:$A$500,$C16,'DADOS BRUTOS'!DK$3:DK$500)))</f>
        <v/>
      </c>
      <c r="GL16" s="123">
        <f>IF(OR(GL$4="",$B16=""),0,SUMIF('DADOS BRUTOS'!$A$3:$A$500,$B16,'DADOS BRUTOS'!DL$3:DL$500)+IF($C16="",0,SUMIF('DADOS BRUTOS'!$A$3:$A$500,$C16,'DADOS BRUTOS'!DL$3:DL$500)))</f>
        <v/>
      </c>
      <c r="GM16" s="123">
        <f>IF(OR(GM$4="",$B16=""),0,SUMIF('DADOS BRUTOS'!$A$3:$A$500,$B16,'DADOS BRUTOS'!DM$3:DM$500)+IF($C16="",0,SUMIF('DADOS BRUTOS'!$A$3:$A$500,$C16,'DADOS BRUTOS'!DM$3:DM$500)))</f>
        <v/>
      </c>
      <c r="GN16" s="123">
        <f>IF(OR(GN$4="",$B16=""),0,SUMIF('DADOS BRUTOS'!$A$3:$A$500,$B16,'DADOS BRUTOS'!DN$3:DN$500)+IF($C16="",0,SUMIF('DADOS BRUTOS'!$A$3:$A$500,$C16,'DADOS BRUTOS'!DN$3:DN$500)))</f>
        <v/>
      </c>
      <c r="GO16" s="123">
        <f>IF(OR(GO$4="",$B16=""),0,SUMIF('DADOS BRUTOS'!$A$3:$A$500,$B16,'DADOS BRUTOS'!DO$3:DO$500)+IF($C16="",0,SUMIF('DADOS BRUTOS'!$A$3:$A$500,$C16,'DADOS BRUTOS'!DO$3:DO$500)))</f>
        <v/>
      </c>
      <c r="GP16" s="123">
        <f>IF(OR(GP$4="",$B16=""),0,SUMIF('DADOS BRUTOS'!$A$3:$A$500,$B16,'DADOS BRUTOS'!DP$3:DP$500)+IF($C16="",0,SUMIF('DADOS BRUTOS'!$A$3:$A$500,$C16,'DADOS BRUTOS'!DP$3:DP$500)))</f>
        <v/>
      </c>
      <c r="GQ16" s="123">
        <f>IF(OR(GQ$4="",$B16=""),0,SUMIF('DADOS BRUTOS'!$A$3:$A$500,$B16,'DADOS BRUTOS'!DQ$3:DQ$500)+IF($C16="",0,SUMIF('DADOS BRUTOS'!$A$3:$A$500,$C16,'DADOS BRUTOS'!DQ$3:DQ$500)))</f>
        <v/>
      </c>
      <c r="GR16" s="123">
        <f>IF(OR(GR$4="",$B16=""),0,SUMIF('DADOS BRUTOS'!$A$3:$A$500,$B16,'DADOS BRUTOS'!DR$3:DR$500)+IF($C16="",0,SUMIF('DADOS BRUTOS'!$A$3:$A$500,$C16,'DADOS BRUTOS'!DR$3:DR$500)))</f>
        <v/>
      </c>
      <c r="GS16" s="123">
        <f>IF(OR(GS$4="",$B16=""),0,SUMIF('DADOS BRUTOS'!$A$3:$A$500,$B16,'DADOS BRUTOS'!DS$3:DS$500)+IF($C16="",0,SUMIF('DADOS BRUTOS'!$A$3:$A$500,$C16,'DADOS BRUTOS'!DS$3:DS$500)))</f>
        <v/>
      </c>
      <c r="GT16" s="123">
        <f>IF(OR(GT$4="",$B16=""),0,SUMIF('DADOS BRUTOS'!$A$3:$A$500,$B16,'DADOS BRUTOS'!DT$3:DT$500)+IF($C16="",0,SUMIF('DADOS BRUTOS'!$A$3:$A$500,$C16,'DADOS BRUTOS'!DT$3:DT$500)))</f>
        <v/>
      </c>
      <c r="GU16" s="123">
        <f>IF(OR(GU$4="",$B16=""),0,SUMIF('DADOS BRUTOS'!$A$3:$A$500,$B16,'DADOS BRUTOS'!DU$3:DU$500)+IF($C16="",0,SUMIF('DADOS BRUTOS'!$A$3:$A$500,$C16,'DADOS BRUTOS'!DU$3:DU$500)))</f>
        <v/>
      </c>
      <c r="GV16" s="123">
        <f>IF(OR(GV$4="",$B16=""),0,SUMIF('DADOS BRUTOS'!$A$3:$A$500,$B16,'DADOS BRUTOS'!DV$3:DV$500)+IF($C16="",0,SUMIF('DADOS BRUTOS'!$A$3:$A$500,$C16,'DADOS BRUTOS'!DV$3:DV$500)))</f>
        <v/>
      </c>
      <c r="GW16" s="123">
        <f>IF(OR(GW$4="",$B16=""),0,SUMIF('DADOS BRUTOS'!$A$3:$A$500,$B16,'DADOS BRUTOS'!DW$3:DW$500)+IF($C16="",0,SUMIF('DADOS BRUTOS'!$A$3:$A$500,$C16,'DADOS BRUTOS'!DW$3:DW$500)))</f>
        <v/>
      </c>
      <c r="GX16" s="123">
        <f>IF(OR(GX$4="",$B16=""),0,SUMIF('DADOS BRUTOS'!$A$3:$A$500,$B16,'DADOS BRUTOS'!DX$3:DX$500)+IF($C16="",0,SUMIF('DADOS BRUTOS'!$A$3:$A$500,$C16,'DADOS BRUTOS'!DX$3:DX$500)))</f>
        <v/>
      </c>
      <c r="GY16" s="123">
        <f>IF(OR(GY$4="",$B16=""),0,SUMIF('DADOS BRUTOS'!$A$3:$A$500,$B16,'DADOS BRUTOS'!DY$3:DY$500)+IF($C16="",0,SUMIF('DADOS BRUTOS'!$A$3:$A$500,$C16,'DADOS BRUTOS'!DY$3:DY$500)))</f>
        <v/>
      </c>
      <c r="GZ16" s="123">
        <f>IF(OR(GZ$4="",$B16=""),0,SUMIF('DADOS BRUTOS'!$A$3:$A$500,$B16,'DADOS BRUTOS'!DZ$3:DZ$500)+IF($C16="",0,SUMIF('DADOS BRUTOS'!$A$3:$A$500,$C16,'DADOS BRUTOS'!DZ$3:DZ$500)))</f>
        <v/>
      </c>
      <c r="HA16" s="123">
        <f>IF(OR(HA$4="",$B16=""),0,SUMIF('DADOS BRUTOS'!$A$3:$A$500,$B16,'DADOS BRUTOS'!EA$3:EA$500)+IF($C16="",0,SUMIF('DADOS BRUTOS'!$A$3:$A$500,$C16,'DADOS BRUTOS'!EA$3:EA$500)))</f>
        <v/>
      </c>
      <c r="HB16" s="123">
        <f>IF(OR(HB$4="",$B16=""),0,SUMIF('DADOS BRUTOS'!$A$3:$A$500,$B16,'DADOS BRUTOS'!EB$3:EB$500)+IF($C16="",0,SUMIF('DADOS BRUTOS'!$A$3:$A$500,$C16,'DADOS BRUTOS'!EB$3:EB$500)))</f>
        <v/>
      </c>
      <c r="HC16" s="123">
        <f>IF(OR(HC$4="",$B16=""),0,SUMIF('DADOS BRUTOS'!$A$3:$A$500,$B16,'DADOS BRUTOS'!EC$3:EC$500)+IF($C16="",0,SUMIF('DADOS BRUTOS'!$A$3:$A$500,$C16,'DADOS BRUTOS'!EC$3:EC$500)))</f>
        <v/>
      </c>
      <c r="HD16" s="123">
        <f>IF(OR(HD$4="",$B16=""),0,SUMIF('DADOS BRUTOS'!$A$3:$A$500,$B16,'DADOS BRUTOS'!ED$3:ED$500)+IF($C16="",0,SUMIF('DADOS BRUTOS'!$A$3:$A$500,$C16,'DADOS BRUTOS'!ED$3:ED$500)))</f>
        <v/>
      </c>
      <c r="HE16" s="123">
        <f>IF(OR(HE$4="",$B16=""),0,SUMIF('DADOS BRUTOS'!$A$3:$A$500,$B16,'DADOS BRUTOS'!EE$3:EE$500)+IF($C16="",0,SUMIF('DADOS BRUTOS'!$A$3:$A$500,$C16,'DADOS BRUTOS'!EE$3:EE$500)))</f>
        <v/>
      </c>
      <c r="HF16" s="123">
        <f>IF(OR(HF$4="",$B16=""),0,SUMIF('DADOS BRUTOS'!$A$3:$A$500,$B16,'DADOS BRUTOS'!EF$3:EF$500)+IF($C16="",0,SUMIF('DADOS BRUTOS'!$A$3:$A$500,$C16,'DADOS BRUTOS'!EF$3:EF$500)))</f>
        <v/>
      </c>
      <c r="HG16" s="123">
        <f>IF(OR(HG$4="",$B16=""),0,SUMIF('DADOS BRUTOS'!$A$3:$A$500,$B16,'DADOS BRUTOS'!EG$3:EG$500)+IF($C16="",0,SUMIF('DADOS BRUTOS'!$A$3:$A$500,$C16,'DADOS BRUTOS'!EG$3:EG$500)))</f>
        <v/>
      </c>
      <c r="HH16" s="123">
        <f>IF(OR(HH$4="",$B16=""),0,SUMIF('DADOS BRUTOS'!$A$3:$A$500,$B16,'DADOS BRUTOS'!EH$3:EH$500)+IF($C16="",0,SUMIF('DADOS BRUTOS'!$A$3:$A$500,$C16,'DADOS BRUTOS'!EH$3:EH$500)))</f>
        <v/>
      </c>
      <c r="HI16" s="123">
        <f>IF(OR(HI$4="",$B16=""),0,SUMIF('DADOS BRUTOS'!$A$3:$A$500,$B16,'DADOS BRUTOS'!EI$3:EI$500)+IF($C16="",0,SUMIF('DADOS BRUTOS'!$A$3:$A$500,$C16,'DADOS BRUTOS'!EI$3:EI$500)))</f>
        <v/>
      </c>
      <c r="HJ16" s="123">
        <f>IF(OR(HJ$4="",$B16=""),0,SUMIF('DADOS BRUTOS'!$A$3:$A$500,$B16,'DADOS BRUTOS'!EJ$3:EJ$500)+IF($C16="",0,SUMIF('DADOS BRUTOS'!$A$3:$A$500,$C16,'DADOS BRUTOS'!EJ$3:EJ$500)))</f>
        <v/>
      </c>
      <c r="HK16" s="123">
        <f>IF(OR(HK$4="",$B16=""),0,SUMIF('DADOS BRUTOS'!$A$3:$A$500,$B16,'DADOS BRUTOS'!EK$3:EK$500)+IF($C16="",0,SUMIF('DADOS BRUTOS'!$A$3:$A$500,$C16,'DADOS BRUTOS'!EK$3:EK$500)))</f>
        <v/>
      </c>
      <c r="HL16" s="123">
        <f>IF(OR(HL$4="",$B16=""),0,SUMIF('DADOS BRUTOS'!$A$3:$A$500,$B16,'DADOS BRUTOS'!EL$3:EL$500)+IF($C16="",0,SUMIF('DADOS BRUTOS'!$A$3:$A$500,$C16,'DADOS BRUTOS'!EL$3:EL$500)))</f>
        <v/>
      </c>
      <c r="HM16" s="123">
        <f>IF(OR(HM$4="",$B16=""),0,SUMIF('DADOS BRUTOS'!$A$3:$A$500,$B16,'DADOS BRUTOS'!EM$3:EM$500)+IF($C16="",0,SUMIF('DADOS BRUTOS'!$A$3:$A$500,$C16,'DADOS BRUTOS'!EM$3:EM$500)))</f>
        <v/>
      </c>
      <c r="HN16" s="123">
        <f>IF(OR(HN$4="",$B16=""),0,SUMIF('DADOS BRUTOS'!$A$3:$A$500,$B16,'DADOS BRUTOS'!EN$3:EN$500)+IF($C16="",0,SUMIF('DADOS BRUTOS'!$A$3:$A$500,$C16,'DADOS BRUTOS'!EN$3:EN$500)))</f>
        <v/>
      </c>
      <c r="HO16" s="123">
        <f>IF(OR(HO$4="",$B16=""),0,SUMIF('DADOS BRUTOS'!$A$3:$A$500,$B16,'DADOS BRUTOS'!EO$3:EO$500)+IF($C16="",0,SUMIF('DADOS BRUTOS'!$A$3:$A$500,$C16,'DADOS BRUTOS'!EO$3:EO$500)))</f>
        <v/>
      </c>
      <c r="HP16" s="123">
        <f>IF(OR(HP$4="",$B16=""),0,SUMIF('DADOS BRUTOS'!$A$3:$A$500,$B16,'DADOS BRUTOS'!EP$3:EP$500)+IF($C16="",0,SUMIF('DADOS BRUTOS'!$A$3:$A$500,$C16,'DADOS BRUTOS'!EP$3:EP$500)))</f>
        <v/>
      </c>
      <c r="HQ16" s="123">
        <f>IF(OR(HQ$4="",$B16=""),0,SUMIF('DADOS BRUTOS'!$A$3:$A$500,$B16,'DADOS BRUTOS'!EQ$3:EQ$500)+IF($C16="",0,SUMIF('DADOS BRUTOS'!$A$3:$A$500,$C16,'DADOS BRUTOS'!EQ$3:EQ$500)))</f>
        <v/>
      </c>
      <c r="HR16" s="123">
        <f>IF(OR(HR$4="",$B16=""),0,SUMIF('DADOS BRUTOS'!$A$3:$A$500,$B16,'DADOS BRUTOS'!ER$3:ER$500)+IF($C16="",0,SUMIF('DADOS BRUTOS'!$A$3:$A$500,$C16,'DADOS BRUTOS'!ER$3:ER$500)))</f>
        <v/>
      </c>
      <c r="HS16" s="123">
        <f>IF(OR(HS$4="",$B16=""),0,SUMIF('DADOS BRUTOS'!$A$3:$A$500,$B16,'DADOS BRUTOS'!ES$3:ES$500)+IF($C16="",0,SUMIF('DADOS BRUTOS'!$A$3:$A$500,$C16,'DADOS BRUTOS'!ES$3:ES$500)))</f>
        <v/>
      </c>
      <c r="HT16" s="123">
        <f>IF(OR(HT$4="",$B16=""),0,SUMIF('DADOS BRUTOS'!$A$3:$A$500,$B16,'DADOS BRUTOS'!ET$3:ET$500)+IF($C16="",0,SUMIF('DADOS BRUTOS'!$A$3:$A$500,$C16,'DADOS BRUTOS'!ET$3:ET$500)))</f>
        <v/>
      </c>
      <c r="HU16" s="123">
        <f>IF(OR(HU$4="",$B16=""),0,SUMIF('DADOS BRUTOS'!$A$3:$A$500,$B16,'DADOS BRUTOS'!EU$3:EU$500)+IF($C16="",0,SUMIF('DADOS BRUTOS'!$A$3:$A$500,$C16,'DADOS BRUTOS'!EU$3:EU$500)))</f>
        <v/>
      </c>
      <c r="HV16" s="123">
        <f>IF(OR(HV$4="",$B16=""),0,SUMIF('DADOS BRUTOS'!$A$3:$A$500,$B16,'DADOS BRUTOS'!EV$3:EV$500)+IF($C16="",0,SUMIF('DADOS BRUTOS'!$A$3:$A$500,$C16,'DADOS BRUTOS'!EV$3:EV$500)))</f>
        <v/>
      </c>
      <c r="HW16" s="123">
        <f>IF(OR(HW$4="",$B16=""),0,SUMIF('DADOS BRUTOS'!$A$3:$A$500,$B16,'DADOS BRUTOS'!EW$3:EW$500)+IF($C16="",0,SUMIF('DADOS BRUTOS'!$A$3:$A$500,$C16,'DADOS BRUTOS'!EW$3:EW$500)))</f>
        <v/>
      </c>
      <c r="HX16" s="123">
        <f>IF(OR(HX$4="",$B16=""),0,SUMIF('DADOS BRUTOS'!$A$3:$A$500,$B16,'DADOS BRUTOS'!EX$3:EX$500)+IF($C16="",0,SUMIF('DADOS BRUTOS'!$A$3:$A$500,$C16,'DADOS BRUTOS'!EX$3:EX$500)))</f>
        <v/>
      </c>
      <c r="HY16" s="123">
        <f>IF(OR(HY$4="",$B16=""),0,SUMIF('DADOS BRUTOS'!$A$3:$A$500,$B16,'DADOS BRUTOS'!EY$3:EY$500)+IF($C16="",0,SUMIF('DADOS BRUTOS'!$A$3:$A$500,$C16,'DADOS BRUTOS'!EY$3:EY$500)))</f>
        <v/>
      </c>
      <c r="HZ16" s="123">
        <f>IF(OR(HZ$4="",$B16=""),0,SUMIF('DADOS BRUTOS'!$A$3:$A$500,$B16,'DADOS BRUTOS'!EZ$3:EZ$500)+IF($C16="",0,SUMIF('DADOS BRUTOS'!$A$3:$A$500,$C16,'DADOS BRUTOS'!EZ$3:EZ$500)))</f>
        <v/>
      </c>
      <c r="IA16" s="123">
        <f>IF(OR(IA$4="",$B16=""),0,SUMIF('DADOS BRUTOS'!$A$3:$A$500,$B16,'DADOS BRUTOS'!FA$3:FA$500)+IF($C16="",0,SUMIF('DADOS BRUTOS'!$A$3:$A$500,$C16,'DADOS BRUTOS'!FA$3:FA$500)))</f>
        <v/>
      </c>
      <c r="IB16" s="123">
        <f>IF(OR(IB$4="",$B16=""),0,SUMIF('DADOS BRUTOS'!$A$3:$A$500,$B16,'DADOS BRUTOS'!FB$3:FB$500)+IF($C16="",0,SUMIF('DADOS BRUTOS'!$A$3:$A$500,$C16,'DADOS BRUTOS'!FB$3:FB$500)))</f>
        <v/>
      </c>
      <c r="IC16" s="123">
        <f>IF(OR(IC$4="",$B16=""),0,SUMIF('DADOS BRUTOS'!$A$3:$A$500,$B16,'DADOS BRUTOS'!FC$3:FC$500)+IF($C16="",0,SUMIF('DADOS BRUTOS'!$A$3:$A$500,$C16,'DADOS BRUTOS'!FC$3:FC$500)))</f>
        <v/>
      </c>
      <c r="ID16" s="123">
        <f>IF(OR(ID$4="",$B16=""),0,SUMIF('DADOS BRUTOS'!$A$3:$A$500,$B16,'DADOS BRUTOS'!FD$3:FD$500)+IF($C16="",0,SUMIF('DADOS BRUTOS'!$A$3:$A$500,$C16,'DADOS BRUTOS'!FD$3:FD$500)))</f>
        <v/>
      </c>
      <c r="IE16" s="123">
        <f>IF(OR(IE$4="",$B16=""),0,SUMIF('DADOS BRUTOS'!$A$3:$A$500,$B16,'DADOS BRUTOS'!FE$3:FE$500)+IF($C16="",0,SUMIF('DADOS BRUTOS'!$A$3:$A$500,$C16,'DADOS BRUTOS'!FE$3:FE$500)))</f>
        <v/>
      </c>
      <c r="IF16" s="123">
        <f>IF(OR(IF$4="",$B16=""),0,SUMIF('DADOS BRUTOS'!$A$3:$A$500,$B16,'DADOS BRUTOS'!FF$3:FF$500)+IF($C16="",0,SUMIF('DADOS BRUTOS'!$A$3:$A$500,$C16,'DADOS BRUTOS'!FF$3:FF$500)))</f>
        <v/>
      </c>
      <c r="IG16" s="123">
        <f>IF(OR(IG$4="",$B16=""),0,SUMIF('DADOS BRUTOS'!$A$3:$A$500,$B16,'DADOS BRUTOS'!FG$3:FG$500)+IF($C16="",0,SUMIF('DADOS BRUTOS'!$A$3:$A$500,$C16,'DADOS BRUTOS'!FG$3:FG$500)))</f>
        <v/>
      </c>
      <c r="IH16" s="123">
        <f>IF(OR(IH$4="",$B16=""),0,SUMIF('DADOS BRUTOS'!$A$3:$A$500,$B16,'DADOS BRUTOS'!FH$3:FH$500)+IF($C16="",0,SUMIF('DADOS BRUTOS'!$A$3:$A$500,$C16,'DADOS BRUTOS'!FH$3:FH$500)))</f>
        <v/>
      </c>
      <c r="II16" s="123">
        <f>IF(OR(II$4="",$B16=""),0,SUMIF('DADOS BRUTOS'!$A$3:$A$500,$B16,'DADOS BRUTOS'!FI$3:FI$500)+IF($C16="",0,SUMIF('DADOS BRUTOS'!$A$3:$A$500,$C16,'DADOS BRUTOS'!FI$3:FI$500)))</f>
        <v/>
      </c>
      <c r="IJ16" s="123">
        <f>IF(OR(IJ$4="",$B16=""),0,SUMIF('DADOS BRUTOS'!$A$3:$A$500,$B16,'DADOS BRUTOS'!FJ$3:FJ$500)+IF($C16="",0,SUMIF('DADOS BRUTOS'!$A$3:$A$500,$C16,'DADOS BRUTOS'!FJ$3:FJ$500)))</f>
        <v/>
      </c>
      <c r="IK16" s="123">
        <f>IF(OR(IK$4="",$B16=""),0,SUMIF('DADOS BRUTOS'!$A$3:$A$500,$B16,'DADOS BRUTOS'!FK$3:FK$500)+IF($C16="",0,SUMIF('DADOS BRUTOS'!$A$3:$A$500,$C16,'DADOS BRUTOS'!FK$3:FK$500)))</f>
        <v/>
      </c>
      <c r="IL16" s="123">
        <f>IF(OR(IL$4="",$B16=""),0,SUMIF('DADOS BRUTOS'!$A$3:$A$500,$B16,'DADOS BRUTOS'!FL$3:FL$500)+IF($C16="",0,SUMIF('DADOS BRUTOS'!$A$3:$A$500,$C16,'DADOS BRUTOS'!FL$3:FL$500)))</f>
        <v/>
      </c>
      <c r="IM16" s="123">
        <f>IF(OR(IM$4="",$B16=""),0,SUMIF('DADOS BRUTOS'!$A$3:$A$500,$B16,'DADOS BRUTOS'!FM$3:FM$500)+IF($C16="",0,SUMIF('DADOS BRUTOS'!$A$3:$A$500,$C16,'DADOS BRUTOS'!FM$3:FM$500)))</f>
        <v/>
      </c>
      <c r="IN16" s="123">
        <f>IF(OR(IN$4="",$B16=""),0,SUMIF('DADOS BRUTOS'!$A$3:$A$500,$B16,'DADOS BRUTOS'!FN$3:FN$500)+IF($C16="",0,SUMIF('DADOS BRUTOS'!$A$3:$A$500,$C16,'DADOS BRUTOS'!FN$3:FN$500)))</f>
        <v/>
      </c>
      <c r="IO16" s="123">
        <f>IF(OR(IO$4="",$B16=""),0,SUMIF('DADOS BRUTOS'!$A$3:$A$500,$B16,'DADOS BRUTOS'!FO$3:FO$500)+IF($C16="",0,SUMIF('DADOS BRUTOS'!$A$3:$A$500,$C16,'DADOS BRUTOS'!FO$3:FO$500)))</f>
        <v/>
      </c>
      <c r="IP16" s="123">
        <f>IF(OR(IP$4="",$B16=""),0,SUMIF('DADOS BRUTOS'!$A$3:$A$500,$B16,'DADOS BRUTOS'!FP$3:FP$500)+IF($C16="",0,SUMIF('DADOS BRUTOS'!$A$3:$A$500,$C16,'DADOS BRUTOS'!FP$3:FP$500)))</f>
        <v/>
      </c>
      <c r="IQ16" s="123">
        <f>IF(OR(IQ$4="",$B16=""),0,SUMIF('DADOS BRUTOS'!$A$3:$A$500,$B16,'DADOS BRUTOS'!FQ$3:FQ$500)+IF($C16="",0,SUMIF('DADOS BRUTOS'!$A$3:$A$500,$C16,'DADOS BRUTOS'!FQ$3:FQ$500)))</f>
        <v/>
      </c>
      <c r="IR16" s="123">
        <f>IF(OR(IR$4="",$B16=""),0,SUMIF('DADOS BRUTOS'!$A$3:$A$500,$B16,'DADOS BRUTOS'!FR$3:FR$500)+IF($C16="",0,SUMIF('DADOS BRUTOS'!$A$3:$A$500,$C16,'DADOS BRUTOS'!FR$3:FR$500)))</f>
        <v/>
      </c>
      <c r="IS16" s="123">
        <f>IF(OR(IS$4="",$B16=""),0,SUMIF('DADOS BRUTOS'!$A$3:$A$500,$B16,'DADOS BRUTOS'!FS$3:FS$500)+IF($C16="",0,SUMIF('DADOS BRUTOS'!$A$3:$A$500,$C16,'DADOS BRUTOS'!FS$3:FS$500)))</f>
        <v/>
      </c>
      <c r="IT16" s="123">
        <f>IF(OR(IT$4="",$B16=""),0,SUMIF('DADOS BRUTOS'!$A$3:$A$500,$B16,'DADOS BRUTOS'!FT$3:FT$500)+IF($C16="",0,SUMIF('DADOS BRUTOS'!$A$3:$A$500,$C16,'DADOS BRUTOS'!FT$3:FT$500)))</f>
        <v/>
      </c>
      <c r="IU16" s="123">
        <f>IF(OR(IU$4="",$B16=""),0,SUMIF('DADOS BRUTOS'!$A$3:$A$500,$B16,'DADOS BRUTOS'!FU$3:FU$500)+IF($C16="",0,SUMIF('DADOS BRUTOS'!$A$3:$A$500,$C16,'DADOS BRUTOS'!FU$3:FU$500)))</f>
        <v/>
      </c>
      <c r="IV16" s="123">
        <f>IF(OR(IV$4="",$B16=""),0,SUMIF('DADOS BRUTOS'!$A$3:$A$500,$B16,'DADOS BRUTOS'!FV$3:FV$500)+IF($C16="",0,SUMIF('DADOS BRUTOS'!$A$3:$A$500,$C16,'DADOS BRUTOS'!FV$3:FV$500)))</f>
        <v/>
      </c>
      <c r="IW16" s="123">
        <f>IF(OR(IW$4="",$B16=""),0,SUMIF('DADOS BRUTOS'!$A$3:$A$500,$B16,'DADOS BRUTOS'!FW$3:FW$500)+IF($C16="",0,SUMIF('DADOS BRUTOS'!$A$3:$A$500,$C16,'DADOS BRUTOS'!FW$3:FW$500)))</f>
        <v/>
      </c>
      <c r="IX16" s="123">
        <f>IF(OR(IX$4="",$B16=""),0,SUMIF('DADOS BRUTOS'!$A$3:$A$500,$B16,'DADOS BRUTOS'!FX$3:FX$500)+IF($C16="",0,SUMIF('DADOS BRUTOS'!$A$3:$A$500,$C16,'DADOS BRUTOS'!FX$3:FX$500)))</f>
        <v/>
      </c>
      <c r="IY16" s="123">
        <f>IF(OR(IY$4="",$B16=""),0,SUMIF('DADOS BRUTOS'!$A$3:$A$500,$B16,'DADOS BRUTOS'!FY$3:FY$500)+IF($C16="",0,SUMIF('DADOS BRUTOS'!$A$3:$A$500,$C16,'DADOS BRUTOS'!FY$3:FY$500)))</f>
        <v/>
      </c>
      <c r="IZ16" s="123">
        <f>IF(OR(IZ$4="",$B16=""),0,SUMIF('DADOS BRUTOS'!$A$3:$A$500,$B16,'DADOS BRUTOS'!FZ$3:FZ$500)+IF($C16="",0,SUMIF('DADOS BRUTOS'!$A$3:$A$500,$C16,'DADOS BRUTOS'!FZ$3:FZ$500)))</f>
        <v/>
      </c>
      <c r="JA16" s="123">
        <f>IF(OR(JA$4="",$B16=""),0,SUMIF('DADOS BRUTOS'!$A$3:$A$500,$B16,'DADOS BRUTOS'!GA$3:GA$500)+IF($C16="",0,SUMIF('DADOS BRUTOS'!$A$3:$A$500,$C16,'DADOS BRUTOS'!GA$3:GA$500)))</f>
        <v/>
      </c>
      <c r="JB16" s="123">
        <f>IF(OR(JB$4="",$B16=""),0,SUMIF('DADOS BRUTOS'!$A$3:$A$500,$B16,'DADOS BRUTOS'!GB$3:GB$500)+IF($C16="",0,SUMIF('DADOS BRUTOS'!$A$3:$A$500,$C16,'DADOS BRUTOS'!GB$3:GB$500)))</f>
        <v/>
      </c>
      <c r="JC16" s="123">
        <f>IF(OR(JC$4="",$B16=""),0,SUMIF('DADOS BRUTOS'!$A$3:$A$500,$B16,'DADOS BRUTOS'!GC$3:GC$500)+IF($C16="",0,SUMIF('DADOS BRUTOS'!$A$3:$A$500,$C16,'DADOS BRUTOS'!GC$3:GC$500)))</f>
        <v/>
      </c>
      <c r="JD16" s="123">
        <f>IF(OR(JD$4="",$B16=""),0,SUMIF('DADOS BRUTOS'!$A$3:$A$500,$B16,'DADOS BRUTOS'!GD$3:GD$500)+IF($C16="",0,SUMIF('DADOS BRUTOS'!$A$3:$A$500,$C16,'DADOS BRUTOS'!GD$3:GD$500)))</f>
        <v/>
      </c>
      <c r="JE16" s="123">
        <f>IF(OR(JE$4="",$B16=""),0,SUMIF('DADOS BRUTOS'!$A$3:$A$500,$B16,'DADOS BRUTOS'!GE$3:GE$500)+IF($C16="",0,SUMIF('DADOS BRUTOS'!$A$3:$A$500,$C16,'DADOS BRUTOS'!GE$3:GE$500)))</f>
        <v/>
      </c>
      <c r="JF16" s="123">
        <f>IF(OR(JF$4="",$B16=""),0,SUMIF('DADOS BRUTOS'!$A$3:$A$500,$B16,'DADOS BRUTOS'!GF$3:GF$500)+IF($C16="",0,SUMIF('DADOS BRUTOS'!$A$3:$A$500,$C16,'DADOS BRUTOS'!GF$3:GF$500)))</f>
        <v/>
      </c>
      <c r="JG16" s="123">
        <f>IF(OR(JG$4="",$B16=""),0,SUMIF('DADOS BRUTOS'!$A$3:$A$500,$B16,'DADOS BRUTOS'!GG$3:GG$500)+IF($C16="",0,SUMIF('DADOS BRUTOS'!$A$3:$A$500,$C16,'DADOS BRUTOS'!GG$3:GG$500)))</f>
        <v/>
      </c>
      <c r="JH16" s="123">
        <f>IF(OR(JH$4="",$B16=""),0,SUMIF('DADOS BRUTOS'!$A$3:$A$500,$B16,'DADOS BRUTOS'!GH$3:GH$500)+IF($C16="",0,SUMIF('DADOS BRUTOS'!$A$3:$A$500,$C16,'DADOS BRUTOS'!GH$3:GH$500)))</f>
        <v/>
      </c>
      <c r="JI16" s="123">
        <f>IF(OR(JI$4="",$B16=""),0,SUMIF('DADOS BRUTOS'!$A$3:$A$500,$B16,'DADOS BRUTOS'!GI$3:GI$500)+IF($C16="",0,SUMIF('DADOS BRUTOS'!$A$3:$A$500,$C16,'DADOS BRUTOS'!GI$3:GI$500)))</f>
        <v/>
      </c>
      <c r="JJ16" s="123">
        <f>IF(OR(JJ$4="",$B16=""),0,SUMIF('DADOS BRUTOS'!$A$3:$A$500,$B16,'DADOS BRUTOS'!GJ$3:GJ$500)+IF($C16="",0,SUMIF('DADOS BRUTOS'!$A$3:$A$500,$C16,'DADOS BRUTOS'!GJ$3:GJ$500)))</f>
        <v/>
      </c>
      <c r="JK16" s="123">
        <f>IF(OR(JK$4="",$B16=""),0,SUMIF('DADOS BRUTOS'!$A$3:$A$500,$B16,'DADOS BRUTOS'!GK$3:GK$500)+IF($C16="",0,SUMIF('DADOS BRUTOS'!$A$3:$A$500,$C16,'DADOS BRUTOS'!GK$3:GK$500)))</f>
        <v/>
      </c>
      <c r="JL16" s="123">
        <f>IF(OR(JL$4="",$B16=""),0,SUMIF('DADOS BRUTOS'!$A$3:$A$500,$B16,'DADOS BRUTOS'!GL$3:GL$500)+IF($C16="",0,SUMIF('DADOS BRUTOS'!$A$3:$A$500,$C16,'DADOS BRUTOS'!GL$3:GL$500)))</f>
        <v/>
      </c>
      <c r="JM16" s="123">
        <f>IF(OR(JM$4="",$B16=""),0,SUMIF('DADOS BRUTOS'!$A$3:$A$500,$B16,'DADOS BRUTOS'!GM$3:GM$500)+IF($C16="",0,SUMIF('DADOS BRUTOS'!$A$3:$A$500,$C16,'DADOS BRUTOS'!GM$3:GM$500)))</f>
        <v/>
      </c>
      <c r="JN16" s="123">
        <f>IF(OR(JN$4="",$B16=""),0,SUMIF('DADOS BRUTOS'!$A$3:$A$500,$B16,'DADOS BRUTOS'!GN$3:GN$500)+IF($C16="",0,SUMIF('DADOS BRUTOS'!$A$3:$A$500,$C16,'DADOS BRUTOS'!GN$3:GN$500)))</f>
        <v/>
      </c>
      <c r="JO16" s="123">
        <f>IF(OR(JO$4="",$B16=""),0,SUMIF('DADOS BRUTOS'!$A$3:$A$500,$B16,'DADOS BRUTOS'!GO$3:GO$500)+IF($C16="",0,SUMIF('DADOS BRUTOS'!$A$3:$A$500,$C16,'DADOS BRUTOS'!GO$3:GO$500)))</f>
        <v/>
      </c>
      <c r="JP16" s="123">
        <f>IF(OR(JP$4="",$B16=""),0,SUMIF('DADOS BRUTOS'!$A$3:$A$500,$B16,'DADOS BRUTOS'!GP$3:GP$500)+IF($C16="",0,SUMIF('DADOS BRUTOS'!$A$3:$A$500,$C16,'DADOS BRUTOS'!GP$3:GP$500)))</f>
        <v/>
      </c>
      <c r="JQ16" s="123">
        <f>IF(OR(JQ$4="",$B16=""),0,SUMIF('DADOS BRUTOS'!$A$3:$A$500,$B16,'DADOS BRUTOS'!GQ$3:GQ$500)+IF($C16="",0,SUMIF('DADOS BRUTOS'!$A$3:$A$500,$C16,'DADOS BRUTOS'!GQ$3:GQ$500)))</f>
        <v/>
      </c>
      <c r="JR16" s="123">
        <f>IF(OR(JR$4="",$B16=""),0,SUMIF('DADOS BRUTOS'!$A$3:$A$500,$B16,'DADOS BRUTOS'!GR$3:GR$500)+IF($C16="",0,SUMIF('DADOS BRUTOS'!$A$3:$A$500,$C16,'DADOS BRUTOS'!GR$3:GR$500)))</f>
        <v/>
      </c>
      <c r="JS16" s="123">
        <f>IF(OR(JS$4="",$B16=""),0,SUMIF('DADOS BRUTOS'!$A$3:$A$500,$B16,'DADOS BRUTOS'!GS$3:GS$500)+IF($C16="",0,SUMIF('DADOS BRUTOS'!$A$3:$A$500,$C16,'DADOS BRUTOS'!GS$3:GS$500)))</f>
        <v/>
      </c>
    </row>
    <row r="17">
      <c r="A17" s="60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CB17" s="123">
        <f>IF(OR(CB$4="",$B17=""),0,SUMIF('DADOS BRUTOS'!$A$3:$A$500,$B17,'DADOS BRUTOS'!B$3:B$500)+IF($C17="",0,SUMIF('DADOS BRUTOS'!$A$3:$A$500,$C17,'DADOS BRUTOS'!B$3:B$500)))</f>
        <v/>
      </c>
      <c r="CC17" s="123">
        <f>IF(OR(CC$4="",$B17=""),0,SUMIF('DADOS BRUTOS'!$A$3:$A$500,$B17,'DADOS BRUTOS'!C$3:C$500)+IF($C17="",0,SUMIF('DADOS BRUTOS'!$A$3:$A$500,$C17,'DADOS BRUTOS'!C$3:C$500)))</f>
        <v/>
      </c>
      <c r="CD17" s="123">
        <f>IF(OR(CD$4="",$B17=""),0,SUMIF('DADOS BRUTOS'!$A$3:$A$500,$B17,'DADOS BRUTOS'!D$3:D$500)+IF($C17="",0,SUMIF('DADOS BRUTOS'!$A$3:$A$500,$C17,'DADOS BRUTOS'!D$3:D$500)))</f>
        <v/>
      </c>
      <c r="CE17" s="123">
        <f>IF(OR(CE$4="",$B17=""),0,SUMIF('DADOS BRUTOS'!$A$3:$A$500,$B17,'DADOS BRUTOS'!E$3:E$500)+IF($C17="",0,SUMIF('DADOS BRUTOS'!$A$3:$A$500,$C17,'DADOS BRUTOS'!E$3:E$500)))</f>
        <v/>
      </c>
      <c r="CF17" s="123">
        <f>IF(OR(CF$4="",$B17=""),0,SUMIF('DADOS BRUTOS'!$A$3:$A$500,$B17,'DADOS BRUTOS'!F$3:F$500)+IF($C17="",0,SUMIF('DADOS BRUTOS'!$A$3:$A$500,$C17,'DADOS BRUTOS'!F$3:F$500)))</f>
        <v/>
      </c>
      <c r="CG17" s="123">
        <f>IF(OR(CG$4="",$B17=""),0,SUMIF('DADOS BRUTOS'!$A$3:$A$500,$B17,'DADOS BRUTOS'!G$3:G$500)+IF($C17="",0,SUMIF('DADOS BRUTOS'!$A$3:$A$500,$C17,'DADOS BRUTOS'!G$3:G$500)))</f>
        <v/>
      </c>
      <c r="CH17" s="123">
        <f>IF(OR(CH$4="",$B17=""),0,SUMIF('DADOS BRUTOS'!$A$3:$A$500,$B17,'DADOS BRUTOS'!H$3:H$500)+IF($C17="",0,SUMIF('DADOS BRUTOS'!$A$3:$A$500,$C17,'DADOS BRUTOS'!H$3:H$500)))</f>
        <v/>
      </c>
      <c r="CI17" s="123">
        <f>IF(OR(CI$4="",$B17=""),0,SUMIF('DADOS BRUTOS'!$A$3:$A$500,$B17,'DADOS BRUTOS'!I$3:I$500)+IF($C17="",0,SUMIF('DADOS BRUTOS'!$A$3:$A$500,$C17,'DADOS BRUTOS'!I$3:I$500)))</f>
        <v/>
      </c>
      <c r="CJ17" s="123">
        <f>IF(OR(CJ$4="",$B17=""),0,SUMIF('DADOS BRUTOS'!$A$3:$A$500,$B17,'DADOS BRUTOS'!J$3:J$500)+IF($C17="",0,SUMIF('DADOS BRUTOS'!$A$3:$A$500,$C17,'DADOS BRUTOS'!J$3:J$500)))</f>
        <v/>
      </c>
      <c r="CK17" s="123">
        <f>IF(OR(CK$4="",$B17=""),0,SUMIF('DADOS BRUTOS'!$A$3:$A$500,$B17,'DADOS BRUTOS'!K$3:K$500)+IF($C17="",0,SUMIF('DADOS BRUTOS'!$A$3:$A$500,$C17,'DADOS BRUTOS'!K$3:K$500)))</f>
        <v/>
      </c>
      <c r="CL17" s="123">
        <f>IF(OR(CL$4="",$B17=""),0,SUMIF('DADOS BRUTOS'!$A$3:$A$500,$B17,'DADOS BRUTOS'!L$3:L$500)+IF($C17="",0,SUMIF('DADOS BRUTOS'!$A$3:$A$500,$C17,'DADOS BRUTOS'!L$3:L$500)))</f>
        <v/>
      </c>
      <c r="CM17" s="123">
        <f>IF(OR(CM$4="",$B17=""),0,SUMIF('DADOS BRUTOS'!$A$3:$A$500,$B17,'DADOS BRUTOS'!M$3:M$500)+IF($C17="",0,SUMIF('DADOS BRUTOS'!$A$3:$A$500,$C17,'DADOS BRUTOS'!M$3:M$500)))</f>
        <v/>
      </c>
      <c r="CN17" s="123">
        <f>IF(OR(CN$4="",$B17=""),0,SUMIF('DADOS BRUTOS'!$A$3:$A$500,$B17,'DADOS BRUTOS'!N$3:N$500)+IF($C17="",0,SUMIF('DADOS BRUTOS'!$A$3:$A$500,$C17,'DADOS BRUTOS'!N$3:N$500)))</f>
        <v/>
      </c>
      <c r="CO17" s="123">
        <f>IF(OR(CO$4="",$B17=""),0,SUMIF('DADOS BRUTOS'!$A$3:$A$500,$B17,'DADOS BRUTOS'!O$3:O$500)+IF($C17="",0,SUMIF('DADOS BRUTOS'!$A$3:$A$500,$C17,'DADOS BRUTOS'!O$3:O$500)))</f>
        <v/>
      </c>
      <c r="CP17" s="123">
        <f>IF(OR(CP$4="",$B17=""),0,SUMIF('DADOS BRUTOS'!$A$3:$A$500,$B17,'DADOS BRUTOS'!P$3:P$500)+IF($C17="",0,SUMIF('DADOS BRUTOS'!$A$3:$A$500,$C17,'DADOS BRUTOS'!P$3:P$500)))</f>
        <v/>
      </c>
      <c r="CQ17" s="123">
        <f>IF(OR(CQ$4="",$B17=""),0,SUMIF('DADOS BRUTOS'!$A$3:$A$500,$B17,'DADOS BRUTOS'!Q$3:Q$500)+IF($C17="",0,SUMIF('DADOS BRUTOS'!$A$3:$A$500,$C17,'DADOS BRUTOS'!Q$3:Q$500)))</f>
        <v/>
      </c>
      <c r="CR17" s="123">
        <f>IF(OR(CR$4="",$B17=""),0,SUMIF('DADOS BRUTOS'!$A$3:$A$500,$B17,'DADOS BRUTOS'!R$3:R$500)+IF($C17="",0,SUMIF('DADOS BRUTOS'!$A$3:$A$500,$C17,'DADOS BRUTOS'!R$3:R$500)))</f>
        <v/>
      </c>
      <c r="CS17" s="123">
        <f>IF(OR(CS$4="",$B17=""),0,SUMIF('DADOS BRUTOS'!$A$3:$A$500,$B17,'DADOS BRUTOS'!S$3:S$500)+IF($C17="",0,SUMIF('DADOS BRUTOS'!$A$3:$A$500,$C17,'DADOS BRUTOS'!S$3:S$500)))</f>
        <v/>
      </c>
      <c r="CT17" s="123">
        <f>IF(OR(CT$4="",$B17=""),0,SUMIF('DADOS BRUTOS'!$A$3:$A$500,$B17,'DADOS BRUTOS'!T$3:T$500)+IF($C17="",0,SUMIF('DADOS BRUTOS'!$A$3:$A$500,$C17,'DADOS BRUTOS'!T$3:T$500)))</f>
        <v/>
      </c>
      <c r="CU17" s="123">
        <f>IF(OR(CU$4="",$B17=""),0,SUMIF('DADOS BRUTOS'!$A$3:$A$500,$B17,'DADOS BRUTOS'!U$3:U$500)+IF($C17="",0,SUMIF('DADOS BRUTOS'!$A$3:$A$500,$C17,'DADOS BRUTOS'!U$3:U$500)))</f>
        <v/>
      </c>
      <c r="CV17" s="123">
        <f>IF(OR(CV$4="",$B17=""),0,SUMIF('DADOS BRUTOS'!$A$3:$A$500,$B17,'DADOS BRUTOS'!V$3:V$500)+IF($C17="",0,SUMIF('DADOS BRUTOS'!$A$3:$A$500,$C17,'DADOS BRUTOS'!V$3:V$500)))</f>
        <v/>
      </c>
      <c r="CW17" s="123">
        <f>IF(OR(CW$4="",$B17=""),0,SUMIF('DADOS BRUTOS'!$A$3:$A$500,$B17,'DADOS BRUTOS'!W$3:W$500)+IF($C17="",0,SUMIF('DADOS BRUTOS'!$A$3:$A$500,$C17,'DADOS BRUTOS'!W$3:W$500)))</f>
        <v/>
      </c>
      <c r="CX17" s="123">
        <f>IF(OR(CX$4="",$B17=""),0,SUMIF('DADOS BRUTOS'!$A$3:$A$500,$B17,'DADOS BRUTOS'!X$3:X$500)+IF($C17="",0,SUMIF('DADOS BRUTOS'!$A$3:$A$500,$C17,'DADOS BRUTOS'!X$3:X$500)))</f>
        <v/>
      </c>
      <c r="CY17" s="123">
        <f>IF(OR(CY$4="",$B17=""),0,SUMIF('DADOS BRUTOS'!$A$3:$A$500,$B17,'DADOS BRUTOS'!Y$3:Y$500)+IF($C17="",0,SUMIF('DADOS BRUTOS'!$A$3:$A$500,$C17,'DADOS BRUTOS'!Y$3:Y$500)))</f>
        <v/>
      </c>
      <c r="CZ17" s="123">
        <f>IF(OR(CZ$4="",$B17=""),0,SUMIF('DADOS BRUTOS'!$A$3:$A$500,$B17,'DADOS BRUTOS'!Z$3:Z$500)+IF($C17="",0,SUMIF('DADOS BRUTOS'!$A$3:$A$500,$C17,'DADOS BRUTOS'!Z$3:Z$500)))</f>
        <v/>
      </c>
      <c r="DA17" s="123">
        <f>IF(OR(DA$4="",$B17=""),0,SUMIF('DADOS BRUTOS'!$A$3:$A$500,$B17,'DADOS BRUTOS'!AA$3:AA$500)+IF($C17="",0,SUMIF('DADOS BRUTOS'!$A$3:$A$500,$C17,'DADOS BRUTOS'!AA$3:AA$500)))</f>
        <v/>
      </c>
      <c r="DB17" s="123">
        <f>IF(OR(DB$4="",$B17=""),0,SUMIF('DADOS BRUTOS'!$A$3:$A$500,$B17,'DADOS BRUTOS'!AB$3:AB$500)+IF($C17="",0,SUMIF('DADOS BRUTOS'!$A$3:$A$500,$C17,'DADOS BRUTOS'!AB$3:AB$500)))</f>
        <v/>
      </c>
      <c r="DC17" s="123">
        <f>IF(OR(DC$4="",$B17=""),0,SUMIF('DADOS BRUTOS'!$A$3:$A$500,$B17,'DADOS BRUTOS'!AC$3:AC$500)+IF($C17="",0,SUMIF('DADOS BRUTOS'!$A$3:$A$500,$C17,'DADOS BRUTOS'!AC$3:AC$500)))</f>
        <v/>
      </c>
      <c r="DD17" s="123">
        <f>IF(OR(DD$4="",$B17=""),0,SUMIF('DADOS BRUTOS'!$A$3:$A$500,$B17,'DADOS BRUTOS'!AD$3:AD$500)+IF($C17="",0,SUMIF('DADOS BRUTOS'!$A$3:$A$500,$C17,'DADOS BRUTOS'!AD$3:AD$500)))</f>
        <v/>
      </c>
      <c r="DE17" s="123">
        <f>IF(OR(DE$4="",$B17=""),0,SUMIF('DADOS BRUTOS'!$A$3:$A$500,$B17,'DADOS BRUTOS'!AE$3:AE$500)+IF($C17="",0,SUMIF('DADOS BRUTOS'!$A$3:$A$500,$C17,'DADOS BRUTOS'!AE$3:AE$500)))</f>
        <v/>
      </c>
      <c r="DF17" s="123">
        <f>IF(OR(DF$4="",$B17=""),0,SUMIF('DADOS BRUTOS'!$A$3:$A$500,$B17,'DADOS BRUTOS'!AF$3:AF$500)+IF($C17="",0,SUMIF('DADOS BRUTOS'!$A$3:$A$500,$C17,'DADOS BRUTOS'!AF$3:AF$500)))</f>
        <v/>
      </c>
      <c r="DG17" s="123">
        <f>IF(OR(DG$4="",$B17=""),0,SUMIF('DADOS BRUTOS'!$A$3:$A$500,$B17,'DADOS BRUTOS'!AG$3:AG$500)+IF($C17="",0,SUMIF('DADOS BRUTOS'!$A$3:$A$500,$C17,'DADOS BRUTOS'!AG$3:AG$500)))</f>
        <v/>
      </c>
      <c r="DH17" s="123">
        <f>IF(OR(DH$4="",$B17=""),0,SUMIF('DADOS BRUTOS'!$A$3:$A$500,$B17,'DADOS BRUTOS'!AH$3:AH$500)+IF($C17="",0,SUMIF('DADOS BRUTOS'!$A$3:$A$500,$C17,'DADOS BRUTOS'!AH$3:AH$500)))</f>
        <v/>
      </c>
      <c r="DI17" s="123">
        <f>IF(OR(DI$4="",$B17=""),0,SUMIF('DADOS BRUTOS'!$A$3:$A$500,$B17,'DADOS BRUTOS'!AI$3:AI$500)+IF($C17="",0,SUMIF('DADOS BRUTOS'!$A$3:$A$500,$C17,'DADOS BRUTOS'!AI$3:AI$500)))</f>
        <v/>
      </c>
      <c r="DJ17" s="123">
        <f>IF(OR(DJ$4="",$B17=""),0,SUMIF('DADOS BRUTOS'!$A$3:$A$500,$B17,'DADOS BRUTOS'!AJ$3:AJ$500)+IF($C17="",0,SUMIF('DADOS BRUTOS'!$A$3:$A$500,$C17,'DADOS BRUTOS'!AJ$3:AJ$500)))</f>
        <v/>
      </c>
      <c r="DK17" s="123">
        <f>IF(OR(DK$4="",$B17=""),0,SUMIF('DADOS BRUTOS'!$A$3:$A$500,$B17,'DADOS BRUTOS'!AK$3:AK$500)+IF($C17="",0,SUMIF('DADOS BRUTOS'!$A$3:$A$500,$C17,'DADOS BRUTOS'!AK$3:AK$500)))</f>
        <v/>
      </c>
      <c r="DL17" s="123">
        <f>IF(OR(DL$4="",$B17=""),0,SUMIF('DADOS BRUTOS'!$A$3:$A$500,$B17,'DADOS BRUTOS'!AL$3:AL$500)+IF($C17="",0,SUMIF('DADOS BRUTOS'!$A$3:$A$500,$C17,'DADOS BRUTOS'!AL$3:AL$500)))</f>
        <v/>
      </c>
      <c r="DM17" s="123">
        <f>IF(OR(DM$4="",$B17=""),0,SUMIF('DADOS BRUTOS'!$A$3:$A$500,$B17,'DADOS BRUTOS'!AM$3:AM$500)+IF($C17="",0,SUMIF('DADOS BRUTOS'!$A$3:$A$500,$C17,'DADOS BRUTOS'!AM$3:AM$500)))</f>
        <v/>
      </c>
      <c r="DN17" s="123">
        <f>IF(OR(DN$4="",$B17=""),0,SUMIF('DADOS BRUTOS'!$A$3:$A$500,$B17,'DADOS BRUTOS'!AN$3:AN$500)+IF($C17="",0,SUMIF('DADOS BRUTOS'!$A$3:$A$500,$C17,'DADOS BRUTOS'!AN$3:AN$500)))</f>
        <v/>
      </c>
      <c r="DO17" s="123">
        <f>IF(OR(DO$4="",$B17=""),0,SUMIF('DADOS BRUTOS'!$A$3:$A$500,$B17,'DADOS BRUTOS'!AO$3:AO$500)+IF($C17="",0,SUMIF('DADOS BRUTOS'!$A$3:$A$500,$C17,'DADOS BRUTOS'!AO$3:AO$500)))</f>
        <v/>
      </c>
      <c r="DP17" s="123">
        <f>IF(OR(DP$4="",$B17=""),0,SUMIF('DADOS BRUTOS'!$A$3:$A$500,$B17,'DADOS BRUTOS'!AP$3:AP$500)+IF($C17="",0,SUMIF('DADOS BRUTOS'!$A$3:$A$500,$C17,'DADOS BRUTOS'!AP$3:AP$500)))</f>
        <v/>
      </c>
      <c r="DQ17" s="123">
        <f>IF(OR(DQ$4="",$B17=""),0,SUMIF('DADOS BRUTOS'!$A$3:$A$500,$B17,'DADOS BRUTOS'!AQ$3:AQ$500)+IF($C17="",0,SUMIF('DADOS BRUTOS'!$A$3:$A$500,$C17,'DADOS BRUTOS'!AQ$3:AQ$500)))</f>
        <v/>
      </c>
      <c r="DR17" s="123">
        <f>IF(OR(DR$4="",$B17=""),0,SUMIF('DADOS BRUTOS'!$A$3:$A$500,$B17,'DADOS BRUTOS'!AR$3:AR$500)+IF($C17="",0,SUMIF('DADOS BRUTOS'!$A$3:$A$500,$C17,'DADOS BRUTOS'!AR$3:AR$500)))</f>
        <v/>
      </c>
      <c r="DS17" s="123">
        <f>IF(OR(DS$4="",$B17=""),0,SUMIF('DADOS BRUTOS'!$A$3:$A$500,$B17,'DADOS BRUTOS'!AS$3:AS$500)+IF($C17="",0,SUMIF('DADOS BRUTOS'!$A$3:$A$500,$C17,'DADOS BRUTOS'!AS$3:AS$500)))</f>
        <v/>
      </c>
      <c r="DT17" s="123">
        <f>IF(OR(DT$4="",$B17=""),0,SUMIF('DADOS BRUTOS'!$A$3:$A$500,$B17,'DADOS BRUTOS'!AT$3:AT$500)+IF($C17="",0,SUMIF('DADOS BRUTOS'!$A$3:$A$500,$C17,'DADOS BRUTOS'!AT$3:AT$500)))</f>
        <v/>
      </c>
      <c r="DU17" s="123">
        <f>IF(OR(DU$4="",$B17=""),0,SUMIF('DADOS BRUTOS'!$A$3:$A$500,$B17,'DADOS BRUTOS'!AU$3:AU$500)+IF($C17="",0,SUMIF('DADOS BRUTOS'!$A$3:$A$500,$C17,'DADOS BRUTOS'!AU$3:AU$500)))</f>
        <v/>
      </c>
      <c r="DV17" s="123">
        <f>IF(OR(DV$4="",$B17=""),0,SUMIF('DADOS BRUTOS'!$A$3:$A$500,$B17,'DADOS BRUTOS'!AV$3:AV$500)+IF($C17="",0,SUMIF('DADOS BRUTOS'!$A$3:$A$500,$C17,'DADOS BRUTOS'!AV$3:AV$500)))</f>
        <v/>
      </c>
      <c r="DW17" s="123">
        <f>IF(OR(DW$4="",$B17=""),0,SUMIF('DADOS BRUTOS'!$A$3:$A$500,$B17,'DADOS BRUTOS'!AW$3:AW$500)+IF($C17="",0,SUMIF('DADOS BRUTOS'!$A$3:$A$500,$C17,'DADOS BRUTOS'!AW$3:AW$500)))</f>
        <v/>
      </c>
      <c r="DX17" s="123">
        <f>IF(OR(DX$4="",$B17=""),0,SUMIF('DADOS BRUTOS'!$A$3:$A$500,$B17,'DADOS BRUTOS'!AX$3:AX$500)+IF($C17="",0,SUMIF('DADOS BRUTOS'!$A$3:$A$500,$C17,'DADOS BRUTOS'!AX$3:AX$500)))</f>
        <v/>
      </c>
      <c r="DY17" s="123">
        <f>IF(OR(DY$4="",$B17=""),0,SUMIF('DADOS BRUTOS'!$A$3:$A$500,$B17,'DADOS BRUTOS'!AY$3:AY$500)+IF($C17="",0,SUMIF('DADOS BRUTOS'!$A$3:$A$500,$C17,'DADOS BRUTOS'!AY$3:AY$500)))</f>
        <v/>
      </c>
      <c r="DZ17" s="123">
        <f>IF(OR(DZ$4="",$B17=""),0,SUMIF('DADOS BRUTOS'!$A$3:$A$500,$B17,'DADOS BRUTOS'!AZ$3:AZ$500)+IF($C17="",0,SUMIF('DADOS BRUTOS'!$A$3:$A$500,$C17,'DADOS BRUTOS'!AZ$3:AZ$500)))</f>
        <v/>
      </c>
      <c r="EA17" s="123">
        <f>IF(OR(EA$4="",$B17=""),0,SUMIF('DADOS BRUTOS'!$A$3:$A$500,$B17,'DADOS BRUTOS'!BA$3:BA$500)+IF($C17="",0,SUMIF('DADOS BRUTOS'!$A$3:$A$500,$C17,'DADOS BRUTOS'!BA$3:BA$500)))</f>
        <v/>
      </c>
      <c r="EB17" s="123">
        <f>IF(OR(EB$4="",$B17=""),0,SUMIF('DADOS BRUTOS'!$A$3:$A$500,$B17,'DADOS BRUTOS'!BB$3:BB$500)+IF($C17="",0,SUMIF('DADOS BRUTOS'!$A$3:$A$500,$C17,'DADOS BRUTOS'!BB$3:BB$500)))</f>
        <v/>
      </c>
      <c r="EC17" s="123">
        <f>IF(OR(EC$4="",$B17=""),0,SUMIF('DADOS BRUTOS'!$A$3:$A$500,$B17,'DADOS BRUTOS'!BC$3:BC$500)+IF($C17="",0,SUMIF('DADOS BRUTOS'!$A$3:$A$500,$C17,'DADOS BRUTOS'!BC$3:BC$500)))</f>
        <v/>
      </c>
      <c r="ED17" s="123">
        <f>IF(OR(ED$4="",$B17=""),0,SUMIF('DADOS BRUTOS'!$A$3:$A$500,$B17,'DADOS BRUTOS'!BD$3:BD$500)+IF($C17="",0,SUMIF('DADOS BRUTOS'!$A$3:$A$500,$C17,'DADOS BRUTOS'!BD$3:BD$500)))</f>
        <v/>
      </c>
      <c r="EE17" s="123">
        <f>IF(OR(EE$4="",$B17=""),0,SUMIF('DADOS BRUTOS'!$A$3:$A$500,$B17,'DADOS BRUTOS'!BE$3:BE$500)+IF($C17="",0,SUMIF('DADOS BRUTOS'!$A$3:$A$500,$C17,'DADOS BRUTOS'!BE$3:BE$500)))</f>
        <v/>
      </c>
      <c r="EF17" s="123">
        <f>IF(OR(EF$4="",$B17=""),0,SUMIF('DADOS BRUTOS'!$A$3:$A$500,$B17,'DADOS BRUTOS'!BF$3:BF$500)+IF($C17="",0,SUMIF('DADOS BRUTOS'!$A$3:$A$500,$C17,'DADOS BRUTOS'!BF$3:BF$500)))</f>
        <v/>
      </c>
      <c r="EG17" s="123">
        <f>IF(OR(EG$4="",$B17=""),0,SUMIF('DADOS BRUTOS'!$A$3:$A$500,$B17,'DADOS BRUTOS'!BG$3:BG$500)+IF($C17="",0,SUMIF('DADOS BRUTOS'!$A$3:$A$500,$C17,'DADOS BRUTOS'!BG$3:BG$500)))</f>
        <v/>
      </c>
      <c r="EH17" s="123">
        <f>IF(OR(EH$4="",$B17=""),0,SUMIF('DADOS BRUTOS'!$A$3:$A$500,$B17,'DADOS BRUTOS'!BH$3:BH$500)+IF($C17="",0,SUMIF('DADOS BRUTOS'!$A$3:$A$500,$C17,'DADOS BRUTOS'!BH$3:BH$500)))</f>
        <v/>
      </c>
      <c r="EI17" s="123">
        <f>IF(OR(EI$4="",$B17=""),0,SUMIF('DADOS BRUTOS'!$A$3:$A$500,$B17,'DADOS BRUTOS'!BI$3:BI$500)+IF($C17="",0,SUMIF('DADOS BRUTOS'!$A$3:$A$500,$C17,'DADOS BRUTOS'!BI$3:BI$500)))</f>
        <v/>
      </c>
      <c r="EJ17" s="123">
        <f>IF(OR(EJ$4="",$B17=""),0,SUMIF('DADOS BRUTOS'!$A$3:$A$500,$B17,'DADOS BRUTOS'!BJ$3:BJ$500)+IF($C17="",0,SUMIF('DADOS BRUTOS'!$A$3:$A$500,$C17,'DADOS BRUTOS'!BJ$3:BJ$500)))</f>
        <v/>
      </c>
      <c r="EK17" s="123">
        <f>IF(OR(EK$4="",$B17=""),0,SUMIF('DADOS BRUTOS'!$A$3:$A$500,$B17,'DADOS BRUTOS'!BK$3:BK$500)+IF($C17="",0,SUMIF('DADOS BRUTOS'!$A$3:$A$500,$C17,'DADOS BRUTOS'!BK$3:BK$500)))</f>
        <v/>
      </c>
      <c r="EL17" s="123">
        <f>IF(OR(EL$4="",$B17=""),0,SUMIF('DADOS BRUTOS'!$A$3:$A$500,$B17,'DADOS BRUTOS'!BL$3:BL$500)+IF($C17="",0,SUMIF('DADOS BRUTOS'!$A$3:$A$500,$C17,'DADOS BRUTOS'!BL$3:BL$500)))</f>
        <v/>
      </c>
      <c r="EM17" s="123">
        <f>IF(OR(EM$4="",$B17=""),0,SUMIF('DADOS BRUTOS'!$A$3:$A$500,$B17,'DADOS BRUTOS'!BM$3:BM$500)+IF($C17="",0,SUMIF('DADOS BRUTOS'!$A$3:$A$500,$C17,'DADOS BRUTOS'!BM$3:BM$500)))</f>
        <v/>
      </c>
      <c r="EN17" s="123">
        <f>IF(OR(EN$4="",$B17=""),0,SUMIF('DADOS BRUTOS'!$A$3:$A$500,$B17,'DADOS BRUTOS'!BN$3:BN$500)+IF($C17="",0,SUMIF('DADOS BRUTOS'!$A$3:$A$500,$C17,'DADOS BRUTOS'!BN$3:BN$500)))</f>
        <v/>
      </c>
      <c r="EO17" s="123">
        <f>IF(OR(EO$4="",$B17=""),0,SUMIF('DADOS BRUTOS'!$A$3:$A$500,$B17,'DADOS BRUTOS'!BO$3:BO$500)+IF($C17="",0,SUMIF('DADOS BRUTOS'!$A$3:$A$500,$C17,'DADOS BRUTOS'!BO$3:BO$500)))</f>
        <v/>
      </c>
      <c r="EP17" s="123">
        <f>IF(OR(EP$4="",$B17=""),0,SUMIF('DADOS BRUTOS'!$A$3:$A$500,$B17,'DADOS BRUTOS'!BP$3:BP$500)+IF($C17="",0,SUMIF('DADOS BRUTOS'!$A$3:$A$500,$C17,'DADOS BRUTOS'!BP$3:BP$500)))</f>
        <v/>
      </c>
      <c r="EQ17" s="123">
        <f>IF(OR(EQ$4="",$B17=""),0,SUMIF('DADOS BRUTOS'!$A$3:$A$500,$B17,'DADOS BRUTOS'!BQ$3:BQ$500)+IF($C17="",0,SUMIF('DADOS BRUTOS'!$A$3:$A$500,$C17,'DADOS BRUTOS'!BQ$3:BQ$500)))</f>
        <v/>
      </c>
      <c r="ER17" s="123">
        <f>IF(OR(ER$4="",$B17=""),0,SUMIF('DADOS BRUTOS'!$A$3:$A$500,$B17,'DADOS BRUTOS'!BR$3:BR$500)+IF($C17="",0,SUMIF('DADOS BRUTOS'!$A$3:$A$500,$C17,'DADOS BRUTOS'!BR$3:BR$500)))</f>
        <v/>
      </c>
      <c r="ES17" s="123">
        <f>IF(OR(ES$4="",$B17=""),0,SUMIF('DADOS BRUTOS'!$A$3:$A$500,$B17,'DADOS BRUTOS'!BS$3:BS$500)+IF($C17="",0,SUMIF('DADOS BRUTOS'!$A$3:$A$500,$C17,'DADOS BRUTOS'!BS$3:BS$500)))</f>
        <v/>
      </c>
      <c r="ET17" s="123">
        <f>IF(OR(ET$4="",$B17=""),0,SUMIF('DADOS BRUTOS'!$A$3:$A$500,$B17,'DADOS BRUTOS'!BT$3:BT$500)+IF($C17="",0,SUMIF('DADOS BRUTOS'!$A$3:$A$500,$C17,'DADOS BRUTOS'!BT$3:BT$500)))</f>
        <v/>
      </c>
      <c r="EU17" s="123">
        <f>IF(OR(EU$4="",$B17=""),0,SUMIF('DADOS BRUTOS'!$A$3:$A$500,$B17,'DADOS BRUTOS'!BU$3:BU$500)+IF($C17="",0,SUMIF('DADOS BRUTOS'!$A$3:$A$500,$C17,'DADOS BRUTOS'!BU$3:BU$500)))</f>
        <v/>
      </c>
      <c r="EV17" s="123">
        <f>IF(OR(EV$4="",$B17=""),0,SUMIF('DADOS BRUTOS'!$A$3:$A$500,$B17,'DADOS BRUTOS'!BV$3:BV$500)+IF($C17="",0,SUMIF('DADOS BRUTOS'!$A$3:$A$500,$C17,'DADOS BRUTOS'!BV$3:BV$500)))</f>
        <v/>
      </c>
      <c r="EW17" s="123">
        <f>IF(OR(EW$4="",$B17=""),0,SUMIF('DADOS BRUTOS'!$A$3:$A$500,$B17,'DADOS BRUTOS'!BW$3:BW$500)+IF($C17="",0,SUMIF('DADOS BRUTOS'!$A$3:$A$500,$C17,'DADOS BRUTOS'!BW$3:BW$500)))</f>
        <v/>
      </c>
      <c r="EX17" s="123">
        <f>IF(OR(EX$4="",$B17=""),0,SUMIF('DADOS BRUTOS'!$A$3:$A$500,$B17,'DADOS BRUTOS'!BX$3:BX$500)+IF($C17="",0,SUMIF('DADOS BRUTOS'!$A$3:$A$500,$C17,'DADOS BRUTOS'!BX$3:BX$500)))</f>
        <v/>
      </c>
      <c r="EY17" s="123">
        <f>IF(OR(EY$4="",$B17=""),0,SUMIF('DADOS BRUTOS'!$A$3:$A$500,$B17,'DADOS BRUTOS'!BY$3:BY$500)+IF($C17="",0,SUMIF('DADOS BRUTOS'!$A$3:$A$500,$C17,'DADOS BRUTOS'!BY$3:BY$500)))</f>
        <v/>
      </c>
      <c r="EZ17" s="123">
        <f>IF(OR(EZ$4="",$B17=""),0,SUMIF('DADOS BRUTOS'!$A$3:$A$500,$B17,'DADOS BRUTOS'!BZ$3:BZ$500)+IF($C17="",0,SUMIF('DADOS BRUTOS'!$A$3:$A$500,$C17,'DADOS BRUTOS'!BZ$3:BZ$500)))</f>
        <v/>
      </c>
      <c r="FA17" s="123">
        <f>IF(OR(FA$4="",$B17=""),0,SUMIF('DADOS BRUTOS'!$A$3:$A$500,$B17,'DADOS BRUTOS'!CA$3:CA$500)+IF($C17="",0,SUMIF('DADOS BRUTOS'!$A$3:$A$500,$C17,'DADOS BRUTOS'!CA$3:CA$500)))</f>
        <v/>
      </c>
      <c r="FB17" s="123">
        <f>IF(OR(FB$4="",$B17=""),0,SUMIF('DADOS BRUTOS'!$A$3:$A$500,$B17,'DADOS BRUTOS'!CB$3:CB$500)+IF($C17="",0,SUMIF('DADOS BRUTOS'!$A$3:$A$500,$C17,'DADOS BRUTOS'!CB$3:CB$500)))</f>
        <v/>
      </c>
      <c r="FC17" s="123">
        <f>IF(OR(FC$4="",$B17=""),0,SUMIF('DADOS BRUTOS'!$A$3:$A$500,$B17,'DADOS BRUTOS'!CC$3:CC$500)+IF($C17="",0,SUMIF('DADOS BRUTOS'!$A$3:$A$500,$C17,'DADOS BRUTOS'!CC$3:CC$500)))</f>
        <v/>
      </c>
      <c r="FD17" s="123">
        <f>IF(OR(FD$4="",$B17=""),0,SUMIF('DADOS BRUTOS'!$A$3:$A$500,$B17,'DADOS BRUTOS'!CD$3:CD$500)+IF($C17="",0,SUMIF('DADOS BRUTOS'!$A$3:$A$500,$C17,'DADOS BRUTOS'!CD$3:CD$500)))</f>
        <v/>
      </c>
      <c r="FE17" s="123">
        <f>IF(OR(FE$4="",$B17=""),0,SUMIF('DADOS BRUTOS'!$A$3:$A$500,$B17,'DADOS BRUTOS'!CE$3:CE$500)+IF($C17="",0,SUMIF('DADOS BRUTOS'!$A$3:$A$500,$C17,'DADOS BRUTOS'!CE$3:CE$500)))</f>
        <v/>
      </c>
      <c r="FF17" s="123">
        <f>IF(OR(FF$4="",$B17=""),0,SUMIF('DADOS BRUTOS'!$A$3:$A$500,$B17,'DADOS BRUTOS'!CF$3:CF$500)+IF($C17="",0,SUMIF('DADOS BRUTOS'!$A$3:$A$500,$C17,'DADOS BRUTOS'!CF$3:CF$500)))</f>
        <v/>
      </c>
      <c r="FG17" s="123">
        <f>IF(OR(FG$4="",$B17=""),0,SUMIF('DADOS BRUTOS'!$A$3:$A$500,$B17,'DADOS BRUTOS'!CG$3:CG$500)+IF($C17="",0,SUMIF('DADOS BRUTOS'!$A$3:$A$500,$C17,'DADOS BRUTOS'!CG$3:CG$500)))</f>
        <v/>
      </c>
      <c r="FH17" s="123">
        <f>IF(OR(FH$4="",$B17=""),0,SUMIF('DADOS BRUTOS'!$A$3:$A$500,$B17,'DADOS BRUTOS'!CH$3:CH$500)+IF($C17="",0,SUMIF('DADOS BRUTOS'!$A$3:$A$500,$C17,'DADOS BRUTOS'!CH$3:CH$500)))</f>
        <v/>
      </c>
      <c r="FI17" s="123">
        <f>IF(OR(FI$4="",$B17=""),0,SUMIF('DADOS BRUTOS'!$A$3:$A$500,$B17,'DADOS BRUTOS'!CI$3:CI$500)+IF($C17="",0,SUMIF('DADOS BRUTOS'!$A$3:$A$500,$C17,'DADOS BRUTOS'!CI$3:CI$500)))</f>
        <v/>
      </c>
      <c r="FJ17" s="123">
        <f>IF(OR(FJ$4="",$B17=""),0,SUMIF('DADOS BRUTOS'!$A$3:$A$500,$B17,'DADOS BRUTOS'!CJ$3:CJ$500)+IF($C17="",0,SUMIF('DADOS BRUTOS'!$A$3:$A$500,$C17,'DADOS BRUTOS'!CJ$3:CJ$500)))</f>
        <v/>
      </c>
      <c r="FK17" s="123">
        <f>IF(OR(FK$4="",$B17=""),0,SUMIF('DADOS BRUTOS'!$A$3:$A$500,$B17,'DADOS BRUTOS'!CK$3:CK$500)+IF($C17="",0,SUMIF('DADOS BRUTOS'!$A$3:$A$500,$C17,'DADOS BRUTOS'!CK$3:CK$500)))</f>
        <v/>
      </c>
      <c r="FL17" s="123">
        <f>IF(OR(FL$4="",$B17=""),0,SUMIF('DADOS BRUTOS'!$A$3:$A$500,$B17,'DADOS BRUTOS'!CL$3:CL$500)+IF($C17="",0,SUMIF('DADOS BRUTOS'!$A$3:$A$500,$C17,'DADOS BRUTOS'!CL$3:CL$500)))</f>
        <v/>
      </c>
      <c r="FM17" s="123">
        <f>IF(OR(FM$4="",$B17=""),0,SUMIF('DADOS BRUTOS'!$A$3:$A$500,$B17,'DADOS BRUTOS'!CM$3:CM$500)+IF($C17="",0,SUMIF('DADOS BRUTOS'!$A$3:$A$500,$C17,'DADOS BRUTOS'!CM$3:CM$500)))</f>
        <v/>
      </c>
      <c r="FN17" s="123">
        <f>IF(OR(FN$4="",$B17=""),0,SUMIF('DADOS BRUTOS'!$A$3:$A$500,$B17,'DADOS BRUTOS'!CN$3:CN$500)+IF($C17="",0,SUMIF('DADOS BRUTOS'!$A$3:$A$500,$C17,'DADOS BRUTOS'!CN$3:CN$500)))</f>
        <v/>
      </c>
      <c r="FO17" s="123">
        <f>IF(OR(FO$4="",$B17=""),0,SUMIF('DADOS BRUTOS'!$A$3:$A$500,$B17,'DADOS BRUTOS'!CO$3:CO$500)+IF($C17="",0,SUMIF('DADOS BRUTOS'!$A$3:$A$500,$C17,'DADOS BRUTOS'!CO$3:CO$500)))</f>
        <v/>
      </c>
      <c r="FP17" s="123">
        <f>IF(OR(FP$4="",$B17=""),0,SUMIF('DADOS BRUTOS'!$A$3:$A$500,$B17,'DADOS BRUTOS'!CP$3:CP$500)+IF($C17="",0,SUMIF('DADOS BRUTOS'!$A$3:$A$500,$C17,'DADOS BRUTOS'!CP$3:CP$500)))</f>
        <v/>
      </c>
      <c r="FQ17" s="123">
        <f>IF(OR(FQ$4="",$B17=""),0,SUMIF('DADOS BRUTOS'!$A$3:$A$500,$B17,'DADOS BRUTOS'!CQ$3:CQ$500)+IF($C17="",0,SUMIF('DADOS BRUTOS'!$A$3:$A$500,$C17,'DADOS BRUTOS'!CQ$3:CQ$500)))</f>
        <v/>
      </c>
      <c r="FR17" s="123">
        <f>IF(OR(FR$4="",$B17=""),0,SUMIF('DADOS BRUTOS'!$A$3:$A$500,$B17,'DADOS BRUTOS'!CR$3:CR$500)+IF($C17="",0,SUMIF('DADOS BRUTOS'!$A$3:$A$500,$C17,'DADOS BRUTOS'!CR$3:CR$500)))</f>
        <v/>
      </c>
      <c r="FS17" s="123">
        <f>IF(OR(FS$4="",$B17=""),0,SUMIF('DADOS BRUTOS'!$A$3:$A$500,$B17,'DADOS BRUTOS'!CS$3:CS$500)+IF($C17="",0,SUMIF('DADOS BRUTOS'!$A$3:$A$500,$C17,'DADOS BRUTOS'!CS$3:CS$500)))</f>
        <v/>
      </c>
      <c r="FT17" s="123">
        <f>IF(OR(FT$4="",$B17=""),0,SUMIF('DADOS BRUTOS'!$A$3:$A$500,$B17,'DADOS BRUTOS'!CT$3:CT$500)+IF($C17="",0,SUMIF('DADOS BRUTOS'!$A$3:$A$500,$C17,'DADOS BRUTOS'!CT$3:CT$500)))</f>
        <v/>
      </c>
      <c r="FU17" s="123">
        <f>IF(OR(FU$4="",$B17=""),0,SUMIF('DADOS BRUTOS'!$A$3:$A$500,$B17,'DADOS BRUTOS'!CU$3:CU$500)+IF($C17="",0,SUMIF('DADOS BRUTOS'!$A$3:$A$500,$C17,'DADOS BRUTOS'!CU$3:CU$500)))</f>
        <v/>
      </c>
      <c r="FV17" s="123">
        <f>IF(OR(FV$4="",$B17=""),0,SUMIF('DADOS BRUTOS'!$A$3:$A$500,$B17,'DADOS BRUTOS'!CV$3:CV$500)+IF($C17="",0,SUMIF('DADOS BRUTOS'!$A$3:$A$500,$C17,'DADOS BRUTOS'!CV$3:CV$500)))</f>
        <v/>
      </c>
      <c r="FW17" s="123">
        <f>IF(OR(FW$4="",$B17=""),0,SUMIF('DADOS BRUTOS'!$A$3:$A$500,$B17,'DADOS BRUTOS'!CW$3:CW$500)+IF($C17="",0,SUMIF('DADOS BRUTOS'!$A$3:$A$500,$C17,'DADOS BRUTOS'!CW$3:CW$500)))</f>
        <v/>
      </c>
      <c r="FX17" s="123">
        <f>IF(OR(FX$4="",$B17=""),0,SUMIF('DADOS BRUTOS'!$A$3:$A$500,$B17,'DADOS BRUTOS'!CX$3:CX$500)+IF($C17="",0,SUMIF('DADOS BRUTOS'!$A$3:$A$500,$C17,'DADOS BRUTOS'!CX$3:CX$500)))</f>
        <v/>
      </c>
      <c r="FY17" s="123">
        <f>IF(OR(FY$4="",$B17=""),0,SUMIF('DADOS BRUTOS'!$A$3:$A$500,$B17,'DADOS BRUTOS'!CY$3:CY$500)+IF($C17="",0,SUMIF('DADOS BRUTOS'!$A$3:$A$500,$C17,'DADOS BRUTOS'!CY$3:CY$500)))</f>
        <v/>
      </c>
      <c r="FZ17" s="123">
        <f>IF(OR(FZ$4="",$B17=""),0,SUMIF('DADOS BRUTOS'!$A$3:$A$500,$B17,'DADOS BRUTOS'!CZ$3:CZ$500)+IF($C17="",0,SUMIF('DADOS BRUTOS'!$A$3:$A$500,$C17,'DADOS BRUTOS'!CZ$3:CZ$500)))</f>
        <v/>
      </c>
      <c r="GA17" s="123">
        <f>IF(OR(GA$4="",$B17=""),0,SUMIF('DADOS BRUTOS'!$A$3:$A$500,$B17,'DADOS BRUTOS'!DA$3:DA$500)+IF($C17="",0,SUMIF('DADOS BRUTOS'!$A$3:$A$500,$C17,'DADOS BRUTOS'!DA$3:DA$500)))</f>
        <v/>
      </c>
      <c r="GB17" s="123">
        <f>IF(OR(GB$4="",$B17=""),0,SUMIF('DADOS BRUTOS'!$A$3:$A$500,$B17,'DADOS BRUTOS'!DB$3:DB$500)+IF($C17="",0,SUMIF('DADOS BRUTOS'!$A$3:$A$500,$C17,'DADOS BRUTOS'!DB$3:DB$500)))</f>
        <v/>
      </c>
      <c r="GC17" s="123">
        <f>IF(OR(GC$4="",$B17=""),0,SUMIF('DADOS BRUTOS'!$A$3:$A$500,$B17,'DADOS BRUTOS'!DC$3:DC$500)+IF($C17="",0,SUMIF('DADOS BRUTOS'!$A$3:$A$500,$C17,'DADOS BRUTOS'!DC$3:DC$500)))</f>
        <v/>
      </c>
      <c r="GD17" s="123">
        <f>IF(OR(GD$4="",$B17=""),0,SUMIF('DADOS BRUTOS'!$A$3:$A$500,$B17,'DADOS BRUTOS'!DD$3:DD$500)+IF($C17="",0,SUMIF('DADOS BRUTOS'!$A$3:$A$500,$C17,'DADOS BRUTOS'!DD$3:DD$500)))</f>
        <v/>
      </c>
      <c r="GE17" s="123">
        <f>IF(OR(GE$4="",$B17=""),0,SUMIF('DADOS BRUTOS'!$A$3:$A$500,$B17,'DADOS BRUTOS'!DE$3:DE$500)+IF($C17="",0,SUMIF('DADOS BRUTOS'!$A$3:$A$500,$C17,'DADOS BRUTOS'!DE$3:DE$500)))</f>
        <v/>
      </c>
      <c r="GF17" s="123">
        <f>IF(OR(GF$4="",$B17=""),0,SUMIF('DADOS BRUTOS'!$A$3:$A$500,$B17,'DADOS BRUTOS'!DF$3:DF$500)+IF($C17="",0,SUMIF('DADOS BRUTOS'!$A$3:$A$500,$C17,'DADOS BRUTOS'!DF$3:DF$500)))</f>
        <v/>
      </c>
      <c r="GG17" s="123">
        <f>IF(OR(GG$4="",$B17=""),0,SUMIF('DADOS BRUTOS'!$A$3:$A$500,$B17,'DADOS BRUTOS'!DG$3:DG$500)+IF($C17="",0,SUMIF('DADOS BRUTOS'!$A$3:$A$500,$C17,'DADOS BRUTOS'!DG$3:DG$500)))</f>
        <v/>
      </c>
      <c r="GH17" s="123">
        <f>IF(OR(GH$4="",$B17=""),0,SUMIF('DADOS BRUTOS'!$A$3:$A$500,$B17,'DADOS BRUTOS'!DH$3:DH$500)+IF($C17="",0,SUMIF('DADOS BRUTOS'!$A$3:$A$500,$C17,'DADOS BRUTOS'!DH$3:DH$500)))</f>
        <v/>
      </c>
      <c r="GI17" s="123">
        <f>IF(OR(GI$4="",$B17=""),0,SUMIF('DADOS BRUTOS'!$A$3:$A$500,$B17,'DADOS BRUTOS'!DI$3:DI$500)+IF($C17="",0,SUMIF('DADOS BRUTOS'!$A$3:$A$500,$C17,'DADOS BRUTOS'!DI$3:DI$500)))</f>
        <v/>
      </c>
      <c r="GJ17" s="123">
        <f>IF(OR(GJ$4="",$B17=""),0,SUMIF('DADOS BRUTOS'!$A$3:$A$500,$B17,'DADOS BRUTOS'!DJ$3:DJ$500)+IF($C17="",0,SUMIF('DADOS BRUTOS'!$A$3:$A$500,$C17,'DADOS BRUTOS'!DJ$3:DJ$500)))</f>
        <v/>
      </c>
      <c r="GK17" s="123">
        <f>IF(OR(GK$4="",$B17=""),0,SUMIF('DADOS BRUTOS'!$A$3:$A$500,$B17,'DADOS BRUTOS'!DK$3:DK$500)+IF($C17="",0,SUMIF('DADOS BRUTOS'!$A$3:$A$500,$C17,'DADOS BRUTOS'!DK$3:DK$500)))</f>
        <v/>
      </c>
      <c r="GL17" s="123">
        <f>IF(OR(GL$4="",$B17=""),0,SUMIF('DADOS BRUTOS'!$A$3:$A$500,$B17,'DADOS BRUTOS'!DL$3:DL$500)+IF($C17="",0,SUMIF('DADOS BRUTOS'!$A$3:$A$500,$C17,'DADOS BRUTOS'!DL$3:DL$500)))</f>
        <v/>
      </c>
      <c r="GM17" s="123">
        <f>IF(OR(GM$4="",$B17=""),0,SUMIF('DADOS BRUTOS'!$A$3:$A$500,$B17,'DADOS BRUTOS'!DM$3:DM$500)+IF($C17="",0,SUMIF('DADOS BRUTOS'!$A$3:$A$500,$C17,'DADOS BRUTOS'!DM$3:DM$500)))</f>
        <v/>
      </c>
      <c r="GN17" s="123">
        <f>IF(OR(GN$4="",$B17=""),0,SUMIF('DADOS BRUTOS'!$A$3:$A$500,$B17,'DADOS BRUTOS'!DN$3:DN$500)+IF($C17="",0,SUMIF('DADOS BRUTOS'!$A$3:$A$500,$C17,'DADOS BRUTOS'!DN$3:DN$500)))</f>
        <v/>
      </c>
      <c r="GO17" s="123">
        <f>IF(OR(GO$4="",$B17=""),0,SUMIF('DADOS BRUTOS'!$A$3:$A$500,$B17,'DADOS BRUTOS'!DO$3:DO$500)+IF($C17="",0,SUMIF('DADOS BRUTOS'!$A$3:$A$500,$C17,'DADOS BRUTOS'!DO$3:DO$500)))</f>
        <v/>
      </c>
      <c r="GP17" s="123">
        <f>IF(OR(GP$4="",$B17=""),0,SUMIF('DADOS BRUTOS'!$A$3:$A$500,$B17,'DADOS BRUTOS'!DP$3:DP$500)+IF($C17="",0,SUMIF('DADOS BRUTOS'!$A$3:$A$500,$C17,'DADOS BRUTOS'!DP$3:DP$500)))</f>
        <v/>
      </c>
      <c r="GQ17" s="123">
        <f>IF(OR(GQ$4="",$B17=""),0,SUMIF('DADOS BRUTOS'!$A$3:$A$500,$B17,'DADOS BRUTOS'!DQ$3:DQ$500)+IF($C17="",0,SUMIF('DADOS BRUTOS'!$A$3:$A$500,$C17,'DADOS BRUTOS'!DQ$3:DQ$500)))</f>
        <v/>
      </c>
      <c r="GR17" s="123">
        <f>IF(OR(GR$4="",$B17=""),0,SUMIF('DADOS BRUTOS'!$A$3:$A$500,$B17,'DADOS BRUTOS'!DR$3:DR$500)+IF($C17="",0,SUMIF('DADOS BRUTOS'!$A$3:$A$500,$C17,'DADOS BRUTOS'!DR$3:DR$500)))</f>
        <v/>
      </c>
      <c r="GS17" s="123">
        <f>IF(OR(GS$4="",$B17=""),0,SUMIF('DADOS BRUTOS'!$A$3:$A$500,$B17,'DADOS BRUTOS'!DS$3:DS$500)+IF($C17="",0,SUMIF('DADOS BRUTOS'!$A$3:$A$500,$C17,'DADOS BRUTOS'!DS$3:DS$500)))</f>
        <v/>
      </c>
      <c r="GT17" s="123">
        <f>IF(OR(GT$4="",$B17=""),0,SUMIF('DADOS BRUTOS'!$A$3:$A$500,$B17,'DADOS BRUTOS'!DT$3:DT$500)+IF($C17="",0,SUMIF('DADOS BRUTOS'!$A$3:$A$500,$C17,'DADOS BRUTOS'!DT$3:DT$500)))</f>
        <v/>
      </c>
      <c r="GU17" s="123">
        <f>IF(OR(GU$4="",$B17=""),0,SUMIF('DADOS BRUTOS'!$A$3:$A$500,$B17,'DADOS BRUTOS'!DU$3:DU$500)+IF($C17="",0,SUMIF('DADOS BRUTOS'!$A$3:$A$500,$C17,'DADOS BRUTOS'!DU$3:DU$500)))</f>
        <v/>
      </c>
      <c r="GV17" s="123">
        <f>IF(OR(GV$4="",$B17=""),0,SUMIF('DADOS BRUTOS'!$A$3:$A$500,$B17,'DADOS BRUTOS'!DV$3:DV$500)+IF($C17="",0,SUMIF('DADOS BRUTOS'!$A$3:$A$500,$C17,'DADOS BRUTOS'!DV$3:DV$500)))</f>
        <v/>
      </c>
      <c r="GW17" s="123">
        <f>IF(OR(GW$4="",$B17=""),0,SUMIF('DADOS BRUTOS'!$A$3:$A$500,$B17,'DADOS BRUTOS'!DW$3:DW$500)+IF($C17="",0,SUMIF('DADOS BRUTOS'!$A$3:$A$500,$C17,'DADOS BRUTOS'!DW$3:DW$500)))</f>
        <v/>
      </c>
      <c r="GX17" s="123">
        <f>IF(OR(GX$4="",$B17=""),0,SUMIF('DADOS BRUTOS'!$A$3:$A$500,$B17,'DADOS BRUTOS'!DX$3:DX$500)+IF($C17="",0,SUMIF('DADOS BRUTOS'!$A$3:$A$500,$C17,'DADOS BRUTOS'!DX$3:DX$500)))</f>
        <v/>
      </c>
      <c r="GY17" s="123">
        <f>IF(OR(GY$4="",$B17=""),0,SUMIF('DADOS BRUTOS'!$A$3:$A$500,$B17,'DADOS BRUTOS'!DY$3:DY$500)+IF($C17="",0,SUMIF('DADOS BRUTOS'!$A$3:$A$500,$C17,'DADOS BRUTOS'!DY$3:DY$500)))</f>
        <v/>
      </c>
      <c r="GZ17" s="123">
        <f>IF(OR(GZ$4="",$B17=""),0,SUMIF('DADOS BRUTOS'!$A$3:$A$500,$B17,'DADOS BRUTOS'!DZ$3:DZ$500)+IF($C17="",0,SUMIF('DADOS BRUTOS'!$A$3:$A$500,$C17,'DADOS BRUTOS'!DZ$3:DZ$500)))</f>
        <v/>
      </c>
      <c r="HA17" s="123">
        <f>IF(OR(HA$4="",$B17=""),0,SUMIF('DADOS BRUTOS'!$A$3:$A$500,$B17,'DADOS BRUTOS'!EA$3:EA$500)+IF($C17="",0,SUMIF('DADOS BRUTOS'!$A$3:$A$500,$C17,'DADOS BRUTOS'!EA$3:EA$500)))</f>
        <v/>
      </c>
      <c r="HB17" s="123">
        <f>IF(OR(HB$4="",$B17=""),0,SUMIF('DADOS BRUTOS'!$A$3:$A$500,$B17,'DADOS BRUTOS'!EB$3:EB$500)+IF($C17="",0,SUMIF('DADOS BRUTOS'!$A$3:$A$500,$C17,'DADOS BRUTOS'!EB$3:EB$500)))</f>
        <v/>
      </c>
      <c r="HC17" s="123">
        <f>IF(OR(HC$4="",$B17=""),0,SUMIF('DADOS BRUTOS'!$A$3:$A$500,$B17,'DADOS BRUTOS'!EC$3:EC$500)+IF($C17="",0,SUMIF('DADOS BRUTOS'!$A$3:$A$500,$C17,'DADOS BRUTOS'!EC$3:EC$500)))</f>
        <v/>
      </c>
      <c r="HD17" s="123">
        <f>IF(OR(HD$4="",$B17=""),0,SUMIF('DADOS BRUTOS'!$A$3:$A$500,$B17,'DADOS BRUTOS'!ED$3:ED$500)+IF($C17="",0,SUMIF('DADOS BRUTOS'!$A$3:$A$500,$C17,'DADOS BRUTOS'!ED$3:ED$500)))</f>
        <v/>
      </c>
      <c r="HE17" s="123">
        <f>IF(OR(HE$4="",$B17=""),0,SUMIF('DADOS BRUTOS'!$A$3:$A$500,$B17,'DADOS BRUTOS'!EE$3:EE$500)+IF($C17="",0,SUMIF('DADOS BRUTOS'!$A$3:$A$500,$C17,'DADOS BRUTOS'!EE$3:EE$500)))</f>
        <v/>
      </c>
      <c r="HF17" s="123">
        <f>IF(OR(HF$4="",$B17=""),0,SUMIF('DADOS BRUTOS'!$A$3:$A$500,$B17,'DADOS BRUTOS'!EF$3:EF$500)+IF($C17="",0,SUMIF('DADOS BRUTOS'!$A$3:$A$500,$C17,'DADOS BRUTOS'!EF$3:EF$500)))</f>
        <v/>
      </c>
      <c r="HG17" s="123">
        <f>IF(OR(HG$4="",$B17=""),0,SUMIF('DADOS BRUTOS'!$A$3:$A$500,$B17,'DADOS BRUTOS'!EG$3:EG$500)+IF($C17="",0,SUMIF('DADOS BRUTOS'!$A$3:$A$500,$C17,'DADOS BRUTOS'!EG$3:EG$500)))</f>
        <v/>
      </c>
      <c r="HH17" s="123">
        <f>IF(OR(HH$4="",$B17=""),0,SUMIF('DADOS BRUTOS'!$A$3:$A$500,$B17,'DADOS BRUTOS'!EH$3:EH$500)+IF($C17="",0,SUMIF('DADOS BRUTOS'!$A$3:$A$500,$C17,'DADOS BRUTOS'!EH$3:EH$500)))</f>
        <v/>
      </c>
      <c r="HI17" s="123">
        <f>IF(OR(HI$4="",$B17=""),0,SUMIF('DADOS BRUTOS'!$A$3:$A$500,$B17,'DADOS BRUTOS'!EI$3:EI$500)+IF($C17="",0,SUMIF('DADOS BRUTOS'!$A$3:$A$500,$C17,'DADOS BRUTOS'!EI$3:EI$500)))</f>
        <v/>
      </c>
      <c r="HJ17" s="123">
        <f>IF(OR(HJ$4="",$B17=""),0,SUMIF('DADOS BRUTOS'!$A$3:$A$500,$B17,'DADOS BRUTOS'!EJ$3:EJ$500)+IF($C17="",0,SUMIF('DADOS BRUTOS'!$A$3:$A$500,$C17,'DADOS BRUTOS'!EJ$3:EJ$500)))</f>
        <v/>
      </c>
      <c r="HK17" s="123">
        <f>IF(OR(HK$4="",$B17=""),0,SUMIF('DADOS BRUTOS'!$A$3:$A$500,$B17,'DADOS BRUTOS'!EK$3:EK$500)+IF($C17="",0,SUMIF('DADOS BRUTOS'!$A$3:$A$500,$C17,'DADOS BRUTOS'!EK$3:EK$500)))</f>
        <v/>
      </c>
      <c r="HL17" s="123">
        <f>IF(OR(HL$4="",$B17=""),0,SUMIF('DADOS BRUTOS'!$A$3:$A$500,$B17,'DADOS BRUTOS'!EL$3:EL$500)+IF($C17="",0,SUMIF('DADOS BRUTOS'!$A$3:$A$500,$C17,'DADOS BRUTOS'!EL$3:EL$500)))</f>
        <v/>
      </c>
      <c r="HM17" s="123">
        <f>IF(OR(HM$4="",$B17=""),0,SUMIF('DADOS BRUTOS'!$A$3:$A$500,$B17,'DADOS BRUTOS'!EM$3:EM$500)+IF($C17="",0,SUMIF('DADOS BRUTOS'!$A$3:$A$500,$C17,'DADOS BRUTOS'!EM$3:EM$500)))</f>
        <v/>
      </c>
      <c r="HN17" s="123">
        <f>IF(OR(HN$4="",$B17=""),0,SUMIF('DADOS BRUTOS'!$A$3:$A$500,$B17,'DADOS BRUTOS'!EN$3:EN$500)+IF($C17="",0,SUMIF('DADOS BRUTOS'!$A$3:$A$500,$C17,'DADOS BRUTOS'!EN$3:EN$500)))</f>
        <v/>
      </c>
      <c r="HO17" s="123">
        <f>IF(OR(HO$4="",$B17=""),0,SUMIF('DADOS BRUTOS'!$A$3:$A$500,$B17,'DADOS BRUTOS'!EO$3:EO$500)+IF($C17="",0,SUMIF('DADOS BRUTOS'!$A$3:$A$500,$C17,'DADOS BRUTOS'!EO$3:EO$500)))</f>
        <v/>
      </c>
      <c r="HP17" s="123">
        <f>IF(OR(HP$4="",$B17=""),0,SUMIF('DADOS BRUTOS'!$A$3:$A$500,$B17,'DADOS BRUTOS'!EP$3:EP$500)+IF($C17="",0,SUMIF('DADOS BRUTOS'!$A$3:$A$500,$C17,'DADOS BRUTOS'!EP$3:EP$500)))</f>
        <v/>
      </c>
      <c r="HQ17" s="123">
        <f>IF(OR(HQ$4="",$B17=""),0,SUMIF('DADOS BRUTOS'!$A$3:$A$500,$B17,'DADOS BRUTOS'!EQ$3:EQ$500)+IF($C17="",0,SUMIF('DADOS BRUTOS'!$A$3:$A$500,$C17,'DADOS BRUTOS'!EQ$3:EQ$500)))</f>
        <v/>
      </c>
      <c r="HR17" s="123">
        <f>IF(OR(HR$4="",$B17=""),0,SUMIF('DADOS BRUTOS'!$A$3:$A$500,$B17,'DADOS BRUTOS'!ER$3:ER$500)+IF($C17="",0,SUMIF('DADOS BRUTOS'!$A$3:$A$500,$C17,'DADOS BRUTOS'!ER$3:ER$500)))</f>
        <v/>
      </c>
      <c r="HS17" s="123">
        <f>IF(OR(HS$4="",$B17=""),0,SUMIF('DADOS BRUTOS'!$A$3:$A$500,$B17,'DADOS BRUTOS'!ES$3:ES$500)+IF($C17="",0,SUMIF('DADOS BRUTOS'!$A$3:$A$500,$C17,'DADOS BRUTOS'!ES$3:ES$500)))</f>
        <v/>
      </c>
      <c r="HT17" s="123">
        <f>IF(OR(HT$4="",$B17=""),0,SUMIF('DADOS BRUTOS'!$A$3:$A$500,$B17,'DADOS BRUTOS'!ET$3:ET$500)+IF($C17="",0,SUMIF('DADOS BRUTOS'!$A$3:$A$500,$C17,'DADOS BRUTOS'!ET$3:ET$500)))</f>
        <v/>
      </c>
      <c r="HU17" s="123">
        <f>IF(OR(HU$4="",$B17=""),0,SUMIF('DADOS BRUTOS'!$A$3:$A$500,$B17,'DADOS BRUTOS'!EU$3:EU$500)+IF($C17="",0,SUMIF('DADOS BRUTOS'!$A$3:$A$500,$C17,'DADOS BRUTOS'!EU$3:EU$500)))</f>
        <v/>
      </c>
      <c r="HV17" s="123">
        <f>IF(OR(HV$4="",$B17=""),0,SUMIF('DADOS BRUTOS'!$A$3:$A$500,$B17,'DADOS BRUTOS'!EV$3:EV$500)+IF($C17="",0,SUMIF('DADOS BRUTOS'!$A$3:$A$500,$C17,'DADOS BRUTOS'!EV$3:EV$500)))</f>
        <v/>
      </c>
      <c r="HW17" s="123">
        <f>IF(OR(HW$4="",$B17=""),0,SUMIF('DADOS BRUTOS'!$A$3:$A$500,$B17,'DADOS BRUTOS'!EW$3:EW$500)+IF($C17="",0,SUMIF('DADOS BRUTOS'!$A$3:$A$500,$C17,'DADOS BRUTOS'!EW$3:EW$500)))</f>
        <v/>
      </c>
      <c r="HX17" s="123">
        <f>IF(OR(HX$4="",$B17=""),0,SUMIF('DADOS BRUTOS'!$A$3:$A$500,$B17,'DADOS BRUTOS'!EX$3:EX$500)+IF($C17="",0,SUMIF('DADOS BRUTOS'!$A$3:$A$500,$C17,'DADOS BRUTOS'!EX$3:EX$500)))</f>
        <v/>
      </c>
      <c r="HY17" s="123">
        <f>IF(OR(HY$4="",$B17=""),0,SUMIF('DADOS BRUTOS'!$A$3:$A$500,$B17,'DADOS BRUTOS'!EY$3:EY$500)+IF($C17="",0,SUMIF('DADOS BRUTOS'!$A$3:$A$500,$C17,'DADOS BRUTOS'!EY$3:EY$500)))</f>
        <v/>
      </c>
      <c r="HZ17" s="123">
        <f>IF(OR(HZ$4="",$B17=""),0,SUMIF('DADOS BRUTOS'!$A$3:$A$500,$B17,'DADOS BRUTOS'!EZ$3:EZ$500)+IF($C17="",0,SUMIF('DADOS BRUTOS'!$A$3:$A$500,$C17,'DADOS BRUTOS'!EZ$3:EZ$500)))</f>
        <v/>
      </c>
      <c r="IA17" s="123">
        <f>IF(OR(IA$4="",$B17=""),0,SUMIF('DADOS BRUTOS'!$A$3:$A$500,$B17,'DADOS BRUTOS'!FA$3:FA$500)+IF($C17="",0,SUMIF('DADOS BRUTOS'!$A$3:$A$500,$C17,'DADOS BRUTOS'!FA$3:FA$500)))</f>
        <v/>
      </c>
      <c r="IB17" s="123">
        <f>IF(OR(IB$4="",$B17=""),0,SUMIF('DADOS BRUTOS'!$A$3:$A$500,$B17,'DADOS BRUTOS'!FB$3:FB$500)+IF($C17="",0,SUMIF('DADOS BRUTOS'!$A$3:$A$500,$C17,'DADOS BRUTOS'!FB$3:FB$500)))</f>
        <v/>
      </c>
      <c r="IC17" s="123">
        <f>IF(OR(IC$4="",$B17=""),0,SUMIF('DADOS BRUTOS'!$A$3:$A$500,$B17,'DADOS BRUTOS'!FC$3:FC$500)+IF($C17="",0,SUMIF('DADOS BRUTOS'!$A$3:$A$500,$C17,'DADOS BRUTOS'!FC$3:FC$500)))</f>
        <v/>
      </c>
      <c r="ID17" s="123">
        <f>IF(OR(ID$4="",$B17=""),0,SUMIF('DADOS BRUTOS'!$A$3:$A$500,$B17,'DADOS BRUTOS'!FD$3:FD$500)+IF($C17="",0,SUMIF('DADOS BRUTOS'!$A$3:$A$500,$C17,'DADOS BRUTOS'!FD$3:FD$500)))</f>
        <v/>
      </c>
      <c r="IE17" s="123">
        <f>IF(OR(IE$4="",$B17=""),0,SUMIF('DADOS BRUTOS'!$A$3:$A$500,$B17,'DADOS BRUTOS'!FE$3:FE$500)+IF($C17="",0,SUMIF('DADOS BRUTOS'!$A$3:$A$500,$C17,'DADOS BRUTOS'!FE$3:FE$500)))</f>
        <v/>
      </c>
      <c r="IF17" s="123">
        <f>IF(OR(IF$4="",$B17=""),0,SUMIF('DADOS BRUTOS'!$A$3:$A$500,$B17,'DADOS BRUTOS'!FF$3:FF$500)+IF($C17="",0,SUMIF('DADOS BRUTOS'!$A$3:$A$500,$C17,'DADOS BRUTOS'!FF$3:FF$500)))</f>
        <v/>
      </c>
      <c r="IG17" s="123">
        <f>IF(OR(IG$4="",$B17=""),0,SUMIF('DADOS BRUTOS'!$A$3:$A$500,$B17,'DADOS BRUTOS'!FG$3:FG$500)+IF($C17="",0,SUMIF('DADOS BRUTOS'!$A$3:$A$500,$C17,'DADOS BRUTOS'!FG$3:FG$500)))</f>
        <v/>
      </c>
      <c r="IH17" s="123">
        <f>IF(OR(IH$4="",$B17=""),0,SUMIF('DADOS BRUTOS'!$A$3:$A$500,$B17,'DADOS BRUTOS'!FH$3:FH$500)+IF($C17="",0,SUMIF('DADOS BRUTOS'!$A$3:$A$500,$C17,'DADOS BRUTOS'!FH$3:FH$500)))</f>
        <v/>
      </c>
      <c r="II17" s="123">
        <f>IF(OR(II$4="",$B17=""),0,SUMIF('DADOS BRUTOS'!$A$3:$A$500,$B17,'DADOS BRUTOS'!FI$3:FI$500)+IF($C17="",0,SUMIF('DADOS BRUTOS'!$A$3:$A$500,$C17,'DADOS BRUTOS'!FI$3:FI$500)))</f>
        <v/>
      </c>
      <c r="IJ17" s="123">
        <f>IF(OR(IJ$4="",$B17=""),0,SUMIF('DADOS BRUTOS'!$A$3:$A$500,$B17,'DADOS BRUTOS'!FJ$3:FJ$500)+IF($C17="",0,SUMIF('DADOS BRUTOS'!$A$3:$A$500,$C17,'DADOS BRUTOS'!FJ$3:FJ$500)))</f>
        <v/>
      </c>
      <c r="IK17" s="123">
        <f>IF(OR(IK$4="",$B17=""),0,SUMIF('DADOS BRUTOS'!$A$3:$A$500,$B17,'DADOS BRUTOS'!FK$3:FK$500)+IF($C17="",0,SUMIF('DADOS BRUTOS'!$A$3:$A$500,$C17,'DADOS BRUTOS'!FK$3:FK$500)))</f>
        <v/>
      </c>
      <c r="IL17" s="123">
        <f>IF(OR(IL$4="",$B17=""),0,SUMIF('DADOS BRUTOS'!$A$3:$A$500,$B17,'DADOS BRUTOS'!FL$3:FL$500)+IF($C17="",0,SUMIF('DADOS BRUTOS'!$A$3:$A$500,$C17,'DADOS BRUTOS'!FL$3:FL$500)))</f>
        <v/>
      </c>
      <c r="IM17" s="123">
        <f>IF(OR(IM$4="",$B17=""),0,SUMIF('DADOS BRUTOS'!$A$3:$A$500,$B17,'DADOS BRUTOS'!FM$3:FM$500)+IF($C17="",0,SUMIF('DADOS BRUTOS'!$A$3:$A$500,$C17,'DADOS BRUTOS'!FM$3:FM$500)))</f>
        <v/>
      </c>
      <c r="IN17" s="123">
        <f>IF(OR(IN$4="",$B17=""),0,SUMIF('DADOS BRUTOS'!$A$3:$A$500,$B17,'DADOS BRUTOS'!FN$3:FN$500)+IF($C17="",0,SUMIF('DADOS BRUTOS'!$A$3:$A$500,$C17,'DADOS BRUTOS'!FN$3:FN$500)))</f>
        <v/>
      </c>
      <c r="IO17" s="123">
        <f>IF(OR(IO$4="",$B17=""),0,SUMIF('DADOS BRUTOS'!$A$3:$A$500,$B17,'DADOS BRUTOS'!FO$3:FO$500)+IF($C17="",0,SUMIF('DADOS BRUTOS'!$A$3:$A$500,$C17,'DADOS BRUTOS'!FO$3:FO$500)))</f>
        <v/>
      </c>
      <c r="IP17" s="123">
        <f>IF(OR(IP$4="",$B17=""),0,SUMIF('DADOS BRUTOS'!$A$3:$A$500,$B17,'DADOS BRUTOS'!FP$3:FP$500)+IF($C17="",0,SUMIF('DADOS BRUTOS'!$A$3:$A$500,$C17,'DADOS BRUTOS'!FP$3:FP$500)))</f>
        <v/>
      </c>
      <c r="IQ17" s="123">
        <f>IF(OR(IQ$4="",$B17=""),0,SUMIF('DADOS BRUTOS'!$A$3:$A$500,$B17,'DADOS BRUTOS'!FQ$3:FQ$500)+IF($C17="",0,SUMIF('DADOS BRUTOS'!$A$3:$A$500,$C17,'DADOS BRUTOS'!FQ$3:FQ$500)))</f>
        <v/>
      </c>
      <c r="IR17" s="123">
        <f>IF(OR(IR$4="",$B17=""),0,SUMIF('DADOS BRUTOS'!$A$3:$A$500,$B17,'DADOS BRUTOS'!FR$3:FR$500)+IF($C17="",0,SUMIF('DADOS BRUTOS'!$A$3:$A$500,$C17,'DADOS BRUTOS'!FR$3:FR$500)))</f>
        <v/>
      </c>
      <c r="IS17" s="123">
        <f>IF(OR(IS$4="",$B17=""),0,SUMIF('DADOS BRUTOS'!$A$3:$A$500,$B17,'DADOS BRUTOS'!FS$3:FS$500)+IF($C17="",0,SUMIF('DADOS BRUTOS'!$A$3:$A$500,$C17,'DADOS BRUTOS'!FS$3:FS$500)))</f>
        <v/>
      </c>
      <c r="IT17" s="123">
        <f>IF(OR(IT$4="",$B17=""),0,SUMIF('DADOS BRUTOS'!$A$3:$A$500,$B17,'DADOS BRUTOS'!FT$3:FT$500)+IF($C17="",0,SUMIF('DADOS BRUTOS'!$A$3:$A$500,$C17,'DADOS BRUTOS'!FT$3:FT$500)))</f>
        <v/>
      </c>
      <c r="IU17" s="123">
        <f>IF(OR(IU$4="",$B17=""),0,SUMIF('DADOS BRUTOS'!$A$3:$A$500,$B17,'DADOS BRUTOS'!FU$3:FU$500)+IF($C17="",0,SUMIF('DADOS BRUTOS'!$A$3:$A$500,$C17,'DADOS BRUTOS'!FU$3:FU$500)))</f>
        <v/>
      </c>
      <c r="IV17" s="123">
        <f>IF(OR(IV$4="",$B17=""),0,SUMIF('DADOS BRUTOS'!$A$3:$A$500,$B17,'DADOS BRUTOS'!FV$3:FV$500)+IF($C17="",0,SUMIF('DADOS BRUTOS'!$A$3:$A$500,$C17,'DADOS BRUTOS'!FV$3:FV$500)))</f>
        <v/>
      </c>
      <c r="IW17" s="123">
        <f>IF(OR(IW$4="",$B17=""),0,SUMIF('DADOS BRUTOS'!$A$3:$A$500,$B17,'DADOS BRUTOS'!FW$3:FW$500)+IF($C17="",0,SUMIF('DADOS BRUTOS'!$A$3:$A$500,$C17,'DADOS BRUTOS'!FW$3:FW$500)))</f>
        <v/>
      </c>
      <c r="IX17" s="123">
        <f>IF(OR(IX$4="",$B17=""),0,SUMIF('DADOS BRUTOS'!$A$3:$A$500,$B17,'DADOS BRUTOS'!FX$3:FX$500)+IF($C17="",0,SUMIF('DADOS BRUTOS'!$A$3:$A$500,$C17,'DADOS BRUTOS'!FX$3:FX$500)))</f>
        <v/>
      </c>
      <c r="IY17" s="123">
        <f>IF(OR(IY$4="",$B17=""),0,SUMIF('DADOS BRUTOS'!$A$3:$A$500,$B17,'DADOS BRUTOS'!FY$3:FY$500)+IF($C17="",0,SUMIF('DADOS BRUTOS'!$A$3:$A$500,$C17,'DADOS BRUTOS'!FY$3:FY$500)))</f>
        <v/>
      </c>
      <c r="IZ17" s="123">
        <f>IF(OR(IZ$4="",$B17=""),0,SUMIF('DADOS BRUTOS'!$A$3:$A$500,$B17,'DADOS BRUTOS'!FZ$3:FZ$500)+IF($C17="",0,SUMIF('DADOS BRUTOS'!$A$3:$A$500,$C17,'DADOS BRUTOS'!FZ$3:FZ$500)))</f>
        <v/>
      </c>
      <c r="JA17" s="123">
        <f>IF(OR(JA$4="",$B17=""),0,SUMIF('DADOS BRUTOS'!$A$3:$A$500,$B17,'DADOS BRUTOS'!GA$3:GA$500)+IF($C17="",0,SUMIF('DADOS BRUTOS'!$A$3:$A$500,$C17,'DADOS BRUTOS'!GA$3:GA$500)))</f>
        <v/>
      </c>
      <c r="JB17" s="123">
        <f>IF(OR(JB$4="",$B17=""),0,SUMIF('DADOS BRUTOS'!$A$3:$A$500,$B17,'DADOS BRUTOS'!GB$3:GB$500)+IF($C17="",0,SUMIF('DADOS BRUTOS'!$A$3:$A$500,$C17,'DADOS BRUTOS'!GB$3:GB$500)))</f>
        <v/>
      </c>
      <c r="JC17" s="123">
        <f>IF(OR(JC$4="",$B17=""),0,SUMIF('DADOS BRUTOS'!$A$3:$A$500,$B17,'DADOS BRUTOS'!GC$3:GC$500)+IF($C17="",0,SUMIF('DADOS BRUTOS'!$A$3:$A$500,$C17,'DADOS BRUTOS'!GC$3:GC$500)))</f>
        <v/>
      </c>
      <c r="JD17" s="123">
        <f>IF(OR(JD$4="",$B17=""),0,SUMIF('DADOS BRUTOS'!$A$3:$A$500,$B17,'DADOS BRUTOS'!GD$3:GD$500)+IF($C17="",0,SUMIF('DADOS BRUTOS'!$A$3:$A$500,$C17,'DADOS BRUTOS'!GD$3:GD$500)))</f>
        <v/>
      </c>
      <c r="JE17" s="123">
        <f>IF(OR(JE$4="",$B17=""),0,SUMIF('DADOS BRUTOS'!$A$3:$A$500,$B17,'DADOS BRUTOS'!GE$3:GE$500)+IF($C17="",0,SUMIF('DADOS BRUTOS'!$A$3:$A$500,$C17,'DADOS BRUTOS'!GE$3:GE$500)))</f>
        <v/>
      </c>
      <c r="JF17" s="123">
        <f>IF(OR(JF$4="",$B17=""),0,SUMIF('DADOS BRUTOS'!$A$3:$A$500,$B17,'DADOS BRUTOS'!GF$3:GF$500)+IF($C17="",0,SUMIF('DADOS BRUTOS'!$A$3:$A$500,$C17,'DADOS BRUTOS'!GF$3:GF$500)))</f>
        <v/>
      </c>
      <c r="JG17" s="123">
        <f>IF(OR(JG$4="",$B17=""),0,SUMIF('DADOS BRUTOS'!$A$3:$A$500,$B17,'DADOS BRUTOS'!GG$3:GG$500)+IF($C17="",0,SUMIF('DADOS BRUTOS'!$A$3:$A$500,$C17,'DADOS BRUTOS'!GG$3:GG$500)))</f>
        <v/>
      </c>
      <c r="JH17" s="123">
        <f>IF(OR(JH$4="",$B17=""),0,SUMIF('DADOS BRUTOS'!$A$3:$A$500,$B17,'DADOS BRUTOS'!GH$3:GH$500)+IF($C17="",0,SUMIF('DADOS BRUTOS'!$A$3:$A$500,$C17,'DADOS BRUTOS'!GH$3:GH$500)))</f>
        <v/>
      </c>
      <c r="JI17" s="123">
        <f>IF(OR(JI$4="",$B17=""),0,SUMIF('DADOS BRUTOS'!$A$3:$A$500,$B17,'DADOS BRUTOS'!GI$3:GI$500)+IF($C17="",0,SUMIF('DADOS BRUTOS'!$A$3:$A$500,$C17,'DADOS BRUTOS'!GI$3:GI$500)))</f>
        <v/>
      </c>
      <c r="JJ17" s="123">
        <f>IF(OR(JJ$4="",$B17=""),0,SUMIF('DADOS BRUTOS'!$A$3:$A$500,$B17,'DADOS BRUTOS'!GJ$3:GJ$500)+IF($C17="",0,SUMIF('DADOS BRUTOS'!$A$3:$A$500,$C17,'DADOS BRUTOS'!GJ$3:GJ$500)))</f>
        <v/>
      </c>
      <c r="JK17" s="123">
        <f>IF(OR(JK$4="",$B17=""),0,SUMIF('DADOS BRUTOS'!$A$3:$A$500,$B17,'DADOS BRUTOS'!GK$3:GK$500)+IF($C17="",0,SUMIF('DADOS BRUTOS'!$A$3:$A$500,$C17,'DADOS BRUTOS'!GK$3:GK$500)))</f>
        <v/>
      </c>
      <c r="JL17" s="123">
        <f>IF(OR(JL$4="",$B17=""),0,SUMIF('DADOS BRUTOS'!$A$3:$A$500,$B17,'DADOS BRUTOS'!GL$3:GL$500)+IF($C17="",0,SUMIF('DADOS BRUTOS'!$A$3:$A$500,$C17,'DADOS BRUTOS'!GL$3:GL$500)))</f>
        <v/>
      </c>
      <c r="JM17" s="123">
        <f>IF(OR(JM$4="",$B17=""),0,SUMIF('DADOS BRUTOS'!$A$3:$A$500,$B17,'DADOS BRUTOS'!GM$3:GM$500)+IF($C17="",0,SUMIF('DADOS BRUTOS'!$A$3:$A$500,$C17,'DADOS BRUTOS'!GM$3:GM$500)))</f>
        <v/>
      </c>
      <c r="JN17" s="123">
        <f>IF(OR(JN$4="",$B17=""),0,SUMIF('DADOS BRUTOS'!$A$3:$A$500,$B17,'DADOS BRUTOS'!GN$3:GN$500)+IF($C17="",0,SUMIF('DADOS BRUTOS'!$A$3:$A$500,$C17,'DADOS BRUTOS'!GN$3:GN$500)))</f>
        <v/>
      </c>
      <c r="JO17" s="123">
        <f>IF(OR(JO$4="",$B17=""),0,SUMIF('DADOS BRUTOS'!$A$3:$A$500,$B17,'DADOS BRUTOS'!GO$3:GO$500)+IF($C17="",0,SUMIF('DADOS BRUTOS'!$A$3:$A$500,$C17,'DADOS BRUTOS'!GO$3:GO$500)))</f>
        <v/>
      </c>
      <c r="JP17" s="123">
        <f>IF(OR(JP$4="",$B17=""),0,SUMIF('DADOS BRUTOS'!$A$3:$A$500,$B17,'DADOS BRUTOS'!GP$3:GP$500)+IF($C17="",0,SUMIF('DADOS BRUTOS'!$A$3:$A$500,$C17,'DADOS BRUTOS'!GP$3:GP$500)))</f>
        <v/>
      </c>
      <c r="JQ17" s="123">
        <f>IF(OR(JQ$4="",$B17=""),0,SUMIF('DADOS BRUTOS'!$A$3:$A$500,$B17,'DADOS BRUTOS'!GQ$3:GQ$500)+IF($C17="",0,SUMIF('DADOS BRUTOS'!$A$3:$A$500,$C17,'DADOS BRUTOS'!GQ$3:GQ$500)))</f>
        <v/>
      </c>
      <c r="JR17" s="123">
        <f>IF(OR(JR$4="",$B17=""),0,SUMIF('DADOS BRUTOS'!$A$3:$A$500,$B17,'DADOS BRUTOS'!GR$3:GR$500)+IF($C17="",0,SUMIF('DADOS BRUTOS'!$A$3:$A$500,$C17,'DADOS BRUTOS'!GR$3:GR$500)))</f>
        <v/>
      </c>
      <c r="JS17" s="123">
        <f>IF(OR(JS$4="",$B17=""),0,SUMIF('DADOS BRUTOS'!$A$3:$A$500,$B17,'DADOS BRUTOS'!GS$3:GS$500)+IF($C17="",0,SUMIF('DADOS BRUTOS'!$A$3:$A$500,$C17,'DADOS BRUTOS'!GS$3:GS$500)))</f>
        <v/>
      </c>
    </row>
    <row r="18">
      <c r="A18" s="60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CB18" s="123">
        <f>IF(OR(CB$4="",$B18=""),0,SUMIF('DADOS BRUTOS'!$A$3:$A$500,$B18,'DADOS BRUTOS'!B$3:B$500)+IF($C18="",0,SUMIF('DADOS BRUTOS'!$A$3:$A$500,$C18,'DADOS BRUTOS'!B$3:B$500)))</f>
        <v/>
      </c>
      <c r="CC18" s="123">
        <f>IF(OR(CC$4="",$B18=""),0,SUMIF('DADOS BRUTOS'!$A$3:$A$500,$B18,'DADOS BRUTOS'!C$3:C$500)+IF($C18="",0,SUMIF('DADOS BRUTOS'!$A$3:$A$500,$C18,'DADOS BRUTOS'!C$3:C$500)))</f>
        <v/>
      </c>
      <c r="CD18" s="123">
        <f>IF(OR(CD$4="",$B18=""),0,SUMIF('DADOS BRUTOS'!$A$3:$A$500,$B18,'DADOS BRUTOS'!D$3:D$500)+IF($C18="",0,SUMIF('DADOS BRUTOS'!$A$3:$A$500,$C18,'DADOS BRUTOS'!D$3:D$500)))</f>
        <v/>
      </c>
      <c r="CE18" s="123">
        <f>IF(OR(CE$4="",$B18=""),0,SUMIF('DADOS BRUTOS'!$A$3:$A$500,$B18,'DADOS BRUTOS'!E$3:E$500)+IF($C18="",0,SUMIF('DADOS BRUTOS'!$A$3:$A$500,$C18,'DADOS BRUTOS'!E$3:E$500)))</f>
        <v/>
      </c>
      <c r="CF18" s="123">
        <f>IF(OR(CF$4="",$B18=""),0,SUMIF('DADOS BRUTOS'!$A$3:$A$500,$B18,'DADOS BRUTOS'!F$3:F$500)+IF($C18="",0,SUMIF('DADOS BRUTOS'!$A$3:$A$500,$C18,'DADOS BRUTOS'!F$3:F$500)))</f>
        <v/>
      </c>
      <c r="CG18" s="123">
        <f>IF(OR(CG$4="",$B18=""),0,SUMIF('DADOS BRUTOS'!$A$3:$A$500,$B18,'DADOS BRUTOS'!G$3:G$500)+IF($C18="",0,SUMIF('DADOS BRUTOS'!$A$3:$A$500,$C18,'DADOS BRUTOS'!G$3:G$500)))</f>
        <v/>
      </c>
      <c r="CH18" s="123">
        <f>IF(OR(CH$4="",$B18=""),0,SUMIF('DADOS BRUTOS'!$A$3:$A$500,$B18,'DADOS BRUTOS'!H$3:H$500)+IF($C18="",0,SUMIF('DADOS BRUTOS'!$A$3:$A$500,$C18,'DADOS BRUTOS'!H$3:H$500)))</f>
        <v/>
      </c>
      <c r="CI18" s="123">
        <f>IF(OR(CI$4="",$B18=""),0,SUMIF('DADOS BRUTOS'!$A$3:$A$500,$B18,'DADOS BRUTOS'!I$3:I$500)+IF($C18="",0,SUMIF('DADOS BRUTOS'!$A$3:$A$500,$C18,'DADOS BRUTOS'!I$3:I$500)))</f>
        <v/>
      </c>
      <c r="CJ18" s="123">
        <f>IF(OR(CJ$4="",$B18=""),0,SUMIF('DADOS BRUTOS'!$A$3:$A$500,$B18,'DADOS BRUTOS'!J$3:J$500)+IF($C18="",0,SUMIF('DADOS BRUTOS'!$A$3:$A$500,$C18,'DADOS BRUTOS'!J$3:J$500)))</f>
        <v/>
      </c>
      <c r="CK18" s="123">
        <f>IF(OR(CK$4="",$B18=""),0,SUMIF('DADOS BRUTOS'!$A$3:$A$500,$B18,'DADOS BRUTOS'!K$3:K$500)+IF($C18="",0,SUMIF('DADOS BRUTOS'!$A$3:$A$500,$C18,'DADOS BRUTOS'!K$3:K$500)))</f>
        <v/>
      </c>
      <c r="CL18" s="123">
        <f>IF(OR(CL$4="",$B18=""),0,SUMIF('DADOS BRUTOS'!$A$3:$A$500,$B18,'DADOS BRUTOS'!L$3:L$500)+IF($C18="",0,SUMIF('DADOS BRUTOS'!$A$3:$A$500,$C18,'DADOS BRUTOS'!L$3:L$500)))</f>
        <v/>
      </c>
      <c r="CM18" s="123">
        <f>IF(OR(CM$4="",$B18=""),0,SUMIF('DADOS BRUTOS'!$A$3:$A$500,$B18,'DADOS BRUTOS'!M$3:M$500)+IF($C18="",0,SUMIF('DADOS BRUTOS'!$A$3:$A$500,$C18,'DADOS BRUTOS'!M$3:M$500)))</f>
        <v/>
      </c>
      <c r="CN18" s="123">
        <f>IF(OR(CN$4="",$B18=""),0,SUMIF('DADOS BRUTOS'!$A$3:$A$500,$B18,'DADOS BRUTOS'!N$3:N$500)+IF($C18="",0,SUMIF('DADOS BRUTOS'!$A$3:$A$500,$C18,'DADOS BRUTOS'!N$3:N$500)))</f>
        <v/>
      </c>
      <c r="CO18" s="123">
        <f>IF(OR(CO$4="",$B18=""),0,SUMIF('DADOS BRUTOS'!$A$3:$A$500,$B18,'DADOS BRUTOS'!O$3:O$500)+IF($C18="",0,SUMIF('DADOS BRUTOS'!$A$3:$A$500,$C18,'DADOS BRUTOS'!O$3:O$500)))</f>
        <v/>
      </c>
      <c r="CP18" s="123">
        <f>IF(OR(CP$4="",$B18=""),0,SUMIF('DADOS BRUTOS'!$A$3:$A$500,$B18,'DADOS BRUTOS'!P$3:P$500)+IF($C18="",0,SUMIF('DADOS BRUTOS'!$A$3:$A$500,$C18,'DADOS BRUTOS'!P$3:P$500)))</f>
        <v/>
      </c>
      <c r="CQ18" s="123">
        <f>IF(OR(CQ$4="",$B18=""),0,SUMIF('DADOS BRUTOS'!$A$3:$A$500,$B18,'DADOS BRUTOS'!Q$3:Q$500)+IF($C18="",0,SUMIF('DADOS BRUTOS'!$A$3:$A$500,$C18,'DADOS BRUTOS'!Q$3:Q$500)))</f>
        <v/>
      </c>
      <c r="CR18" s="123">
        <f>IF(OR(CR$4="",$B18=""),0,SUMIF('DADOS BRUTOS'!$A$3:$A$500,$B18,'DADOS BRUTOS'!R$3:R$500)+IF($C18="",0,SUMIF('DADOS BRUTOS'!$A$3:$A$500,$C18,'DADOS BRUTOS'!R$3:R$500)))</f>
        <v/>
      </c>
      <c r="CS18" s="123">
        <f>IF(OR(CS$4="",$B18=""),0,SUMIF('DADOS BRUTOS'!$A$3:$A$500,$B18,'DADOS BRUTOS'!S$3:S$500)+IF($C18="",0,SUMIF('DADOS BRUTOS'!$A$3:$A$500,$C18,'DADOS BRUTOS'!S$3:S$500)))</f>
        <v/>
      </c>
      <c r="CT18" s="123">
        <f>IF(OR(CT$4="",$B18=""),0,SUMIF('DADOS BRUTOS'!$A$3:$A$500,$B18,'DADOS BRUTOS'!T$3:T$500)+IF($C18="",0,SUMIF('DADOS BRUTOS'!$A$3:$A$500,$C18,'DADOS BRUTOS'!T$3:T$500)))</f>
        <v/>
      </c>
      <c r="CU18" s="123">
        <f>IF(OR(CU$4="",$B18=""),0,SUMIF('DADOS BRUTOS'!$A$3:$A$500,$B18,'DADOS BRUTOS'!U$3:U$500)+IF($C18="",0,SUMIF('DADOS BRUTOS'!$A$3:$A$500,$C18,'DADOS BRUTOS'!U$3:U$500)))</f>
        <v/>
      </c>
      <c r="CV18" s="123">
        <f>IF(OR(CV$4="",$B18=""),0,SUMIF('DADOS BRUTOS'!$A$3:$A$500,$B18,'DADOS BRUTOS'!V$3:V$500)+IF($C18="",0,SUMIF('DADOS BRUTOS'!$A$3:$A$500,$C18,'DADOS BRUTOS'!V$3:V$500)))</f>
        <v/>
      </c>
      <c r="CW18" s="123">
        <f>IF(OR(CW$4="",$B18=""),0,SUMIF('DADOS BRUTOS'!$A$3:$A$500,$B18,'DADOS BRUTOS'!W$3:W$500)+IF($C18="",0,SUMIF('DADOS BRUTOS'!$A$3:$A$500,$C18,'DADOS BRUTOS'!W$3:W$500)))</f>
        <v/>
      </c>
      <c r="CX18" s="123">
        <f>IF(OR(CX$4="",$B18=""),0,SUMIF('DADOS BRUTOS'!$A$3:$A$500,$B18,'DADOS BRUTOS'!X$3:X$500)+IF($C18="",0,SUMIF('DADOS BRUTOS'!$A$3:$A$500,$C18,'DADOS BRUTOS'!X$3:X$500)))</f>
        <v/>
      </c>
      <c r="CY18" s="123">
        <f>IF(OR(CY$4="",$B18=""),0,SUMIF('DADOS BRUTOS'!$A$3:$A$500,$B18,'DADOS BRUTOS'!Y$3:Y$500)+IF($C18="",0,SUMIF('DADOS BRUTOS'!$A$3:$A$500,$C18,'DADOS BRUTOS'!Y$3:Y$500)))</f>
        <v/>
      </c>
      <c r="CZ18" s="123">
        <f>IF(OR(CZ$4="",$B18=""),0,SUMIF('DADOS BRUTOS'!$A$3:$A$500,$B18,'DADOS BRUTOS'!Z$3:Z$500)+IF($C18="",0,SUMIF('DADOS BRUTOS'!$A$3:$A$500,$C18,'DADOS BRUTOS'!Z$3:Z$500)))</f>
        <v/>
      </c>
      <c r="DA18" s="123">
        <f>IF(OR(DA$4="",$B18=""),0,SUMIF('DADOS BRUTOS'!$A$3:$A$500,$B18,'DADOS BRUTOS'!AA$3:AA$500)+IF($C18="",0,SUMIF('DADOS BRUTOS'!$A$3:$A$500,$C18,'DADOS BRUTOS'!AA$3:AA$500)))</f>
        <v/>
      </c>
      <c r="DB18" s="123">
        <f>IF(OR(DB$4="",$B18=""),0,SUMIF('DADOS BRUTOS'!$A$3:$A$500,$B18,'DADOS BRUTOS'!AB$3:AB$500)+IF($C18="",0,SUMIF('DADOS BRUTOS'!$A$3:$A$500,$C18,'DADOS BRUTOS'!AB$3:AB$500)))</f>
        <v/>
      </c>
      <c r="DC18" s="123">
        <f>IF(OR(DC$4="",$B18=""),0,SUMIF('DADOS BRUTOS'!$A$3:$A$500,$B18,'DADOS BRUTOS'!AC$3:AC$500)+IF($C18="",0,SUMIF('DADOS BRUTOS'!$A$3:$A$500,$C18,'DADOS BRUTOS'!AC$3:AC$500)))</f>
        <v/>
      </c>
      <c r="DD18" s="123">
        <f>IF(OR(DD$4="",$B18=""),0,SUMIF('DADOS BRUTOS'!$A$3:$A$500,$B18,'DADOS BRUTOS'!AD$3:AD$500)+IF($C18="",0,SUMIF('DADOS BRUTOS'!$A$3:$A$500,$C18,'DADOS BRUTOS'!AD$3:AD$500)))</f>
        <v/>
      </c>
      <c r="DE18" s="123">
        <f>IF(OR(DE$4="",$B18=""),0,SUMIF('DADOS BRUTOS'!$A$3:$A$500,$B18,'DADOS BRUTOS'!AE$3:AE$500)+IF($C18="",0,SUMIF('DADOS BRUTOS'!$A$3:$A$500,$C18,'DADOS BRUTOS'!AE$3:AE$500)))</f>
        <v/>
      </c>
      <c r="DF18" s="123">
        <f>IF(OR(DF$4="",$B18=""),0,SUMIF('DADOS BRUTOS'!$A$3:$A$500,$B18,'DADOS BRUTOS'!AF$3:AF$500)+IF($C18="",0,SUMIF('DADOS BRUTOS'!$A$3:$A$500,$C18,'DADOS BRUTOS'!AF$3:AF$500)))</f>
        <v/>
      </c>
      <c r="DG18" s="123">
        <f>IF(OR(DG$4="",$B18=""),0,SUMIF('DADOS BRUTOS'!$A$3:$A$500,$B18,'DADOS BRUTOS'!AG$3:AG$500)+IF($C18="",0,SUMIF('DADOS BRUTOS'!$A$3:$A$500,$C18,'DADOS BRUTOS'!AG$3:AG$500)))</f>
        <v/>
      </c>
      <c r="DH18" s="123">
        <f>IF(OR(DH$4="",$B18=""),0,SUMIF('DADOS BRUTOS'!$A$3:$A$500,$B18,'DADOS BRUTOS'!AH$3:AH$500)+IF($C18="",0,SUMIF('DADOS BRUTOS'!$A$3:$A$500,$C18,'DADOS BRUTOS'!AH$3:AH$500)))</f>
        <v/>
      </c>
      <c r="DI18" s="123">
        <f>IF(OR(DI$4="",$B18=""),0,SUMIF('DADOS BRUTOS'!$A$3:$A$500,$B18,'DADOS BRUTOS'!AI$3:AI$500)+IF($C18="",0,SUMIF('DADOS BRUTOS'!$A$3:$A$500,$C18,'DADOS BRUTOS'!AI$3:AI$500)))</f>
        <v/>
      </c>
      <c r="DJ18" s="123">
        <f>IF(OR(DJ$4="",$B18=""),0,SUMIF('DADOS BRUTOS'!$A$3:$A$500,$B18,'DADOS BRUTOS'!AJ$3:AJ$500)+IF($C18="",0,SUMIF('DADOS BRUTOS'!$A$3:$A$500,$C18,'DADOS BRUTOS'!AJ$3:AJ$500)))</f>
        <v/>
      </c>
      <c r="DK18" s="123">
        <f>IF(OR(DK$4="",$B18=""),0,SUMIF('DADOS BRUTOS'!$A$3:$A$500,$B18,'DADOS BRUTOS'!AK$3:AK$500)+IF($C18="",0,SUMIF('DADOS BRUTOS'!$A$3:$A$500,$C18,'DADOS BRUTOS'!AK$3:AK$500)))</f>
        <v/>
      </c>
      <c r="DL18" s="123">
        <f>IF(OR(DL$4="",$B18=""),0,SUMIF('DADOS BRUTOS'!$A$3:$A$500,$B18,'DADOS BRUTOS'!AL$3:AL$500)+IF($C18="",0,SUMIF('DADOS BRUTOS'!$A$3:$A$500,$C18,'DADOS BRUTOS'!AL$3:AL$500)))</f>
        <v/>
      </c>
      <c r="DM18" s="123">
        <f>IF(OR(DM$4="",$B18=""),0,SUMIF('DADOS BRUTOS'!$A$3:$A$500,$B18,'DADOS BRUTOS'!AM$3:AM$500)+IF($C18="",0,SUMIF('DADOS BRUTOS'!$A$3:$A$500,$C18,'DADOS BRUTOS'!AM$3:AM$500)))</f>
        <v/>
      </c>
      <c r="DN18" s="123">
        <f>IF(OR(DN$4="",$B18=""),0,SUMIF('DADOS BRUTOS'!$A$3:$A$500,$B18,'DADOS BRUTOS'!AN$3:AN$500)+IF($C18="",0,SUMIF('DADOS BRUTOS'!$A$3:$A$500,$C18,'DADOS BRUTOS'!AN$3:AN$500)))</f>
        <v/>
      </c>
      <c r="DO18" s="123">
        <f>IF(OR(DO$4="",$B18=""),0,SUMIF('DADOS BRUTOS'!$A$3:$A$500,$B18,'DADOS BRUTOS'!AO$3:AO$500)+IF($C18="",0,SUMIF('DADOS BRUTOS'!$A$3:$A$500,$C18,'DADOS BRUTOS'!AO$3:AO$500)))</f>
        <v/>
      </c>
      <c r="DP18" s="123">
        <f>IF(OR(DP$4="",$B18=""),0,SUMIF('DADOS BRUTOS'!$A$3:$A$500,$B18,'DADOS BRUTOS'!AP$3:AP$500)+IF($C18="",0,SUMIF('DADOS BRUTOS'!$A$3:$A$500,$C18,'DADOS BRUTOS'!AP$3:AP$500)))</f>
        <v/>
      </c>
      <c r="DQ18" s="123">
        <f>IF(OR(DQ$4="",$B18=""),0,SUMIF('DADOS BRUTOS'!$A$3:$A$500,$B18,'DADOS BRUTOS'!AQ$3:AQ$500)+IF($C18="",0,SUMIF('DADOS BRUTOS'!$A$3:$A$500,$C18,'DADOS BRUTOS'!AQ$3:AQ$500)))</f>
        <v/>
      </c>
      <c r="DR18" s="123">
        <f>IF(OR(DR$4="",$B18=""),0,SUMIF('DADOS BRUTOS'!$A$3:$A$500,$B18,'DADOS BRUTOS'!AR$3:AR$500)+IF($C18="",0,SUMIF('DADOS BRUTOS'!$A$3:$A$500,$C18,'DADOS BRUTOS'!AR$3:AR$500)))</f>
        <v/>
      </c>
      <c r="DS18" s="123">
        <f>IF(OR(DS$4="",$B18=""),0,SUMIF('DADOS BRUTOS'!$A$3:$A$500,$B18,'DADOS BRUTOS'!AS$3:AS$500)+IF($C18="",0,SUMIF('DADOS BRUTOS'!$A$3:$A$500,$C18,'DADOS BRUTOS'!AS$3:AS$500)))</f>
        <v/>
      </c>
      <c r="DT18" s="123">
        <f>IF(OR(DT$4="",$B18=""),0,SUMIF('DADOS BRUTOS'!$A$3:$A$500,$B18,'DADOS BRUTOS'!AT$3:AT$500)+IF($C18="",0,SUMIF('DADOS BRUTOS'!$A$3:$A$500,$C18,'DADOS BRUTOS'!AT$3:AT$500)))</f>
        <v/>
      </c>
      <c r="DU18" s="123">
        <f>IF(OR(DU$4="",$B18=""),0,SUMIF('DADOS BRUTOS'!$A$3:$A$500,$B18,'DADOS BRUTOS'!AU$3:AU$500)+IF($C18="",0,SUMIF('DADOS BRUTOS'!$A$3:$A$500,$C18,'DADOS BRUTOS'!AU$3:AU$500)))</f>
        <v/>
      </c>
      <c r="DV18" s="123">
        <f>IF(OR(DV$4="",$B18=""),0,SUMIF('DADOS BRUTOS'!$A$3:$A$500,$B18,'DADOS BRUTOS'!AV$3:AV$500)+IF($C18="",0,SUMIF('DADOS BRUTOS'!$A$3:$A$500,$C18,'DADOS BRUTOS'!AV$3:AV$500)))</f>
        <v/>
      </c>
      <c r="DW18" s="123">
        <f>IF(OR(DW$4="",$B18=""),0,SUMIF('DADOS BRUTOS'!$A$3:$A$500,$B18,'DADOS BRUTOS'!AW$3:AW$500)+IF($C18="",0,SUMIF('DADOS BRUTOS'!$A$3:$A$500,$C18,'DADOS BRUTOS'!AW$3:AW$500)))</f>
        <v/>
      </c>
      <c r="DX18" s="123">
        <f>IF(OR(DX$4="",$B18=""),0,SUMIF('DADOS BRUTOS'!$A$3:$A$500,$B18,'DADOS BRUTOS'!AX$3:AX$500)+IF($C18="",0,SUMIF('DADOS BRUTOS'!$A$3:$A$500,$C18,'DADOS BRUTOS'!AX$3:AX$500)))</f>
        <v/>
      </c>
      <c r="DY18" s="123">
        <f>IF(OR(DY$4="",$B18=""),0,SUMIF('DADOS BRUTOS'!$A$3:$A$500,$B18,'DADOS BRUTOS'!AY$3:AY$500)+IF($C18="",0,SUMIF('DADOS BRUTOS'!$A$3:$A$500,$C18,'DADOS BRUTOS'!AY$3:AY$500)))</f>
        <v/>
      </c>
      <c r="DZ18" s="123">
        <f>IF(OR(DZ$4="",$B18=""),0,SUMIF('DADOS BRUTOS'!$A$3:$A$500,$B18,'DADOS BRUTOS'!AZ$3:AZ$500)+IF($C18="",0,SUMIF('DADOS BRUTOS'!$A$3:$A$500,$C18,'DADOS BRUTOS'!AZ$3:AZ$500)))</f>
        <v/>
      </c>
      <c r="EA18" s="123">
        <f>IF(OR(EA$4="",$B18=""),0,SUMIF('DADOS BRUTOS'!$A$3:$A$500,$B18,'DADOS BRUTOS'!BA$3:BA$500)+IF($C18="",0,SUMIF('DADOS BRUTOS'!$A$3:$A$500,$C18,'DADOS BRUTOS'!BA$3:BA$500)))</f>
        <v/>
      </c>
      <c r="EB18" s="123">
        <f>IF(OR(EB$4="",$B18=""),0,SUMIF('DADOS BRUTOS'!$A$3:$A$500,$B18,'DADOS BRUTOS'!BB$3:BB$500)+IF($C18="",0,SUMIF('DADOS BRUTOS'!$A$3:$A$500,$C18,'DADOS BRUTOS'!BB$3:BB$500)))</f>
        <v/>
      </c>
      <c r="EC18" s="123">
        <f>IF(OR(EC$4="",$B18=""),0,SUMIF('DADOS BRUTOS'!$A$3:$A$500,$B18,'DADOS BRUTOS'!BC$3:BC$500)+IF($C18="",0,SUMIF('DADOS BRUTOS'!$A$3:$A$500,$C18,'DADOS BRUTOS'!BC$3:BC$500)))</f>
        <v/>
      </c>
      <c r="ED18" s="123">
        <f>IF(OR(ED$4="",$B18=""),0,SUMIF('DADOS BRUTOS'!$A$3:$A$500,$B18,'DADOS BRUTOS'!BD$3:BD$500)+IF($C18="",0,SUMIF('DADOS BRUTOS'!$A$3:$A$500,$C18,'DADOS BRUTOS'!BD$3:BD$500)))</f>
        <v/>
      </c>
      <c r="EE18" s="123">
        <f>IF(OR(EE$4="",$B18=""),0,SUMIF('DADOS BRUTOS'!$A$3:$A$500,$B18,'DADOS BRUTOS'!BE$3:BE$500)+IF($C18="",0,SUMIF('DADOS BRUTOS'!$A$3:$A$500,$C18,'DADOS BRUTOS'!BE$3:BE$500)))</f>
        <v/>
      </c>
      <c r="EF18" s="123">
        <f>IF(OR(EF$4="",$B18=""),0,SUMIF('DADOS BRUTOS'!$A$3:$A$500,$B18,'DADOS BRUTOS'!BF$3:BF$500)+IF($C18="",0,SUMIF('DADOS BRUTOS'!$A$3:$A$500,$C18,'DADOS BRUTOS'!BF$3:BF$500)))</f>
        <v/>
      </c>
      <c r="EG18" s="123">
        <f>IF(OR(EG$4="",$B18=""),0,SUMIF('DADOS BRUTOS'!$A$3:$A$500,$B18,'DADOS BRUTOS'!BG$3:BG$500)+IF($C18="",0,SUMIF('DADOS BRUTOS'!$A$3:$A$500,$C18,'DADOS BRUTOS'!BG$3:BG$500)))</f>
        <v/>
      </c>
      <c r="EH18" s="123">
        <f>IF(OR(EH$4="",$B18=""),0,SUMIF('DADOS BRUTOS'!$A$3:$A$500,$B18,'DADOS BRUTOS'!BH$3:BH$500)+IF($C18="",0,SUMIF('DADOS BRUTOS'!$A$3:$A$500,$C18,'DADOS BRUTOS'!BH$3:BH$500)))</f>
        <v/>
      </c>
      <c r="EI18" s="123">
        <f>IF(OR(EI$4="",$B18=""),0,SUMIF('DADOS BRUTOS'!$A$3:$A$500,$B18,'DADOS BRUTOS'!BI$3:BI$500)+IF($C18="",0,SUMIF('DADOS BRUTOS'!$A$3:$A$500,$C18,'DADOS BRUTOS'!BI$3:BI$500)))</f>
        <v/>
      </c>
      <c r="EJ18" s="123">
        <f>IF(OR(EJ$4="",$B18=""),0,SUMIF('DADOS BRUTOS'!$A$3:$A$500,$B18,'DADOS BRUTOS'!BJ$3:BJ$500)+IF($C18="",0,SUMIF('DADOS BRUTOS'!$A$3:$A$500,$C18,'DADOS BRUTOS'!BJ$3:BJ$500)))</f>
        <v/>
      </c>
      <c r="EK18" s="123">
        <f>IF(OR(EK$4="",$B18=""),0,SUMIF('DADOS BRUTOS'!$A$3:$A$500,$B18,'DADOS BRUTOS'!BK$3:BK$500)+IF($C18="",0,SUMIF('DADOS BRUTOS'!$A$3:$A$500,$C18,'DADOS BRUTOS'!BK$3:BK$500)))</f>
        <v/>
      </c>
      <c r="EL18" s="123">
        <f>IF(OR(EL$4="",$B18=""),0,SUMIF('DADOS BRUTOS'!$A$3:$A$500,$B18,'DADOS BRUTOS'!BL$3:BL$500)+IF($C18="",0,SUMIF('DADOS BRUTOS'!$A$3:$A$500,$C18,'DADOS BRUTOS'!BL$3:BL$500)))</f>
        <v/>
      </c>
      <c r="EM18" s="123">
        <f>IF(OR(EM$4="",$B18=""),0,SUMIF('DADOS BRUTOS'!$A$3:$A$500,$B18,'DADOS BRUTOS'!BM$3:BM$500)+IF($C18="",0,SUMIF('DADOS BRUTOS'!$A$3:$A$500,$C18,'DADOS BRUTOS'!BM$3:BM$500)))</f>
        <v/>
      </c>
      <c r="EN18" s="123">
        <f>IF(OR(EN$4="",$B18=""),0,SUMIF('DADOS BRUTOS'!$A$3:$A$500,$B18,'DADOS BRUTOS'!BN$3:BN$500)+IF($C18="",0,SUMIF('DADOS BRUTOS'!$A$3:$A$500,$C18,'DADOS BRUTOS'!BN$3:BN$500)))</f>
        <v/>
      </c>
      <c r="EO18" s="123">
        <f>IF(OR(EO$4="",$B18=""),0,SUMIF('DADOS BRUTOS'!$A$3:$A$500,$B18,'DADOS BRUTOS'!BO$3:BO$500)+IF($C18="",0,SUMIF('DADOS BRUTOS'!$A$3:$A$500,$C18,'DADOS BRUTOS'!BO$3:BO$500)))</f>
        <v/>
      </c>
      <c r="EP18" s="123">
        <f>IF(OR(EP$4="",$B18=""),0,SUMIF('DADOS BRUTOS'!$A$3:$A$500,$B18,'DADOS BRUTOS'!BP$3:BP$500)+IF($C18="",0,SUMIF('DADOS BRUTOS'!$A$3:$A$500,$C18,'DADOS BRUTOS'!BP$3:BP$500)))</f>
        <v/>
      </c>
      <c r="EQ18" s="123">
        <f>IF(OR(EQ$4="",$B18=""),0,SUMIF('DADOS BRUTOS'!$A$3:$A$500,$B18,'DADOS BRUTOS'!BQ$3:BQ$500)+IF($C18="",0,SUMIF('DADOS BRUTOS'!$A$3:$A$500,$C18,'DADOS BRUTOS'!BQ$3:BQ$500)))</f>
        <v/>
      </c>
      <c r="ER18" s="123">
        <f>IF(OR(ER$4="",$B18=""),0,SUMIF('DADOS BRUTOS'!$A$3:$A$500,$B18,'DADOS BRUTOS'!BR$3:BR$500)+IF($C18="",0,SUMIF('DADOS BRUTOS'!$A$3:$A$500,$C18,'DADOS BRUTOS'!BR$3:BR$500)))</f>
        <v/>
      </c>
      <c r="ES18" s="123">
        <f>IF(OR(ES$4="",$B18=""),0,SUMIF('DADOS BRUTOS'!$A$3:$A$500,$B18,'DADOS BRUTOS'!BS$3:BS$500)+IF($C18="",0,SUMIF('DADOS BRUTOS'!$A$3:$A$500,$C18,'DADOS BRUTOS'!BS$3:BS$500)))</f>
        <v/>
      </c>
      <c r="ET18" s="123">
        <f>IF(OR(ET$4="",$B18=""),0,SUMIF('DADOS BRUTOS'!$A$3:$A$500,$B18,'DADOS BRUTOS'!BT$3:BT$500)+IF($C18="",0,SUMIF('DADOS BRUTOS'!$A$3:$A$500,$C18,'DADOS BRUTOS'!BT$3:BT$500)))</f>
        <v/>
      </c>
      <c r="EU18" s="123">
        <f>IF(OR(EU$4="",$B18=""),0,SUMIF('DADOS BRUTOS'!$A$3:$A$500,$B18,'DADOS BRUTOS'!BU$3:BU$500)+IF($C18="",0,SUMIF('DADOS BRUTOS'!$A$3:$A$500,$C18,'DADOS BRUTOS'!BU$3:BU$500)))</f>
        <v/>
      </c>
      <c r="EV18" s="123">
        <f>IF(OR(EV$4="",$B18=""),0,SUMIF('DADOS BRUTOS'!$A$3:$A$500,$B18,'DADOS BRUTOS'!BV$3:BV$500)+IF($C18="",0,SUMIF('DADOS BRUTOS'!$A$3:$A$500,$C18,'DADOS BRUTOS'!BV$3:BV$500)))</f>
        <v/>
      </c>
      <c r="EW18" s="123">
        <f>IF(OR(EW$4="",$B18=""),0,SUMIF('DADOS BRUTOS'!$A$3:$A$500,$B18,'DADOS BRUTOS'!BW$3:BW$500)+IF($C18="",0,SUMIF('DADOS BRUTOS'!$A$3:$A$500,$C18,'DADOS BRUTOS'!BW$3:BW$500)))</f>
        <v/>
      </c>
      <c r="EX18" s="123">
        <f>IF(OR(EX$4="",$B18=""),0,SUMIF('DADOS BRUTOS'!$A$3:$A$500,$B18,'DADOS BRUTOS'!BX$3:BX$500)+IF($C18="",0,SUMIF('DADOS BRUTOS'!$A$3:$A$500,$C18,'DADOS BRUTOS'!BX$3:BX$500)))</f>
        <v/>
      </c>
      <c r="EY18" s="123">
        <f>IF(OR(EY$4="",$B18=""),0,SUMIF('DADOS BRUTOS'!$A$3:$A$500,$B18,'DADOS BRUTOS'!BY$3:BY$500)+IF($C18="",0,SUMIF('DADOS BRUTOS'!$A$3:$A$500,$C18,'DADOS BRUTOS'!BY$3:BY$500)))</f>
        <v/>
      </c>
      <c r="EZ18" s="123">
        <f>IF(OR(EZ$4="",$B18=""),0,SUMIF('DADOS BRUTOS'!$A$3:$A$500,$B18,'DADOS BRUTOS'!BZ$3:BZ$500)+IF($C18="",0,SUMIF('DADOS BRUTOS'!$A$3:$A$500,$C18,'DADOS BRUTOS'!BZ$3:BZ$500)))</f>
        <v/>
      </c>
      <c r="FA18" s="123">
        <f>IF(OR(FA$4="",$B18=""),0,SUMIF('DADOS BRUTOS'!$A$3:$A$500,$B18,'DADOS BRUTOS'!CA$3:CA$500)+IF($C18="",0,SUMIF('DADOS BRUTOS'!$A$3:$A$500,$C18,'DADOS BRUTOS'!CA$3:CA$500)))</f>
        <v/>
      </c>
      <c r="FB18" s="123">
        <f>IF(OR(FB$4="",$B18=""),0,SUMIF('DADOS BRUTOS'!$A$3:$A$500,$B18,'DADOS BRUTOS'!CB$3:CB$500)+IF($C18="",0,SUMIF('DADOS BRUTOS'!$A$3:$A$500,$C18,'DADOS BRUTOS'!CB$3:CB$500)))</f>
        <v/>
      </c>
      <c r="FC18" s="123">
        <f>IF(OR(FC$4="",$B18=""),0,SUMIF('DADOS BRUTOS'!$A$3:$A$500,$B18,'DADOS BRUTOS'!CC$3:CC$500)+IF($C18="",0,SUMIF('DADOS BRUTOS'!$A$3:$A$500,$C18,'DADOS BRUTOS'!CC$3:CC$500)))</f>
        <v/>
      </c>
      <c r="FD18" s="123">
        <f>IF(OR(FD$4="",$B18=""),0,SUMIF('DADOS BRUTOS'!$A$3:$A$500,$B18,'DADOS BRUTOS'!CD$3:CD$500)+IF($C18="",0,SUMIF('DADOS BRUTOS'!$A$3:$A$500,$C18,'DADOS BRUTOS'!CD$3:CD$500)))</f>
        <v/>
      </c>
      <c r="FE18" s="123">
        <f>IF(OR(FE$4="",$B18=""),0,SUMIF('DADOS BRUTOS'!$A$3:$A$500,$B18,'DADOS BRUTOS'!CE$3:CE$500)+IF($C18="",0,SUMIF('DADOS BRUTOS'!$A$3:$A$500,$C18,'DADOS BRUTOS'!CE$3:CE$500)))</f>
        <v/>
      </c>
      <c r="FF18" s="123">
        <f>IF(OR(FF$4="",$B18=""),0,SUMIF('DADOS BRUTOS'!$A$3:$A$500,$B18,'DADOS BRUTOS'!CF$3:CF$500)+IF($C18="",0,SUMIF('DADOS BRUTOS'!$A$3:$A$500,$C18,'DADOS BRUTOS'!CF$3:CF$500)))</f>
        <v/>
      </c>
      <c r="FG18" s="123">
        <f>IF(OR(FG$4="",$B18=""),0,SUMIF('DADOS BRUTOS'!$A$3:$A$500,$B18,'DADOS BRUTOS'!CG$3:CG$500)+IF($C18="",0,SUMIF('DADOS BRUTOS'!$A$3:$A$500,$C18,'DADOS BRUTOS'!CG$3:CG$500)))</f>
        <v/>
      </c>
      <c r="FH18" s="123">
        <f>IF(OR(FH$4="",$B18=""),0,SUMIF('DADOS BRUTOS'!$A$3:$A$500,$B18,'DADOS BRUTOS'!CH$3:CH$500)+IF($C18="",0,SUMIF('DADOS BRUTOS'!$A$3:$A$500,$C18,'DADOS BRUTOS'!CH$3:CH$500)))</f>
        <v/>
      </c>
      <c r="FI18" s="123">
        <f>IF(OR(FI$4="",$B18=""),0,SUMIF('DADOS BRUTOS'!$A$3:$A$500,$B18,'DADOS BRUTOS'!CI$3:CI$500)+IF($C18="",0,SUMIF('DADOS BRUTOS'!$A$3:$A$500,$C18,'DADOS BRUTOS'!CI$3:CI$500)))</f>
        <v/>
      </c>
      <c r="FJ18" s="123">
        <f>IF(OR(FJ$4="",$B18=""),0,SUMIF('DADOS BRUTOS'!$A$3:$A$500,$B18,'DADOS BRUTOS'!CJ$3:CJ$500)+IF($C18="",0,SUMIF('DADOS BRUTOS'!$A$3:$A$500,$C18,'DADOS BRUTOS'!CJ$3:CJ$500)))</f>
        <v/>
      </c>
      <c r="FK18" s="123">
        <f>IF(OR(FK$4="",$B18=""),0,SUMIF('DADOS BRUTOS'!$A$3:$A$500,$B18,'DADOS BRUTOS'!CK$3:CK$500)+IF($C18="",0,SUMIF('DADOS BRUTOS'!$A$3:$A$500,$C18,'DADOS BRUTOS'!CK$3:CK$500)))</f>
        <v/>
      </c>
      <c r="FL18" s="123">
        <f>IF(OR(FL$4="",$B18=""),0,SUMIF('DADOS BRUTOS'!$A$3:$A$500,$B18,'DADOS BRUTOS'!CL$3:CL$500)+IF($C18="",0,SUMIF('DADOS BRUTOS'!$A$3:$A$500,$C18,'DADOS BRUTOS'!CL$3:CL$500)))</f>
        <v/>
      </c>
      <c r="FM18" s="123">
        <f>IF(OR(FM$4="",$B18=""),0,SUMIF('DADOS BRUTOS'!$A$3:$A$500,$B18,'DADOS BRUTOS'!CM$3:CM$500)+IF($C18="",0,SUMIF('DADOS BRUTOS'!$A$3:$A$500,$C18,'DADOS BRUTOS'!CM$3:CM$500)))</f>
        <v/>
      </c>
      <c r="FN18" s="123">
        <f>IF(OR(FN$4="",$B18=""),0,SUMIF('DADOS BRUTOS'!$A$3:$A$500,$B18,'DADOS BRUTOS'!CN$3:CN$500)+IF($C18="",0,SUMIF('DADOS BRUTOS'!$A$3:$A$500,$C18,'DADOS BRUTOS'!CN$3:CN$500)))</f>
        <v/>
      </c>
      <c r="FO18" s="123">
        <f>IF(OR(FO$4="",$B18=""),0,SUMIF('DADOS BRUTOS'!$A$3:$A$500,$B18,'DADOS BRUTOS'!CO$3:CO$500)+IF($C18="",0,SUMIF('DADOS BRUTOS'!$A$3:$A$500,$C18,'DADOS BRUTOS'!CO$3:CO$500)))</f>
        <v/>
      </c>
      <c r="FP18" s="123">
        <f>IF(OR(FP$4="",$B18=""),0,SUMIF('DADOS BRUTOS'!$A$3:$A$500,$B18,'DADOS BRUTOS'!CP$3:CP$500)+IF($C18="",0,SUMIF('DADOS BRUTOS'!$A$3:$A$500,$C18,'DADOS BRUTOS'!CP$3:CP$500)))</f>
        <v/>
      </c>
      <c r="FQ18" s="123">
        <f>IF(OR(FQ$4="",$B18=""),0,SUMIF('DADOS BRUTOS'!$A$3:$A$500,$B18,'DADOS BRUTOS'!CQ$3:CQ$500)+IF($C18="",0,SUMIF('DADOS BRUTOS'!$A$3:$A$500,$C18,'DADOS BRUTOS'!CQ$3:CQ$500)))</f>
        <v/>
      </c>
      <c r="FR18" s="123">
        <f>IF(OR(FR$4="",$B18=""),0,SUMIF('DADOS BRUTOS'!$A$3:$A$500,$B18,'DADOS BRUTOS'!CR$3:CR$500)+IF($C18="",0,SUMIF('DADOS BRUTOS'!$A$3:$A$500,$C18,'DADOS BRUTOS'!CR$3:CR$500)))</f>
        <v/>
      </c>
      <c r="FS18" s="123">
        <f>IF(OR(FS$4="",$B18=""),0,SUMIF('DADOS BRUTOS'!$A$3:$A$500,$B18,'DADOS BRUTOS'!CS$3:CS$500)+IF($C18="",0,SUMIF('DADOS BRUTOS'!$A$3:$A$500,$C18,'DADOS BRUTOS'!CS$3:CS$500)))</f>
        <v/>
      </c>
      <c r="FT18" s="123">
        <f>IF(OR(FT$4="",$B18=""),0,SUMIF('DADOS BRUTOS'!$A$3:$A$500,$B18,'DADOS BRUTOS'!CT$3:CT$500)+IF($C18="",0,SUMIF('DADOS BRUTOS'!$A$3:$A$500,$C18,'DADOS BRUTOS'!CT$3:CT$500)))</f>
        <v/>
      </c>
      <c r="FU18" s="123">
        <f>IF(OR(FU$4="",$B18=""),0,SUMIF('DADOS BRUTOS'!$A$3:$A$500,$B18,'DADOS BRUTOS'!CU$3:CU$500)+IF($C18="",0,SUMIF('DADOS BRUTOS'!$A$3:$A$500,$C18,'DADOS BRUTOS'!CU$3:CU$500)))</f>
        <v/>
      </c>
      <c r="FV18" s="123">
        <f>IF(OR(FV$4="",$B18=""),0,SUMIF('DADOS BRUTOS'!$A$3:$A$500,$B18,'DADOS BRUTOS'!CV$3:CV$500)+IF($C18="",0,SUMIF('DADOS BRUTOS'!$A$3:$A$500,$C18,'DADOS BRUTOS'!CV$3:CV$500)))</f>
        <v/>
      </c>
      <c r="FW18" s="123">
        <f>IF(OR(FW$4="",$B18=""),0,SUMIF('DADOS BRUTOS'!$A$3:$A$500,$B18,'DADOS BRUTOS'!CW$3:CW$500)+IF($C18="",0,SUMIF('DADOS BRUTOS'!$A$3:$A$500,$C18,'DADOS BRUTOS'!CW$3:CW$500)))</f>
        <v/>
      </c>
      <c r="FX18" s="123">
        <f>IF(OR(FX$4="",$B18=""),0,SUMIF('DADOS BRUTOS'!$A$3:$A$500,$B18,'DADOS BRUTOS'!CX$3:CX$500)+IF($C18="",0,SUMIF('DADOS BRUTOS'!$A$3:$A$500,$C18,'DADOS BRUTOS'!CX$3:CX$500)))</f>
        <v/>
      </c>
      <c r="FY18" s="123">
        <f>IF(OR(FY$4="",$B18=""),0,SUMIF('DADOS BRUTOS'!$A$3:$A$500,$B18,'DADOS BRUTOS'!CY$3:CY$500)+IF($C18="",0,SUMIF('DADOS BRUTOS'!$A$3:$A$500,$C18,'DADOS BRUTOS'!CY$3:CY$500)))</f>
        <v/>
      </c>
      <c r="FZ18" s="123">
        <f>IF(OR(FZ$4="",$B18=""),0,SUMIF('DADOS BRUTOS'!$A$3:$A$500,$B18,'DADOS BRUTOS'!CZ$3:CZ$500)+IF($C18="",0,SUMIF('DADOS BRUTOS'!$A$3:$A$500,$C18,'DADOS BRUTOS'!CZ$3:CZ$500)))</f>
        <v/>
      </c>
      <c r="GA18" s="123">
        <f>IF(OR(GA$4="",$B18=""),0,SUMIF('DADOS BRUTOS'!$A$3:$A$500,$B18,'DADOS BRUTOS'!DA$3:DA$500)+IF($C18="",0,SUMIF('DADOS BRUTOS'!$A$3:$A$500,$C18,'DADOS BRUTOS'!DA$3:DA$500)))</f>
        <v/>
      </c>
      <c r="GB18" s="123">
        <f>IF(OR(GB$4="",$B18=""),0,SUMIF('DADOS BRUTOS'!$A$3:$A$500,$B18,'DADOS BRUTOS'!DB$3:DB$500)+IF($C18="",0,SUMIF('DADOS BRUTOS'!$A$3:$A$500,$C18,'DADOS BRUTOS'!DB$3:DB$500)))</f>
        <v/>
      </c>
      <c r="GC18" s="123">
        <f>IF(OR(GC$4="",$B18=""),0,SUMIF('DADOS BRUTOS'!$A$3:$A$500,$B18,'DADOS BRUTOS'!DC$3:DC$500)+IF($C18="",0,SUMIF('DADOS BRUTOS'!$A$3:$A$500,$C18,'DADOS BRUTOS'!DC$3:DC$500)))</f>
        <v/>
      </c>
      <c r="GD18" s="123">
        <f>IF(OR(GD$4="",$B18=""),0,SUMIF('DADOS BRUTOS'!$A$3:$A$500,$B18,'DADOS BRUTOS'!DD$3:DD$500)+IF($C18="",0,SUMIF('DADOS BRUTOS'!$A$3:$A$500,$C18,'DADOS BRUTOS'!DD$3:DD$500)))</f>
        <v/>
      </c>
      <c r="GE18" s="123">
        <f>IF(OR(GE$4="",$B18=""),0,SUMIF('DADOS BRUTOS'!$A$3:$A$500,$B18,'DADOS BRUTOS'!DE$3:DE$500)+IF($C18="",0,SUMIF('DADOS BRUTOS'!$A$3:$A$500,$C18,'DADOS BRUTOS'!DE$3:DE$500)))</f>
        <v/>
      </c>
      <c r="GF18" s="123">
        <f>IF(OR(GF$4="",$B18=""),0,SUMIF('DADOS BRUTOS'!$A$3:$A$500,$B18,'DADOS BRUTOS'!DF$3:DF$500)+IF($C18="",0,SUMIF('DADOS BRUTOS'!$A$3:$A$500,$C18,'DADOS BRUTOS'!DF$3:DF$500)))</f>
        <v/>
      </c>
      <c r="GG18" s="123">
        <f>IF(OR(GG$4="",$B18=""),0,SUMIF('DADOS BRUTOS'!$A$3:$A$500,$B18,'DADOS BRUTOS'!DG$3:DG$500)+IF($C18="",0,SUMIF('DADOS BRUTOS'!$A$3:$A$500,$C18,'DADOS BRUTOS'!DG$3:DG$500)))</f>
        <v/>
      </c>
      <c r="GH18" s="123">
        <f>IF(OR(GH$4="",$B18=""),0,SUMIF('DADOS BRUTOS'!$A$3:$A$500,$B18,'DADOS BRUTOS'!DH$3:DH$500)+IF($C18="",0,SUMIF('DADOS BRUTOS'!$A$3:$A$500,$C18,'DADOS BRUTOS'!DH$3:DH$500)))</f>
        <v/>
      </c>
      <c r="GI18" s="123">
        <f>IF(OR(GI$4="",$B18=""),0,SUMIF('DADOS BRUTOS'!$A$3:$A$500,$B18,'DADOS BRUTOS'!DI$3:DI$500)+IF($C18="",0,SUMIF('DADOS BRUTOS'!$A$3:$A$500,$C18,'DADOS BRUTOS'!DI$3:DI$500)))</f>
        <v/>
      </c>
      <c r="GJ18" s="123">
        <f>IF(OR(GJ$4="",$B18=""),0,SUMIF('DADOS BRUTOS'!$A$3:$A$500,$B18,'DADOS BRUTOS'!DJ$3:DJ$500)+IF($C18="",0,SUMIF('DADOS BRUTOS'!$A$3:$A$500,$C18,'DADOS BRUTOS'!DJ$3:DJ$500)))</f>
        <v/>
      </c>
      <c r="GK18" s="123">
        <f>IF(OR(GK$4="",$B18=""),0,SUMIF('DADOS BRUTOS'!$A$3:$A$500,$B18,'DADOS BRUTOS'!DK$3:DK$500)+IF($C18="",0,SUMIF('DADOS BRUTOS'!$A$3:$A$500,$C18,'DADOS BRUTOS'!DK$3:DK$500)))</f>
        <v/>
      </c>
      <c r="GL18" s="123">
        <f>IF(OR(GL$4="",$B18=""),0,SUMIF('DADOS BRUTOS'!$A$3:$A$500,$B18,'DADOS BRUTOS'!DL$3:DL$500)+IF($C18="",0,SUMIF('DADOS BRUTOS'!$A$3:$A$500,$C18,'DADOS BRUTOS'!DL$3:DL$500)))</f>
        <v/>
      </c>
      <c r="GM18" s="123">
        <f>IF(OR(GM$4="",$B18=""),0,SUMIF('DADOS BRUTOS'!$A$3:$A$500,$B18,'DADOS BRUTOS'!DM$3:DM$500)+IF($C18="",0,SUMIF('DADOS BRUTOS'!$A$3:$A$500,$C18,'DADOS BRUTOS'!DM$3:DM$500)))</f>
        <v/>
      </c>
      <c r="GN18" s="123">
        <f>IF(OR(GN$4="",$B18=""),0,SUMIF('DADOS BRUTOS'!$A$3:$A$500,$B18,'DADOS BRUTOS'!DN$3:DN$500)+IF($C18="",0,SUMIF('DADOS BRUTOS'!$A$3:$A$500,$C18,'DADOS BRUTOS'!DN$3:DN$500)))</f>
        <v/>
      </c>
      <c r="GO18" s="123">
        <f>IF(OR(GO$4="",$B18=""),0,SUMIF('DADOS BRUTOS'!$A$3:$A$500,$B18,'DADOS BRUTOS'!DO$3:DO$500)+IF($C18="",0,SUMIF('DADOS BRUTOS'!$A$3:$A$500,$C18,'DADOS BRUTOS'!DO$3:DO$500)))</f>
        <v/>
      </c>
      <c r="GP18" s="123">
        <f>IF(OR(GP$4="",$B18=""),0,SUMIF('DADOS BRUTOS'!$A$3:$A$500,$B18,'DADOS BRUTOS'!DP$3:DP$500)+IF($C18="",0,SUMIF('DADOS BRUTOS'!$A$3:$A$500,$C18,'DADOS BRUTOS'!DP$3:DP$500)))</f>
        <v/>
      </c>
      <c r="GQ18" s="123">
        <f>IF(OR(GQ$4="",$B18=""),0,SUMIF('DADOS BRUTOS'!$A$3:$A$500,$B18,'DADOS BRUTOS'!DQ$3:DQ$500)+IF($C18="",0,SUMIF('DADOS BRUTOS'!$A$3:$A$500,$C18,'DADOS BRUTOS'!DQ$3:DQ$500)))</f>
        <v/>
      </c>
      <c r="GR18" s="123">
        <f>IF(OR(GR$4="",$B18=""),0,SUMIF('DADOS BRUTOS'!$A$3:$A$500,$B18,'DADOS BRUTOS'!DR$3:DR$500)+IF($C18="",0,SUMIF('DADOS BRUTOS'!$A$3:$A$500,$C18,'DADOS BRUTOS'!DR$3:DR$500)))</f>
        <v/>
      </c>
      <c r="GS18" s="123">
        <f>IF(OR(GS$4="",$B18=""),0,SUMIF('DADOS BRUTOS'!$A$3:$A$500,$B18,'DADOS BRUTOS'!DS$3:DS$500)+IF($C18="",0,SUMIF('DADOS BRUTOS'!$A$3:$A$500,$C18,'DADOS BRUTOS'!DS$3:DS$500)))</f>
        <v/>
      </c>
      <c r="GT18" s="123">
        <f>IF(OR(GT$4="",$B18=""),0,SUMIF('DADOS BRUTOS'!$A$3:$A$500,$B18,'DADOS BRUTOS'!DT$3:DT$500)+IF($C18="",0,SUMIF('DADOS BRUTOS'!$A$3:$A$500,$C18,'DADOS BRUTOS'!DT$3:DT$500)))</f>
        <v/>
      </c>
      <c r="GU18" s="123">
        <f>IF(OR(GU$4="",$B18=""),0,SUMIF('DADOS BRUTOS'!$A$3:$A$500,$B18,'DADOS BRUTOS'!DU$3:DU$500)+IF($C18="",0,SUMIF('DADOS BRUTOS'!$A$3:$A$500,$C18,'DADOS BRUTOS'!DU$3:DU$500)))</f>
        <v/>
      </c>
      <c r="GV18" s="123">
        <f>IF(OR(GV$4="",$B18=""),0,SUMIF('DADOS BRUTOS'!$A$3:$A$500,$B18,'DADOS BRUTOS'!DV$3:DV$500)+IF($C18="",0,SUMIF('DADOS BRUTOS'!$A$3:$A$500,$C18,'DADOS BRUTOS'!DV$3:DV$500)))</f>
        <v/>
      </c>
      <c r="GW18" s="123">
        <f>IF(OR(GW$4="",$B18=""),0,SUMIF('DADOS BRUTOS'!$A$3:$A$500,$B18,'DADOS BRUTOS'!DW$3:DW$500)+IF($C18="",0,SUMIF('DADOS BRUTOS'!$A$3:$A$500,$C18,'DADOS BRUTOS'!DW$3:DW$500)))</f>
        <v/>
      </c>
      <c r="GX18" s="123">
        <f>IF(OR(GX$4="",$B18=""),0,SUMIF('DADOS BRUTOS'!$A$3:$A$500,$B18,'DADOS BRUTOS'!DX$3:DX$500)+IF($C18="",0,SUMIF('DADOS BRUTOS'!$A$3:$A$500,$C18,'DADOS BRUTOS'!DX$3:DX$500)))</f>
        <v/>
      </c>
      <c r="GY18" s="123">
        <f>IF(OR(GY$4="",$B18=""),0,SUMIF('DADOS BRUTOS'!$A$3:$A$500,$B18,'DADOS BRUTOS'!DY$3:DY$500)+IF($C18="",0,SUMIF('DADOS BRUTOS'!$A$3:$A$500,$C18,'DADOS BRUTOS'!DY$3:DY$500)))</f>
        <v/>
      </c>
      <c r="GZ18" s="123">
        <f>IF(OR(GZ$4="",$B18=""),0,SUMIF('DADOS BRUTOS'!$A$3:$A$500,$B18,'DADOS BRUTOS'!DZ$3:DZ$500)+IF($C18="",0,SUMIF('DADOS BRUTOS'!$A$3:$A$500,$C18,'DADOS BRUTOS'!DZ$3:DZ$500)))</f>
        <v/>
      </c>
      <c r="HA18" s="123">
        <f>IF(OR(HA$4="",$B18=""),0,SUMIF('DADOS BRUTOS'!$A$3:$A$500,$B18,'DADOS BRUTOS'!EA$3:EA$500)+IF($C18="",0,SUMIF('DADOS BRUTOS'!$A$3:$A$500,$C18,'DADOS BRUTOS'!EA$3:EA$500)))</f>
        <v/>
      </c>
      <c r="HB18" s="123">
        <f>IF(OR(HB$4="",$B18=""),0,SUMIF('DADOS BRUTOS'!$A$3:$A$500,$B18,'DADOS BRUTOS'!EB$3:EB$500)+IF($C18="",0,SUMIF('DADOS BRUTOS'!$A$3:$A$500,$C18,'DADOS BRUTOS'!EB$3:EB$500)))</f>
        <v/>
      </c>
      <c r="HC18" s="123">
        <f>IF(OR(HC$4="",$B18=""),0,SUMIF('DADOS BRUTOS'!$A$3:$A$500,$B18,'DADOS BRUTOS'!EC$3:EC$500)+IF($C18="",0,SUMIF('DADOS BRUTOS'!$A$3:$A$500,$C18,'DADOS BRUTOS'!EC$3:EC$500)))</f>
        <v/>
      </c>
      <c r="HD18" s="123">
        <f>IF(OR(HD$4="",$B18=""),0,SUMIF('DADOS BRUTOS'!$A$3:$A$500,$B18,'DADOS BRUTOS'!ED$3:ED$500)+IF($C18="",0,SUMIF('DADOS BRUTOS'!$A$3:$A$500,$C18,'DADOS BRUTOS'!ED$3:ED$500)))</f>
        <v/>
      </c>
      <c r="HE18" s="123">
        <f>IF(OR(HE$4="",$B18=""),0,SUMIF('DADOS BRUTOS'!$A$3:$A$500,$B18,'DADOS BRUTOS'!EE$3:EE$500)+IF($C18="",0,SUMIF('DADOS BRUTOS'!$A$3:$A$500,$C18,'DADOS BRUTOS'!EE$3:EE$500)))</f>
        <v/>
      </c>
      <c r="HF18" s="123">
        <f>IF(OR(HF$4="",$B18=""),0,SUMIF('DADOS BRUTOS'!$A$3:$A$500,$B18,'DADOS BRUTOS'!EF$3:EF$500)+IF($C18="",0,SUMIF('DADOS BRUTOS'!$A$3:$A$500,$C18,'DADOS BRUTOS'!EF$3:EF$500)))</f>
        <v/>
      </c>
      <c r="HG18" s="123">
        <f>IF(OR(HG$4="",$B18=""),0,SUMIF('DADOS BRUTOS'!$A$3:$A$500,$B18,'DADOS BRUTOS'!EG$3:EG$500)+IF($C18="",0,SUMIF('DADOS BRUTOS'!$A$3:$A$500,$C18,'DADOS BRUTOS'!EG$3:EG$500)))</f>
        <v/>
      </c>
      <c r="HH18" s="123">
        <f>IF(OR(HH$4="",$B18=""),0,SUMIF('DADOS BRUTOS'!$A$3:$A$500,$B18,'DADOS BRUTOS'!EH$3:EH$500)+IF($C18="",0,SUMIF('DADOS BRUTOS'!$A$3:$A$500,$C18,'DADOS BRUTOS'!EH$3:EH$500)))</f>
        <v/>
      </c>
      <c r="HI18" s="123">
        <f>IF(OR(HI$4="",$B18=""),0,SUMIF('DADOS BRUTOS'!$A$3:$A$500,$B18,'DADOS BRUTOS'!EI$3:EI$500)+IF($C18="",0,SUMIF('DADOS BRUTOS'!$A$3:$A$500,$C18,'DADOS BRUTOS'!EI$3:EI$500)))</f>
        <v/>
      </c>
      <c r="HJ18" s="123">
        <f>IF(OR(HJ$4="",$B18=""),0,SUMIF('DADOS BRUTOS'!$A$3:$A$500,$B18,'DADOS BRUTOS'!EJ$3:EJ$500)+IF($C18="",0,SUMIF('DADOS BRUTOS'!$A$3:$A$500,$C18,'DADOS BRUTOS'!EJ$3:EJ$500)))</f>
        <v/>
      </c>
      <c r="HK18" s="123">
        <f>IF(OR(HK$4="",$B18=""),0,SUMIF('DADOS BRUTOS'!$A$3:$A$500,$B18,'DADOS BRUTOS'!EK$3:EK$500)+IF($C18="",0,SUMIF('DADOS BRUTOS'!$A$3:$A$500,$C18,'DADOS BRUTOS'!EK$3:EK$500)))</f>
        <v/>
      </c>
      <c r="HL18" s="123">
        <f>IF(OR(HL$4="",$B18=""),0,SUMIF('DADOS BRUTOS'!$A$3:$A$500,$B18,'DADOS BRUTOS'!EL$3:EL$500)+IF($C18="",0,SUMIF('DADOS BRUTOS'!$A$3:$A$500,$C18,'DADOS BRUTOS'!EL$3:EL$500)))</f>
        <v/>
      </c>
      <c r="HM18" s="123">
        <f>IF(OR(HM$4="",$B18=""),0,SUMIF('DADOS BRUTOS'!$A$3:$A$500,$B18,'DADOS BRUTOS'!EM$3:EM$500)+IF($C18="",0,SUMIF('DADOS BRUTOS'!$A$3:$A$500,$C18,'DADOS BRUTOS'!EM$3:EM$500)))</f>
        <v/>
      </c>
      <c r="HN18" s="123">
        <f>IF(OR(HN$4="",$B18=""),0,SUMIF('DADOS BRUTOS'!$A$3:$A$500,$B18,'DADOS BRUTOS'!EN$3:EN$500)+IF($C18="",0,SUMIF('DADOS BRUTOS'!$A$3:$A$500,$C18,'DADOS BRUTOS'!EN$3:EN$500)))</f>
        <v/>
      </c>
      <c r="HO18" s="123">
        <f>IF(OR(HO$4="",$B18=""),0,SUMIF('DADOS BRUTOS'!$A$3:$A$500,$B18,'DADOS BRUTOS'!EO$3:EO$500)+IF($C18="",0,SUMIF('DADOS BRUTOS'!$A$3:$A$500,$C18,'DADOS BRUTOS'!EO$3:EO$500)))</f>
        <v/>
      </c>
      <c r="HP18" s="123">
        <f>IF(OR(HP$4="",$B18=""),0,SUMIF('DADOS BRUTOS'!$A$3:$A$500,$B18,'DADOS BRUTOS'!EP$3:EP$500)+IF($C18="",0,SUMIF('DADOS BRUTOS'!$A$3:$A$500,$C18,'DADOS BRUTOS'!EP$3:EP$500)))</f>
        <v/>
      </c>
      <c r="HQ18" s="123">
        <f>IF(OR(HQ$4="",$B18=""),0,SUMIF('DADOS BRUTOS'!$A$3:$A$500,$B18,'DADOS BRUTOS'!EQ$3:EQ$500)+IF($C18="",0,SUMIF('DADOS BRUTOS'!$A$3:$A$500,$C18,'DADOS BRUTOS'!EQ$3:EQ$500)))</f>
        <v/>
      </c>
      <c r="HR18" s="123">
        <f>IF(OR(HR$4="",$B18=""),0,SUMIF('DADOS BRUTOS'!$A$3:$A$500,$B18,'DADOS BRUTOS'!ER$3:ER$500)+IF($C18="",0,SUMIF('DADOS BRUTOS'!$A$3:$A$500,$C18,'DADOS BRUTOS'!ER$3:ER$500)))</f>
        <v/>
      </c>
      <c r="HS18" s="123">
        <f>IF(OR(HS$4="",$B18=""),0,SUMIF('DADOS BRUTOS'!$A$3:$A$500,$B18,'DADOS BRUTOS'!ES$3:ES$500)+IF($C18="",0,SUMIF('DADOS BRUTOS'!$A$3:$A$500,$C18,'DADOS BRUTOS'!ES$3:ES$500)))</f>
        <v/>
      </c>
      <c r="HT18" s="123">
        <f>IF(OR(HT$4="",$B18=""),0,SUMIF('DADOS BRUTOS'!$A$3:$A$500,$B18,'DADOS BRUTOS'!ET$3:ET$500)+IF($C18="",0,SUMIF('DADOS BRUTOS'!$A$3:$A$500,$C18,'DADOS BRUTOS'!ET$3:ET$500)))</f>
        <v/>
      </c>
      <c r="HU18" s="123">
        <f>IF(OR(HU$4="",$B18=""),0,SUMIF('DADOS BRUTOS'!$A$3:$A$500,$B18,'DADOS BRUTOS'!EU$3:EU$500)+IF($C18="",0,SUMIF('DADOS BRUTOS'!$A$3:$A$500,$C18,'DADOS BRUTOS'!EU$3:EU$500)))</f>
        <v/>
      </c>
      <c r="HV18" s="123">
        <f>IF(OR(HV$4="",$B18=""),0,SUMIF('DADOS BRUTOS'!$A$3:$A$500,$B18,'DADOS BRUTOS'!EV$3:EV$500)+IF($C18="",0,SUMIF('DADOS BRUTOS'!$A$3:$A$500,$C18,'DADOS BRUTOS'!EV$3:EV$500)))</f>
        <v/>
      </c>
      <c r="HW18" s="123">
        <f>IF(OR(HW$4="",$B18=""),0,SUMIF('DADOS BRUTOS'!$A$3:$A$500,$B18,'DADOS BRUTOS'!EW$3:EW$500)+IF($C18="",0,SUMIF('DADOS BRUTOS'!$A$3:$A$500,$C18,'DADOS BRUTOS'!EW$3:EW$500)))</f>
        <v/>
      </c>
      <c r="HX18" s="123">
        <f>IF(OR(HX$4="",$B18=""),0,SUMIF('DADOS BRUTOS'!$A$3:$A$500,$B18,'DADOS BRUTOS'!EX$3:EX$500)+IF($C18="",0,SUMIF('DADOS BRUTOS'!$A$3:$A$500,$C18,'DADOS BRUTOS'!EX$3:EX$500)))</f>
        <v/>
      </c>
      <c r="HY18" s="123">
        <f>IF(OR(HY$4="",$B18=""),0,SUMIF('DADOS BRUTOS'!$A$3:$A$500,$B18,'DADOS BRUTOS'!EY$3:EY$500)+IF($C18="",0,SUMIF('DADOS BRUTOS'!$A$3:$A$500,$C18,'DADOS BRUTOS'!EY$3:EY$500)))</f>
        <v/>
      </c>
      <c r="HZ18" s="123">
        <f>IF(OR(HZ$4="",$B18=""),0,SUMIF('DADOS BRUTOS'!$A$3:$A$500,$B18,'DADOS BRUTOS'!EZ$3:EZ$500)+IF($C18="",0,SUMIF('DADOS BRUTOS'!$A$3:$A$500,$C18,'DADOS BRUTOS'!EZ$3:EZ$500)))</f>
        <v/>
      </c>
      <c r="IA18" s="123">
        <f>IF(OR(IA$4="",$B18=""),0,SUMIF('DADOS BRUTOS'!$A$3:$A$500,$B18,'DADOS BRUTOS'!FA$3:FA$500)+IF($C18="",0,SUMIF('DADOS BRUTOS'!$A$3:$A$500,$C18,'DADOS BRUTOS'!FA$3:FA$500)))</f>
        <v/>
      </c>
      <c r="IB18" s="123">
        <f>IF(OR(IB$4="",$B18=""),0,SUMIF('DADOS BRUTOS'!$A$3:$A$500,$B18,'DADOS BRUTOS'!FB$3:FB$500)+IF($C18="",0,SUMIF('DADOS BRUTOS'!$A$3:$A$500,$C18,'DADOS BRUTOS'!FB$3:FB$500)))</f>
        <v/>
      </c>
      <c r="IC18" s="123">
        <f>IF(OR(IC$4="",$B18=""),0,SUMIF('DADOS BRUTOS'!$A$3:$A$500,$B18,'DADOS BRUTOS'!FC$3:FC$500)+IF($C18="",0,SUMIF('DADOS BRUTOS'!$A$3:$A$500,$C18,'DADOS BRUTOS'!FC$3:FC$500)))</f>
        <v/>
      </c>
      <c r="ID18" s="123">
        <f>IF(OR(ID$4="",$B18=""),0,SUMIF('DADOS BRUTOS'!$A$3:$A$500,$B18,'DADOS BRUTOS'!FD$3:FD$500)+IF($C18="",0,SUMIF('DADOS BRUTOS'!$A$3:$A$500,$C18,'DADOS BRUTOS'!FD$3:FD$500)))</f>
        <v/>
      </c>
      <c r="IE18" s="123">
        <f>IF(OR(IE$4="",$B18=""),0,SUMIF('DADOS BRUTOS'!$A$3:$A$500,$B18,'DADOS BRUTOS'!FE$3:FE$500)+IF($C18="",0,SUMIF('DADOS BRUTOS'!$A$3:$A$500,$C18,'DADOS BRUTOS'!FE$3:FE$500)))</f>
        <v/>
      </c>
      <c r="IF18" s="123">
        <f>IF(OR(IF$4="",$B18=""),0,SUMIF('DADOS BRUTOS'!$A$3:$A$500,$B18,'DADOS BRUTOS'!FF$3:FF$500)+IF($C18="",0,SUMIF('DADOS BRUTOS'!$A$3:$A$500,$C18,'DADOS BRUTOS'!FF$3:FF$500)))</f>
        <v/>
      </c>
      <c r="IG18" s="123">
        <f>IF(OR(IG$4="",$B18=""),0,SUMIF('DADOS BRUTOS'!$A$3:$A$500,$B18,'DADOS BRUTOS'!FG$3:FG$500)+IF($C18="",0,SUMIF('DADOS BRUTOS'!$A$3:$A$500,$C18,'DADOS BRUTOS'!FG$3:FG$500)))</f>
        <v/>
      </c>
      <c r="IH18" s="123">
        <f>IF(OR(IH$4="",$B18=""),0,SUMIF('DADOS BRUTOS'!$A$3:$A$500,$B18,'DADOS BRUTOS'!FH$3:FH$500)+IF($C18="",0,SUMIF('DADOS BRUTOS'!$A$3:$A$500,$C18,'DADOS BRUTOS'!FH$3:FH$500)))</f>
        <v/>
      </c>
      <c r="II18" s="123">
        <f>IF(OR(II$4="",$B18=""),0,SUMIF('DADOS BRUTOS'!$A$3:$A$500,$B18,'DADOS BRUTOS'!FI$3:FI$500)+IF($C18="",0,SUMIF('DADOS BRUTOS'!$A$3:$A$500,$C18,'DADOS BRUTOS'!FI$3:FI$500)))</f>
        <v/>
      </c>
      <c r="IJ18" s="123">
        <f>IF(OR(IJ$4="",$B18=""),0,SUMIF('DADOS BRUTOS'!$A$3:$A$500,$B18,'DADOS BRUTOS'!FJ$3:FJ$500)+IF($C18="",0,SUMIF('DADOS BRUTOS'!$A$3:$A$500,$C18,'DADOS BRUTOS'!FJ$3:FJ$500)))</f>
        <v/>
      </c>
      <c r="IK18" s="123">
        <f>IF(OR(IK$4="",$B18=""),0,SUMIF('DADOS BRUTOS'!$A$3:$A$500,$B18,'DADOS BRUTOS'!FK$3:FK$500)+IF($C18="",0,SUMIF('DADOS BRUTOS'!$A$3:$A$500,$C18,'DADOS BRUTOS'!FK$3:FK$500)))</f>
        <v/>
      </c>
      <c r="IL18" s="123">
        <f>IF(OR(IL$4="",$B18=""),0,SUMIF('DADOS BRUTOS'!$A$3:$A$500,$B18,'DADOS BRUTOS'!FL$3:FL$500)+IF($C18="",0,SUMIF('DADOS BRUTOS'!$A$3:$A$500,$C18,'DADOS BRUTOS'!FL$3:FL$500)))</f>
        <v/>
      </c>
      <c r="IM18" s="123">
        <f>IF(OR(IM$4="",$B18=""),0,SUMIF('DADOS BRUTOS'!$A$3:$A$500,$B18,'DADOS BRUTOS'!FM$3:FM$500)+IF($C18="",0,SUMIF('DADOS BRUTOS'!$A$3:$A$500,$C18,'DADOS BRUTOS'!FM$3:FM$500)))</f>
        <v/>
      </c>
      <c r="IN18" s="123">
        <f>IF(OR(IN$4="",$B18=""),0,SUMIF('DADOS BRUTOS'!$A$3:$A$500,$B18,'DADOS BRUTOS'!FN$3:FN$500)+IF($C18="",0,SUMIF('DADOS BRUTOS'!$A$3:$A$500,$C18,'DADOS BRUTOS'!FN$3:FN$500)))</f>
        <v/>
      </c>
      <c r="IO18" s="123">
        <f>IF(OR(IO$4="",$B18=""),0,SUMIF('DADOS BRUTOS'!$A$3:$A$500,$B18,'DADOS BRUTOS'!FO$3:FO$500)+IF($C18="",0,SUMIF('DADOS BRUTOS'!$A$3:$A$500,$C18,'DADOS BRUTOS'!FO$3:FO$500)))</f>
        <v/>
      </c>
      <c r="IP18" s="123">
        <f>IF(OR(IP$4="",$B18=""),0,SUMIF('DADOS BRUTOS'!$A$3:$A$500,$B18,'DADOS BRUTOS'!FP$3:FP$500)+IF($C18="",0,SUMIF('DADOS BRUTOS'!$A$3:$A$500,$C18,'DADOS BRUTOS'!FP$3:FP$500)))</f>
        <v/>
      </c>
      <c r="IQ18" s="123">
        <f>IF(OR(IQ$4="",$B18=""),0,SUMIF('DADOS BRUTOS'!$A$3:$A$500,$B18,'DADOS BRUTOS'!FQ$3:FQ$500)+IF($C18="",0,SUMIF('DADOS BRUTOS'!$A$3:$A$500,$C18,'DADOS BRUTOS'!FQ$3:FQ$500)))</f>
        <v/>
      </c>
      <c r="IR18" s="123">
        <f>IF(OR(IR$4="",$B18=""),0,SUMIF('DADOS BRUTOS'!$A$3:$A$500,$B18,'DADOS BRUTOS'!FR$3:FR$500)+IF($C18="",0,SUMIF('DADOS BRUTOS'!$A$3:$A$500,$C18,'DADOS BRUTOS'!FR$3:FR$500)))</f>
        <v/>
      </c>
      <c r="IS18" s="123">
        <f>IF(OR(IS$4="",$B18=""),0,SUMIF('DADOS BRUTOS'!$A$3:$A$500,$B18,'DADOS BRUTOS'!FS$3:FS$500)+IF($C18="",0,SUMIF('DADOS BRUTOS'!$A$3:$A$500,$C18,'DADOS BRUTOS'!FS$3:FS$500)))</f>
        <v/>
      </c>
      <c r="IT18" s="123">
        <f>IF(OR(IT$4="",$B18=""),0,SUMIF('DADOS BRUTOS'!$A$3:$A$500,$B18,'DADOS BRUTOS'!FT$3:FT$500)+IF($C18="",0,SUMIF('DADOS BRUTOS'!$A$3:$A$500,$C18,'DADOS BRUTOS'!FT$3:FT$500)))</f>
        <v/>
      </c>
      <c r="IU18" s="123">
        <f>IF(OR(IU$4="",$B18=""),0,SUMIF('DADOS BRUTOS'!$A$3:$A$500,$B18,'DADOS BRUTOS'!FU$3:FU$500)+IF($C18="",0,SUMIF('DADOS BRUTOS'!$A$3:$A$500,$C18,'DADOS BRUTOS'!FU$3:FU$500)))</f>
        <v/>
      </c>
      <c r="IV18" s="123">
        <f>IF(OR(IV$4="",$B18=""),0,SUMIF('DADOS BRUTOS'!$A$3:$A$500,$B18,'DADOS BRUTOS'!FV$3:FV$500)+IF($C18="",0,SUMIF('DADOS BRUTOS'!$A$3:$A$500,$C18,'DADOS BRUTOS'!FV$3:FV$500)))</f>
        <v/>
      </c>
      <c r="IW18" s="123">
        <f>IF(OR(IW$4="",$B18=""),0,SUMIF('DADOS BRUTOS'!$A$3:$A$500,$B18,'DADOS BRUTOS'!FW$3:FW$500)+IF($C18="",0,SUMIF('DADOS BRUTOS'!$A$3:$A$500,$C18,'DADOS BRUTOS'!FW$3:FW$500)))</f>
        <v/>
      </c>
      <c r="IX18" s="123">
        <f>IF(OR(IX$4="",$B18=""),0,SUMIF('DADOS BRUTOS'!$A$3:$A$500,$B18,'DADOS BRUTOS'!FX$3:FX$500)+IF($C18="",0,SUMIF('DADOS BRUTOS'!$A$3:$A$500,$C18,'DADOS BRUTOS'!FX$3:FX$500)))</f>
        <v/>
      </c>
      <c r="IY18" s="123">
        <f>IF(OR(IY$4="",$B18=""),0,SUMIF('DADOS BRUTOS'!$A$3:$A$500,$B18,'DADOS BRUTOS'!FY$3:FY$500)+IF($C18="",0,SUMIF('DADOS BRUTOS'!$A$3:$A$500,$C18,'DADOS BRUTOS'!FY$3:FY$500)))</f>
        <v/>
      </c>
      <c r="IZ18" s="123">
        <f>IF(OR(IZ$4="",$B18=""),0,SUMIF('DADOS BRUTOS'!$A$3:$A$500,$B18,'DADOS BRUTOS'!FZ$3:FZ$500)+IF($C18="",0,SUMIF('DADOS BRUTOS'!$A$3:$A$500,$C18,'DADOS BRUTOS'!FZ$3:FZ$500)))</f>
        <v/>
      </c>
      <c r="JA18" s="123">
        <f>IF(OR(JA$4="",$B18=""),0,SUMIF('DADOS BRUTOS'!$A$3:$A$500,$B18,'DADOS BRUTOS'!GA$3:GA$500)+IF($C18="",0,SUMIF('DADOS BRUTOS'!$A$3:$A$500,$C18,'DADOS BRUTOS'!GA$3:GA$500)))</f>
        <v/>
      </c>
      <c r="JB18" s="123">
        <f>IF(OR(JB$4="",$B18=""),0,SUMIF('DADOS BRUTOS'!$A$3:$A$500,$B18,'DADOS BRUTOS'!GB$3:GB$500)+IF($C18="",0,SUMIF('DADOS BRUTOS'!$A$3:$A$500,$C18,'DADOS BRUTOS'!GB$3:GB$500)))</f>
        <v/>
      </c>
      <c r="JC18" s="123">
        <f>IF(OR(JC$4="",$B18=""),0,SUMIF('DADOS BRUTOS'!$A$3:$A$500,$B18,'DADOS BRUTOS'!GC$3:GC$500)+IF($C18="",0,SUMIF('DADOS BRUTOS'!$A$3:$A$500,$C18,'DADOS BRUTOS'!GC$3:GC$500)))</f>
        <v/>
      </c>
      <c r="JD18" s="123">
        <f>IF(OR(JD$4="",$B18=""),0,SUMIF('DADOS BRUTOS'!$A$3:$A$500,$B18,'DADOS BRUTOS'!GD$3:GD$500)+IF($C18="",0,SUMIF('DADOS BRUTOS'!$A$3:$A$500,$C18,'DADOS BRUTOS'!GD$3:GD$500)))</f>
        <v/>
      </c>
      <c r="JE18" s="123">
        <f>IF(OR(JE$4="",$B18=""),0,SUMIF('DADOS BRUTOS'!$A$3:$A$500,$B18,'DADOS BRUTOS'!GE$3:GE$500)+IF($C18="",0,SUMIF('DADOS BRUTOS'!$A$3:$A$500,$C18,'DADOS BRUTOS'!GE$3:GE$500)))</f>
        <v/>
      </c>
      <c r="JF18" s="123">
        <f>IF(OR(JF$4="",$B18=""),0,SUMIF('DADOS BRUTOS'!$A$3:$A$500,$B18,'DADOS BRUTOS'!GF$3:GF$500)+IF($C18="",0,SUMIF('DADOS BRUTOS'!$A$3:$A$500,$C18,'DADOS BRUTOS'!GF$3:GF$500)))</f>
        <v/>
      </c>
      <c r="JG18" s="123">
        <f>IF(OR(JG$4="",$B18=""),0,SUMIF('DADOS BRUTOS'!$A$3:$A$500,$B18,'DADOS BRUTOS'!GG$3:GG$500)+IF($C18="",0,SUMIF('DADOS BRUTOS'!$A$3:$A$500,$C18,'DADOS BRUTOS'!GG$3:GG$500)))</f>
        <v/>
      </c>
      <c r="JH18" s="123">
        <f>IF(OR(JH$4="",$B18=""),0,SUMIF('DADOS BRUTOS'!$A$3:$A$500,$B18,'DADOS BRUTOS'!GH$3:GH$500)+IF($C18="",0,SUMIF('DADOS BRUTOS'!$A$3:$A$500,$C18,'DADOS BRUTOS'!GH$3:GH$500)))</f>
        <v/>
      </c>
      <c r="JI18" s="123">
        <f>IF(OR(JI$4="",$B18=""),0,SUMIF('DADOS BRUTOS'!$A$3:$A$500,$B18,'DADOS BRUTOS'!GI$3:GI$500)+IF($C18="",0,SUMIF('DADOS BRUTOS'!$A$3:$A$500,$C18,'DADOS BRUTOS'!GI$3:GI$500)))</f>
        <v/>
      </c>
      <c r="JJ18" s="123">
        <f>IF(OR(JJ$4="",$B18=""),0,SUMIF('DADOS BRUTOS'!$A$3:$A$500,$B18,'DADOS BRUTOS'!GJ$3:GJ$500)+IF($C18="",0,SUMIF('DADOS BRUTOS'!$A$3:$A$500,$C18,'DADOS BRUTOS'!GJ$3:GJ$500)))</f>
        <v/>
      </c>
      <c r="JK18" s="123">
        <f>IF(OR(JK$4="",$B18=""),0,SUMIF('DADOS BRUTOS'!$A$3:$A$500,$B18,'DADOS BRUTOS'!GK$3:GK$500)+IF($C18="",0,SUMIF('DADOS BRUTOS'!$A$3:$A$500,$C18,'DADOS BRUTOS'!GK$3:GK$500)))</f>
        <v/>
      </c>
      <c r="JL18" s="123">
        <f>IF(OR(JL$4="",$B18=""),0,SUMIF('DADOS BRUTOS'!$A$3:$A$500,$B18,'DADOS BRUTOS'!GL$3:GL$500)+IF($C18="",0,SUMIF('DADOS BRUTOS'!$A$3:$A$500,$C18,'DADOS BRUTOS'!GL$3:GL$500)))</f>
        <v/>
      </c>
      <c r="JM18" s="123">
        <f>IF(OR(JM$4="",$B18=""),0,SUMIF('DADOS BRUTOS'!$A$3:$A$500,$B18,'DADOS BRUTOS'!GM$3:GM$500)+IF($C18="",0,SUMIF('DADOS BRUTOS'!$A$3:$A$500,$C18,'DADOS BRUTOS'!GM$3:GM$500)))</f>
        <v/>
      </c>
      <c r="JN18" s="123">
        <f>IF(OR(JN$4="",$B18=""),0,SUMIF('DADOS BRUTOS'!$A$3:$A$500,$B18,'DADOS BRUTOS'!GN$3:GN$500)+IF($C18="",0,SUMIF('DADOS BRUTOS'!$A$3:$A$500,$C18,'DADOS BRUTOS'!GN$3:GN$500)))</f>
        <v/>
      </c>
      <c r="JO18" s="123">
        <f>IF(OR(JO$4="",$B18=""),0,SUMIF('DADOS BRUTOS'!$A$3:$A$500,$B18,'DADOS BRUTOS'!GO$3:GO$500)+IF($C18="",0,SUMIF('DADOS BRUTOS'!$A$3:$A$500,$C18,'DADOS BRUTOS'!GO$3:GO$500)))</f>
        <v/>
      </c>
      <c r="JP18" s="123">
        <f>IF(OR(JP$4="",$B18=""),0,SUMIF('DADOS BRUTOS'!$A$3:$A$500,$B18,'DADOS BRUTOS'!GP$3:GP$500)+IF($C18="",0,SUMIF('DADOS BRUTOS'!$A$3:$A$500,$C18,'DADOS BRUTOS'!GP$3:GP$500)))</f>
        <v/>
      </c>
      <c r="JQ18" s="123">
        <f>IF(OR(JQ$4="",$B18=""),0,SUMIF('DADOS BRUTOS'!$A$3:$A$500,$B18,'DADOS BRUTOS'!GQ$3:GQ$500)+IF($C18="",0,SUMIF('DADOS BRUTOS'!$A$3:$A$500,$C18,'DADOS BRUTOS'!GQ$3:GQ$500)))</f>
        <v/>
      </c>
      <c r="JR18" s="123">
        <f>IF(OR(JR$4="",$B18=""),0,SUMIF('DADOS BRUTOS'!$A$3:$A$500,$B18,'DADOS BRUTOS'!GR$3:GR$500)+IF($C18="",0,SUMIF('DADOS BRUTOS'!$A$3:$A$500,$C18,'DADOS BRUTOS'!GR$3:GR$500)))</f>
        <v/>
      </c>
      <c r="JS18" s="123">
        <f>IF(OR(JS$4="",$B18=""),0,SUMIF('DADOS BRUTOS'!$A$3:$A$500,$B18,'DADOS BRUTOS'!GS$3:GS$500)+IF($C18="",0,SUMIF('DADOS BRUTOS'!$A$3:$A$500,$C18,'DADOS BRUTOS'!GS$3:GS$500)))</f>
        <v/>
      </c>
    </row>
    <row r="19">
      <c r="A19" s="60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CB19" s="123">
        <f>IF(OR(CB$4="",$B19=""),0,SUMIF('DADOS BRUTOS'!$A$3:$A$500,$B19,'DADOS BRUTOS'!B$3:B$500)+IF($C19="",0,SUMIF('DADOS BRUTOS'!$A$3:$A$500,$C19,'DADOS BRUTOS'!B$3:B$500)))</f>
        <v/>
      </c>
      <c r="CC19" s="123">
        <f>IF(OR(CC$4="",$B19=""),0,SUMIF('DADOS BRUTOS'!$A$3:$A$500,$B19,'DADOS BRUTOS'!C$3:C$500)+IF($C19="",0,SUMIF('DADOS BRUTOS'!$A$3:$A$500,$C19,'DADOS BRUTOS'!C$3:C$500)))</f>
        <v/>
      </c>
      <c r="CD19" s="123">
        <f>IF(OR(CD$4="",$B19=""),0,SUMIF('DADOS BRUTOS'!$A$3:$A$500,$B19,'DADOS BRUTOS'!D$3:D$500)+IF($C19="",0,SUMIF('DADOS BRUTOS'!$A$3:$A$500,$C19,'DADOS BRUTOS'!D$3:D$500)))</f>
        <v/>
      </c>
      <c r="CE19" s="123">
        <f>IF(OR(CE$4="",$B19=""),0,SUMIF('DADOS BRUTOS'!$A$3:$A$500,$B19,'DADOS BRUTOS'!E$3:E$500)+IF($C19="",0,SUMIF('DADOS BRUTOS'!$A$3:$A$500,$C19,'DADOS BRUTOS'!E$3:E$500)))</f>
        <v/>
      </c>
      <c r="CF19" s="123">
        <f>IF(OR(CF$4="",$B19=""),0,SUMIF('DADOS BRUTOS'!$A$3:$A$500,$B19,'DADOS BRUTOS'!F$3:F$500)+IF($C19="",0,SUMIF('DADOS BRUTOS'!$A$3:$A$500,$C19,'DADOS BRUTOS'!F$3:F$500)))</f>
        <v/>
      </c>
      <c r="CG19" s="123">
        <f>IF(OR(CG$4="",$B19=""),0,SUMIF('DADOS BRUTOS'!$A$3:$A$500,$B19,'DADOS BRUTOS'!G$3:G$500)+IF($C19="",0,SUMIF('DADOS BRUTOS'!$A$3:$A$500,$C19,'DADOS BRUTOS'!G$3:G$500)))</f>
        <v/>
      </c>
      <c r="CH19" s="123">
        <f>IF(OR(CH$4="",$B19=""),0,SUMIF('DADOS BRUTOS'!$A$3:$A$500,$B19,'DADOS BRUTOS'!H$3:H$500)+IF($C19="",0,SUMIF('DADOS BRUTOS'!$A$3:$A$500,$C19,'DADOS BRUTOS'!H$3:H$500)))</f>
        <v/>
      </c>
      <c r="CI19" s="123">
        <f>IF(OR(CI$4="",$B19=""),0,SUMIF('DADOS BRUTOS'!$A$3:$A$500,$B19,'DADOS BRUTOS'!I$3:I$500)+IF($C19="",0,SUMIF('DADOS BRUTOS'!$A$3:$A$500,$C19,'DADOS BRUTOS'!I$3:I$500)))</f>
        <v/>
      </c>
      <c r="CJ19" s="123">
        <f>IF(OR(CJ$4="",$B19=""),0,SUMIF('DADOS BRUTOS'!$A$3:$A$500,$B19,'DADOS BRUTOS'!J$3:J$500)+IF($C19="",0,SUMIF('DADOS BRUTOS'!$A$3:$A$500,$C19,'DADOS BRUTOS'!J$3:J$500)))</f>
        <v/>
      </c>
      <c r="CK19" s="123">
        <f>IF(OR(CK$4="",$B19=""),0,SUMIF('DADOS BRUTOS'!$A$3:$A$500,$B19,'DADOS BRUTOS'!K$3:K$500)+IF($C19="",0,SUMIF('DADOS BRUTOS'!$A$3:$A$500,$C19,'DADOS BRUTOS'!K$3:K$500)))</f>
        <v/>
      </c>
      <c r="CL19" s="123">
        <f>IF(OR(CL$4="",$B19=""),0,SUMIF('DADOS BRUTOS'!$A$3:$A$500,$B19,'DADOS BRUTOS'!L$3:L$500)+IF($C19="",0,SUMIF('DADOS BRUTOS'!$A$3:$A$500,$C19,'DADOS BRUTOS'!L$3:L$500)))</f>
        <v/>
      </c>
      <c r="CM19" s="123">
        <f>IF(OR(CM$4="",$B19=""),0,SUMIF('DADOS BRUTOS'!$A$3:$A$500,$B19,'DADOS BRUTOS'!M$3:M$500)+IF($C19="",0,SUMIF('DADOS BRUTOS'!$A$3:$A$500,$C19,'DADOS BRUTOS'!M$3:M$500)))</f>
        <v/>
      </c>
      <c r="CN19" s="123">
        <f>IF(OR(CN$4="",$B19=""),0,SUMIF('DADOS BRUTOS'!$A$3:$A$500,$B19,'DADOS BRUTOS'!N$3:N$500)+IF($C19="",0,SUMIF('DADOS BRUTOS'!$A$3:$A$500,$C19,'DADOS BRUTOS'!N$3:N$500)))</f>
        <v/>
      </c>
      <c r="CO19" s="123">
        <f>IF(OR(CO$4="",$B19=""),0,SUMIF('DADOS BRUTOS'!$A$3:$A$500,$B19,'DADOS BRUTOS'!O$3:O$500)+IF($C19="",0,SUMIF('DADOS BRUTOS'!$A$3:$A$500,$C19,'DADOS BRUTOS'!O$3:O$500)))</f>
        <v/>
      </c>
      <c r="CP19" s="123">
        <f>IF(OR(CP$4="",$B19=""),0,SUMIF('DADOS BRUTOS'!$A$3:$A$500,$B19,'DADOS BRUTOS'!P$3:P$500)+IF($C19="",0,SUMIF('DADOS BRUTOS'!$A$3:$A$500,$C19,'DADOS BRUTOS'!P$3:P$500)))</f>
        <v/>
      </c>
      <c r="CQ19" s="123">
        <f>IF(OR(CQ$4="",$B19=""),0,SUMIF('DADOS BRUTOS'!$A$3:$A$500,$B19,'DADOS BRUTOS'!Q$3:Q$500)+IF($C19="",0,SUMIF('DADOS BRUTOS'!$A$3:$A$500,$C19,'DADOS BRUTOS'!Q$3:Q$500)))</f>
        <v/>
      </c>
      <c r="CR19" s="123">
        <f>IF(OR(CR$4="",$B19=""),0,SUMIF('DADOS BRUTOS'!$A$3:$A$500,$B19,'DADOS BRUTOS'!R$3:R$500)+IF($C19="",0,SUMIF('DADOS BRUTOS'!$A$3:$A$500,$C19,'DADOS BRUTOS'!R$3:R$500)))</f>
        <v/>
      </c>
      <c r="CS19" s="123">
        <f>IF(OR(CS$4="",$B19=""),0,SUMIF('DADOS BRUTOS'!$A$3:$A$500,$B19,'DADOS BRUTOS'!S$3:S$500)+IF($C19="",0,SUMIF('DADOS BRUTOS'!$A$3:$A$500,$C19,'DADOS BRUTOS'!S$3:S$500)))</f>
        <v/>
      </c>
      <c r="CT19" s="123">
        <f>IF(OR(CT$4="",$B19=""),0,SUMIF('DADOS BRUTOS'!$A$3:$A$500,$B19,'DADOS BRUTOS'!T$3:T$500)+IF($C19="",0,SUMIF('DADOS BRUTOS'!$A$3:$A$500,$C19,'DADOS BRUTOS'!T$3:T$500)))</f>
        <v/>
      </c>
      <c r="CU19" s="123">
        <f>IF(OR(CU$4="",$B19=""),0,SUMIF('DADOS BRUTOS'!$A$3:$A$500,$B19,'DADOS BRUTOS'!U$3:U$500)+IF($C19="",0,SUMIF('DADOS BRUTOS'!$A$3:$A$500,$C19,'DADOS BRUTOS'!U$3:U$500)))</f>
        <v/>
      </c>
      <c r="CV19" s="123">
        <f>IF(OR(CV$4="",$B19=""),0,SUMIF('DADOS BRUTOS'!$A$3:$A$500,$B19,'DADOS BRUTOS'!V$3:V$500)+IF($C19="",0,SUMIF('DADOS BRUTOS'!$A$3:$A$500,$C19,'DADOS BRUTOS'!V$3:V$500)))</f>
        <v/>
      </c>
      <c r="CW19" s="123">
        <f>IF(OR(CW$4="",$B19=""),0,SUMIF('DADOS BRUTOS'!$A$3:$A$500,$B19,'DADOS BRUTOS'!W$3:W$500)+IF($C19="",0,SUMIF('DADOS BRUTOS'!$A$3:$A$500,$C19,'DADOS BRUTOS'!W$3:W$500)))</f>
        <v/>
      </c>
      <c r="CX19" s="123">
        <f>IF(OR(CX$4="",$B19=""),0,SUMIF('DADOS BRUTOS'!$A$3:$A$500,$B19,'DADOS BRUTOS'!X$3:X$500)+IF($C19="",0,SUMIF('DADOS BRUTOS'!$A$3:$A$500,$C19,'DADOS BRUTOS'!X$3:X$500)))</f>
        <v/>
      </c>
      <c r="CY19" s="123">
        <f>IF(OR(CY$4="",$B19=""),0,SUMIF('DADOS BRUTOS'!$A$3:$A$500,$B19,'DADOS BRUTOS'!Y$3:Y$500)+IF($C19="",0,SUMIF('DADOS BRUTOS'!$A$3:$A$500,$C19,'DADOS BRUTOS'!Y$3:Y$500)))</f>
        <v/>
      </c>
      <c r="CZ19" s="123">
        <f>IF(OR(CZ$4="",$B19=""),0,SUMIF('DADOS BRUTOS'!$A$3:$A$500,$B19,'DADOS BRUTOS'!Z$3:Z$500)+IF($C19="",0,SUMIF('DADOS BRUTOS'!$A$3:$A$500,$C19,'DADOS BRUTOS'!Z$3:Z$500)))</f>
        <v/>
      </c>
      <c r="DA19" s="123">
        <f>IF(OR(DA$4="",$B19=""),0,SUMIF('DADOS BRUTOS'!$A$3:$A$500,$B19,'DADOS BRUTOS'!AA$3:AA$500)+IF($C19="",0,SUMIF('DADOS BRUTOS'!$A$3:$A$500,$C19,'DADOS BRUTOS'!AA$3:AA$500)))</f>
        <v/>
      </c>
      <c r="DB19" s="123">
        <f>IF(OR(DB$4="",$B19=""),0,SUMIF('DADOS BRUTOS'!$A$3:$A$500,$B19,'DADOS BRUTOS'!AB$3:AB$500)+IF($C19="",0,SUMIF('DADOS BRUTOS'!$A$3:$A$500,$C19,'DADOS BRUTOS'!AB$3:AB$500)))</f>
        <v/>
      </c>
      <c r="DC19" s="123">
        <f>IF(OR(DC$4="",$B19=""),0,SUMIF('DADOS BRUTOS'!$A$3:$A$500,$B19,'DADOS BRUTOS'!AC$3:AC$500)+IF($C19="",0,SUMIF('DADOS BRUTOS'!$A$3:$A$500,$C19,'DADOS BRUTOS'!AC$3:AC$500)))</f>
        <v/>
      </c>
      <c r="DD19" s="123">
        <f>IF(OR(DD$4="",$B19=""),0,SUMIF('DADOS BRUTOS'!$A$3:$A$500,$B19,'DADOS BRUTOS'!AD$3:AD$500)+IF($C19="",0,SUMIF('DADOS BRUTOS'!$A$3:$A$500,$C19,'DADOS BRUTOS'!AD$3:AD$500)))</f>
        <v/>
      </c>
      <c r="DE19" s="123">
        <f>IF(OR(DE$4="",$B19=""),0,SUMIF('DADOS BRUTOS'!$A$3:$A$500,$B19,'DADOS BRUTOS'!AE$3:AE$500)+IF($C19="",0,SUMIF('DADOS BRUTOS'!$A$3:$A$500,$C19,'DADOS BRUTOS'!AE$3:AE$500)))</f>
        <v/>
      </c>
      <c r="DF19" s="123">
        <f>IF(OR(DF$4="",$B19=""),0,SUMIF('DADOS BRUTOS'!$A$3:$A$500,$B19,'DADOS BRUTOS'!AF$3:AF$500)+IF($C19="",0,SUMIF('DADOS BRUTOS'!$A$3:$A$500,$C19,'DADOS BRUTOS'!AF$3:AF$500)))</f>
        <v/>
      </c>
      <c r="DG19" s="123">
        <f>IF(OR(DG$4="",$B19=""),0,SUMIF('DADOS BRUTOS'!$A$3:$A$500,$B19,'DADOS BRUTOS'!AG$3:AG$500)+IF($C19="",0,SUMIF('DADOS BRUTOS'!$A$3:$A$500,$C19,'DADOS BRUTOS'!AG$3:AG$500)))</f>
        <v/>
      </c>
      <c r="DH19" s="123">
        <f>IF(OR(DH$4="",$B19=""),0,SUMIF('DADOS BRUTOS'!$A$3:$A$500,$B19,'DADOS BRUTOS'!AH$3:AH$500)+IF($C19="",0,SUMIF('DADOS BRUTOS'!$A$3:$A$500,$C19,'DADOS BRUTOS'!AH$3:AH$500)))</f>
        <v/>
      </c>
      <c r="DI19" s="123">
        <f>IF(OR(DI$4="",$B19=""),0,SUMIF('DADOS BRUTOS'!$A$3:$A$500,$B19,'DADOS BRUTOS'!AI$3:AI$500)+IF($C19="",0,SUMIF('DADOS BRUTOS'!$A$3:$A$500,$C19,'DADOS BRUTOS'!AI$3:AI$500)))</f>
        <v/>
      </c>
      <c r="DJ19" s="123">
        <f>IF(OR(DJ$4="",$B19=""),0,SUMIF('DADOS BRUTOS'!$A$3:$A$500,$B19,'DADOS BRUTOS'!AJ$3:AJ$500)+IF($C19="",0,SUMIF('DADOS BRUTOS'!$A$3:$A$500,$C19,'DADOS BRUTOS'!AJ$3:AJ$500)))</f>
        <v/>
      </c>
      <c r="DK19" s="123">
        <f>IF(OR(DK$4="",$B19=""),0,SUMIF('DADOS BRUTOS'!$A$3:$A$500,$B19,'DADOS BRUTOS'!AK$3:AK$500)+IF($C19="",0,SUMIF('DADOS BRUTOS'!$A$3:$A$500,$C19,'DADOS BRUTOS'!AK$3:AK$500)))</f>
        <v/>
      </c>
      <c r="DL19" s="123">
        <f>IF(OR(DL$4="",$B19=""),0,SUMIF('DADOS BRUTOS'!$A$3:$A$500,$B19,'DADOS BRUTOS'!AL$3:AL$500)+IF($C19="",0,SUMIF('DADOS BRUTOS'!$A$3:$A$500,$C19,'DADOS BRUTOS'!AL$3:AL$500)))</f>
        <v/>
      </c>
      <c r="DM19" s="123">
        <f>IF(OR(DM$4="",$B19=""),0,SUMIF('DADOS BRUTOS'!$A$3:$A$500,$B19,'DADOS BRUTOS'!AM$3:AM$500)+IF($C19="",0,SUMIF('DADOS BRUTOS'!$A$3:$A$500,$C19,'DADOS BRUTOS'!AM$3:AM$500)))</f>
        <v/>
      </c>
      <c r="DN19" s="123">
        <f>IF(OR(DN$4="",$B19=""),0,SUMIF('DADOS BRUTOS'!$A$3:$A$500,$B19,'DADOS BRUTOS'!AN$3:AN$500)+IF($C19="",0,SUMIF('DADOS BRUTOS'!$A$3:$A$500,$C19,'DADOS BRUTOS'!AN$3:AN$500)))</f>
        <v/>
      </c>
      <c r="DO19" s="123">
        <f>IF(OR(DO$4="",$B19=""),0,SUMIF('DADOS BRUTOS'!$A$3:$A$500,$B19,'DADOS BRUTOS'!AO$3:AO$500)+IF($C19="",0,SUMIF('DADOS BRUTOS'!$A$3:$A$500,$C19,'DADOS BRUTOS'!AO$3:AO$500)))</f>
        <v/>
      </c>
      <c r="DP19" s="123">
        <f>IF(OR(DP$4="",$B19=""),0,SUMIF('DADOS BRUTOS'!$A$3:$A$500,$B19,'DADOS BRUTOS'!AP$3:AP$500)+IF($C19="",0,SUMIF('DADOS BRUTOS'!$A$3:$A$500,$C19,'DADOS BRUTOS'!AP$3:AP$500)))</f>
        <v/>
      </c>
      <c r="DQ19" s="123">
        <f>IF(OR(DQ$4="",$B19=""),0,SUMIF('DADOS BRUTOS'!$A$3:$A$500,$B19,'DADOS BRUTOS'!AQ$3:AQ$500)+IF($C19="",0,SUMIF('DADOS BRUTOS'!$A$3:$A$500,$C19,'DADOS BRUTOS'!AQ$3:AQ$500)))</f>
        <v/>
      </c>
      <c r="DR19" s="123">
        <f>IF(OR(DR$4="",$B19=""),0,SUMIF('DADOS BRUTOS'!$A$3:$A$500,$B19,'DADOS BRUTOS'!AR$3:AR$500)+IF($C19="",0,SUMIF('DADOS BRUTOS'!$A$3:$A$500,$C19,'DADOS BRUTOS'!AR$3:AR$500)))</f>
        <v/>
      </c>
      <c r="DS19" s="123">
        <f>IF(OR(DS$4="",$B19=""),0,SUMIF('DADOS BRUTOS'!$A$3:$A$500,$B19,'DADOS BRUTOS'!AS$3:AS$500)+IF($C19="",0,SUMIF('DADOS BRUTOS'!$A$3:$A$500,$C19,'DADOS BRUTOS'!AS$3:AS$500)))</f>
        <v/>
      </c>
      <c r="DT19" s="123">
        <f>IF(OR(DT$4="",$B19=""),0,SUMIF('DADOS BRUTOS'!$A$3:$A$500,$B19,'DADOS BRUTOS'!AT$3:AT$500)+IF($C19="",0,SUMIF('DADOS BRUTOS'!$A$3:$A$500,$C19,'DADOS BRUTOS'!AT$3:AT$500)))</f>
        <v/>
      </c>
      <c r="DU19" s="123">
        <f>IF(OR(DU$4="",$B19=""),0,SUMIF('DADOS BRUTOS'!$A$3:$A$500,$B19,'DADOS BRUTOS'!AU$3:AU$500)+IF($C19="",0,SUMIF('DADOS BRUTOS'!$A$3:$A$500,$C19,'DADOS BRUTOS'!AU$3:AU$500)))</f>
        <v/>
      </c>
      <c r="DV19" s="123">
        <f>IF(OR(DV$4="",$B19=""),0,SUMIF('DADOS BRUTOS'!$A$3:$A$500,$B19,'DADOS BRUTOS'!AV$3:AV$500)+IF($C19="",0,SUMIF('DADOS BRUTOS'!$A$3:$A$500,$C19,'DADOS BRUTOS'!AV$3:AV$500)))</f>
        <v/>
      </c>
      <c r="DW19" s="123">
        <f>IF(OR(DW$4="",$B19=""),0,SUMIF('DADOS BRUTOS'!$A$3:$A$500,$B19,'DADOS BRUTOS'!AW$3:AW$500)+IF($C19="",0,SUMIF('DADOS BRUTOS'!$A$3:$A$500,$C19,'DADOS BRUTOS'!AW$3:AW$500)))</f>
        <v/>
      </c>
      <c r="DX19" s="123">
        <f>IF(OR(DX$4="",$B19=""),0,SUMIF('DADOS BRUTOS'!$A$3:$A$500,$B19,'DADOS BRUTOS'!AX$3:AX$500)+IF($C19="",0,SUMIF('DADOS BRUTOS'!$A$3:$A$500,$C19,'DADOS BRUTOS'!AX$3:AX$500)))</f>
        <v/>
      </c>
      <c r="DY19" s="123">
        <f>IF(OR(DY$4="",$B19=""),0,SUMIF('DADOS BRUTOS'!$A$3:$A$500,$B19,'DADOS BRUTOS'!AY$3:AY$500)+IF($C19="",0,SUMIF('DADOS BRUTOS'!$A$3:$A$500,$C19,'DADOS BRUTOS'!AY$3:AY$500)))</f>
        <v/>
      </c>
      <c r="DZ19" s="123">
        <f>IF(OR(DZ$4="",$B19=""),0,SUMIF('DADOS BRUTOS'!$A$3:$A$500,$B19,'DADOS BRUTOS'!AZ$3:AZ$500)+IF($C19="",0,SUMIF('DADOS BRUTOS'!$A$3:$A$500,$C19,'DADOS BRUTOS'!AZ$3:AZ$500)))</f>
        <v/>
      </c>
      <c r="EA19" s="123">
        <f>IF(OR(EA$4="",$B19=""),0,SUMIF('DADOS BRUTOS'!$A$3:$A$500,$B19,'DADOS BRUTOS'!BA$3:BA$500)+IF($C19="",0,SUMIF('DADOS BRUTOS'!$A$3:$A$500,$C19,'DADOS BRUTOS'!BA$3:BA$500)))</f>
        <v/>
      </c>
      <c r="EB19" s="123">
        <f>IF(OR(EB$4="",$B19=""),0,SUMIF('DADOS BRUTOS'!$A$3:$A$500,$B19,'DADOS BRUTOS'!BB$3:BB$500)+IF($C19="",0,SUMIF('DADOS BRUTOS'!$A$3:$A$500,$C19,'DADOS BRUTOS'!BB$3:BB$500)))</f>
        <v/>
      </c>
      <c r="EC19" s="123">
        <f>IF(OR(EC$4="",$B19=""),0,SUMIF('DADOS BRUTOS'!$A$3:$A$500,$B19,'DADOS BRUTOS'!BC$3:BC$500)+IF($C19="",0,SUMIF('DADOS BRUTOS'!$A$3:$A$500,$C19,'DADOS BRUTOS'!BC$3:BC$500)))</f>
        <v/>
      </c>
      <c r="ED19" s="123">
        <f>IF(OR(ED$4="",$B19=""),0,SUMIF('DADOS BRUTOS'!$A$3:$A$500,$B19,'DADOS BRUTOS'!BD$3:BD$500)+IF($C19="",0,SUMIF('DADOS BRUTOS'!$A$3:$A$500,$C19,'DADOS BRUTOS'!BD$3:BD$500)))</f>
        <v/>
      </c>
      <c r="EE19" s="123">
        <f>IF(OR(EE$4="",$B19=""),0,SUMIF('DADOS BRUTOS'!$A$3:$A$500,$B19,'DADOS BRUTOS'!BE$3:BE$500)+IF($C19="",0,SUMIF('DADOS BRUTOS'!$A$3:$A$500,$C19,'DADOS BRUTOS'!BE$3:BE$500)))</f>
        <v/>
      </c>
      <c r="EF19" s="123">
        <f>IF(OR(EF$4="",$B19=""),0,SUMIF('DADOS BRUTOS'!$A$3:$A$500,$B19,'DADOS BRUTOS'!BF$3:BF$500)+IF($C19="",0,SUMIF('DADOS BRUTOS'!$A$3:$A$500,$C19,'DADOS BRUTOS'!BF$3:BF$500)))</f>
        <v/>
      </c>
      <c r="EG19" s="123">
        <f>IF(OR(EG$4="",$B19=""),0,SUMIF('DADOS BRUTOS'!$A$3:$A$500,$B19,'DADOS BRUTOS'!BG$3:BG$500)+IF($C19="",0,SUMIF('DADOS BRUTOS'!$A$3:$A$500,$C19,'DADOS BRUTOS'!BG$3:BG$500)))</f>
        <v/>
      </c>
      <c r="EH19" s="123">
        <f>IF(OR(EH$4="",$B19=""),0,SUMIF('DADOS BRUTOS'!$A$3:$A$500,$B19,'DADOS BRUTOS'!BH$3:BH$500)+IF($C19="",0,SUMIF('DADOS BRUTOS'!$A$3:$A$500,$C19,'DADOS BRUTOS'!BH$3:BH$500)))</f>
        <v/>
      </c>
      <c r="EI19" s="123">
        <f>IF(OR(EI$4="",$B19=""),0,SUMIF('DADOS BRUTOS'!$A$3:$A$500,$B19,'DADOS BRUTOS'!BI$3:BI$500)+IF($C19="",0,SUMIF('DADOS BRUTOS'!$A$3:$A$500,$C19,'DADOS BRUTOS'!BI$3:BI$500)))</f>
        <v/>
      </c>
      <c r="EJ19" s="123">
        <f>IF(OR(EJ$4="",$B19=""),0,SUMIF('DADOS BRUTOS'!$A$3:$A$500,$B19,'DADOS BRUTOS'!BJ$3:BJ$500)+IF($C19="",0,SUMIF('DADOS BRUTOS'!$A$3:$A$500,$C19,'DADOS BRUTOS'!BJ$3:BJ$500)))</f>
        <v/>
      </c>
      <c r="EK19" s="123">
        <f>IF(OR(EK$4="",$B19=""),0,SUMIF('DADOS BRUTOS'!$A$3:$A$500,$B19,'DADOS BRUTOS'!BK$3:BK$500)+IF($C19="",0,SUMIF('DADOS BRUTOS'!$A$3:$A$500,$C19,'DADOS BRUTOS'!BK$3:BK$500)))</f>
        <v/>
      </c>
      <c r="EL19" s="123">
        <f>IF(OR(EL$4="",$B19=""),0,SUMIF('DADOS BRUTOS'!$A$3:$A$500,$B19,'DADOS BRUTOS'!BL$3:BL$500)+IF($C19="",0,SUMIF('DADOS BRUTOS'!$A$3:$A$500,$C19,'DADOS BRUTOS'!BL$3:BL$500)))</f>
        <v/>
      </c>
      <c r="EM19" s="123">
        <f>IF(OR(EM$4="",$B19=""),0,SUMIF('DADOS BRUTOS'!$A$3:$A$500,$B19,'DADOS BRUTOS'!BM$3:BM$500)+IF($C19="",0,SUMIF('DADOS BRUTOS'!$A$3:$A$500,$C19,'DADOS BRUTOS'!BM$3:BM$500)))</f>
        <v/>
      </c>
      <c r="EN19" s="123">
        <f>IF(OR(EN$4="",$B19=""),0,SUMIF('DADOS BRUTOS'!$A$3:$A$500,$B19,'DADOS BRUTOS'!BN$3:BN$500)+IF($C19="",0,SUMIF('DADOS BRUTOS'!$A$3:$A$500,$C19,'DADOS BRUTOS'!BN$3:BN$500)))</f>
        <v/>
      </c>
      <c r="EO19" s="123">
        <f>IF(OR(EO$4="",$B19=""),0,SUMIF('DADOS BRUTOS'!$A$3:$A$500,$B19,'DADOS BRUTOS'!BO$3:BO$500)+IF($C19="",0,SUMIF('DADOS BRUTOS'!$A$3:$A$500,$C19,'DADOS BRUTOS'!BO$3:BO$500)))</f>
        <v/>
      </c>
      <c r="EP19" s="123">
        <f>IF(OR(EP$4="",$B19=""),0,SUMIF('DADOS BRUTOS'!$A$3:$A$500,$B19,'DADOS BRUTOS'!BP$3:BP$500)+IF($C19="",0,SUMIF('DADOS BRUTOS'!$A$3:$A$500,$C19,'DADOS BRUTOS'!BP$3:BP$500)))</f>
        <v/>
      </c>
      <c r="EQ19" s="123">
        <f>IF(OR(EQ$4="",$B19=""),0,SUMIF('DADOS BRUTOS'!$A$3:$A$500,$B19,'DADOS BRUTOS'!BQ$3:BQ$500)+IF($C19="",0,SUMIF('DADOS BRUTOS'!$A$3:$A$500,$C19,'DADOS BRUTOS'!BQ$3:BQ$500)))</f>
        <v/>
      </c>
      <c r="ER19" s="123">
        <f>IF(OR(ER$4="",$B19=""),0,SUMIF('DADOS BRUTOS'!$A$3:$A$500,$B19,'DADOS BRUTOS'!BR$3:BR$500)+IF($C19="",0,SUMIF('DADOS BRUTOS'!$A$3:$A$500,$C19,'DADOS BRUTOS'!BR$3:BR$500)))</f>
        <v/>
      </c>
      <c r="ES19" s="123">
        <f>IF(OR(ES$4="",$B19=""),0,SUMIF('DADOS BRUTOS'!$A$3:$A$500,$B19,'DADOS BRUTOS'!BS$3:BS$500)+IF($C19="",0,SUMIF('DADOS BRUTOS'!$A$3:$A$500,$C19,'DADOS BRUTOS'!BS$3:BS$500)))</f>
        <v/>
      </c>
      <c r="ET19" s="123">
        <f>IF(OR(ET$4="",$B19=""),0,SUMIF('DADOS BRUTOS'!$A$3:$A$500,$B19,'DADOS BRUTOS'!BT$3:BT$500)+IF($C19="",0,SUMIF('DADOS BRUTOS'!$A$3:$A$500,$C19,'DADOS BRUTOS'!BT$3:BT$500)))</f>
        <v/>
      </c>
      <c r="EU19" s="123">
        <f>IF(OR(EU$4="",$B19=""),0,SUMIF('DADOS BRUTOS'!$A$3:$A$500,$B19,'DADOS BRUTOS'!BU$3:BU$500)+IF($C19="",0,SUMIF('DADOS BRUTOS'!$A$3:$A$500,$C19,'DADOS BRUTOS'!BU$3:BU$500)))</f>
        <v/>
      </c>
      <c r="EV19" s="123">
        <f>IF(OR(EV$4="",$B19=""),0,SUMIF('DADOS BRUTOS'!$A$3:$A$500,$B19,'DADOS BRUTOS'!BV$3:BV$500)+IF($C19="",0,SUMIF('DADOS BRUTOS'!$A$3:$A$500,$C19,'DADOS BRUTOS'!BV$3:BV$500)))</f>
        <v/>
      </c>
      <c r="EW19" s="123">
        <f>IF(OR(EW$4="",$B19=""),0,SUMIF('DADOS BRUTOS'!$A$3:$A$500,$B19,'DADOS BRUTOS'!BW$3:BW$500)+IF($C19="",0,SUMIF('DADOS BRUTOS'!$A$3:$A$500,$C19,'DADOS BRUTOS'!BW$3:BW$500)))</f>
        <v/>
      </c>
      <c r="EX19" s="123">
        <f>IF(OR(EX$4="",$B19=""),0,SUMIF('DADOS BRUTOS'!$A$3:$A$500,$B19,'DADOS BRUTOS'!BX$3:BX$500)+IF($C19="",0,SUMIF('DADOS BRUTOS'!$A$3:$A$500,$C19,'DADOS BRUTOS'!BX$3:BX$500)))</f>
        <v/>
      </c>
      <c r="EY19" s="123">
        <f>IF(OR(EY$4="",$B19=""),0,SUMIF('DADOS BRUTOS'!$A$3:$A$500,$B19,'DADOS BRUTOS'!BY$3:BY$500)+IF($C19="",0,SUMIF('DADOS BRUTOS'!$A$3:$A$500,$C19,'DADOS BRUTOS'!BY$3:BY$500)))</f>
        <v/>
      </c>
      <c r="EZ19" s="123">
        <f>IF(OR(EZ$4="",$B19=""),0,SUMIF('DADOS BRUTOS'!$A$3:$A$500,$B19,'DADOS BRUTOS'!BZ$3:BZ$500)+IF($C19="",0,SUMIF('DADOS BRUTOS'!$A$3:$A$500,$C19,'DADOS BRUTOS'!BZ$3:BZ$500)))</f>
        <v/>
      </c>
      <c r="FA19" s="123">
        <f>IF(OR(FA$4="",$B19=""),0,SUMIF('DADOS BRUTOS'!$A$3:$A$500,$B19,'DADOS BRUTOS'!CA$3:CA$500)+IF($C19="",0,SUMIF('DADOS BRUTOS'!$A$3:$A$500,$C19,'DADOS BRUTOS'!CA$3:CA$500)))</f>
        <v/>
      </c>
      <c r="FB19" s="123">
        <f>IF(OR(FB$4="",$B19=""),0,SUMIF('DADOS BRUTOS'!$A$3:$A$500,$B19,'DADOS BRUTOS'!CB$3:CB$500)+IF($C19="",0,SUMIF('DADOS BRUTOS'!$A$3:$A$500,$C19,'DADOS BRUTOS'!CB$3:CB$500)))</f>
        <v/>
      </c>
      <c r="FC19" s="123">
        <f>IF(OR(FC$4="",$B19=""),0,SUMIF('DADOS BRUTOS'!$A$3:$A$500,$B19,'DADOS BRUTOS'!CC$3:CC$500)+IF($C19="",0,SUMIF('DADOS BRUTOS'!$A$3:$A$500,$C19,'DADOS BRUTOS'!CC$3:CC$500)))</f>
        <v/>
      </c>
      <c r="FD19" s="123">
        <f>IF(OR(FD$4="",$B19=""),0,SUMIF('DADOS BRUTOS'!$A$3:$A$500,$B19,'DADOS BRUTOS'!CD$3:CD$500)+IF($C19="",0,SUMIF('DADOS BRUTOS'!$A$3:$A$500,$C19,'DADOS BRUTOS'!CD$3:CD$500)))</f>
        <v/>
      </c>
      <c r="FE19" s="123">
        <f>IF(OR(FE$4="",$B19=""),0,SUMIF('DADOS BRUTOS'!$A$3:$A$500,$B19,'DADOS BRUTOS'!CE$3:CE$500)+IF($C19="",0,SUMIF('DADOS BRUTOS'!$A$3:$A$500,$C19,'DADOS BRUTOS'!CE$3:CE$500)))</f>
        <v/>
      </c>
      <c r="FF19" s="123">
        <f>IF(OR(FF$4="",$B19=""),0,SUMIF('DADOS BRUTOS'!$A$3:$A$500,$B19,'DADOS BRUTOS'!CF$3:CF$500)+IF($C19="",0,SUMIF('DADOS BRUTOS'!$A$3:$A$500,$C19,'DADOS BRUTOS'!CF$3:CF$500)))</f>
        <v/>
      </c>
      <c r="FG19" s="123">
        <f>IF(OR(FG$4="",$B19=""),0,SUMIF('DADOS BRUTOS'!$A$3:$A$500,$B19,'DADOS BRUTOS'!CG$3:CG$500)+IF($C19="",0,SUMIF('DADOS BRUTOS'!$A$3:$A$500,$C19,'DADOS BRUTOS'!CG$3:CG$500)))</f>
        <v/>
      </c>
      <c r="FH19" s="123">
        <f>IF(OR(FH$4="",$B19=""),0,SUMIF('DADOS BRUTOS'!$A$3:$A$500,$B19,'DADOS BRUTOS'!CH$3:CH$500)+IF($C19="",0,SUMIF('DADOS BRUTOS'!$A$3:$A$500,$C19,'DADOS BRUTOS'!CH$3:CH$500)))</f>
        <v/>
      </c>
      <c r="FI19" s="123">
        <f>IF(OR(FI$4="",$B19=""),0,SUMIF('DADOS BRUTOS'!$A$3:$A$500,$B19,'DADOS BRUTOS'!CI$3:CI$500)+IF($C19="",0,SUMIF('DADOS BRUTOS'!$A$3:$A$500,$C19,'DADOS BRUTOS'!CI$3:CI$500)))</f>
        <v/>
      </c>
      <c r="FJ19" s="123">
        <f>IF(OR(FJ$4="",$B19=""),0,SUMIF('DADOS BRUTOS'!$A$3:$A$500,$B19,'DADOS BRUTOS'!CJ$3:CJ$500)+IF($C19="",0,SUMIF('DADOS BRUTOS'!$A$3:$A$500,$C19,'DADOS BRUTOS'!CJ$3:CJ$500)))</f>
        <v/>
      </c>
      <c r="FK19" s="123">
        <f>IF(OR(FK$4="",$B19=""),0,SUMIF('DADOS BRUTOS'!$A$3:$A$500,$B19,'DADOS BRUTOS'!CK$3:CK$500)+IF($C19="",0,SUMIF('DADOS BRUTOS'!$A$3:$A$500,$C19,'DADOS BRUTOS'!CK$3:CK$500)))</f>
        <v/>
      </c>
      <c r="FL19" s="123">
        <f>IF(OR(FL$4="",$B19=""),0,SUMIF('DADOS BRUTOS'!$A$3:$A$500,$B19,'DADOS BRUTOS'!CL$3:CL$500)+IF($C19="",0,SUMIF('DADOS BRUTOS'!$A$3:$A$500,$C19,'DADOS BRUTOS'!CL$3:CL$500)))</f>
        <v/>
      </c>
      <c r="FM19" s="123">
        <f>IF(OR(FM$4="",$B19=""),0,SUMIF('DADOS BRUTOS'!$A$3:$A$500,$B19,'DADOS BRUTOS'!CM$3:CM$500)+IF($C19="",0,SUMIF('DADOS BRUTOS'!$A$3:$A$500,$C19,'DADOS BRUTOS'!CM$3:CM$500)))</f>
        <v/>
      </c>
      <c r="FN19" s="123">
        <f>IF(OR(FN$4="",$B19=""),0,SUMIF('DADOS BRUTOS'!$A$3:$A$500,$B19,'DADOS BRUTOS'!CN$3:CN$500)+IF($C19="",0,SUMIF('DADOS BRUTOS'!$A$3:$A$500,$C19,'DADOS BRUTOS'!CN$3:CN$500)))</f>
        <v/>
      </c>
      <c r="FO19" s="123">
        <f>IF(OR(FO$4="",$B19=""),0,SUMIF('DADOS BRUTOS'!$A$3:$A$500,$B19,'DADOS BRUTOS'!CO$3:CO$500)+IF($C19="",0,SUMIF('DADOS BRUTOS'!$A$3:$A$500,$C19,'DADOS BRUTOS'!CO$3:CO$500)))</f>
        <v/>
      </c>
      <c r="FP19" s="123">
        <f>IF(OR(FP$4="",$B19=""),0,SUMIF('DADOS BRUTOS'!$A$3:$A$500,$B19,'DADOS BRUTOS'!CP$3:CP$500)+IF($C19="",0,SUMIF('DADOS BRUTOS'!$A$3:$A$500,$C19,'DADOS BRUTOS'!CP$3:CP$500)))</f>
        <v/>
      </c>
      <c r="FQ19" s="123">
        <f>IF(OR(FQ$4="",$B19=""),0,SUMIF('DADOS BRUTOS'!$A$3:$A$500,$B19,'DADOS BRUTOS'!CQ$3:CQ$500)+IF($C19="",0,SUMIF('DADOS BRUTOS'!$A$3:$A$500,$C19,'DADOS BRUTOS'!CQ$3:CQ$500)))</f>
        <v/>
      </c>
      <c r="FR19" s="123">
        <f>IF(OR(FR$4="",$B19=""),0,SUMIF('DADOS BRUTOS'!$A$3:$A$500,$B19,'DADOS BRUTOS'!CR$3:CR$500)+IF($C19="",0,SUMIF('DADOS BRUTOS'!$A$3:$A$500,$C19,'DADOS BRUTOS'!CR$3:CR$500)))</f>
        <v/>
      </c>
      <c r="FS19" s="123">
        <f>IF(OR(FS$4="",$B19=""),0,SUMIF('DADOS BRUTOS'!$A$3:$A$500,$B19,'DADOS BRUTOS'!CS$3:CS$500)+IF($C19="",0,SUMIF('DADOS BRUTOS'!$A$3:$A$500,$C19,'DADOS BRUTOS'!CS$3:CS$500)))</f>
        <v/>
      </c>
      <c r="FT19" s="123">
        <f>IF(OR(FT$4="",$B19=""),0,SUMIF('DADOS BRUTOS'!$A$3:$A$500,$B19,'DADOS BRUTOS'!CT$3:CT$500)+IF($C19="",0,SUMIF('DADOS BRUTOS'!$A$3:$A$500,$C19,'DADOS BRUTOS'!CT$3:CT$500)))</f>
        <v/>
      </c>
      <c r="FU19" s="123">
        <f>IF(OR(FU$4="",$B19=""),0,SUMIF('DADOS BRUTOS'!$A$3:$A$500,$B19,'DADOS BRUTOS'!CU$3:CU$500)+IF($C19="",0,SUMIF('DADOS BRUTOS'!$A$3:$A$500,$C19,'DADOS BRUTOS'!CU$3:CU$500)))</f>
        <v/>
      </c>
      <c r="FV19" s="123">
        <f>IF(OR(FV$4="",$B19=""),0,SUMIF('DADOS BRUTOS'!$A$3:$A$500,$B19,'DADOS BRUTOS'!CV$3:CV$500)+IF($C19="",0,SUMIF('DADOS BRUTOS'!$A$3:$A$500,$C19,'DADOS BRUTOS'!CV$3:CV$500)))</f>
        <v/>
      </c>
      <c r="FW19" s="123">
        <f>IF(OR(FW$4="",$B19=""),0,SUMIF('DADOS BRUTOS'!$A$3:$A$500,$B19,'DADOS BRUTOS'!CW$3:CW$500)+IF($C19="",0,SUMIF('DADOS BRUTOS'!$A$3:$A$500,$C19,'DADOS BRUTOS'!CW$3:CW$500)))</f>
        <v/>
      </c>
      <c r="FX19" s="123">
        <f>IF(OR(FX$4="",$B19=""),0,SUMIF('DADOS BRUTOS'!$A$3:$A$500,$B19,'DADOS BRUTOS'!CX$3:CX$500)+IF($C19="",0,SUMIF('DADOS BRUTOS'!$A$3:$A$500,$C19,'DADOS BRUTOS'!CX$3:CX$500)))</f>
        <v/>
      </c>
      <c r="FY19" s="123">
        <f>IF(OR(FY$4="",$B19=""),0,SUMIF('DADOS BRUTOS'!$A$3:$A$500,$B19,'DADOS BRUTOS'!CY$3:CY$500)+IF($C19="",0,SUMIF('DADOS BRUTOS'!$A$3:$A$500,$C19,'DADOS BRUTOS'!CY$3:CY$500)))</f>
        <v/>
      </c>
      <c r="FZ19" s="123">
        <f>IF(OR(FZ$4="",$B19=""),0,SUMIF('DADOS BRUTOS'!$A$3:$A$500,$B19,'DADOS BRUTOS'!CZ$3:CZ$500)+IF($C19="",0,SUMIF('DADOS BRUTOS'!$A$3:$A$500,$C19,'DADOS BRUTOS'!CZ$3:CZ$500)))</f>
        <v/>
      </c>
      <c r="GA19" s="123">
        <f>IF(OR(GA$4="",$B19=""),0,SUMIF('DADOS BRUTOS'!$A$3:$A$500,$B19,'DADOS BRUTOS'!DA$3:DA$500)+IF($C19="",0,SUMIF('DADOS BRUTOS'!$A$3:$A$500,$C19,'DADOS BRUTOS'!DA$3:DA$500)))</f>
        <v/>
      </c>
      <c r="GB19" s="123">
        <f>IF(OR(GB$4="",$B19=""),0,SUMIF('DADOS BRUTOS'!$A$3:$A$500,$B19,'DADOS BRUTOS'!DB$3:DB$500)+IF($C19="",0,SUMIF('DADOS BRUTOS'!$A$3:$A$500,$C19,'DADOS BRUTOS'!DB$3:DB$500)))</f>
        <v/>
      </c>
      <c r="GC19" s="123">
        <f>IF(OR(GC$4="",$B19=""),0,SUMIF('DADOS BRUTOS'!$A$3:$A$500,$B19,'DADOS BRUTOS'!DC$3:DC$500)+IF($C19="",0,SUMIF('DADOS BRUTOS'!$A$3:$A$500,$C19,'DADOS BRUTOS'!DC$3:DC$500)))</f>
        <v/>
      </c>
      <c r="GD19" s="123">
        <f>IF(OR(GD$4="",$B19=""),0,SUMIF('DADOS BRUTOS'!$A$3:$A$500,$B19,'DADOS BRUTOS'!DD$3:DD$500)+IF($C19="",0,SUMIF('DADOS BRUTOS'!$A$3:$A$500,$C19,'DADOS BRUTOS'!DD$3:DD$500)))</f>
        <v/>
      </c>
      <c r="GE19" s="123">
        <f>IF(OR(GE$4="",$B19=""),0,SUMIF('DADOS BRUTOS'!$A$3:$A$500,$B19,'DADOS BRUTOS'!DE$3:DE$500)+IF($C19="",0,SUMIF('DADOS BRUTOS'!$A$3:$A$500,$C19,'DADOS BRUTOS'!DE$3:DE$500)))</f>
        <v/>
      </c>
      <c r="GF19" s="123">
        <f>IF(OR(GF$4="",$B19=""),0,SUMIF('DADOS BRUTOS'!$A$3:$A$500,$B19,'DADOS BRUTOS'!DF$3:DF$500)+IF($C19="",0,SUMIF('DADOS BRUTOS'!$A$3:$A$500,$C19,'DADOS BRUTOS'!DF$3:DF$500)))</f>
        <v/>
      </c>
      <c r="GG19" s="123">
        <f>IF(OR(GG$4="",$B19=""),0,SUMIF('DADOS BRUTOS'!$A$3:$A$500,$B19,'DADOS BRUTOS'!DG$3:DG$500)+IF($C19="",0,SUMIF('DADOS BRUTOS'!$A$3:$A$500,$C19,'DADOS BRUTOS'!DG$3:DG$500)))</f>
        <v/>
      </c>
      <c r="GH19" s="123">
        <f>IF(OR(GH$4="",$B19=""),0,SUMIF('DADOS BRUTOS'!$A$3:$A$500,$B19,'DADOS BRUTOS'!DH$3:DH$500)+IF($C19="",0,SUMIF('DADOS BRUTOS'!$A$3:$A$500,$C19,'DADOS BRUTOS'!DH$3:DH$500)))</f>
        <v/>
      </c>
      <c r="GI19" s="123">
        <f>IF(OR(GI$4="",$B19=""),0,SUMIF('DADOS BRUTOS'!$A$3:$A$500,$B19,'DADOS BRUTOS'!DI$3:DI$500)+IF($C19="",0,SUMIF('DADOS BRUTOS'!$A$3:$A$500,$C19,'DADOS BRUTOS'!DI$3:DI$500)))</f>
        <v/>
      </c>
      <c r="GJ19" s="123">
        <f>IF(OR(GJ$4="",$B19=""),0,SUMIF('DADOS BRUTOS'!$A$3:$A$500,$B19,'DADOS BRUTOS'!DJ$3:DJ$500)+IF($C19="",0,SUMIF('DADOS BRUTOS'!$A$3:$A$500,$C19,'DADOS BRUTOS'!DJ$3:DJ$500)))</f>
        <v/>
      </c>
      <c r="GK19" s="123">
        <f>IF(OR(GK$4="",$B19=""),0,SUMIF('DADOS BRUTOS'!$A$3:$A$500,$B19,'DADOS BRUTOS'!DK$3:DK$500)+IF($C19="",0,SUMIF('DADOS BRUTOS'!$A$3:$A$500,$C19,'DADOS BRUTOS'!DK$3:DK$500)))</f>
        <v/>
      </c>
      <c r="GL19" s="123">
        <f>IF(OR(GL$4="",$B19=""),0,SUMIF('DADOS BRUTOS'!$A$3:$A$500,$B19,'DADOS BRUTOS'!DL$3:DL$500)+IF($C19="",0,SUMIF('DADOS BRUTOS'!$A$3:$A$500,$C19,'DADOS BRUTOS'!DL$3:DL$500)))</f>
        <v/>
      </c>
      <c r="GM19" s="123">
        <f>IF(OR(GM$4="",$B19=""),0,SUMIF('DADOS BRUTOS'!$A$3:$A$500,$B19,'DADOS BRUTOS'!DM$3:DM$500)+IF($C19="",0,SUMIF('DADOS BRUTOS'!$A$3:$A$500,$C19,'DADOS BRUTOS'!DM$3:DM$500)))</f>
        <v/>
      </c>
      <c r="GN19" s="123">
        <f>IF(OR(GN$4="",$B19=""),0,SUMIF('DADOS BRUTOS'!$A$3:$A$500,$B19,'DADOS BRUTOS'!DN$3:DN$500)+IF($C19="",0,SUMIF('DADOS BRUTOS'!$A$3:$A$500,$C19,'DADOS BRUTOS'!DN$3:DN$500)))</f>
        <v/>
      </c>
      <c r="GO19" s="123">
        <f>IF(OR(GO$4="",$B19=""),0,SUMIF('DADOS BRUTOS'!$A$3:$A$500,$B19,'DADOS BRUTOS'!DO$3:DO$500)+IF($C19="",0,SUMIF('DADOS BRUTOS'!$A$3:$A$500,$C19,'DADOS BRUTOS'!DO$3:DO$500)))</f>
        <v/>
      </c>
      <c r="GP19" s="123">
        <f>IF(OR(GP$4="",$B19=""),0,SUMIF('DADOS BRUTOS'!$A$3:$A$500,$B19,'DADOS BRUTOS'!DP$3:DP$500)+IF($C19="",0,SUMIF('DADOS BRUTOS'!$A$3:$A$500,$C19,'DADOS BRUTOS'!DP$3:DP$500)))</f>
        <v/>
      </c>
      <c r="GQ19" s="123">
        <f>IF(OR(GQ$4="",$B19=""),0,SUMIF('DADOS BRUTOS'!$A$3:$A$500,$B19,'DADOS BRUTOS'!DQ$3:DQ$500)+IF($C19="",0,SUMIF('DADOS BRUTOS'!$A$3:$A$500,$C19,'DADOS BRUTOS'!DQ$3:DQ$500)))</f>
        <v/>
      </c>
      <c r="GR19" s="123">
        <f>IF(OR(GR$4="",$B19=""),0,SUMIF('DADOS BRUTOS'!$A$3:$A$500,$B19,'DADOS BRUTOS'!DR$3:DR$500)+IF($C19="",0,SUMIF('DADOS BRUTOS'!$A$3:$A$500,$C19,'DADOS BRUTOS'!DR$3:DR$500)))</f>
        <v/>
      </c>
      <c r="GS19" s="123">
        <f>IF(OR(GS$4="",$B19=""),0,SUMIF('DADOS BRUTOS'!$A$3:$A$500,$B19,'DADOS BRUTOS'!DS$3:DS$500)+IF($C19="",0,SUMIF('DADOS BRUTOS'!$A$3:$A$500,$C19,'DADOS BRUTOS'!DS$3:DS$500)))</f>
        <v/>
      </c>
      <c r="GT19" s="123">
        <f>IF(OR(GT$4="",$B19=""),0,SUMIF('DADOS BRUTOS'!$A$3:$A$500,$B19,'DADOS BRUTOS'!DT$3:DT$500)+IF($C19="",0,SUMIF('DADOS BRUTOS'!$A$3:$A$500,$C19,'DADOS BRUTOS'!DT$3:DT$500)))</f>
        <v/>
      </c>
      <c r="GU19" s="123">
        <f>IF(OR(GU$4="",$B19=""),0,SUMIF('DADOS BRUTOS'!$A$3:$A$500,$B19,'DADOS BRUTOS'!DU$3:DU$500)+IF($C19="",0,SUMIF('DADOS BRUTOS'!$A$3:$A$500,$C19,'DADOS BRUTOS'!DU$3:DU$500)))</f>
        <v/>
      </c>
      <c r="GV19" s="123">
        <f>IF(OR(GV$4="",$B19=""),0,SUMIF('DADOS BRUTOS'!$A$3:$A$500,$B19,'DADOS BRUTOS'!DV$3:DV$500)+IF($C19="",0,SUMIF('DADOS BRUTOS'!$A$3:$A$500,$C19,'DADOS BRUTOS'!DV$3:DV$500)))</f>
        <v/>
      </c>
      <c r="GW19" s="123">
        <f>IF(OR(GW$4="",$B19=""),0,SUMIF('DADOS BRUTOS'!$A$3:$A$500,$B19,'DADOS BRUTOS'!DW$3:DW$500)+IF($C19="",0,SUMIF('DADOS BRUTOS'!$A$3:$A$500,$C19,'DADOS BRUTOS'!DW$3:DW$500)))</f>
        <v/>
      </c>
      <c r="GX19" s="123">
        <f>IF(OR(GX$4="",$B19=""),0,SUMIF('DADOS BRUTOS'!$A$3:$A$500,$B19,'DADOS BRUTOS'!DX$3:DX$500)+IF($C19="",0,SUMIF('DADOS BRUTOS'!$A$3:$A$500,$C19,'DADOS BRUTOS'!DX$3:DX$500)))</f>
        <v/>
      </c>
      <c r="GY19" s="123">
        <f>IF(OR(GY$4="",$B19=""),0,SUMIF('DADOS BRUTOS'!$A$3:$A$500,$B19,'DADOS BRUTOS'!DY$3:DY$500)+IF($C19="",0,SUMIF('DADOS BRUTOS'!$A$3:$A$500,$C19,'DADOS BRUTOS'!DY$3:DY$500)))</f>
        <v/>
      </c>
      <c r="GZ19" s="123">
        <f>IF(OR(GZ$4="",$B19=""),0,SUMIF('DADOS BRUTOS'!$A$3:$A$500,$B19,'DADOS BRUTOS'!DZ$3:DZ$500)+IF($C19="",0,SUMIF('DADOS BRUTOS'!$A$3:$A$500,$C19,'DADOS BRUTOS'!DZ$3:DZ$500)))</f>
        <v/>
      </c>
      <c r="HA19" s="123">
        <f>IF(OR(HA$4="",$B19=""),0,SUMIF('DADOS BRUTOS'!$A$3:$A$500,$B19,'DADOS BRUTOS'!EA$3:EA$500)+IF($C19="",0,SUMIF('DADOS BRUTOS'!$A$3:$A$500,$C19,'DADOS BRUTOS'!EA$3:EA$500)))</f>
        <v/>
      </c>
      <c r="HB19" s="123">
        <f>IF(OR(HB$4="",$B19=""),0,SUMIF('DADOS BRUTOS'!$A$3:$A$500,$B19,'DADOS BRUTOS'!EB$3:EB$500)+IF($C19="",0,SUMIF('DADOS BRUTOS'!$A$3:$A$500,$C19,'DADOS BRUTOS'!EB$3:EB$500)))</f>
        <v/>
      </c>
      <c r="HC19" s="123">
        <f>IF(OR(HC$4="",$B19=""),0,SUMIF('DADOS BRUTOS'!$A$3:$A$500,$B19,'DADOS BRUTOS'!EC$3:EC$500)+IF($C19="",0,SUMIF('DADOS BRUTOS'!$A$3:$A$500,$C19,'DADOS BRUTOS'!EC$3:EC$500)))</f>
        <v/>
      </c>
      <c r="HD19" s="123">
        <f>IF(OR(HD$4="",$B19=""),0,SUMIF('DADOS BRUTOS'!$A$3:$A$500,$B19,'DADOS BRUTOS'!ED$3:ED$500)+IF($C19="",0,SUMIF('DADOS BRUTOS'!$A$3:$A$500,$C19,'DADOS BRUTOS'!ED$3:ED$500)))</f>
        <v/>
      </c>
      <c r="HE19" s="123">
        <f>IF(OR(HE$4="",$B19=""),0,SUMIF('DADOS BRUTOS'!$A$3:$A$500,$B19,'DADOS BRUTOS'!EE$3:EE$500)+IF($C19="",0,SUMIF('DADOS BRUTOS'!$A$3:$A$500,$C19,'DADOS BRUTOS'!EE$3:EE$500)))</f>
        <v/>
      </c>
      <c r="HF19" s="123">
        <f>IF(OR(HF$4="",$B19=""),0,SUMIF('DADOS BRUTOS'!$A$3:$A$500,$B19,'DADOS BRUTOS'!EF$3:EF$500)+IF($C19="",0,SUMIF('DADOS BRUTOS'!$A$3:$A$500,$C19,'DADOS BRUTOS'!EF$3:EF$500)))</f>
        <v/>
      </c>
      <c r="HG19" s="123">
        <f>IF(OR(HG$4="",$B19=""),0,SUMIF('DADOS BRUTOS'!$A$3:$A$500,$B19,'DADOS BRUTOS'!EG$3:EG$500)+IF($C19="",0,SUMIF('DADOS BRUTOS'!$A$3:$A$500,$C19,'DADOS BRUTOS'!EG$3:EG$500)))</f>
        <v/>
      </c>
      <c r="HH19" s="123">
        <f>IF(OR(HH$4="",$B19=""),0,SUMIF('DADOS BRUTOS'!$A$3:$A$500,$B19,'DADOS BRUTOS'!EH$3:EH$500)+IF($C19="",0,SUMIF('DADOS BRUTOS'!$A$3:$A$500,$C19,'DADOS BRUTOS'!EH$3:EH$500)))</f>
        <v/>
      </c>
      <c r="HI19" s="123">
        <f>IF(OR(HI$4="",$B19=""),0,SUMIF('DADOS BRUTOS'!$A$3:$A$500,$B19,'DADOS BRUTOS'!EI$3:EI$500)+IF($C19="",0,SUMIF('DADOS BRUTOS'!$A$3:$A$500,$C19,'DADOS BRUTOS'!EI$3:EI$500)))</f>
        <v/>
      </c>
      <c r="HJ19" s="123">
        <f>IF(OR(HJ$4="",$B19=""),0,SUMIF('DADOS BRUTOS'!$A$3:$A$500,$B19,'DADOS BRUTOS'!EJ$3:EJ$500)+IF($C19="",0,SUMIF('DADOS BRUTOS'!$A$3:$A$500,$C19,'DADOS BRUTOS'!EJ$3:EJ$500)))</f>
        <v/>
      </c>
      <c r="HK19" s="123">
        <f>IF(OR(HK$4="",$B19=""),0,SUMIF('DADOS BRUTOS'!$A$3:$A$500,$B19,'DADOS BRUTOS'!EK$3:EK$500)+IF($C19="",0,SUMIF('DADOS BRUTOS'!$A$3:$A$500,$C19,'DADOS BRUTOS'!EK$3:EK$500)))</f>
        <v/>
      </c>
      <c r="HL19" s="123">
        <f>IF(OR(HL$4="",$B19=""),0,SUMIF('DADOS BRUTOS'!$A$3:$A$500,$B19,'DADOS BRUTOS'!EL$3:EL$500)+IF($C19="",0,SUMIF('DADOS BRUTOS'!$A$3:$A$500,$C19,'DADOS BRUTOS'!EL$3:EL$500)))</f>
        <v/>
      </c>
      <c r="HM19" s="123">
        <f>IF(OR(HM$4="",$B19=""),0,SUMIF('DADOS BRUTOS'!$A$3:$A$500,$B19,'DADOS BRUTOS'!EM$3:EM$500)+IF($C19="",0,SUMIF('DADOS BRUTOS'!$A$3:$A$500,$C19,'DADOS BRUTOS'!EM$3:EM$500)))</f>
        <v/>
      </c>
      <c r="HN19" s="123">
        <f>IF(OR(HN$4="",$B19=""),0,SUMIF('DADOS BRUTOS'!$A$3:$A$500,$B19,'DADOS BRUTOS'!EN$3:EN$500)+IF($C19="",0,SUMIF('DADOS BRUTOS'!$A$3:$A$500,$C19,'DADOS BRUTOS'!EN$3:EN$500)))</f>
        <v/>
      </c>
      <c r="HO19" s="123">
        <f>IF(OR(HO$4="",$B19=""),0,SUMIF('DADOS BRUTOS'!$A$3:$A$500,$B19,'DADOS BRUTOS'!EO$3:EO$500)+IF($C19="",0,SUMIF('DADOS BRUTOS'!$A$3:$A$500,$C19,'DADOS BRUTOS'!EO$3:EO$500)))</f>
        <v/>
      </c>
      <c r="HP19" s="123">
        <f>IF(OR(HP$4="",$B19=""),0,SUMIF('DADOS BRUTOS'!$A$3:$A$500,$B19,'DADOS BRUTOS'!EP$3:EP$500)+IF($C19="",0,SUMIF('DADOS BRUTOS'!$A$3:$A$500,$C19,'DADOS BRUTOS'!EP$3:EP$500)))</f>
        <v/>
      </c>
      <c r="HQ19" s="123">
        <f>IF(OR(HQ$4="",$B19=""),0,SUMIF('DADOS BRUTOS'!$A$3:$A$500,$B19,'DADOS BRUTOS'!EQ$3:EQ$500)+IF($C19="",0,SUMIF('DADOS BRUTOS'!$A$3:$A$500,$C19,'DADOS BRUTOS'!EQ$3:EQ$500)))</f>
        <v/>
      </c>
      <c r="HR19" s="123">
        <f>IF(OR(HR$4="",$B19=""),0,SUMIF('DADOS BRUTOS'!$A$3:$A$500,$B19,'DADOS BRUTOS'!ER$3:ER$500)+IF($C19="",0,SUMIF('DADOS BRUTOS'!$A$3:$A$500,$C19,'DADOS BRUTOS'!ER$3:ER$500)))</f>
        <v/>
      </c>
      <c r="HS19" s="123">
        <f>IF(OR(HS$4="",$B19=""),0,SUMIF('DADOS BRUTOS'!$A$3:$A$500,$B19,'DADOS BRUTOS'!ES$3:ES$500)+IF($C19="",0,SUMIF('DADOS BRUTOS'!$A$3:$A$500,$C19,'DADOS BRUTOS'!ES$3:ES$500)))</f>
        <v/>
      </c>
      <c r="HT19" s="123">
        <f>IF(OR(HT$4="",$B19=""),0,SUMIF('DADOS BRUTOS'!$A$3:$A$500,$B19,'DADOS BRUTOS'!ET$3:ET$500)+IF($C19="",0,SUMIF('DADOS BRUTOS'!$A$3:$A$500,$C19,'DADOS BRUTOS'!ET$3:ET$500)))</f>
        <v/>
      </c>
      <c r="HU19" s="123">
        <f>IF(OR(HU$4="",$B19=""),0,SUMIF('DADOS BRUTOS'!$A$3:$A$500,$B19,'DADOS BRUTOS'!EU$3:EU$500)+IF($C19="",0,SUMIF('DADOS BRUTOS'!$A$3:$A$500,$C19,'DADOS BRUTOS'!EU$3:EU$500)))</f>
        <v/>
      </c>
      <c r="HV19" s="123">
        <f>IF(OR(HV$4="",$B19=""),0,SUMIF('DADOS BRUTOS'!$A$3:$A$500,$B19,'DADOS BRUTOS'!EV$3:EV$500)+IF($C19="",0,SUMIF('DADOS BRUTOS'!$A$3:$A$500,$C19,'DADOS BRUTOS'!EV$3:EV$500)))</f>
        <v/>
      </c>
      <c r="HW19" s="123">
        <f>IF(OR(HW$4="",$B19=""),0,SUMIF('DADOS BRUTOS'!$A$3:$A$500,$B19,'DADOS BRUTOS'!EW$3:EW$500)+IF($C19="",0,SUMIF('DADOS BRUTOS'!$A$3:$A$500,$C19,'DADOS BRUTOS'!EW$3:EW$500)))</f>
        <v/>
      </c>
      <c r="HX19" s="123">
        <f>IF(OR(HX$4="",$B19=""),0,SUMIF('DADOS BRUTOS'!$A$3:$A$500,$B19,'DADOS BRUTOS'!EX$3:EX$500)+IF($C19="",0,SUMIF('DADOS BRUTOS'!$A$3:$A$500,$C19,'DADOS BRUTOS'!EX$3:EX$500)))</f>
        <v/>
      </c>
      <c r="HY19" s="123">
        <f>IF(OR(HY$4="",$B19=""),0,SUMIF('DADOS BRUTOS'!$A$3:$A$500,$B19,'DADOS BRUTOS'!EY$3:EY$500)+IF($C19="",0,SUMIF('DADOS BRUTOS'!$A$3:$A$500,$C19,'DADOS BRUTOS'!EY$3:EY$500)))</f>
        <v/>
      </c>
      <c r="HZ19" s="123">
        <f>IF(OR(HZ$4="",$B19=""),0,SUMIF('DADOS BRUTOS'!$A$3:$A$500,$B19,'DADOS BRUTOS'!EZ$3:EZ$500)+IF($C19="",0,SUMIF('DADOS BRUTOS'!$A$3:$A$500,$C19,'DADOS BRUTOS'!EZ$3:EZ$500)))</f>
        <v/>
      </c>
      <c r="IA19" s="123">
        <f>IF(OR(IA$4="",$B19=""),0,SUMIF('DADOS BRUTOS'!$A$3:$A$500,$B19,'DADOS BRUTOS'!FA$3:FA$500)+IF($C19="",0,SUMIF('DADOS BRUTOS'!$A$3:$A$500,$C19,'DADOS BRUTOS'!FA$3:FA$500)))</f>
        <v/>
      </c>
      <c r="IB19" s="123">
        <f>IF(OR(IB$4="",$B19=""),0,SUMIF('DADOS BRUTOS'!$A$3:$A$500,$B19,'DADOS BRUTOS'!FB$3:FB$500)+IF($C19="",0,SUMIF('DADOS BRUTOS'!$A$3:$A$500,$C19,'DADOS BRUTOS'!FB$3:FB$500)))</f>
        <v/>
      </c>
      <c r="IC19" s="123">
        <f>IF(OR(IC$4="",$B19=""),0,SUMIF('DADOS BRUTOS'!$A$3:$A$500,$B19,'DADOS BRUTOS'!FC$3:FC$500)+IF($C19="",0,SUMIF('DADOS BRUTOS'!$A$3:$A$500,$C19,'DADOS BRUTOS'!FC$3:FC$500)))</f>
        <v/>
      </c>
      <c r="ID19" s="123">
        <f>IF(OR(ID$4="",$B19=""),0,SUMIF('DADOS BRUTOS'!$A$3:$A$500,$B19,'DADOS BRUTOS'!FD$3:FD$500)+IF($C19="",0,SUMIF('DADOS BRUTOS'!$A$3:$A$500,$C19,'DADOS BRUTOS'!FD$3:FD$500)))</f>
        <v/>
      </c>
      <c r="IE19" s="123">
        <f>IF(OR(IE$4="",$B19=""),0,SUMIF('DADOS BRUTOS'!$A$3:$A$500,$B19,'DADOS BRUTOS'!FE$3:FE$500)+IF($C19="",0,SUMIF('DADOS BRUTOS'!$A$3:$A$500,$C19,'DADOS BRUTOS'!FE$3:FE$500)))</f>
        <v/>
      </c>
      <c r="IF19" s="123">
        <f>IF(OR(IF$4="",$B19=""),0,SUMIF('DADOS BRUTOS'!$A$3:$A$500,$B19,'DADOS BRUTOS'!FF$3:FF$500)+IF($C19="",0,SUMIF('DADOS BRUTOS'!$A$3:$A$500,$C19,'DADOS BRUTOS'!FF$3:FF$500)))</f>
        <v/>
      </c>
      <c r="IG19" s="123">
        <f>IF(OR(IG$4="",$B19=""),0,SUMIF('DADOS BRUTOS'!$A$3:$A$500,$B19,'DADOS BRUTOS'!FG$3:FG$500)+IF($C19="",0,SUMIF('DADOS BRUTOS'!$A$3:$A$500,$C19,'DADOS BRUTOS'!FG$3:FG$500)))</f>
        <v/>
      </c>
      <c r="IH19" s="123">
        <f>IF(OR(IH$4="",$B19=""),0,SUMIF('DADOS BRUTOS'!$A$3:$A$500,$B19,'DADOS BRUTOS'!FH$3:FH$500)+IF($C19="",0,SUMIF('DADOS BRUTOS'!$A$3:$A$500,$C19,'DADOS BRUTOS'!FH$3:FH$500)))</f>
        <v/>
      </c>
      <c r="II19" s="123">
        <f>IF(OR(II$4="",$B19=""),0,SUMIF('DADOS BRUTOS'!$A$3:$A$500,$B19,'DADOS BRUTOS'!FI$3:FI$500)+IF($C19="",0,SUMIF('DADOS BRUTOS'!$A$3:$A$500,$C19,'DADOS BRUTOS'!FI$3:FI$500)))</f>
        <v/>
      </c>
      <c r="IJ19" s="123">
        <f>IF(OR(IJ$4="",$B19=""),0,SUMIF('DADOS BRUTOS'!$A$3:$A$500,$B19,'DADOS BRUTOS'!FJ$3:FJ$500)+IF($C19="",0,SUMIF('DADOS BRUTOS'!$A$3:$A$500,$C19,'DADOS BRUTOS'!FJ$3:FJ$500)))</f>
        <v/>
      </c>
      <c r="IK19" s="123">
        <f>IF(OR(IK$4="",$B19=""),0,SUMIF('DADOS BRUTOS'!$A$3:$A$500,$B19,'DADOS BRUTOS'!FK$3:FK$500)+IF($C19="",0,SUMIF('DADOS BRUTOS'!$A$3:$A$500,$C19,'DADOS BRUTOS'!FK$3:FK$500)))</f>
        <v/>
      </c>
      <c r="IL19" s="123">
        <f>IF(OR(IL$4="",$B19=""),0,SUMIF('DADOS BRUTOS'!$A$3:$A$500,$B19,'DADOS BRUTOS'!FL$3:FL$500)+IF($C19="",0,SUMIF('DADOS BRUTOS'!$A$3:$A$500,$C19,'DADOS BRUTOS'!FL$3:FL$500)))</f>
        <v/>
      </c>
      <c r="IM19" s="123">
        <f>IF(OR(IM$4="",$B19=""),0,SUMIF('DADOS BRUTOS'!$A$3:$A$500,$B19,'DADOS BRUTOS'!FM$3:FM$500)+IF($C19="",0,SUMIF('DADOS BRUTOS'!$A$3:$A$500,$C19,'DADOS BRUTOS'!FM$3:FM$500)))</f>
        <v/>
      </c>
      <c r="IN19" s="123">
        <f>IF(OR(IN$4="",$B19=""),0,SUMIF('DADOS BRUTOS'!$A$3:$A$500,$B19,'DADOS BRUTOS'!FN$3:FN$500)+IF($C19="",0,SUMIF('DADOS BRUTOS'!$A$3:$A$500,$C19,'DADOS BRUTOS'!FN$3:FN$500)))</f>
        <v/>
      </c>
      <c r="IO19" s="123">
        <f>IF(OR(IO$4="",$B19=""),0,SUMIF('DADOS BRUTOS'!$A$3:$A$500,$B19,'DADOS BRUTOS'!FO$3:FO$500)+IF($C19="",0,SUMIF('DADOS BRUTOS'!$A$3:$A$500,$C19,'DADOS BRUTOS'!FO$3:FO$500)))</f>
        <v/>
      </c>
      <c r="IP19" s="123">
        <f>IF(OR(IP$4="",$B19=""),0,SUMIF('DADOS BRUTOS'!$A$3:$A$500,$B19,'DADOS BRUTOS'!FP$3:FP$500)+IF($C19="",0,SUMIF('DADOS BRUTOS'!$A$3:$A$500,$C19,'DADOS BRUTOS'!FP$3:FP$500)))</f>
        <v/>
      </c>
      <c r="IQ19" s="123">
        <f>IF(OR(IQ$4="",$B19=""),0,SUMIF('DADOS BRUTOS'!$A$3:$A$500,$B19,'DADOS BRUTOS'!FQ$3:FQ$500)+IF($C19="",0,SUMIF('DADOS BRUTOS'!$A$3:$A$500,$C19,'DADOS BRUTOS'!FQ$3:FQ$500)))</f>
        <v/>
      </c>
      <c r="IR19" s="123">
        <f>IF(OR(IR$4="",$B19=""),0,SUMIF('DADOS BRUTOS'!$A$3:$A$500,$B19,'DADOS BRUTOS'!FR$3:FR$500)+IF($C19="",0,SUMIF('DADOS BRUTOS'!$A$3:$A$500,$C19,'DADOS BRUTOS'!FR$3:FR$500)))</f>
        <v/>
      </c>
      <c r="IS19" s="123">
        <f>IF(OR(IS$4="",$B19=""),0,SUMIF('DADOS BRUTOS'!$A$3:$A$500,$B19,'DADOS BRUTOS'!FS$3:FS$500)+IF($C19="",0,SUMIF('DADOS BRUTOS'!$A$3:$A$500,$C19,'DADOS BRUTOS'!FS$3:FS$500)))</f>
        <v/>
      </c>
      <c r="IT19" s="123">
        <f>IF(OR(IT$4="",$B19=""),0,SUMIF('DADOS BRUTOS'!$A$3:$A$500,$B19,'DADOS BRUTOS'!FT$3:FT$500)+IF($C19="",0,SUMIF('DADOS BRUTOS'!$A$3:$A$500,$C19,'DADOS BRUTOS'!FT$3:FT$500)))</f>
        <v/>
      </c>
      <c r="IU19" s="123">
        <f>IF(OR(IU$4="",$B19=""),0,SUMIF('DADOS BRUTOS'!$A$3:$A$500,$B19,'DADOS BRUTOS'!FU$3:FU$500)+IF($C19="",0,SUMIF('DADOS BRUTOS'!$A$3:$A$500,$C19,'DADOS BRUTOS'!FU$3:FU$500)))</f>
        <v/>
      </c>
      <c r="IV19" s="123">
        <f>IF(OR(IV$4="",$B19=""),0,SUMIF('DADOS BRUTOS'!$A$3:$A$500,$B19,'DADOS BRUTOS'!FV$3:FV$500)+IF($C19="",0,SUMIF('DADOS BRUTOS'!$A$3:$A$500,$C19,'DADOS BRUTOS'!FV$3:FV$500)))</f>
        <v/>
      </c>
      <c r="IW19" s="123">
        <f>IF(OR(IW$4="",$B19=""),0,SUMIF('DADOS BRUTOS'!$A$3:$A$500,$B19,'DADOS BRUTOS'!FW$3:FW$500)+IF($C19="",0,SUMIF('DADOS BRUTOS'!$A$3:$A$500,$C19,'DADOS BRUTOS'!FW$3:FW$500)))</f>
        <v/>
      </c>
      <c r="IX19" s="123">
        <f>IF(OR(IX$4="",$B19=""),0,SUMIF('DADOS BRUTOS'!$A$3:$A$500,$B19,'DADOS BRUTOS'!FX$3:FX$500)+IF($C19="",0,SUMIF('DADOS BRUTOS'!$A$3:$A$500,$C19,'DADOS BRUTOS'!FX$3:FX$500)))</f>
        <v/>
      </c>
      <c r="IY19" s="123">
        <f>IF(OR(IY$4="",$B19=""),0,SUMIF('DADOS BRUTOS'!$A$3:$A$500,$B19,'DADOS BRUTOS'!FY$3:FY$500)+IF($C19="",0,SUMIF('DADOS BRUTOS'!$A$3:$A$500,$C19,'DADOS BRUTOS'!FY$3:FY$500)))</f>
        <v/>
      </c>
      <c r="IZ19" s="123">
        <f>IF(OR(IZ$4="",$B19=""),0,SUMIF('DADOS BRUTOS'!$A$3:$A$500,$B19,'DADOS BRUTOS'!FZ$3:FZ$500)+IF($C19="",0,SUMIF('DADOS BRUTOS'!$A$3:$A$500,$C19,'DADOS BRUTOS'!FZ$3:FZ$500)))</f>
        <v/>
      </c>
      <c r="JA19" s="123">
        <f>IF(OR(JA$4="",$B19=""),0,SUMIF('DADOS BRUTOS'!$A$3:$A$500,$B19,'DADOS BRUTOS'!GA$3:GA$500)+IF($C19="",0,SUMIF('DADOS BRUTOS'!$A$3:$A$500,$C19,'DADOS BRUTOS'!GA$3:GA$500)))</f>
        <v/>
      </c>
      <c r="JB19" s="123">
        <f>IF(OR(JB$4="",$B19=""),0,SUMIF('DADOS BRUTOS'!$A$3:$A$500,$B19,'DADOS BRUTOS'!GB$3:GB$500)+IF($C19="",0,SUMIF('DADOS BRUTOS'!$A$3:$A$500,$C19,'DADOS BRUTOS'!GB$3:GB$500)))</f>
        <v/>
      </c>
      <c r="JC19" s="123">
        <f>IF(OR(JC$4="",$B19=""),0,SUMIF('DADOS BRUTOS'!$A$3:$A$500,$B19,'DADOS BRUTOS'!GC$3:GC$500)+IF($C19="",0,SUMIF('DADOS BRUTOS'!$A$3:$A$500,$C19,'DADOS BRUTOS'!GC$3:GC$500)))</f>
        <v/>
      </c>
      <c r="JD19" s="123">
        <f>IF(OR(JD$4="",$B19=""),0,SUMIF('DADOS BRUTOS'!$A$3:$A$500,$B19,'DADOS BRUTOS'!GD$3:GD$500)+IF($C19="",0,SUMIF('DADOS BRUTOS'!$A$3:$A$500,$C19,'DADOS BRUTOS'!GD$3:GD$500)))</f>
        <v/>
      </c>
      <c r="JE19" s="123">
        <f>IF(OR(JE$4="",$B19=""),0,SUMIF('DADOS BRUTOS'!$A$3:$A$500,$B19,'DADOS BRUTOS'!GE$3:GE$500)+IF($C19="",0,SUMIF('DADOS BRUTOS'!$A$3:$A$500,$C19,'DADOS BRUTOS'!GE$3:GE$500)))</f>
        <v/>
      </c>
      <c r="JF19" s="123">
        <f>IF(OR(JF$4="",$B19=""),0,SUMIF('DADOS BRUTOS'!$A$3:$A$500,$B19,'DADOS BRUTOS'!GF$3:GF$500)+IF($C19="",0,SUMIF('DADOS BRUTOS'!$A$3:$A$500,$C19,'DADOS BRUTOS'!GF$3:GF$500)))</f>
        <v/>
      </c>
      <c r="JG19" s="123">
        <f>IF(OR(JG$4="",$B19=""),0,SUMIF('DADOS BRUTOS'!$A$3:$A$500,$B19,'DADOS BRUTOS'!GG$3:GG$500)+IF($C19="",0,SUMIF('DADOS BRUTOS'!$A$3:$A$500,$C19,'DADOS BRUTOS'!GG$3:GG$500)))</f>
        <v/>
      </c>
      <c r="JH19" s="123">
        <f>IF(OR(JH$4="",$B19=""),0,SUMIF('DADOS BRUTOS'!$A$3:$A$500,$B19,'DADOS BRUTOS'!GH$3:GH$500)+IF($C19="",0,SUMIF('DADOS BRUTOS'!$A$3:$A$500,$C19,'DADOS BRUTOS'!GH$3:GH$500)))</f>
        <v/>
      </c>
      <c r="JI19" s="123">
        <f>IF(OR(JI$4="",$B19=""),0,SUMIF('DADOS BRUTOS'!$A$3:$A$500,$B19,'DADOS BRUTOS'!GI$3:GI$500)+IF($C19="",0,SUMIF('DADOS BRUTOS'!$A$3:$A$500,$C19,'DADOS BRUTOS'!GI$3:GI$500)))</f>
        <v/>
      </c>
      <c r="JJ19" s="123">
        <f>IF(OR(JJ$4="",$B19=""),0,SUMIF('DADOS BRUTOS'!$A$3:$A$500,$B19,'DADOS BRUTOS'!GJ$3:GJ$500)+IF($C19="",0,SUMIF('DADOS BRUTOS'!$A$3:$A$500,$C19,'DADOS BRUTOS'!GJ$3:GJ$500)))</f>
        <v/>
      </c>
      <c r="JK19" s="123">
        <f>IF(OR(JK$4="",$B19=""),0,SUMIF('DADOS BRUTOS'!$A$3:$A$500,$B19,'DADOS BRUTOS'!GK$3:GK$500)+IF($C19="",0,SUMIF('DADOS BRUTOS'!$A$3:$A$500,$C19,'DADOS BRUTOS'!GK$3:GK$500)))</f>
        <v/>
      </c>
      <c r="JL19" s="123">
        <f>IF(OR(JL$4="",$B19=""),0,SUMIF('DADOS BRUTOS'!$A$3:$A$500,$B19,'DADOS BRUTOS'!GL$3:GL$500)+IF($C19="",0,SUMIF('DADOS BRUTOS'!$A$3:$A$500,$C19,'DADOS BRUTOS'!GL$3:GL$500)))</f>
        <v/>
      </c>
      <c r="JM19" s="123">
        <f>IF(OR(JM$4="",$B19=""),0,SUMIF('DADOS BRUTOS'!$A$3:$A$500,$B19,'DADOS BRUTOS'!GM$3:GM$500)+IF($C19="",0,SUMIF('DADOS BRUTOS'!$A$3:$A$500,$C19,'DADOS BRUTOS'!GM$3:GM$500)))</f>
        <v/>
      </c>
      <c r="JN19" s="123">
        <f>IF(OR(JN$4="",$B19=""),0,SUMIF('DADOS BRUTOS'!$A$3:$A$500,$B19,'DADOS BRUTOS'!GN$3:GN$500)+IF($C19="",0,SUMIF('DADOS BRUTOS'!$A$3:$A$500,$C19,'DADOS BRUTOS'!GN$3:GN$500)))</f>
        <v/>
      </c>
      <c r="JO19" s="123">
        <f>IF(OR(JO$4="",$B19=""),0,SUMIF('DADOS BRUTOS'!$A$3:$A$500,$B19,'DADOS BRUTOS'!GO$3:GO$500)+IF($C19="",0,SUMIF('DADOS BRUTOS'!$A$3:$A$500,$C19,'DADOS BRUTOS'!GO$3:GO$500)))</f>
        <v/>
      </c>
      <c r="JP19" s="123">
        <f>IF(OR(JP$4="",$B19=""),0,SUMIF('DADOS BRUTOS'!$A$3:$A$500,$B19,'DADOS BRUTOS'!GP$3:GP$500)+IF($C19="",0,SUMIF('DADOS BRUTOS'!$A$3:$A$500,$C19,'DADOS BRUTOS'!GP$3:GP$500)))</f>
        <v/>
      </c>
      <c r="JQ19" s="123">
        <f>IF(OR(JQ$4="",$B19=""),0,SUMIF('DADOS BRUTOS'!$A$3:$A$500,$B19,'DADOS BRUTOS'!GQ$3:GQ$500)+IF($C19="",0,SUMIF('DADOS BRUTOS'!$A$3:$A$500,$C19,'DADOS BRUTOS'!GQ$3:GQ$500)))</f>
        <v/>
      </c>
      <c r="JR19" s="123">
        <f>IF(OR(JR$4="",$B19=""),0,SUMIF('DADOS BRUTOS'!$A$3:$A$500,$B19,'DADOS BRUTOS'!GR$3:GR$500)+IF($C19="",0,SUMIF('DADOS BRUTOS'!$A$3:$A$500,$C19,'DADOS BRUTOS'!GR$3:GR$500)))</f>
        <v/>
      </c>
      <c r="JS19" s="123">
        <f>IF(OR(JS$4="",$B19=""),0,SUMIF('DADOS BRUTOS'!$A$3:$A$500,$B19,'DADOS BRUTOS'!GS$3:GS$500)+IF($C19="",0,SUMIF('DADOS BRUTOS'!$A$3:$A$500,$C19,'DADOS BRUTOS'!GS$3:GS$500)))</f>
        <v/>
      </c>
    </row>
    <row r="20">
      <c r="A20" s="60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CB20" s="123">
        <f>IF(OR(CB$4="",$B20=""),0,SUMIF('DADOS BRUTOS'!$A$3:$A$500,$B20,'DADOS BRUTOS'!B$3:B$500)+IF($C20="",0,SUMIF('DADOS BRUTOS'!$A$3:$A$500,$C20,'DADOS BRUTOS'!B$3:B$500)))</f>
        <v/>
      </c>
      <c r="CC20" s="123">
        <f>IF(OR(CC$4="",$B20=""),0,SUMIF('DADOS BRUTOS'!$A$3:$A$500,$B20,'DADOS BRUTOS'!C$3:C$500)+IF($C20="",0,SUMIF('DADOS BRUTOS'!$A$3:$A$500,$C20,'DADOS BRUTOS'!C$3:C$500)))</f>
        <v/>
      </c>
      <c r="CD20" s="123">
        <f>IF(OR(CD$4="",$B20=""),0,SUMIF('DADOS BRUTOS'!$A$3:$A$500,$B20,'DADOS BRUTOS'!D$3:D$500)+IF($C20="",0,SUMIF('DADOS BRUTOS'!$A$3:$A$500,$C20,'DADOS BRUTOS'!D$3:D$500)))</f>
        <v/>
      </c>
      <c r="CE20" s="123">
        <f>IF(OR(CE$4="",$B20=""),0,SUMIF('DADOS BRUTOS'!$A$3:$A$500,$B20,'DADOS BRUTOS'!E$3:E$500)+IF($C20="",0,SUMIF('DADOS BRUTOS'!$A$3:$A$500,$C20,'DADOS BRUTOS'!E$3:E$500)))</f>
        <v/>
      </c>
      <c r="CF20" s="123">
        <f>IF(OR(CF$4="",$B20=""),0,SUMIF('DADOS BRUTOS'!$A$3:$A$500,$B20,'DADOS BRUTOS'!F$3:F$500)+IF($C20="",0,SUMIF('DADOS BRUTOS'!$A$3:$A$500,$C20,'DADOS BRUTOS'!F$3:F$500)))</f>
        <v/>
      </c>
      <c r="CG20" s="123">
        <f>IF(OR(CG$4="",$B20=""),0,SUMIF('DADOS BRUTOS'!$A$3:$A$500,$B20,'DADOS BRUTOS'!G$3:G$500)+IF($C20="",0,SUMIF('DADOS BRUTOS'!$A$3:$A$500,$C20,'DADOS BRUTOS'!G$3:G$500)))</f>
        <v/>
      </c>
      <c r="CH20" s="123">
        <f>IF(OR(CH$4="",$B20=""),0,SUMIF('DADOS BRUTOS'!$A$3:$A$500,$B20,'DADOS BRUTOS'!H$3:H$500)+IF($C20="",0,SUMIF('DADOS BRUTOS'!$A$3:$A$500,$C20,'DADOS BRUTOS'!H$3:H$500)))</f>
        <v/>
      </c>
      <c r="CI20" s="123">
        <f>IF(OR(CI$4="",$B20=""),0,SUMIF('DADOS BRUTOS'!$A$3:$A$500,$B20,'DADOS BRUTOS'!I$3:I$500)+IF($C20="",0,SUMIF('DADOS BRUTOS'!$A$3:$A$500,$C20,'DADOS BRUTOS'!I$3:I$500)))</f>
        <v/>
      </c>
      <c r="CJ20" s="123">
        <f>IF(OR(CJ$4="",$B20=""),0,SUMIF('DADOS BRUTOS'!$A$3:$A$500,$B20,'DADOS BRUTOS'!J$3:J$500)+IF($C20="",0,SUMIF('DADOS BRUTOS'!$A$3:$A$500,$C20,'DADOS BRUTOS'!J$3:J$500)))</f>
        <v/>
      </c>
      <c r="CK20" s="123">
        <f>IF(OR(CK$4="",$B20=""),0,SUMIF('DADOS BRUTOS'!$A$3:$A$500,$B20,'DADOS BRUTOS'!K$3:K$500)+IF($C20="",0,SUMIF('DADOS BRUTOS'!$A$3:$A$500,$C20,'DADOS BRUTOS'!K$3:K$500)))</f>
        <v/>
      </c>
      <c r="CL20" s="123">
        <f>IF(OR(CL$4="",$B20=""),0,SUMIF('DADOS BRUTOS'!$A$3:$A$500,$B20,'DADOS BRUTOS'!L$3:L$500)+IF($C20="",0,SUMIF('DADOS BRUTOS'!$A$3:$A$500,$C20,'DADOS BRUTOS'!L$3:L$500)))</f>
        <v/>
      </c>
      <c r="CM20" s="123">
        <f>IF(OR(CM$4="",$B20=""),0,SUMIF('DADOS BRUTOS'!$A$3:$A$500,$B20,'DADOS BRUTOS'!M$3:M$500)+IF($C20="",0,SUMIF('DADOS BRUTOS'!$A$3:$A$500,$C20,'DADOS BRUTOS'!M$3:M$500)))</f>
        <v/>
      </c>
      <c r="CN20" s="123">
        <f>IF(OR(CN$4="",$B20=""),0,SUMIF('DADOS BRUTOS'!$A$3:$A$500,$B20,'DADOS BRUTOS'!N$3:N$500)+IF($C20="",0,SUMIF('DADOS BRUTOS'!$A$3:$A$500,$C20,'DADOS BRUTOS'!N$3:N$500)))</f>
        <v/>
      </c>
      <c r="CO20" s="123">
        <f>IF(OR(CO$4="",$B20=""),0,SUMIF('DADOS BRUTOS'!$A$3:$A$500,$B20,'DADOS BRUTOS'!O$3:O$500)+IF($C20="",0,SUMIF('DADOS BRUTOS'!$A$3:$A$500,$C20,'DADOS BRUTOS'!O$3:O$500)))</f>
        <v/>
      </c>
      <c r="CP20" s="123">
        <f>IF(OR(CP$4="",$B20=""),0,SUMIF('DADOS BRUTOS'!$A$3:$A$500,$B20,'DADOS BRUTOS'!P$3:P$500)+IF($C20="",0,SUMIF('DADOS BRUTOS'!$A$3:$A$500,$C20,'DADOS BRUTOS'!P$3:P$500)))</f>
        <v/>
      </c>
      <c r="CQ20" s="123">
        <f>IF(OR(CQ$4="",$B20=""),0,SUMIF('DADOS BRUTOS'!$A$3:$A$500,$B20,'DADOS BRUTOS'!Q$3:Q$500)+IF($C20="",0,SUMIF('DADOS BRUTOS'!$A$3:$A$500,$C20,'DADOS BRUTOS'!Q$3:Q$500)))</f>
        <v/>
      </c>
      <c r="CR20" s="123">
        <f>IF(OR(CR$4="",$B20=""),0,SUMIF('DADOS BRUTOS'!$A$3:$A$500,$B20,'DADOS BRUTOS'!R$3:R$500)+IF($C20="",0,SUMIF('DADOS BRUTOS'!$A$3:$A$500,$C20,'DADOS BRUTOS'!R$3:R$500)))</f>
        <v/>
      </c>
      <c r="CS20" s="123">
        <f>IF(OR(CS$4="",$B20=""),0,SUMIF('DADOS BRUTOS'!$A$3:$A$500,$B20,'DADOS BRUTOS'!S$3:S$500)+IF($C20="",0,SUMIF('DADOS BRUTOS'!$A$3:$A$500,$C20,'DADOS BRUTOS'!S$3:S$500)))</f>
        <v/>
      </c>
      <c r="CT20" s="123">
        <f>IF(OR(CT$4="",$B20=""),0,SUMIF('DADOS BRUTOS'!$A$3:$A$500,$B20,'DADOS BRUTOS'!T$3:T$500)+IF($C20="",0,SUMIF('DADOS BRUTOS'!$A$3:$A$500,$C20,'DADOS BRUTOS'!T$3:T$500)))</f>
        <v/>
      </c>
      <c r="CU20" s="123">
        <f>IF(OR(CU$4="",$B20=""),0,SUMIF('DADOS BRUTOS'!$A$3:$A$500,$B20,'DADOS BRUTOS'!U$3:U$500)+IF($C20="",0,SUMIF('DADOS BRUTOS'!$A$3:$A$500,$C20,'DADOS BRUTOS'!U$3:U$500)))</f>
        <v/>
      </c>
      <c r="CV20" s="123">
        <f>IF(OR(CV$4="",$B20=""),0,SUMIF('DADOS BRUTOS'!$A$3:$A$500,$B20,'DADOS BRUTOS'!V$3:V$500)+IF($C20="",0,SUMIF('DADOS BRUTOS'!$A$3:$A$500,$C20,'DADOS BRUTOS'!V$3:V$500)))</f>
        <v/>
      </c>
      <c r="CW20" s="123">
        <f>IF(OR(CW$4="",$B20=""),0,SUMIF('DADOS BRUTOS'!$A$3:$A$500,$B20,'DADOS BRUTOS'!W$3:W$500)+IF($C20="",0,SUMIF('DADOS BRUTOS'!$A$3:$A$500,$C20,'DADOS BRUTOS'!W$3:W$500)))</f>
        <v/>
      </c>
      <c r="CX20" s="123">
        <f>IF(OR(CX$4="",$B20=""),0,SUMIF('DADOS BRUTOS'!$A$3:$A$500,$B20,'DADOS BRUTOS'!X$3:X$500)+IF($C20="",0,SUMIF('DADOS BRUTOS'!$A$3:$A$500,$C20,'DADOS BRUTOS'!X$3:X$500)))</f>
        <v/>
      </c>
      <c r="CY20" s="123">
        <f>IF(OR(CY$4="",$B20=""),0,SUMIF('DADOS BRUTOS'!$A$3:$A$500,$B20,'DADOS BRUTOS'!Y$3:Y$500)+IF($C20="",0,SUMIF('DADOS BRUTOS'!$A$3:$A$500,$C20,'DADOS BRUTOS'!Y$3:Y$500)))</f>
        <v/>
      </c>
      <c r="CZ20" s="123">
        <f>IF(OR(CZ$4="",$B20=""),0,SUMIF('DADOS BRUTOS'!$A$3:$A$500,$B20,'DADOS BRUTOS'!Z$3:Z$500)+IF($C20="",0,SUMIF('DADOS BRUTOS'!$A$3:$A$500,$C20,'DADOS BRUTOS'!Z$3:Z$500)))</f>
        <v/>
      </c>
      <c r="DA20" s="123">
        <f>IF(OR(DA$4="",$B20=""),0,SUMIF('DADOS BRUTOS'!$A$3:$A$500,$B20,'DADOS BRUTOS'!AA$3:AA$500)+IF($C20="",0,SUMIF('DADOS BRUTOS'!$A$3:$A$500,$C20,'DADOS BRUTOS'!AA$3:AA$500)))</f>
        <v/>
      </c>
      <c r="DB20" s="123">
        <f>IF(OR(DB$4="",$B20=""),0,SUMIF('DADOS BRUTOS'!$A$3:$A$500,$B20,'DADOS BRUTOS'!AB$3:AB$500)+IF($C20="",0,SUMIF('DADOS BRUTOS'!$A$3:$A$500,$C20,'DADOS BRUTOS'!AB$3:AB$500)))</f>
        <v/>
      </c>
      <c r="DC20" s="123">
        <f>IF(OR(DC$4="",$B20=""),0,SUMIF('DADOS BRUTOS'!$A$3:$A$500,$B20,'DADOS BRUTOS'!AC$3:AC$500)+IF($C20="",0,SUMIF('DADOS BRUTOS'!$A$3:$A$500,$C20,'DADOS BRUTOS'!AC$3:AC$500)))</f>
        <v/>
      </c>
      <c r="DD20" s="123">
        <f>IF(OR(DD$4="",$B20=""),0,SUMIF('DADOS BRUTOS'!$A$3:$A$500,$B20,'DADOS BRUTOS'!AD$3:AD$500)+IF($C20="",0,SUMIF('DADOS BRUTOS'!$A$3:$A$500,$C20,'DADOS BRUTOS'!AD$3:AD$500)))</f>
        <v/>
      </c>
      <c r="DE20" s="123">
        <f>IF(OR(DE$4="",$B20=""),0,SUMIF('DADOS BRUTOS'!$A$3:$A$500,$B20,'DADOS BRUTOS'!AE$3:AE$500)+IF($C20="",0,SUMIF('DADOS BRUTOS'!$A$3:$A$500,$C20,'DADOS BRUTOS'!AE$3:AE$500)))</f>
        <v/>
      </c>
      <c r="DF20" s="123">
        <f>IF(OR(DF$4="",$B20=""),0,SUMIF('DADOS BRUTOS'!$A$3:$A$500,$B20,'DADOS BRUTOS'!AF$3:AF$500)+IF($C20="",0,SUMIF('DADOS BRUTOS'!$A$3:$A$500,$C20,'DADOS BRUTOS'!AF$3:AF$500)))</f>
        <v/>
      </c>
      <c r="DG20" s="123">
        <f>IF(OR(DG$4="",$B20=""),0,SUMIF('DADOS BRUTOS'!$A$3:$A$500,$B20,'DADOS BRUTOS'!AG$3:AG$500)+IF($C20="",0,SUMIF('DADOS BRUTOS'!$A$3:$A$500,$C20,'DADOS BRUTOS'!AG$3:AG$500)))</f>
        <v/>
      </c>
      <c r="DH20" s="123">
        <f>IF(OR(DH$4="",$B20=""),0,SUMIF('DADOS BRUTOS'!$A$3:$A$500,$B20,'DADOS BRUTOS'!AH$3:AH$500)+IF($C20="",0,SUMIF('DADOS BRUTOS'!$A$3:$A$500,$C20,'DADOS BRUTOS'!AH$3:AH$500)))</f>
        <v/>
      </c>
      <c r="DI20" s="123">
        <f>IF(OR(DI$4="",$B20=""),0,SUMIF('DADOS BRUTOS'!$A$3:$A$500,$B20,'DADOS BRUTOS'!AI$3:AI$500)+IF($C20="",0,SUMIF('DADOS BRUTOS'!$A$3:$A$500,$C20,'DADOS BRUTOS'!AI$3:AI$500)))</f>
        <v/>
      </c>
      <c r="DJ20" s="123">
        <f>IF(OR(DJ$4="",$B20=""),0,SUMIF('DADOS BRUTOS'!$A$3:$A$500,$B20,'DADOS BRUTOS'!AJ$3:AJ$500)+IF($C20="",0,SUMIF('DADOS BRUTOS'!$A$3:$A$500,$C20,'DADOS BRUTOS'!AJ$3:AJ$500)))</f>
        <v/>
      </c>
      <c r="DK20" s="123">
        <f>IF(OR(DK$4="",$B20=""),0,SUMIF('DADOS BRUTOS'!$A$3:$A$500,$B20,'DADOS BRUTOS'!AK$3:AK$500)+IF($C20="",0,SUMIF('DADOS BRUTOS'!$A$3:$A$500,$C20,'DADOS BRUTOS'!AK$3:AK$500)))</f>
        <v/>
      </c>
      <c r="DL20" s="123">
        <f>IF(OR(DL$4="",$B20=""),0,SUMIF('DADOS BRUTOS'!$A$3:$A$500,$B20,'DADOS BRUTOS'!AL$3:AL$500)+IF($C20="",0,SUMIF('DADOS BRUTOS'!$A$3:$A$500,$C20,'DADOS BRUTOS'!AL$3:AL$500)))</f>
        <v/>
      </c>
      <c r="DM20" s="123">
        <f>IF(OR(DM$4="",$B20=""),0,SUMIF('DADOS BRUTOS'!$A$3:$A$500,$B20,'DADOS BRUTOS'!AM$3:AM$500)+IF($C20="",0,SUMIF('DADOS BRUTOS'!$A$3:$A$500,$C20,'DADOS BRUTOS'!AM$3:AM$500)))</f>
        <v/>
      </c>
      <c r="DN20" s="123">
        <f>IF(OR(DN$4="",$B20=""),0,SUMIF('DADOS BRUTOS'!$A$3:$A$500,$B20,'DADOS BRUTOS'!AN$3:AN$500)+IF($C20="",0,SUMIF('DADOS BRUTOS'!$A$3:$A$500,$C20,'DADOS BRUTOS'!AN$3:AN$500)))</f>
        <v/>
      </c>
      <c r="DO20" s="123">
        <f>IF(OR(DO$4="",$B20=""),0,SUMIF('DADOS BRUTOS'!$A$3:$A$500,$B20,'DADOS BRUTOS'!AO$3:AO$500)+IF($C20="",0,SUMIF('DADOS BRUTOS'!$A$3:$A$500,$C20,'DADOS BRUTOS'!AO$3:AO$500)))</f>
        <v/>
      </c>
      <c r="DP20" s="123">
        <f>IF(OR(DP$4="",$B20=""),0,SUMIF('DADOS BRUTOS'!$A$3:$A$500,$B20,'DADOS BRUTOS'!AP$3:AP$500)+IF($C20="",0,SUMIF('DADOS BRUTOS'!$A$3:$A$500,$C20,'DADOS BRUTOS'!AP$3:AP$500)))</f>
        <v/>
      </c>
      <c r="DQ20" s="123">
        <f>IF(OR(DQ$4="",$B20=""),0,SUMIF('DADOS BRUTOS'!$A$3:$A$500,$B20,'DADOS BRUTOS'!AQ$3:AQ$500)+IF($C20="",0,SUMIF('DADOS BRUTOS'!$A$3:$A$500,$C20,'DADOS BRUTOS'!AQ$3:AQ$500)))</f>
        <v/>
      </c>
      <c r="DR20" s="123">
        <f>IF(OR(DR$4="",$B20=""),0,SUMIF('DADOS BRUTOS'!$A$3:$A$500,$B20,'DADOS BRUTOS'!AR$3:AR$500)+IF($C20="",0,SUMIF('DADOS BRUTOS'!$A$3:$A$500,$C20,'DADOS BRUTOS'!AR$3:AR$500)))</f>
        <v/>
      </c>
      <c r="DS20" s="123">
        <f>IF(OR(DS$4="",$B20=""),0,SUMIF('DADOS BRUTOS'!$A$3:$A$500,$B20,'DADOS BRUTOS'!AS$3:AS$500)+IF($C20="",0,SUMIF('DADOS BRUTOS'!$A$3:$A$500,$C20,'DADOS BRUTOS'!AS$3:AS$500)))</f>
        <v/>
      </c>
      <c r="DT20" s="123">
        <f>IF(OR(DT$4="",$B20=""),0,SUMIF('DADOS BRUTOS'!$A$3:$A$500,$B20,'DADOS BRUTOS'!AT$3:AT$500)+IF($C20="",0,SUMIF('DADOS BRUTOS'!$A$3:$A$500,$C20,'DADOS BRUTOS'!AT$3:AT$500)))</f>
        <v/>
      </c>
      <c r="DU20" s="123">
        <f>IF(OR(DU$4="",$B20=""),0,SUMIF('DADOS BRUTOS'!$A$3:$A$500,$B20,'DADOS BRUTOS'!AU$3:AU$500)+IF($C20="",0,SUMIF('DADOS BRUTOS'!$A$3:$A$500,$C20,'DADOS BRUTOS'!AU$3:AU$500)))</f>
        <v/>
      </c>
      <c r="DV20" s="123">
        <f>IF(OR(DV$4="",$B20=""),0,SUMIF('DADOS BRUTOS'!$A$3:$A$500,$B20,'DADOS BRUTOS'!AV$3:AV$500)+IF($C20="",0,SUMIF('DADOS BRUTOS'!$A$3:$A$500,$C20,'DADOS BRUTOS'!AV$3:AV$500)))</f>
        <v/>
      </c>
      <c r="DW20" s="123">
        <f>IF(OR(DW$4="",$B20=""),0,SUMIF('DADOS BRUTOS'!$A$3:$A$500,$B20,'DADOS BRUTOS'!AW$3:AW$500)+IF($C20="",0,SUMIF('DADOS BRUTOS'!$A$3:$A$500,$C20,'DADOS BRUTOS'!AW$3:AW$500)))</f>
        <v/>
      </c>
      <c r="DX20" s="123">
        <f>IF(OR(DX$4="",$B20=""),0,SUMIF('DADOS BRUTOS'!$A$3:$A$500,$B20,'DADOS BRUTOS'!AX$3:AX$500)+IF($C20="",0,SUMIF('DADOS BRUTOS'!$A$3:$A$500,$C20,'DADOS BRUTOS'!AX$3:AX$500)))</f>
        <v/>
      </c>
      <c r="DY20" s="123">
        <f>IF(OR(DY$4="",$B20=""),0,SUMIF('DADOS BRUTOS'!$A$3:$A$500,$B20,'DADOS BRUTOS'!AY$3:AY$500)+IF($C20="",0,SUMIF('DADOS BRUTOS'!$A$3:$A$500,$C20,'DADOS BRUTOS'!AY$3:AY$500)))</f>
        <v/>
      </c>
      <c r="DZ20" s="123">
        <f>IF(OR(DZ$4="",$B20=""),0,SUMIF('DADOS BRUTOS'!$A$3:$A$500,$B20,'DADOS BRUTOS'!AZ$3:AZ$500)+IF($C20="",0,SUMIF('DADOS BRUTOS'!$A$3:$A$500,$C20,'DADOS BRUTOS'!AZ$3:AZ$500)))</f>
        <v/>
      </c>
      <c r="EA20" s="123">
        <f>IF(OR(EA$4="",$B20=""),0,SUMIF('DADOS BRUTOS'!$A$3:$A$500,$B20,'DADOS BRUTOS'!BA$3:BA$500)+IF($C20="",0,SUMIF('DADOS BRUTOS'!$A$3:$A$500,$C20,'DADOS BRUTOS'!BA$3:BA$500)))</f>
        <v/>
      </c>
      <c r="EB20" s="123">
        <f>IF(OR(EB$4="",$B20=""),0,SUMIF('DADOS BRUTOS'!$A$3:$A$500,$B20,'DADOS BRUTOS'!BB$3:BB$500)+IF($C20="",0,SUMIF('DADOS BRUTOS'!$A$3:$A$500,$C20,'DADOS BRUTOS'!BB$3:BB$500)))</f>
        <v/>
      </c>
      <c r="EC20" s="123">
        <f>IF(OR(EC$4="",$B20=""),0,SUMIF('DADOS BRUTOS'!$A$3:$A$500,$B20,'DADOS BRUTOS'!BC$3:BC$500)+IF($C20="",0,SUMIF('DADOS BRUTOS'!$A$3:$A$500,$C20,'DADOS BRUTOS'!BC$3:BC$500)))</f>
        <v/>
      </c>
      <c r="ED20" s="123">
        <f>IF(OR(ED$4="",$B20=""),0,SUMIF('DADOS BRUTOS'!$A$3:$A$500,$B20,'DADOS BRUTOS'!BD$3:BD$500)+IF($C20="",0,SUMIF('DADOS BRUTOS'!$A$3:$A$500,$C20,'DADOS BRUTOS'!BD$3:BD$500)))</f>
        <v/>
      </c>
      <c r="EE20" s="123">
        <f>IF(OR(EE$4="",$B20=""),0,SUMIF('DADOS BRUTOS'!$A$3:$A$500,$B20,'DADOS BRUTOS'!BE$3:BE$500)+IF($C20="",0,SUMIF('DADOS BRUTOS'!$A$3:$A$500,$C20,'DADOS BRUTOS'!BE$3:BE$500)))</f>
        <v/>
      </c>
      <c r="EF20" s="123">
        <f>IF(OR(EF$4="",$B20=""),0,SUMIF('DADOS BRUTOS'!$A$3:$A$500,$B20,'DADOS BRUTOS'!BF$3:BF$500)+IF($C20="",0,SUMIF('DADOS BRUTOS'!$A$3:$A$500,$C20,'DADOS BRUTOS'!BF$3:BF$500)))</f>
        <v/>
      </c>
      <c r="EG20" s="123">
        <f>IF(OR(EG$4="",$B20=""),0,SUMIF('DADOS BRUTOS'!$A$3:$A$500,$B20,'DADOS BRUTOS'!BG$3:BG$500)+IF($C20="",0,SUMIF('DADOS BRUTOS'!$A$3:$A$500,$C20,'DADOS BRUTOS'!BG$3:BG$500)))</f>
        <v/>
      </c>
      <c r="EH20" s="123">
        <f>IF(OR(EH$4="",$B20=""),0,SUMIF('DADOS BRUTOS'!$A$3:$A$500,$B20,'DADOS BRUTOS'!BH$3:BH$500)+IF($C20="",0,SUMIF('DADOS BRUTOS'!$A$3:$A$500,$C20,'DADOS BRUTOS'!BH$3:BH$500)))</f>
        <v/>
      </c>
      <c r="EI20" s="123">
        <f>IF(OR(EI$4="",$B20=""),0,SUMIF('DADOS BRUTOS'!$A$3:$A$500,$B20,'DADOS BRUTOS'!BI$3:BI$500)+IF($C20="",0,SUMIF('DADOS BRUTOS'!$A$3:$A$500,$C20,'DADOS BRUTOS'!BI$3:BI$500)))</f>
        <v/>
      </c>
      <c r="EJ20" s="123">
        <f>IF(OR(EJ$4="",$B20=""),0,SUMIF('DADOS BRUTOS'!$A$3:$A$500,$B20,'DADOS BRUTOS'!BJ$3:BJ$500)+IF($C20="",0,SUMIF('DADOS BRUTOS'!$A$3:$A$500,$C20,'DADOS BRUTOS'!BJ$3:BJ$500)))</f>
        <v/>
      </c>
      <c r="EK20" s="123">
        <f>IF(OR(EK$4="",$B20=""),0,SUMIF('DADOS BRUTOS'!$A$3:$A$500,$B20,'DADOS BRUTOS'!BK$3:BK$500)+IF($C20="",0,SUMIF('DADOS BRUTOS'!$A$3:$A$500,$C20,'DADOS BRUTOS'!BK$3:BK$500)))</f>
        <v/>
      </c>
      <c r="EL20" s="123">
        <f>IF(OR(EL$4="",$B20=""),0,SUMIF('DADOS BRUTOS'!$A$3:$A$500,$B20,'DADOS BRUTOS'!BL$3:BL$500)+IF($C20="",0,SUMIF('DADOS BRUTOS'!$A$3:$A$500,$C20,'DADOS BRUTOS'!BL$3:BL$500)))</f>
        <v/>
      </c>
      <c r="EM20" s="123">
        <f>IF(OR(EM$4="",$B20=""),0,SUMIF('DADOS BRUTOS'!$A$3:$A$500,$B20,'DADOS BRUTOS'!BM$3:BM$500)+IF($C20="",0,SUMIF('DADOS BRUTOS'!$A$3:$A$500,$C20,'DADOS BRUTOS'!BM$3:BM$500)))</f>
        <v/>
      </c>
      <c r="EN20" s="123">
        <f>IF(OR(EN$4="",$B20=""),0,SUMIF('DADOS BRUTOS'!$A$3:$A$500,$B20,'DADOS BRUTOS'!BN$3:BN$500)+IF($C20="",0,SUMIF('DADOS BRUTOS'!$A$3:$A$500,$C20,'DADOS BRUTOS'!BN$3:BN$500)))</f>
        <v/>
      </c>
      <c r="EO20" s="123">
        <f>IF(OR(EO$4="",$B20=""),0,SUMIF('DADOS BRUTOS'!$A$3:$A$500,$B20,'DADOS BRUTOS'!BO$3:BO$500)+IF($C20="",0,SUMIF('DADOS BRUTOS'!$A$3:$A$500,$C20,'DADOS BRUTOS'!BO$3:BO$500)))</f>
        <v/>
      </c>
      <c r="EP20" s="123">
        <f>IF(OR(EP$4="",$B20=""),0,SUMIF('DADOS BRUTOS'!$A$3:$A$500,$B20,'DADOS BRUTOS'!BP$3:BP$500)+IF($C20="",0,SUMIF('DADOS BRUTOS'!$A$3:$A$500,$C20,'DADOS BRUTOS'!BP$3:BP$500)))</f>
        <v/>
      </c>
      <c r="EQ20" s="123">
        <f>IF(OR(EQ$4="",$B20=""),0,SUMIF('DADOS BRUTOS'!$A$3:$A$500,$B20,'DADOS BRUTOS'!BQ$3:BQ$500)+IF($C20="",0,SUMIF('DADOS BRUTOS'!$A$3:$A$500,$C20,'DADOS BRUTOS'!BQ$3:BQ$500)))</f>
        <v/>
      </c>
      <c r="ER20" s="123">
        <f>IF(OR(ER$4="",$B20=""),0,SUMIF('DADOS BRUTOS'!$A$3:$A$500,$B20,'DADOS BRUTOS'!BR$3:BR$500)+IF($C20="",0,SUMIF('DADOS BRUTOS'!$A$3:$A$500,$C20,'DADOS BRUTOS'!BR$3:BR$500)))</f>
        <v/>
      </c>
      <c r="ES20" s="123">
        <f>IF(OR(ES$4="",$B20=""),0,SUMIF('DADOS BRUTOS'!$A$3:$A$500,$B20,'DADOS BRUTOS'!BS$3:BS$500)+IF($C20="",0,SUMIF('DADOS BRUTOS'!$A$3:$A$500,$C20,'DADOS BRUTOS'!BS$3:BS$500)))</f>
        <v/>
      </c>
      <c r="ET20" s="123">
        <f>IF(OR(ET$4="",$B20=""),0,SUMIF('DADOS BRUTOS'!$A$3:$A$500,$B20,'DADOS BRUTOS'!BT$3:BT$500)+IF($C20="",0,SUMIF('DADOS BRUTOS'!$A$3:$A$500,$C20,'DADOS BRUTOS'!BT$3:BT$500)))</f>
        <v/>
      </c>
      <c r="EU20" s="123">
        <f>IF(OR(EU$4="",$B20=""),0,SUMIF('DADOS BRUTOS'!$A$3:$A$500,$B20,'DADOS BRUTOS'!BU$3:BU$500)+IF($C20="",0,SUMIF('DADOS BRUTOS'!$A$3:$A$500,$C20,'DADOS BRUTOS'!BU$3:BU$500)))</f>
        <v/>
      </c>
      <c r="EV20" s="123">
        <f>IF(OR(EV$4="",$B20=""),0,SUMIF('DADOS BRUTOS'!$A$3:$A$500,$B20,'DADOS BRUTOS'!BV$3:BV$500)+IF($C20="",0,SUMIF('DADOS BRUTOS'!$A$3:$A$500,$C20,'DADOS BRUTOS'!BV$3:BV$500)))</f>
        <v/>
      </c>
      <c r="EW20" s="123">
        <f>IF(OR(EW$4="",$B20=""),0,SUMIF('DADOS BRUTOS'!$A$3:$A$500,$B20,'DADOS BRUTOS'!BW$3:BW$500)+IF($C20="",0,SUMIF('DADOS BRUTOS'!$A$3:$A$500,$C20,'DADOS BRUTOS'!BW$3:BW$500)))</f>
        <v/>
      </c>
      <c r="EX20" s="123">
        <f>IF(OR(EX$4="",$B20=""),0,SUMIF('DADOS BRUTOS'!$A$3:$A$500,$B20,'DADOS BRUTOS'!BX$3:BX$500)+IF($C20="",0,SUMIF('DADOS BRUTOS'!$A$3:$A$500,$C20,'DADOS BRUTOS'!BX$3:BX$500)))</f>
        <v/>
      </c>
      <c r="EY20" s="123">
        <f>IF(OR(EY$4="",$B20=""),0,SUMIF('DADOS BRUTOS'!$A$3:$A$500,$B20,'DADOS BRUTOS'!BY$3:BY$500)+IF($C20="",0,SUMIF('DADOS BRUTOS'!$A$3:$A$500,$C20,'DADOS BRUTOS'!BY$3:BY$500)))</f>
        <v/>
      </c>
      <c r="EZ20" s="123">
        <f>IF(OR(EZ$4="",$B20=""),0,SUMIF('DADOS BRUTOS'!$A$3:$A$500,$B20,'DADOS BRUTOS'!BZ$3:BZ$500)+IF($C20="",0,SUMIF('DADOS BRUTOS'!$A$3:$A$500,$C20,'DADOS BRUTOS'!BZ$3:BZ$500)))</f>
        <v/>
      </c>
      <c r="FA20" s="123">
        <f>IF(OR(FA$4="",$B20=""),0,SUMIF('DADOS BRUTOS'!$A$3:$A$500,$B20,'DADOS BRUTOS'!CA$3:CA$500)+IF($C20="",0,SUMIF('DADOS BRUTOS'!$A$3:$A$500,$C20,'DADOS BRUTOS'!CA$3:CA$500)))</f>
        <v/>
      </c>
      <c r="FB20" s="123">
        <f>IF(OR(FB$4="",$B20=""),0,SUMIF('DADOS BRUTOS'!$A$3:$A$500,$B20,'DADOS BRUTOS'!CB$3:CB$500)+IF($C20="",0,SUMIF('DADOS BRUTOS'!$A$3:$A$500,$C20,'DADOS BRUTOS'!CB$3:CB$500)))</f>
        <v/>
      </c>
      <c r="FC20" s="123">
        <f>IF(OR(FC$4="",$B20=""),0,SUMIF('DADOS BRUTOS'!$A$3:$A$500,$B20,'DADOS BRUTOS'!CC$3:CC$500)+IF($C20="",0,SUMIF('DADOS BRUTOS'!$A$3:$A$500,$C20,'DADOS BRUTOS'!CC$3:CC$500)))</f>
        <v/>
      </c>
      <c r="FD20" s="123">
        <f>IF(OR(FD$4="",$B20=""),0,SUMIF('DADOS BRUTOS'!$A$3:$A$500,$B20,'DADOS BRUTOS'!CD$3:CD$500)+IF($C20="",0,SUMIF('DADOS BRUTOS'!$A$3:$A$500,$C20,'DADOS BRUTOS'!CD$3:CD$500)))</f>
        <v/>
      </c>
      <c r="FE20" s="123">
        <f>IF(OR(FE$4="",$B20=""),0,SUMIF('DADOS BRUTOS'!$A$3:$A$500,$B20,'DADOS BRUTOS'!CE$3:CE$500)+IF($C20="",0,SUMIF('DADOS BRUTOS'!$A$3:$A$500,$C20,'DADOS BRUTOS'!CE$3:CE$500)))</f>
        <v/>
      </c>
      <c r="FF20" s="123">
        <f>IF(OR(FF$4="",$B20=""),0,SUMIF('DADOS BRUTOS'!$A$3:$A$500,$B20,'DADOS BRUTOS'!CF$3:CF$500)+IF($C20="",0,SUMIF('DADOS BRUTOS'!$A$3:$A$500,$C20,'DADOS BRUTOS'!CF$3:CF$500)))</f>
        <v/>
      </c>
      <c r="FG20" s="123">
        <f>IF(OR(FG$4="",$B20=""),0,SUMIF('DADOS BRUTOS'!$A$3:$A$500,$B20,'DADOS BRUTOS'!CG$3:CG$500)+IF($C20="",0,SUMIF('DADOS BRUTOS'!$A$3:$A$500,$C20,'DADOS BRUTOS'!CG$3:CG$500)))</f>
        <v/>
      </c>
      <c r="FH20" s="123">
        <f>IF(OR(FH$4="",$B20=""),0,SUMIF('DADOS BRUTOS'!$A$3:$A$500,$B20,'DADOS BRUTOS'!CH$3:CH$500)+IF($C20="",0,SUMIF('DADOS BRUTOS'!$A$3:$A$500,$C20,'DADOS BRUTOS'!CH$3:CH$500)))</f>
        <v/>
      </c>
      <c r="FI20" s="123">
        <f>IF(OR(FI$4="",$B20=""),0,SUMIF('DADOS BRUTOS'!$A$3:$A$500,$B20,'DADOS BRUTOS'!CI$3:CI$500)+IF($C20="",0,SUMIF('DADOS BRUTOS'!$A$3:$A$500,$C20,'DADOS BRUTOS'!CI$3:CI$500)))</f>
        <v/>
      </c>
      <c r="FJ20" s="123">
        <f>IF(OR(FJ$4="",$B20=""),0,SUMIF('DADOS BRUTOS'!$A$3:$A$500,$B20,'DADOS BRUTOS'!CJ$3:CJ$500)+IF($C20="",0,SUMIF('DADOS BRUTOS'!$A$3:$A$500,$C20,'DADOS BRUTOS'!CJ$3:CJ$500)))</f>
        <v/>
      </c>
      <c r="FK20" s="123">
        <f>IF(OR(FK$4="",$B20=""),0,SUMIF('DADOS BRUTOS'!$A$3:$A$500,$B20,'DADOS BRUTOS'!CK$3:CK$500)+IF($C20="",0,SUMIF('DADOS BRUTOS'!$A$3:$A$500,$C20,'DADOS BRUTOS'!CK$3:CK$500)))</f>
        <v/>
      </c>
      <c r="FL20" s="123">
        <f>IF(OR(FL$4="",$B20=""),0,SUMIF('DADOS BRUTOS'!$A$3:$A$500,$B20,'DADOS BRUTOS'!CL$3:CL$500)+IF($C20="",0,SUMIF('DADOS BRUTOS'!$A$3:$A$500,$C20,'DADOS BRUTOS'!CL$3:CL$500)))</f>
        <v/>
      </c>
      <c r="FM20" s="123">
        <f>IF(OR(FM$4="",$B20=""),0,SUMIF('DADOS BRUTOS'!$A$3:$A$500,$B20,'DADOS BRUTOS'!CM$3:CM$500)+IF($C20="",0,SUMIF('DADOS BRUTOS'!$A$3:$A$500,$C20,'DADOS BRUTOS'!CM$3:CM$500)))</f>
        <v/>
      </c>
      <c r="FN20" s="123">
        <f>IF(OR(FN$4="",$B20=""),0,SUMIF('DADOS BRUTOS'!$A$3:$A$500,$B20,'DADOS BRUTOS'!CN$3:CN$500)+IF($C20="",0,SUMIF('DADOS BRUTOS'!$A$3:$A$500,$C20,'DADOS BRUTOS'!CN$3:CN$500)))</f>
        <v/>
      </c>
      <c r="FO20" s="123">
        <f>IF(OR(FO$4="",$B20=""),0,SUMIF('DADOS BRUTOS'!$A$3:$A$500,$B20,'DADOS BRUTOS'!CO$3:CO$500)+IF($C20="",0,SUMIF('DADOS BRUTOS'!$A$3:$A$500,$C20,'DADOS BRUTOS'!CO$3:CO$500)))</f>
        <v/>
      </c>
      <c r="FP20" s="123">
        <f>IF(OR(FP$4="",$B20=""),0,SUMIF('DADOS BRUTOS'!$A$3:$A$500,$B20,'DADOS BRUTOS'!CP$3:CP$500)+IF($C20="",0,SUMIF('DADOS BRUTOS'!$A$3:$A$500,$C20,'DADOS BRUTOS'!CP$3:CP$500)))</f>
        <v/>
      </c>
      <c r="FQ20" s="123">
        <f>IF(OR(FQ$4="",$B20=""),0,SUMIF('DADOS BRUTOS'!$A$3:$A$500,$B20,'DADOS BRUTOS'!CQ$3:CQ$500)+IF($C20="",0,SUMIF('DADOS BRUTOS'!$A$3:$A$500,$C20,'DADOS BRUTOS'!CQ$3:CQ$500)))</f>
        <v/>
      </c>
      <c r="FR20" s="123">
        <f>IF(OR(FR$4="",$B20=""),0,SUMIF('DADOS BRUTOS'!$A$3:$A$500,$B20,'DADOS BRUTOS'!CR$3:CR$500)+IF($C20="",0,SUMIF('DADOS BRUTOS'!$A$3:$A$500,$C20,'DADOS BRUTOS'!CR$3:CR$500)))</f>
        <v/>
      </c>
      <c r="FS20" s="123">
        <f>IF(OR(FS$4="",$B20=""),0,SUMIF('DADOS BRUTOS'!$A$3:$A$500,$B20,'DADOS BRUTOS'!CS$3:CS$500)+IF($C20="",0,SUMIF('DADOS BRUTOS'!$A$3:$A$500,$C20,'DADOS BRUTOS'!CS$3:CS$500)))</f>
        <v/>
      </c>
      <c r="FT20" s="123">
        <f>IF(OR(FT$4="",$B20=""),0,SUMIF('DADOS BRUTOS'!$A$3:$A$500,$B20,'DADOS BRUTOS'!CT$3:CT$500)+IF($C20="",0,SUMIF('DADOS BRUTOS'!$A$3:$A$500,$C20,'DADOS BRUTOS'!CT$3:CT$500)))</f>
        <v/>
      </c>
      <c r="FU20" s="123">
        <f>IF(OR(FU$4="",$B20=""),0,SUMIF('DADOS BRUTOS'!$A$3:$A$500,$B20,'DADOS BRUTOS'!CU$3:CU$500)+IF($C20="",0,SUMIF('DADOS BRUTOS'!$A$3:$A$500,$C20,'DADOS BRUTOS'!CU$3:CU$500)))</f>
        <v/>
      </c>
      <c r="FV20" s="123">
        <f>IF(OR(FV$4="",$B20=""),0,SUMIF('DADOS BRUTOS'!$A$3:$A$500,$B20,'DADOS BRUTOS'!CV$3:CV$500)+IF($C20="",0,SUMIF('DADOS BRUTOS'!$A$3:$A$500,$C20,'DADOS BRUTOS'!CV$3:CV$500)))</f>
        <v/>
      </c>
      <c r="FW20" s="123">
        <f>IF(OR(FW$4="",$B20=""),0,SUMIF('DADOS BRUTOS'!$A$3:$A$500,$B20,'DADOS BRUTOS'!CW$3:CW$500)+IF($C20="",0,SUMIF('DADOS BRUTOS'!$A$3:$A$500,$C20,'DADOS BRUTOS'!CW$3:CW$500)))</f>
        <v/>
      </c>
      <c r="FX20" s="123">
        <f>IF(OR(FX$4="",$B20=""),0,SUMIF('DADOS BRUTOS'!$A$3:$A$500,$B20,'DADOS BRUTOS'!CX$3:CX$500)+IF($C20="",0,SUMIF('DADOS BRUTOS'!$A$3:$A$500,$C20,'DADOS BRUTOS'!CX$3:CX$500)))</f>
        <v/>
      </c>
      <c r="FY20" s="123">
        <f>IF(OR(FY$4="",$B20=""),0,SUMIF('DADOS BRUTOS'!$A$3:$A$500,$B20,'DADOS BRUTOS'!CY$3:CY$500)+IF($C20="",0,SUMIF('DADOS BRUTOS'!$A$3:$A$500,$C20,'DADOS BRUTOS'!CY$3:CY$500)))</f>
        <v/>
      </c>
      <c r="FZ20" s="123">
        <f>IF(OR(FZ$4="",$B20=""),0,SUMIF('DADOS BRUTOS'!$A$3:$A$500,$B20,'DADOS BRUTOS'!CZ$3:CZ$500)+IF($C20="",0,SUMIF('DADOS BRUTOS'!$A$3:$A$500,$C20,'DADOS BRUTOS'!CZ$3:CZ$500)))</f>
        <v/>
      </c>
      <c r="GA20" s="123">
        <f>IF(OR(GA$4="",$B20=""),0,SUMIF('DADOS BRUTOS'!$A$3:$A$500,$B20,'DADOS BRUTOS'!DA$3:DA$500)+IF($C20="",0,SUMIF('DADOS BRUTOS'!$A$3:$A$500,$C20,'DADOS BRUTOS'!DA$3:DA$500)))</f>
        <v/>
      </c>
      <c r="GB20" s="123">
        <f>IF(OR(GB$4="",$B20=""),0,SUMIF('DADOS BRUTOS'!$A$3:$A$500,$B20,'DADOS BRUTOS'!DB$3:DB$500)+IF($C20="",0,SUMIF('DADOS BRUTOS'!$A$3:$A$500,$C20,'DADOS BRUTOS'!DB$3:DB$500)))</f>
        <v/>
      </c>
      <c r="GC20" s="123">
        <f>IF(OR(GC$4="",$B20=""),0,SUMIF('DADOS BRUTOS'!$A$3:$A$500,$B20,'DADOS BRUTOS'!DC$3:DC$500)+IF($C20="",0,SUMIF('DADOS BRUTOS'!$A$3:$A$500,$C20,'DADOS BRUTOS'!DC$3:DC$500)))</f>
        <v/>
      </c>
      <c r="GD20" s="123">
        <f>IF(OR(GD$4="",$B20=""),0,SUMIF('DADOS BRUTOS'!$A$3:$A$500,$B20,'DADOS BRUTOS'!DD$3:DD$500)+IF($C20="",0,SUMIF('DADOS BRUTOS'!$A$3:$A$500,$C20,'DADOS BRUTOS'!DD$3:DD$500)))</f>
        <v/>
      </c>
      <c r="GE20" s="123">
        <f>IF(OR(GE$4="",$B20=""),0,SUMIF('DADOS BRUTOS'!$A$3:$A$500,$B20,'DADOS BRUTOS'!DE$3:DE$500)+IF($C20="",0,SUMIF('DADOS BRUTOS'!$A$3:$A$500,$C20,'DADOS BRUTOS'!DE$3:DE$500)))</f>
        <v/>
      </c>
      <c r="GF20" s="123">
        <f>IF(OR(GF$4="",$B20=""),0,SUMIF('DADOS BRUTOS'!$A$3:$A$500,$B20,'DADOS BRUTOS'!DF$3:DF$500)+IF($C20="",0,SUMIF('DADOS BRUTOS'!$A$3:$A$500,$C20,'DADOS BRUTOS'!DF$3:DF$500)))</f>
        <v/>
      </c>
      <c r="GG20" s="123">
        <f>IF(OR(GG$4="",$B20=""),0,SUMIF('DADOS BRUTOS'!$A$3:$A$500,$B20,'DADOS BRUTOS'!DG$3:DG$500)+IF($C20="",0,SUMIF('DADOS BRUTOS'!$A$3:$A$500,$C20,'DADOS BRUTOS'!DG$3:DG$500)))</f>
        <v/>
      </c>
      <c r="GH20" s="123">
        <f>IF(OR(GH$4="",$B20=""),0,SUMIF('DADOS BRUTOS'!$A$3:$A$500,$B20,'DADOS BRUTOS'!DH$3:DH$500)+IF($C20="",0,SUMIF('DADOS BRUTOS'!$A$3:$A$500,$C20,'DADOS BRUTOS'!DH$3:DH$500)))</f>
        <v/>
      </c>
      <c r="GI20" s="123">
        <f>IF(OR(GI$4="",$B20=""),0,SUMIF('DADOS BRUTOS'!$A$3:$A$500,$B20,'DADOS BRUTOS'!DI$3:DI$500)+IF($C20="",0,SUMIF('DADOS BRUTOS'!$A$3:$A$500,$C20,'DADOS BRUTOS'!DI$3:DI$500)))</f>
        <v/>
      </c>
      <c r="GJ20" s="123">
        <f>IF(OR(GJ$4="",$B20=""),0,SUMIF('DADOS BRUTOS'!$A$3:$A$500,$B20,'DADOS BRUTOS'!DJ$3:DJ$500)+IF($C20="",0,SUMIF('DADOS BRUTOS'!$A$3:$A$500,$C20,'DADOS BRUTOS'!DJ$3:DJ$500)))</f>
        <v/>
      </c>
      <c r="GK20" s="123">
        <f>IF(OR(GK$4="",$B20=""),0,SUMIF('DADOS BRUTOS'!$A$3:$A$500,$B20,'DADOS BRUTOS'!DK$3:DK$500)+IF($C20="",0,SUMIF('DADOS BRUTOS'!$A$3:$A$500,$C20,'DADOS BRUTOS'!DK$3:DK$500)))</f>
        <v/>
      </c>
      <c r="GL20" s="123">
        <f>IF(OR(GL$4="",$B20=""),0,SUMIF('DADOS BRUTOS'!$A$3:$A$500,$B20,'DADOS BRUTOS'!DL$3:DL$500)+IF($C20="",0,SUMIF('DADOS BRUTOS'!$A$3:$A$500,$C20,'DADOS BRUTOS'!DL$3:DL$500)))</f>
        <v/>
      </c>
      <c r="GM20" s="123">
        <f>IF(OR(GM$4="",$B20=""),0,SUMIF('DADOS BRUTOS'!$A$3:$A$500,$B20,'DADOS BRUTOS'!DM$3:DM$500)+IF($C20="",0,SUMIF('DADOS BRUTOS'!$A$3:$A$500,$C20,'DADOS BRUTOS'!DM$3:DM$500)))</f>
        <v/>
      </c>
      <c r="GN20" s="123">
        <f>IF(OR(GN$4="",$B20=""),0,SUMIF('DADOS BRUTOS'!$A$3:$A$500,$B20,'DADOS BRUTOS'!DN$3:DN$500)+IF($C20="",0,SUMIF('DADOS BRUTOS'!$A$3:$A$500,$C20,'DADOS BRUTOS'!DN$3:DN$500)))</f>
        <v/>
      </c>
      <c r="GO20" s="123">
        <f>IF(OR(GO$4="",$B20=""),0,SUMIF('DADOS BRUTOS'!$A$3:$A$500,$B20,'DADOS BRUTOS'!DO$3:DO$500)+IF($C20="",0,SUMIF('DADOS BRUTOS'!$A$3:$A$500,$C20,'DADOS BRUTOS'!DO$3:DO$500)))</f>
        <v/>
      </c>
      <c r="GP20" s="123">
        <f>IF(OR(GP$4="",$B20=""),0,SUMIF('DADOS BRUTOS'!$A$3:$A$500,$B20,'DADOS BRUTOS'!DP$3:DP$500)+IF($C20="",0,SUMIF('DADOS BRUTOS'!$A$3:$A$500,$C20,'DADOS BRUTOS'!DP$3:DP$500)))</f>
        <v/>
      </c>
      <c r="GQ20" s="123">
        <f>IF(OR(GQ$4="",$B20=""),0,SUMIF('DADOS BRUTOS'!$A$3:$A$500,$B20,'DADOS BRUTOS'!DQ$3:DQ$500)+IF($C20="",0,SUMIF('DADOS BRUTOS'!$A$3:$A$500,$C20,'DADOS BRUTOS'!DQ$3:DQ$500)))</f>
        <v/>
      </c>
      <c r="GR20" s="123">
        <f>IF(OR(GR$4="",$B20=""),0,SUMIF('DADOS BRUTOS'!$A$3:$A$500,$B20,'DADOS BRUTOS'!DR$3:DR$500)+IF($C20="",0,SUMIF('DADOS BRUTOS'!$A$3:$A$500,$C20,'DADOS BRUTOS'!DR$3:DR$500)))</f>
        <v/>
      </c>
      <c r="GS20" s="123">
        <f>IF(OR(GS$4="",$B20=""),0,SUMIF('DADOS BRUTOS'!$A$3:$A$500,$B20,'DADOS BRUTOS'!DS$3:DS$500)+IF($C20="",0,SUMIF('DADOS BRUTOS'!$A$3:$A$500,$C20,'DADOS BRUTOS'!DS$3:DS$500)))</f>
        <v/>
      </c>
      <c r="GT20" s="123">
        <f>IF(OR(GT$4="",$B20=""),0,SUMIF('DADOS BRUTOS'!$A$3:$A$500,$B20,'DADOS BRUTOS'!DT$3:DT$500)+IF($C20="",0,SUMIF('DADOS BRUTOS'!$A$3:$A$500,$C20,'DADOS BRUTOS'!DT$3:DT$500)))</f>
        <v/>
      </c>
      <c r="GU20" s="123">
        <f>IF(OR(GU$4="",$B20=""),0,SUMIF('DADOS BRUTOS'!$A$3:$A$500,$B20,'DADOS BRUTOS'!DU$3:DU$500)+IF($C20="",0,SUMIF('DADOS BRUTOS'!$A$3:$A$500,$C20,'DADOS BRUTOS'!DU$3:DU$500)))</f>
        <v/>
      </c>
      <c r="GV20" s="123">
        <f>IF(OR(GV$4="",$B20=""),0,SUMIF('DADOS BRUTOS'!$A$3:$A$500,$B20,'DADOS BRUTOS'!DV$3:DV$500)+IF($C20="",0,SUMIF('DADOS BRUTOS'!$A$3:$A$500,$C20,'DADOS BRUTOS'!DV$3:DV$500)))</f>
        <v/>
      </c>
      <c r="GW20" s="123">
        <f>IF(OR(GW$4="",$B20=""),0,SUMIF('DADOS BRUTOS'!$A$3:$A$500,$B20,'DADOS BRUTOS'!DW$3:DW$500)+IF($C20="",0,SUMIF('DADOS BRUTOS'!$A$3:$A$500,$C20,'DADOS BRUTOS'!DW$3:DW$500)))</f>
        <v/>
      </c>
      <c r="GX20" s="123">
        <f>IF(OR(GX$4="",$B20=""),0,SUMIF('DADOS BRUTOS'!$A$3:$A$500,$B20,'DADOS BRUTOS'!DX$3:DX$500)+IF($C20="",0,SUMIF('DADOS BRUTOS'!$A$3:$A$500,$C20,'DADOS BRUTOS'!DX$3:DX$500)))</f>
        <v/>
      </c>
      <c r="GY20" s="123">
        <f>IF(OR(GY$4="",$B20=""),0,SUMIF('DADOS BRUTOS'!$A$3:$A$500,$B20,'DADOS BRUTOS'!DY$3:DY$500)+IF($C20="",0,SUMIF('DADOS BRUTOS'!$A$3:$A$500,$C20,'DADOS BRUTOS'!DY$3:DY$500)))</f>
        <v/>
      </c>
      <c r="GZ20" s="123">
        <f>IF(OR(GZ$4="",$B20=""),0,SUMIF('DADOS BRUTOS'!$A$3:$A$500,$B20,'DADOS BRUTOS'!DZ$3:DZ$500)+IF($C20="",0,SUMIF('DADOS BRUTOS'!$A$3:$A$500,$C20,'DADOS BRUTOS'!DZ$3:DZ$500)))</f>
        <v/>
      </c>
      <c r="HA20" s="123">
        <f>IF(OR(HA$4="",$B20=""),0,SUMIF('DADOS BRUTOS'!$A$3:$A$500,$B20,'DADOS BRUTOS'!EA$3:EA$500)+IF($C20="",0,SUMIF('DADOS BRUTOS'!$A$3:$A$500,$C20,'DADOS BRUTOS'!EA$3:EA$500)))</f>
        <v/>
      </c>
      <c r="HB20" s="123">
        <f>IF(OR(HB$4="",$B20=""),0,SUMIF('DADOS BRUTOS'!$A$3:$A$500,$B20,'DADOS BRUTOS'!EB$3:EB$500)+IF($C20="",0,SUMIF('DADOS BRUTOS'!$A$3:$A$500,$C20,'DADOS BRUTOS'!EB$3:EB$500)))</f>
        <v/>
      </c>
      <c r="HC20" s="123">
        <f>IF(OR(HC$4="",$B20=""),0,SUMIF('DADOS BRUTOS'!$A$3:$A$500,$B20,'DADOS BRUTOS'!EC$3:EC$500)+IF($C20="",0,SUMIF('DADOS BRUTOS'!$A$3:$A$500,$C20,'DADOS BRUTOS'!EC$3:EC$500)))</f>
        <v/>
      </c>
      <c r="HD20" s="123">
        <f>IF(OR(HD$4="",$B20=""),0,SUMIF('DADOS BRUTOS'!$A$3:$A$500,$B20,'DADOS BRUTOS'!ED$3:ED$500)+IF($C20="",0,SUMIF('DADOS BRUTOS'!$A$3:$A$500,$C20,'DADOS BRUTOS'!ED$3:ED$500)))</f>
        <v/>
      </c>
      <c r="HE20" s="123">
        <f>IF(OR(HE$4="",$B20=""),0,SUMIF('DADOS BRUTOS'!$A$3:$A$500,$B20,'DADOS BRUTOS'!EE$3:EE$500)+IF($C20="",0,SUMIF('DADOS BRUTOS'!$A$3:$A$500,$C20,'DADOS BRUTOS'!EE$3:EE$500)))</f>
        <v/>
      </c>
      <c r="HF20" s="123">
        <f>IF(OR(HF$4="",$B20=""),0,SUMIF('DADOS BRUTOS'!$A$3:$A$500,$B20,'DADOS BRUTOS'!EF$3:EF$500)+IF($C20="",0,SUMIF('DADOS BRUTOS'!$A$3:$A$500,$C20,'DADOS BRUTOS'!EF$3:EF$500)))</f>
        <v/>
      </c>
      <c r="HG20" s="123">
        <f>IF(OR(HG$4="",$B20=""),0,SUMIF('DADOS BRUTOS'!$A$3:$A$500,$B20,'DADOS BRUTOS'!EG$3:EG$500)+IF($C20="",0,SUMIF('DADOS BRUTOS'!$A$3:$A$500,$C20,'DADOS BRUTOS'!EG$3:EG$500)))</f>
        <v/>
      </c>
      <c r="HH20" s="123">
        <f>IF(OR(HH$4="",$B20=""),0,SUMIF('DADOS BRUTOS'!$A$3:$A$500,$B20,'DADOS BRUTOS'!EH$3:EH$500)+IF($C20="",0,SUMIF('DADOS BRUTOS'!$A$3:$A$500,$C20,'DADOS BRUTOS'!EH$3:EH$500)))</f>
        <v/>
      </c>
      <c r="HI20" s="123">
        <f>IF(OR(HI$4="",$B20=""),0,SUMIF('DADOS BRUTOS'!$A$3:$A$500,$B20,'DADOS BRUTOS'!EI$3:EI$500)+IF($C20="",0,SUMIF('DADOS BRUTOS'!$A$3:$A$500,$C20,'DADOS BRUTOS'!EI$3:EI$500)))</f>
        <v/>
      </c>
      <c r="HJ20" s="123">
        <f>IF(OR(HJ$4="",$B20=""),0,SUMIF('DADOS BRUTOS'!$A$3:$A$500,$B20,'DADOS BRUTOS'!EJ$3:EJ$500)+IF($C20="",0,SUMIF('DADOS BRUTOS'!$A$3:$A$500,$C20,'DADOS BRUTOS'!EJ$3:EJ$500)))</f>
        <v/>
      </c>
      <c r="HK20" s="123">
        <f>IF(OR(HK$4="",$B20=""),0,SUMIF('DADOS BRUTOS'!$A$3:$A$500,$B20,'DADOS BRUTOS'!EK$3:EK$500)+IF($C20="",0,SUMIF('DADOS BRUTOS'!$A$3:$A$500,$C20,'DADOS BRUTOS'!EK$3:EK$500)))</f>
        <v/>
      </c>
      <c r="HL20" s="123">
        <f>IF(OR(HL$4="",$B20=""),0,SUMIF('DADOS BRUTOS'!$A$3:$A$500,$B20,'DADOS BRUTOS'!EL$3:EL$500)+IF($C20="",0,SUMIF('DADOS BRUTOS'!$A$3:$A$500,$C20,'DADOS BRUTOS'!EL$3:EL$500)))</f>
        <v/>
      </c>
      <c r="HM20" s="123">
        <f>IF(OR(HM$4="",$B20=""),0,SUMIF('DADOS BRUTOS'!$A$3:$A$500,$B20,'DADOS BRUTOS'!EM$3:EM$500)+IF($C20="",0,SUMIF('DADOS BRUTOS'!$A$3:$A$500,$C20,'DADOS BRUTOS'!EM$3:EM$500)))</f>
        <v/>
      </c>
      <c r="HN20" s="123">
        <f>IF(OR(HN$4="",$B20=""),0,SUMIF('DADOS BRUTOS'!$A$3:$A$500,$B20,'DADOS BRUTOS'!EN$3:EN$500)+IF($C20="",0,SUMIF('DADOS BRUTOS'!$A$3:$A$500,$C20,'DADOS BRUTOS'!EN$3:EN$500)))</f>
        <v/>
      </c>
      <c r="HO20" s="123">
        <f>IF(OR(HO$4="",$B20=""),0,SUMIF('DADOS BRUTOS'!$A$3:$A$500,$B20,'DADOS BRUTOS'!EO$3:EO$500)+IF($C20="",0,SUMIF('DADOS BRUTOS'!$A$3:$A$500,$C20,'DADOS BRUTOS'!EO$3:EO$500)))</f>
        <v/>
      </c>
      <c r="HP20" s="123">
        <f>IF(OR(HP$4="",$B20=""),0,SUMIF('DADOS BRUTOS'!$A$3:$A$500,$B20,'DADOS BRUTOS'!EP$3:EP$500)+IF($C20="",0,SUMIF('DADOS BRUTOS'!$A$3:$A$500,$C20,'DADOS BRUTOS'!EP$3:EP$500)))</f>
        <v/>
      </c>
      <c r="HQ20" s="123">
        <f>IF(OR(HQ$4="",$B20=""),0,SUMIF('DADOS BRUTOS'!$A$3:$A$500,$B20,'DADOS BRUTOS'!EQ$3:EQ$500)+IF($C20="",0,SUMIF('DADOS BRUTOS'!$A$3:$A$500,$C20,'DADOS BRUTOS'!EQ$3:EQ$500)))</f>
        <v/>
      </c>
      <c r="HR20" s="123">
        <f>IF(OR(HR$4="",$B20=""),0,SUMIF('DADOS BRUTOS'!$A$3:$A$500,$B20,'DADOS BRUTOS'!ER$3:ER$500)+IF($C20="",0,SUMIF('DADOS BRUTOS'!$A$3:$A$500,$C20,'DADOS BRUTOS'!ER$3:ER$500)))</f>
        <v/>
      </c>
      <c r="HS20" s="123">
        <f>IF(OR(HS$4="",$B20=""),0,SUMIF('DADOS BRUTOS'!$A$3:$A$500,$B20,'DADOS BRUTOS'!ES$3:ES$500)+IF($C20="",0,SUMIF('DADOS BRUTOS'!$A$3:$A$500,$C20,'DADOS BRUTOS'!ES$3:ES$500)))</f>
        <v/>
      </c>
      <c r="HT20" s="123">
        <f>IF(OR(HT$4="",$B20=""),0,SUMIF('DADOS BRUTOS'!$A$3:$A$500,$B20,'DADOS BRUTOS'!ET$3:ET$500)+IF($C20="",0,SUMIF('DADOS BRUTOS'!$A$3:$A$500,$C20,'DADOS BRUTOS'!ET$3:ET$500)))</f>
        <v/>
      </c>
      <c r="HU20" s="123">
        <f>IF(OR(HU$4="",$B20=""),0,SUMIF('DADOS BRUTOS'!$A$3:$A$500,$B20,'DADOS BRUTOS'!EU$3:EU$500)+IF($C20="",0,SUMIF('DADOS BRUTOS'!$A$3:$A$500,$C20,'DADOS BRUTOS'!EU$3:EU$500)))</f>
        <v/>
      </c>
      <c r="HV20" s="123">
        <f>IF(OR(HV$4="",$B20=""),0,SUMIF('DADOS BRUTOS'!$A$3:$A$500,$B20,'DADOS BRUTOS'!EV$3:EV$500)+IF($C20="",0,SUMIF('DADOS BRUTOS'!$A$3:$A$500,$C20,'DADOS BRUTOS'!EV$3:EV$500)))</f>
        <v/>
      </c>
      <c r="HW20" s="123">
        <f>IF(OR(HW$4="",$B20=""),0,SUMIF('DADOS BRUTOS'!$A$3:$A$500,$B20,'DADOS BRUTOS'!EW$3:EW$500)+IF($C20="",0,SUMIF('DADOS BRUTOS'!$A$3:$A$500,$C20,'DADOS BRUTOS'!EW$3:EW$500)))</f>
        <v/>
      </c>
      <c r="HX20" s="123">
        <f>IF(OR(HX$4="",$B20=""),0,SUMIF('DADOS BRUTOS'!$A$3:$A$500,$B20,'DADOS BRUTOS'!EX$3:EX$500)+IF($C20="",0,SUMIF('DADOS BRUTOS'!$A$3:$A$500,$C20,'DADOS BRUTOS'!EX$3:EX$500)))</f>
        <v/>
      </c>
      <c r="HY20" s="123">
        <f>IF(OR(HY$4="",$B20=""),0,SUMIF('DADOS BRUTOS'!$A$3:$A$500,$B20,'DADOS BRUTOS'!EY$3:EY$500)+IF($C20="",0,SUMIF('DADOS BRUTOS'!$A$3:$A$500,$C20,'DADOS BRUTOS'!EY$3:EY$500)))</f>
        <v/>
      </c>
      <c r="HZ20" s="123">
        <f>IF(OR(HZ$4="",$B20=""),0,SUMIF('DADOS BRUTOS'!$A$3:$A$500,$B20,'DADOS BRUTOS'!EZ$3:EZ$500)+IF($C20="",0,SUMIF('DADOS BRUTOS'!$A$3:$A$500,$C20,'DADOS BRUTOS'!EZ$3:EZ$500)))</f>
        <v/>
      </c>
      <c r="IA20" s="123">
        <f>IF(OR(IA$4="",$B20=""),0,SUMIF('DADOS BRUTOS'!$A$3:$A$500,$B20,'DADOS BRUTOS'!FA$3:FA$500)+IF($C20="",0,SUMIF('DADOS BRUTOS'!$A$3:$A$500,$C20,'DADOS BRUTOS'!FA$3:FA$500)))</f>
        <v/>
      </c>
      <c r="IB20" s="123">
        <f>IF(OR(IB$4="",$B20=""),0,SUMIF('DADOS BRUTOS'!$A$3:$A$500,$B20,'DADOS BRUTOS'!FB$3:FB$500)+IF($C20="",0,SUMIF('DADOS BRUTOS'!$A$3:$A$500,$C20,'DADOS BRUTOS'!FB$3:FB$500)))</f>
        <v/>
      </c>
      <c r="IC20" s="123">
        <f>IF(OR(IC$4="",$B20=""),0,SUMIF('DADOS BRUTOS'!$A$3:$A$500,$B20,'DADOS BRUTOS'!FC$3:FC$500)+IF($C20="",0,SUMIF('DADOS BRUTOS'!$A$3:$A$500,$C20,'DADOS BRUTOS'!FC$3:FC$500)))</f>
        <v/>
      </c>
      <c r="ID20" s="123">
        <f>IF(OR(ID$4="",$B20=""),0,SUMIF('DADOS BRUTOS'!$A$3:$A$500,$B20,'DADOS BRUTOS'!FD$3:FD$500)+IF($C20="",0,SUMIF('DADOS BRUTOS'!$A$3:$A$500,$C20,'DADOS BRUTOS'!FD$3:FD$500)))</f>
        <v/>
      </c>
      <c r="IE20" s="123">
        <f>IF(OR(IE$4="",$B20=""),0,SUMIF('DADOS BRUTOS'!$A$3:$A$500,$B20,'DADOS BRUTOS'!FE$3:FE$500)+IF($C20="",0,SUMIF('DADOS BRUTOS'!$A$3:$A$500,$C20,'DADOS BRUTOS'!FE$3:FE$500)))</f>
        <v/>
      </c>
      <c r="IF20" s="123">
        <f>IF(OR(IF$4="",$B20=""),0,SUMIF('DADOS BRUTOS'!$A$3:$A$500,$B20,'DADOS BRUTOS'!FF$3:FF$500)+IF($C20="",0,SUMIF('DADOS BRUTOS'!$A$3:$A$500,$C20,'DADOS BRUTOS'!FF$3:FF$500)))</f>
        <v/>
      </c>
      <c r="IG20" s="123">
        <f>IF(OR(IG$4="",$B20=""),0,SUMIF('DADOS BRUTOS'!$A$3:$A$500,$B20,'DADOS BRUTOS'!FG$3:FG$500)+IF($C20="",0,SUMIF('DADOS BRUTOS'!$A$3:$A$500,$C20,'DADOS BRUTOS'!FG$3:FG$500)))</f>
        <v/>
      </c>
      <c r="IH20" s="123">
        <f>IF(OR(IH$4="",$B20=""),0,SUMIF('DADOS BRUTOS'!$A$3:$A$500,$B20,'DADOS BRUTOS'!FH$3:FH$500)+IF($C20="",0,SUMIF('DADOS BRUTOS'!$A$3:$A$500,$C20,'DADOS BRUTOS'!FH$3:FH$500)))</f>
        <v/>
      </c>
      <c r="II20" s="123">
        <f>IF(OR(II$4="",$B20=""),0,SUMIF('DADOS BRUTOS'!$A$3:$A$500,$B20,'DADOS BRUTOS'!FI$3:FI$500)+IF($C20="",0,SUMIF('DADOS BRUTOS'!$A$3:$A$500,$C20,'DADOS BRUTOS'!FI$3:FI$500)))</f>
        <v/>
      </c>
      <c r="IJ20" s="123">
        <f>IF(OR(IJ$4="",$B20=""),0,SUMIF('DADOS BRUTOS'!$A$3:$A$500,$B20,'DADOS BRUTOS'!FJ$3:FJ$500)+IF($C20="",0,SUMIF('DADOS BRUTOS'!$A$3:$A$500,$C20,'DADOS BRUTOS'!FJ$3:FJ$500)))</f>
        <v/>
      </c>
      <c r="IK20" s="123">
        <f>IF(OR(IK$4="",$B20=""),0,SUMIF('DADOS BRUTOS'!$A$3:$A$500,$B20,'DADOS BRUTOS'!FK$3:FK$500)+IF($C20="",0,SUMIF('DADOS BRUTOS'!$A$3:$A$500,$C20,'DADOS BRUTOS'!FK$3:FK$500)))</f>
        <v/>
      </c>
      <c r="IL20" s="123">
        <f>IF(OR(IL$4="",$B20=""),0,SUMIF('DADOS BRUTOS'!$A$3:$A$500,$B20,'DADOS BRUTOS'!FL$3:FL$500)+IF($C20="",0,SUMIF('DADOS BRUTOS'!$A$3:$A$500,$C20,'DADOS BRUTOS'!FL$3:FL$500)))</f>
        <v/>
      </c>
      <c r="IM20" s="123">
        <f>IF(OR(IM$4="",$B20=""),0,SUMIF('DADOS BRUTOS'!$A$3:$A$500,$B20,'DADOS BRUTOS'!FM$3:FM$500)+IF($C20="",0,SUMIF('DADOS BRUTOS'!$A$3:$A$500,$C20,'DADOS BRUTOS'!FM$3:FM$500)))</f>
        <v/>
      </c>
      <c r="IN20" s="123">
        <f>IF(OR(IN$4="",$B20=""),0,SUMIF('DADOS BRUTOS'!$A$3:$A$500,$B20,'DADOS BRUTOS'!FN$3:FN$500)+IF($C20="",0,SUMIF('DADOS BRUTOS'!$A$3:$A$500,$C20,'DADOS BRUTOS'!FN$3:FN$500)))</f>
        <v/>
      </c>
      <c r="IO20" s="123">
        <f>IF(OR(IO$4="",$B20=""),0,SUMIF('DADOS BRUTOS'!$A$3:$A$500,$B20,'DADOS BRUTOS'!FO$3:FO$500)+IF($C20="",0,SUMIF('DADOS BRUTOS'!$A$3:$A$500,$C20,'DADOS BRUTOS'!FO$3:FO$500)))</f>
        <v/>
      </c>
      <c r="IP20" s="123">
        <f>IF(OR(IP$4="",$B20=""),0,SUMIF('DADOS BRUTOS'!$A$3:$A$500,$B20,'DADOS BRUTOS'!FP$3:FP$500)+IF($C20="",0,SUMIF('DADOS BRUTOS'!$A$3:$A$500,$C20,'DADOS BRUTOS'!FP$3:FP$500)))</f>
        <v/>
      </c>
      <c r="IQ20" s="123">
        <f>IF(OR(IQ$4="",$B20=""),0,SUMIF('DADOS BRUTOS'!$A$3:$A$500,$B20,'DADOS BRUTOS'!FQ$3:FQ$500)+IF($C20="",0,SUMIF('DADOS BRUTOS'!$A$3:$A$500,$C20,'DADOS BRUTOS'!FQ$3:FQ$500)))</f>
        <v/>
      </c>
      <c r="IR20" s="123">
        <f>IF(OR(IR$4="",$B20=""),0,SUMIF('DADOS BRUTOS'!$A$3:$A$500,$B20,'DADOS BRUTOS'!FR$3:FR$500)+IF($C20="",0,SUMIF('DADOS BRUTOS'!$A$3:$A$500,$C20,'DADOS BRUTOS'!FR$3:FR$500)))</f>
        <v/>
      </c>
      <c r="IS20" s="123">
        <f>IF(OR(IS$4="",$B20=""),0,SUMIF('DADOS BRUTOS'!$A$3:$A$500,$B20,'DADOS BRUTOS'!FS$3:FS$500)+IF($C20="",0,SUMIF('DADOS BRUTOS'!$A$3:$A$500,$C20,'DADOS BRUTOS'!FS$3:FS$500)))</f>
        <v/>
      </c>
      <c r="IT20" s="123">
        <f>IF(OR(IT$4="",$B20=""),0,SUMIF('DADOS BRUTOS'!$A$3:$A$500,$B20,'DADOS BRUTOS'!FT$3:FT$500)+IF($C20="",0,SUMIF('DADOS BRUTOS'!$A$3:$A$500,$C20,'DADOS BRUTOS'!FT$3:FT$500)))</f>
        <v/>
      </c>
      <c r="IU20" s="123">
        <f>IF(OR(IU$4="",$B20=""),0,SUMIF('DADOS BRUTOS'!$A$3:$A$500,$B20,'DADOS BRUTOS'!FU$3:FU$500)+IF($C20="",0,SUMIF('DADOS BRUTOS'!$A$3:$A$500,$C20,'DADOS BRUTOS'!FU$3:FU$500)))</f>
        <v/>
      </c>
      <c r="IV20" s="123">
        <f>IF(OR(IV$4="",$B20=""),0,SUMIF('DADOS BRUTOS'!$A$3:$A$500,$B20,'DADOS BRUTOS'!FV$3:FV$500)+IF($C20="",0,SUMIF('DADOS BRUTOS'!$A$3:$A$500,$C20,'DADOS BRUTOS'!FV$3:FV$500)))</f>
        <v/>
      </c>
      <c r="IW20" s="123">
        <f>IF(OR(IW$4="",$B20=""),0,SUMIF('DADOS BRUTOS'!$A$3:$A$500,$B20,'DADOS BRUTOS'!FW$3:FW$500)+IF($C20="",0,SUMIF('DADOS BRUTOS'!$A$3:$A$500,$C20,'DADOS BRUTOS'!FW$3:FW$500)))</f>
        <v/>
      </c>
      <c r="IX20" s="123">
        <f>IF(OR(IX$4="",$B20=""),0,SUMIF('DADOS BRUTOS'!$A$3:$A$500,$B20,'DADOS BRUTOS'!FX$3:FX$500)+IF($C20="",0,SUMIF('DADOS BRUTOS'!$A$3:$A$500,$C20,'DADOS BRUTOS'!FX$3:FX$500)))</f>
        <v/>
      </c>
      <c r="IY20" s="123">
        <f>IF(OR(IY$4="",$B20=""),0,SUMIF('DADOS BRUTOS'!$A$3:$A$500,$B20,'DADOS BRUTOS'!FY$3:FY$500)+IF($C20="",0,SUMIF('DADOS BRUTOS'!$A$3:$A$500,$C20,'DADOS BRUTOS'!FY$3:FY$500)))</f>
        <v/>
      </c>
      <c r="IZ20" s="123">
        <f>IF(OR(IZ$4="",$B20=""),0,SUMIF('DADOS BRUTOS'!$A$3:$A$500,$B20,'DADOS BRUTOS'!FZ$3:FZ$500)+IF($C20="",0,SUMIF('DADOS BRUTOS'!$A$3:$A$500,$C20,'DADOS BRUTOS'!FZ$3:FZ$500)))</f>
        <v/>
      </c>
      <c r="JA20" s="123">
        <f>IF(OR(JA$4="",$B20=""),0,SUMIF('DADOS BRUTOS'!$A$3:$A$500,$B20,'DADOS BRUTOS'!GA$3:GA$500)+IF($C20="",0,SUMIF('DADOS BRUTOS'!$A$3:$A$500,$C20,'DADOS BRUTOS'!GA$3:GA$500)))</f>
        <v/>
      </c>
      <c r="JB20" s="123">
        <f>IF(OR(JB$4="",$B20=""),0,SUMIF('DADOS BRUTOS'!$A$3:$A$500,$B20,'DADOS BRUTOS'!GB$3:GB$500)+IF($C20="",0,SUMIF('DADOS BRUTOS'!$A$3:$A$500,$C20,'DADOS BRUTOS'!GB$3:GB$500)))</f>
        <v/>
      </c>
      <c r="JC20" s="123">
        <f>IF(OR(JC$4="",$B20=""),0,SUMIF('DADOS BRUTOS'!$A$3:$A$500,$B20,'DADOS BRUTOS'!GC$3:GC$500)+IF($C20="",0,SUMIF('DADOS BRUTOS'!$A$3:$A$500,$C20,'DADOS BRUTOS'!GC$3:GC$500)))</f>
        <v/>
      </c>
      <c r="JD20" s="123">
        <f>IF(OR(JD$4="",$B20=""),0,SUMIF('DADOS BRUTOS'!$A$3:$A$500,$B20,'DADOS BRUTOS'!GD$3:GD$500)+IF($C20="",0,SUMIF('DADOS BRUTOS'!$A$3:$A$500,$C20,'DADOS BRUTOS'!GD$3:GD$500)))</f>
        <v/>
      </c>
      <c r="JE20" s="123">
        <f>IF(OR(JE$4="",$B20=""),0,SUMIF('DADOS BRUTOS'!$A$3:$A$500,$B20,'DADOS BRUTOS'!GE$3:GE$500)+IF($C20="",0,SUMIF('DADOS BRUTOS'!$A$3:$A$500,$C20,'DADOS BRUTOS'!GE$3:GE$500)))</f>
        <v/>
      </c>
      <c r="JF20" s="123">
        <f>IF(OR(JF$4="",$B20=""),0,SUMIF('DADOS BRUTOS'!$A$3:$A$500,$B20,'DADOS BRUTOS'!GF$3:GF$500)+IF($C20="",0,SUMIF('DADOS BRUTOS'!$A$3:$A$500,$C20,'DADOS BRUTOS'!GF$3:GF$500)))</f>
        <v/>
      </c>
      <c r="JG20" s="123">
        <f>IF(OR(JG$4="",$B20=""),0,SUMIF('DADOS BRUTOS'!$A$3:$A$500,$B20,'DADOS BRUTOS'!GG$3:GG$500)+IF($C20="",0,SUMIF('DADOS BRUTOS'!$A$3:$A$500,$C20,'DADOS BRUTOS'!GG$3:GG$500)))</f>
        <v/>
      </c>
      <c r="JH20" s="123">
        <f>IF(OR(JH$4="",$B20=""),0,SUMIF('DADOS BRUTOS'!$A$3:$A$500,$B20,'DADOS BRUTOS'!GH$3:GH$500)+IF($C20="",0,SUMIF('DADOS BRUTOS'!$A$3:$A$500,$C20,'DADOS BRUTOS'!GH$3:GH$500)))</f>
        <v/>
      </c>
      <c r="JI20" s="123">
        <f>IF(OR(JI$4="",$B20=""),0,SUMIF('DADOS BRUTOS'!$A$3:$A$500,$B20,'DADOS BRUTOS'!GI$3:GI$500)+IF($C20="",0,SUMIF('DADOS BRUTOS'!$A$3:$A$500,$C20,'DADOS BRUTOS'!GI$3:GI$500)))</f>
        <v/>
      </c>
      <c r="JJ20" s="123">
        <f>IF(OR(JJ$4="",$B20=""),0,SUMIF('DADOS BRUTOS'!$A$3:$A$500,$B20,'DADOS BRUTOS'!GJ$3:GJ$500)+IF($C20="",0,SUMIF('DADOS BRUTOS'!$A$3:$A$500,$C20,'DADOS BRUTOS'!GJ$3:GJ$500)))</f>
        <v/>
      </c>
      <c r="JK20" s="123">
        <f>IF(OR(JK$4="",$B20=""),0,SUMIF('DADOS BRUTOS'!$A$3:$A$500,$B20,'DADOS BRUTOS'!GK$3:GK$500)+IF($C20="",0,SUMIF('DADOS BRUTOS'!$A$3:$A$500,$C20,'DADOS BRUTOS'!GK$3:GK$500)))</f>
        <v/>
      </c>
      <c r="JL20" s="123">
        <f>IF(OR(JL$4="",$B20=""),0,SUMIF('DADOS BRUTOS'!$A$3:$A$500,$B20,'DADOS BRUTOS'!GL$3:GL$500)+IF($C20="",0,SUMIF('DADOS BRUTOS'!$A$3:$A$500,$C20,'DADOS BRUTOS'!GL$3:GL$500)))</f>
        <v/>
      </c>
      <c r="JM20" s="123">
        <f>IF(OR(JM$4="",$B20=""),0,SUMIF('DADOS BRUTOS'!$A$3:$A$500,$B20,'DADOS BRUTOS'!GM$3:GM$500)+IF($C20="",0,SUMIF('DADOS BRUTOS'!$A$3:$A$500,$C20,'DADOS BRUTOS'!GM$3:GM$500)))</f>
        <v/>
      </c>
      <c r="JN20" s="123">
        <f>IF(OR(JN$4="",$B20=""),0,SUMIF('DADOS BRUTOS'!$A$3:$A$500,$B20,'DADOS BRUTOS'!GN$3:GN$500)+IF($C20="",0,SUMIF('DADOS BRUTOS'!$A$3:$A$500,$C20,'DADOS BRUTOS'!GN$3:GN$500)))</f>
        <v/>
      </c>
      <c r="JO20" s="123">
        <f>IF(OR(JO$4="",$B20=""),0,SUMIF('DADOS BRUTOS'!$A$3:$A$500,$B20,'DADOS BRUTOS'!GO$3:GO$500)+IF($C20="",0,SUMIF('DADOS BRUTOS'!$A$3:$A$500,$C20,'DADOS BRUTOS'!GO$3:GO$500)))</f>
        <v/>
      </c>
      <c r="JP20" s="123">
        <f>IF(OR(JP$4="",$B20=""),0,SUMIF('DADOS BRUTOS'!$A$3:$A$500,$B20,'DADOS BRUTOS'!GP$3:GP$500)+IF($C20="",0,SUMIF('DADOS BRUTOS'!$A$3:$A$500,$C20,'DADOS BRUTOS'!GP$3:GP$500)))</f>
        <v/>
      </c>
      <c r="JQ20" s="123">
        <f>IF(OR(JQ$4="",$B20=""),0,SUMIF('DADOS BRUTOS'!$A$3:$A$500,$B20,'DADOS BRUTOS'!GQ$3:GQ$500)+IF($C20="",0,SUMIF('DADOS BRUTOS'!$A$3:$A$500,$C20,'DADOS BRUTOS'!GQ$3:GQ$500)))</f>
        <v/>
      </c>
      <c r="JR20" s="123">
        <f>IF(OR(JR$4="",$B20=""),0,SUMIF('DADOS BRUTOS'!$A$3:$A$500,$B20,'DADOS BRUTOS'!GR$3:GR$500)+IF($C20="",0,SUMIF('DADOS BRUTOS'!$A$3:$A$500,$C20,'DADOS BRUTOS'!GR$3:GR$500)))</f>
        <v/>
      </c>
      <c r="JS20" s="123">
        <f>IF(OR(JS$4="",$B20=""),0,SUMIF('DADOS BRUTOS'!$A$3:$A$500,$B20,'DADOS BRUTOS'!GS$3:GS$500)+IF($C20="",0,SUMIF('DADOS BRUTOS'!$A$3:$A$500,$C20,'DADOS BRUTOS'!GS$3:GS$500)))</f>
        <v/>
      </c>
    </row>
    <row r="21">
      <c r="A21" s="60">
        <f>'VALOR POR PL'!D27</f>
        <v/>
      </c>
      <c r="B21" s="59" t="inlineStr">
        <is>
          <t>ESTRUTURA EM CONTRETO ARMADO</t>
        </is>
      </c>
      <c r="C21" s="59" t="n"/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CB21" s="123">
        <f>IF(OR(CB$4="",$B21=""),0,SUMIF('DADOS BRUTOS'!$A$3:$A$500,$B21,'DADOS BRUTOS'!B$3:B$500)+IF($C21="",0,SUMIF('DADOS BRUTOS'!$A$3:$A$500,$C21,'DADOS BRUTOS'!B$3:B$500)))</f>
        <v/>
      </c>
      <c r="CC21" s="123">
        <f>IF(OR(CC$4="",$B21=""),0,SUMIF('DADOS BRUTOS'!$A$3:$A$500,$B21,'DADOS BRUTOS'!C$3:C$500)+IF($C21="",0,SUMIF('DADOS BRUTOS'!$A$3:$A$500,$C21,'DADOS BRUTOS'!C$3:C$500)))</f>
        <v/>
      </c>
      <c r="CD21" s="123">
        <f>IF(OR(CD$4="",$B21=""),0,SUMIF('DADOS BRUTOS'!$A$3:$A$500,$B21,'DADOS BRUTOS'!D$3:D$500)+IF($C21="",0,SUMIF('DADOS BRUTOS'!$A$3:$A$500,$C21,'DADOS BRUTOS'!D$3:D$500)))</f>
        <v/>
      </c>
      <c r="CE21" s="123">
        <f>IF(OR(CE$4="",$B21=""),0,SUMIF('DADOS BRUTOS'!$A$3:$A$500,$B21,'DADOS BRUTOS'!E$3:E$500)+IF($C21="",0,SUMIF('DADOS BRUTOS'!$A$3:$A$500,$C21,'DADOS BRUTOS'!E$3:E$500)))</f>
        <v/>
      </c>
      <c r="CF21" s="123">
        <f>IF(OR(CF$4="",$B21=""),0,SUMIF('DADOS BRUTOS'!$A$3:$A$500,$B21,'DADOS BRUTOS'!F$3:F$500)+IF($C21="",0,SUMIF('DADOS BRUTOS'!$A$3:$A$500,$C21,'DADOS BRUTOS'!F$3:F$500)))</f>
        <v/>
      </c>
      <c r="CG21" s="123">
        <f>IF(OR(CG$4="",$B21=""),0,SUMIF('DADOS BRUTOS'!$A$3:$A$500,$B21,'DADOS BRUTOS'!G$3:G$500)+IF($C21="",0,SUMIF('DADOS BRUTOS'!$A$3:$A$500,$C21,'DADOS BRUTOS'!G$3:G$500)))</f>
        <v/>
      </c>
      <c r="CH21" s="123">
        <f>IF(OR(CH$4="",$B21=""),0,SUMIF('DADOS BRUTOS'!$A$3:$A$500,$B21,'DADOS BRUTOS'!H$3:H$500)+IF($C21="",0,SUMIF('DADOS BRUTOS'!$A$3:$A$500,$C21,'DADOS BRUTOS'!H$3:H$500)))</f>
        <v/>
      </c>
      <c r="CI21" s="123">
        <f>IF(OR(CI$4="",$B21=""),0,SUMIF('DADOS BRUTOS'!$A$3:$A$500,$B21,'DADOS BRUTOS'!I$3:I$500)+IF($C21="",0,SUMIF('DADOS BRUTOS'!$A$3:$A$500,$C21,'DADOS BRUTOS'!I$3:I$500)))</f>
        <v/>
      </c>
      <c r="CJ21" s="123">
        <f>IF(OR(CJ$4="",$B21=""),0,SUMIF('DADOS BRUTOS'!$A$3:$A$500,$B21,'DADOS BRUTOS'!J$3:J$500)+IF($C21="",0,SUMIF('DADOS BRUTOS'!$A$3:$A$500,$C21,'DADOS BRUTOS'!J$3:J$500)))</f>
        <v/>
      </c>
      <c r="CK21" s="123">
        <f>IF(OR(CK$4="",$B21=""),0,SUMIF('DADOS BRUTOS'!$A$3:$A$500,$B21,'DADOS BRUTOS'!K$3:K$500)+IF($C21="",0,SUMIF('DADOS BRUTOS'!$A$3:$A$500,$C21,'DADOS BRUTOS'!K$3:K$500)))</f>
        <v/>
      </c>
      <c r="CL21" s="123">
        <f>IF(OR(CL$4="",$B21=""),0,SUMIF('DADOS BRUTOS'!$A$3:$A$500,$B21,'DADOS BRUTOS'!L$3:L$500)+IF($C21="",0,SUMIF('DADOS BRUTOS'!$A$3:$A$500,$C21,'DADOS BRUTOS'!L$3:L$500)))</f>
        <v/>
      </c>
      <c r="CM21" s="123">
        <f>IF(OR(CM$4="",$B21=""),0,SUMIF('DADOS BRUTOS'!$A$3:$A$500,$B21,'DADOS BRUTOS'!M$3:M$500)+IF($C21="",0,SUMIF('DADOS BRUTOS'!$A$3:$A$500,$C21,'DADOS BRUTOS'!M$3:M$500)))</f>
        <v/>
      </c>
      <c r="CN21" s="123">
        <f>IF(OR(CN$4="",$B21=""),0,SUMIF('DADOS BRUTOS'!$A$3:$A$500,$B21,'DADOS BRUTOS'!N$3:N$500)+IF($C21="",0,SUMIF('DADOS BRUTOS'!$A$3:$A$500,$C21,'DADOS BRUTOS'!N$3:N$500)))</f>
        <v/>
      </c>
      <c r="CO21" s="123">
        <f>IF(OR(CO$4="",$B21=""),0,SUMIF('DADOS BRUTOS'!$A$3:$A$500,$B21,'DADOS BRUTOS'!O$3:O$500)+IF($C21="",0,SUMIF('DADOS BRUTOS'!$A$3:$A$500,$C21,'DADOS BRUTOS'!O$3:O$500)))</f>
        <v/>
      </c>
      <c r="CP21" s="123">
        <f>IF(OR(CP$4="",$B21=""),0,SUMIF('DADOS BRUTOS'!$A$3:$A$500,$B21,'DADOS BRUTOS'!P$3:P$500)+IF($C21="",0,SUMIF('DADOS BRUTOS'!$A$3:$A$500,$C21,'DADOS BRUTOS'!P$3:P$500)))</f>
        <v/>
      </c>
      <c r="CQ21" s="123">
        <f>IF(OR(CQ$4="",$B21=""),0,SUMIF('DADOS BRUTOS'!$A$3:$A$500,$B21,'DADOS BRUTOS'!Q$3:Q$500)+IF($C21="",0,SUMIF('DADOS BRUTOS'!$A$3:$A$500,$C21,'DADOS BRUTOS'!Q$3:Q$500)))</f>
        <v/>
      </c>
      <c r="CR21" s="123">
        <f>IF(OR(CR$4="",$B21=""),0,SUMIF('DADOS BRUTOS'!$A$3:$A$500,$B21,'DADOS BRUTOS'!R$3:R$500)+IF($C21="",0,SUMIF('DADOS BRUTOS'!$A$3:$A$500,$C21,'DADOS BRUTOS'!R$3:R$500)))</f>
        <v/>
      </c>
      <c r="CS21" s="123">
        <f>IF(OR(CS$4="",$B21=""),0,SUMIF('DADOS BRUTOS'!$A$3:$A$500,$B21,'DADOS BRUTOS'!S$3:S$500)+IF($C21="",0,SUMIF('DADOS BRUTOS'!$A$3:$A$500,$C21,'DADOS BRUTOS'!S$3:S$500)))</f>
        <v/>
      </c>
      <c r="CT21" s="123">
        <f>IF(OR(CT$4="",$B21=""),0,SUMIF('DADOS BRUTOS'!$A$3:$A$500,$B21,'DADOS BRUTOS'!T$3:T$500)+IF($C21="",0,SUMIF('DADOS BRUTOS'!$A$3:$A$500,$C21,'DADOS BRUTOS'!T$3:T$500)))</f>
        <v/>
      </c>
      <c r="CU21" s="123">
        <f>IF(OR(CU$4="",$B21=""),0,SUMIF('DADOS BRUTOS'!$A$3:$A$500,$B21,'DADOS BRUTOS'!U$3:U$500)+IF($C21="",0,SUMIF('DADOS BRUTOS'!$A$3:$A$500,$C21,'DADOS BRUTOS'!U$3:U$500)))</f>
        <v/>
      </c>
      <c r="CV21" s="123">
        <f>IF(OR(CV$4="",$B21=""),0,SUMIF('DADOS BRUTOS'!$A$3:$A$500,$B21,'DADOS BRUTOS'!V$3:V$500)+IF($C21="",0,SUMIF('DADOS BRUTOS'!$A$3:$A$500,$C21,'DADOS BRUTOS'!V$3:V$500)))</f>
        <v/>
      </c>
      <c r="CW21" s="123">
        <f>IF(OR(CW$4="",$B21=""),0,SUMIF('DADOS BRUTOS'!$A$3:$A$500,$B21,'DADOS BRUTOS'!W$3:W$500)+IF($C21="",0,SUMIF('DADOS BRUTOS'!$A$3:$A$500,$C21,'DADOS BRUTOS'!W$3:W$500)))</f>
        <v/>
      </c>
      <c r="CX21" s="123">
        <f>IF(OR(CX$4="",$B21=""),0,SUMIF('DADOS BRUTOS'!$A$3:$A$500,$B21,'DADOS BRUTOS'!X$3:X$500)+IF($C21="",0,SUMIF('DADOS BRUTOS'!$A$3:$A$500,$C21,'DADOS BRUTOS'!X$3:X$500)))</f>
        <v/>
      </c>
      <c r="CY21" s="123">
        <f>IF(OR(CY$4="",$B21=""),0,SUMIF('DADOS BRUTOS'!$A$3:$A$500,$B21,'DADOS BRUTOS'!Y$3:Y$500)+IF($C21="",0,SUMIF('DADOS BRUTOS'!$A$3:$A$500,$C21,'DADOS BRUTOS'!Y$3:Y$500)))</f>
        <v/>
      </c>
      <c r="CZ21" s="123">
        <f>IF(OR(CZ$4="",$B21=""),0,SUMIF('DADOS BRUTOS'!$A$3:$A$500,$B21,'DADOS BRUTOS'!Z$3:Z$500)+IF($C21="",0,SUMIF('DADOS BRUTOS'!$A$3:$A$500,$C21,'DADOS BRUTOS'!Z$3:Z$500)))</f>
        <v/>
      </c>
      <c r="DA21" s="123">
        <f>IF(OR(DA$4="",$B21=""),0,SUMIF('DADOS BRUTOS'!$A$3:$A$500,$B21,'DADOS BRUTOS'!AA$3:AA$500)+IF($C21="",0,SUMIF('DADOS BRUTOS'!$A$3:$A$500,$C21,'DADOS BRUTOS'!AA$3:AA$500)))</f>
        <v/>
      </c>
      <c r="DB21" s="123">
        <f>IF(OR(DB$4="",$B21=""),0,SUMIF('DADOS BRUTOS'!$A$3:$A$500,$B21,'DADOS BRUTOS'!AB$3:AB$500)+IF($C21="",0,SUMIF('DADOS BRUTOS'!$A$3:$A$500,$C21,'DADOS BRUTOS'!AB$3:AB$500)))</f>
        <v/>
      </c>
      <c r="DC21" s="123">
        <f>IF(OR(DC$4="",$B21=""),0,SUMIF('DADOS BRUTOS'!$A$3:$A$500,$B21,'DADOS BRUTOS'!AC$3:AC$500)+IF($C21="",0,SUMIF('DADOS BRUTOS'!$A$3:$A$500,$C21,'DADOS BRUTOS'!AC$3:AC$500)))</f>
        <v/>
      </c>
      <c r="DD21" s="123">
        <f>IF(OR(DD$4="",$B21=""),0,SUMIF('DADOS BRUTOS'!$A$3:$A$500,$B21,'DADOS BRUTOS'!AD$3:AD$500)+IF($C21="",0,SUMIF('DADOS BRUTOS'!$A$3:$A$500,$C21,'DADOS BRUTOS'!AD$3:AD$500)))</f>
        <v/>
      </c>
      <c r="DE21" s="123">
        <f>IF(OR(DE$4="",$B21=""),0,SUMIF('DADOS BRUTOS'!$A$3:$A$500,$B21,'DADOS BRUTOS'!AE$3:AE$500)+IF($C21="",0,SUMIF('DADOS BRUTOS'!$A$3:$A$500,$C21,'DADOS BRUTOS'!AE$3:AE$500)))</f>
        <v/>
      </c>
      <c r="DF21" s="123">
        <f>IF(OR(DF$4="",$B21=""),0,SUMIF('DADOS BRUTOS'!$A$3:$A$500,$B21,'DADOS BRUTOS'!AF$3:AF$500)+IF($C21="",0,SUMIF('DADOS BRUTOS'!$A$3:$A$500,$C21,'DADOS BRUTOS'!AF$3:AF$500)))</f>
        <v/>
      </c>
      <c r="DG21" s="123">
        <f>IF(OR(DG$4="",$B21=""),0,SUMIF('DADOS BRUTOS'!$A$3:$A$500,$B21,'DADOS BRUTOS'!AG$3:AG$500)+IF($C21="",0,SUMIF('DADOS BRUTOS'!$A$3:$A$500,$C21,'DADOS BRUTOS'!AG$3:AG$500)))</f>
        <v/>
      </c>
      <c r="DH21" s="123">
        <f>IF(OR(DH$4="",$B21=""),0,SUMIF('DADOS BRUTOS'!$A$3:$A$500,$B21,'DADOS BRUTOS'!AH$3:AH$500)+IF($C21="",0,SUMIF('DADOS BRUTOS'!$A$3:$A$500,$C21,'DADOS BRUTOS'!AH$3:AH$500)))</f>
        <v/>
      </c>
      <c r="DI21" s="123">
        <f>IF(OR(DI$4="",$B21=""),0,SUMIF('DADOS BRUTOS'!$A$3:$A$500,$B21,'DADOS BRUTOS'!AI$3:AI$500)+IF($C21="",0,SUMIF('DADOS BRUTOS'!$A$3:$A$500,$C21,'DADOS BRUTOS'!AI$3:AI$500)))</f>
        <v/>
      </c>
      <c r="DJ21" s="123">
        <f>IF(OR(DJ$4="",$B21=""),0,SUMIF('DADOS BRUTOS'!$A$3:$A$500,$B21,'DADOS BRUTOS'!AJ$3:AJ$500)+IF($C21="",0,SUMIF('DADOS BRUTOS'!$A$3:$A$500,$C21,'DADOS BRUTOS'!AJ$3:AJ$500)))</f>
        <v/>
      </c>
      <c r="DK21" s="123">
        <f>IF(OR(DK$4="",$B21=""),0,SUMIF('DADOS BRUTOS'!$A$3:$A$500,$B21,'DADOS BRUTOS'!AK$3:AK$500)+IF($C21="",0,SUMIF('DADOS BRUTOS'!$A$3:$A$500,$C21,'DADOS BRUTOS'!AK$3:AK$500)))</f>
        <v/>
      </c>
      <c r="DL21" s="123">
        <f>IF(OR(DL$4="",$B21=""),0,SUMIF('DADOS BRUTOS'!$A$3:$A$500,$B21,'DADOS BRUTOS'!AL$3:AL$500)+IF($C21="",0,SUMIF('DADOS BRUTOS'!$A$3:$A$500,$C21,'DADOS BRUTOS'!AL$3:AL$500)))</f>
        <v/>
      </c>
      <c r="DM21" s="123">
        <f>IF(OR(DM$4="",$B21=""),0,SUMIF('DADOS BRUTOS'!$A$3:$A$500,$B21,'DADOS BRUTOS'!AM$3:AM$500)+IF($C21="",0,SUMIF('DADOS BRUTOS'!$A$3:$A$500,$C21,'DADOS BRUTOS'!AM$3:AM$500)))</f>
        <v/>
      </c>
      <c r="DN21" s="123">
        <f>IF(OR(DN$4="",$B21=""),0,SUMIF('DADOS BRUTOS'!$A$3:$A$500,$B21,'DADOS BRUTOS'!AN$3:AN$500)+IF($C21="",0,SUMIF('DADOS BRUTOS'!$A$3:$A$500,$C21,'DADOS BRUTOS'!AN$3:AN$500)))</f>
        <v/>
      </c>
      <c r="DO21" s="123">
        <f>IF(OR(DO$4="",$B21=""),0,SUMIF('DADOS BRUTOS'!$A$3:$A$500,$B21,'DADOS BRUTOS'!AO$3:AO$500)+IF($C21="",0,SUMIF('DADOS BRUTOS'!$A$3:$A$500,$C21,'DADOS BRUTOS'!AO$3:AO$500)))</f>
        <v/>
      </c>
      <c r="DP21" s="123">
        <f>IF(OR(DP$4="",$B21=""),0,SUMIF('DADOS BRUTOS'!$A$3:$A$500,$B21,'DADOS BRUTOS'!AP$3:AP$500)+IF($C21="",0,SUMIF('DADOS BRUTOS'!$A$3:$A$500,$C21,'DADOS BRUTOS'!AP$3:AP$500)))</f>
        <v/>
      </c>
      <c r="DQ21" s="123">
        <f>IF(OR(DQ$4="",$B21=""),0,SUMIF('DADOS BRUTOS'!$A$3:$A$500,$B21,'DADOS BRUTOS'!AQ$3:AQ$500)+IF($C21="",0,SUMIF('DADOS BRUTOS'!$A$3:$A$500,$C21,'DADOS BRUTOS'!AQ$3:AQ$500)))</f>
        <v/>
      </c>
      <c r="DR21" s="123">
        <f>IF(OR(DR$4="",$B21=""),0,SUMIF('DADOS BRUTOS'!$A$3:$A$500,$B21,'DADOS BRUTOS'!AR$3:AR$500)+IF($C21="",0,SUMIF('DADOS BRUTOS'!$A$3:$A$500,$C21,'DADOS BRUTOS'!AR$3:AR$500)))</f>
        <v/>
      </c>
      <c r="DS21" s="123">
        <f>IF(OR(DS$4="",$B21=""),0,SUMIF('DADOS BRUTOS'!$A$3:$A$500,$B21,'DADOS BRUTOS'!AS$3:AS$500)+IF($C21="",0,SUMIF('DADOS BRUTOS'!$A$3:$A$500,$C21,'DADOS BRUTOS'!AS$3:AS$500)))</f>
        <v/>
      </c>
      <c r="DT21" s="123">
        <f>IF(OR(DT$4="",$B21=""),0,SUMIF('DADOS BRUTOS'!$A$3:$A$500,$B21,'DADOS BRUTOS'!AT$3:AT$500)+IF($C21="",0,SUMIF('DADOS BRUTOS'!$A$3:$A$500,$C21,'DADOS BRUTOS'!AT$3:AT$500)))</f>
        <v/>
      </c>
      <c r="DU21" s="123">
        <f>IF(OR(DU$4="",$B21=""),0,SUMIF('DADOS BRUTOS'!$A$3:$A$500,$B21,'DADOS BRUTOS'!AU$3:AU$500)+IF($C21="",0,SUMIF('DADOS BRUTOS'!$A$3:$A$500,$C21,'DADOS BRUTOS'!AU$3:AU$500)))</f>
        <v/>
      </c>
      <c r="DV21" s="123">
        <f>IF(OR(DV$4="",$B21=""),0,SUMIF('DADOS BRUTOS'!$A$3:$A$500,$B21,'DADOS BRUTOS'!AV$3:AV$500)+IF($C21="",0,SUMIF('DADOS BRUTOS'!$A$3:$A$500,$C21,'DADOS BRUTOS'!AV$3:AV$500)))</f>
        <v/>
      </c>
      <c r="DW21" s="123">
        <f>IF(OR(DW$4="",$B21=""),0,SUMIF('DADOS BRUTOS'!$A$3:$A$500,$B21,'DADOS BRUTOS'!AW$3:AW$500)+IF($C21="",0,SUMIF('DADOS BRUTOS'!$A$3:$A$500,$C21,'DADOS BRUTOS'!AW$3:AW$500)))</f>
        <v/>
      </c>
      <c r="DX21" s="123">
        <f>IF(OR(DX$4="",$B21=""),0,SUMIF('DADOS BRUTOS'!$A$3:$A$500,$B21,'DADOS BRUTOS'!AX$3:AX$500)+IF($C21="",0,SUMIF('DADOS BRUTOS'!$A$3:$A$500,$C21,'DADOS BRUTOS'!AX$3:AX$500)))</f>
        <v/>
      </c>
      <c r="DY21" s="123">
        <f>IF(OR(DY$4="",$B21=""),0,SUMIF('DADOS BRUTOS'!$A$3:$A$500,$B21,'DADOS BRUTOS'!AY$3:AY$500)+IF($C21="",0,SUMIF('DADOS BRUTOS'!$A$3:$A$500,$C21,'DADOS BRUTOS'!AY$3:AY$500)))</f>
        <v/>
      </c>
      <c r="DZ21" s="123">
        <f>IF(OR(DZ$4="",$B21=""),0,SUMIF('DADOS BRUTOS'!$A$3:$A$500,$B21,'DADOS BRUTOS'!AZ$3:AZ$500)+IF($C21="",0,SUMIF('DADOS BRUTOS'!$A$3:$A$500,$C21,'DADOS BRUTOS'!AZ$3:AZ$500)))</f>
        <v/>
      </c>
      <c r="EA21" s="123">
        <f>IF(OR(EA$4="",$B21=""),0,SUMIF('DADOS BRUTOS'!$A$3:$A$500,$B21,'DADOS BRUTOS'!BA$3:BA$500)+IF($C21="",0,SUMIF('DADOS BRUTOS'!$A$3:$A$500,$C21,'DADOS BRUTOS'!BA$3:BA$500)))</f>
        <v/>
      </c>
      <c r="EB21" s="123">
        <f>IF(OR(EB$4="",$B21=""),0,SUMIF('DADOS BRUTOS'!$A$3:$A$500,$B21,'DADOS BRUTOS'!BB$3:BB$500)+IF($C21="",0,SUMIF('DADOS BRUTOS'!$A$3:$A$500,$C21,'DADOS BRUTOS'!BB$3:BB$500)))</f>
        <v/>
      </c>
      <c r="EC21" s="123">
        <f>IF(OR(EC$4="",$B21=""),0,SUMIF('DADOS BRUTOS'!$A$3:$A$500,$B21,'DADOS BRUTOS'!BC$3:BC$500)+IF($C21="",0,SUMIF('DADOS BRUTOS'!$A$3:$A$500,$C21,'DADOS BRUTOS'!BC$3:BC$500)))</f>
        <v/>
      </c>
      <c r="ED21" s="123">
        <f>IF(OR(ED$4="",$B21=""),0,SUMIF('DADOS BRUTOS'!$A$3:$A$500,$B21,'DADOS BRUTOS'!BD$3:BD$500)+IF($C21="",0,SUMIF('DADOS BRUTOS'!$A$3:$A$500,$C21,'DADOS BRUTOS'!BD$3:BD$500)))</f>
        <v/>
      </c>
      <c r="EE21" s="123">
        <f>IF(OR(EE$4="",$B21=""),0,SUMIF('DADOS BRUTOS'!$A$3:$A$500,$B21,'DADOS BRUTOS'!BE$3:BE$500)+IF($C21="",0,SUMIF('DADOS BRUTOS'!$A$3:$A$500,$C21,'DADOS BRUTOS'!BE$3:BE$500)))</f>
        <v/>
      </c>
      <c r="EF21" s="123">
        <f>IF(OR(EF$4="",$B21=""),0,SUMIF('DADOS BRUTOS'!$A$3:$A$500,$B21,'DADOS BRUTOS'!BF$3:BF$500)+IF($C21="",0,SUMIF('DADOS BRUTOS'!$A$3:$A$500,$C21,'DADOS BRUTOS'!BF$3:BF$500)))</f>
        <v/>
      </c>
      <c r="EG21" s="123">
        <f>IF(OR(EG$4="",$B21=""),0,SUMIF('DADOS BRUTOS'!$A$3:$A$500,$B21,'DADOS BRUTOS'!BG$3:BG$500)+IF($C21="",0,SUMIF('DADOS BRUTOS'!$A$3:$A$500,$C21,'DADOS BRUTOS'!BG$3:BG$500)))</f>
        <v/>
      </c>
      <c r="EH21" s="123">
        <f>IF(OR(EH$4="",$B21=""),0,SUMIF('DADOS BRUTOS'!$A$3:$A$500,$B21,'DADOS BRUTOS'!BH$3:BH$500)+IF($C21="",0,SUMIF('DADOS BRUTOS'!$A$3:$A$500,$C21,'DADOS BRUTOS'!BH$3:BH$500)))</f>
        <v/>
      </c>
      <c r="EI21" s="123">
        <f>IF(OR(EI$4="",$B21=""),0,SUMIF('DADOS BRUTOS'!$A$3:$A$500,$B21,'DADOS BRUTOS'!BI$3:BI$500)+IF($C21="",0,SUMIF('DADOS BRUTOS'!$A$3:$A$500,$C21,'DADOS BRUTOS'!BI$3:BI$500)))</f>
        <v/>
      </c>
      <c r="EJ21" s="123">
        <f>IF(OR(EJ$4="",$B21=""),0,SUMIF('DADOS BRUTOS'!$A$3:$A$500,$B21,'DADOS BRUTOS'!BJ$3:BJ$500)+IF($C21="",0,SUMIF('DADOS BRUTOS'!$A$3:$A$500,$C21,'DADOS BRUTOS'!BJ$3:BJ$500)))</f>
        <v/>
      </c>
      <c r="EK21" s="123">
        <f>IF(OR(EK$4="",$B21=""),0,SUMIF('DADOS BRUTOS'!$A$3:$A$500,$B21,'DADOS BRUTOS'!BK$3:BK$500)+IF($C21="",0,SUMIF('DADOS BRUTOS'!$A$3:$A$500,$C21,'DADOS BRUTOS'!BK$3:BK$500)))</f>
        <v/>
      </c>
      <c r="EL21" s="123">
        <f>IF(OR(EL$4="",$B21=""),0,SUMIF('DADOS BRUTOS'!$A$3:$A$500,$B21,'DADOS BRUTOS'!BL$3:BL$500)+IF($C21="",0,SUMIF('DADOS BRUTOS'!$A$3:$A$500,$C21,'DADOS BRUTOS'!BL$3:BL$500)))</f>
        <v/>
      </c>
      <c r="EM21" s="123">
        <f>IF(OR(EM$4="",$B21=""),0,SUMIF('DADOS BRUTOS'!$A$3:$A$500,$B21,'DADOS BRUTOS'!BM$3:BM$500)+IF($C21="",0,SUMIF('DADOS BRUTOS'!$A$3:$A$500,$C21,'DADOS BRUTOS'!BM$3:BM$500)))</f>
        <v/>
      </c>
      <c r="EN21" s="123">
        <f>IF(OR(EN$4="",$B21=""),0,SUMIF('DADOS BRUTOS'!$A$3:$A$500,$B21,'DADOS BRUTOS'!BN$3:BN$500)+IF($C21="",0,SUMIF('DADOS BRUTOS'!$A$3:$A$500,$C21,'DADOS BRUTOS'!BN$3:BN$500)))</f>
        <v/>
      </c>
      <c r="EO21" s="123">
        <f>IF(OR(EO$4="",$B21=""),0,SUMIF('DADOS BRUTOS'!$A$3:$A$500,$B21,'DADOS BRUTOS'!BO$3:BO$500)+IF($C21="",0,SUMIF('DADOS BRUTOS'!$A$3:$A$500,$C21,'DADOS BRUTOS'!BO$3:BO$500)))</f>
        <v/>
      </c>
      <c r="EP21" s="123">
        <f>IF(OR(EP$4="",$B21=""),0,SUMIF('DADOS BRUTOS'!$A$3:$A$500,$B21,'DADOS BRUTOS'!BP$3:BP$500)+IF($C21="",0,SUMIF('DADOS BRUTOS'!$A$3:$A$500,$C21,'DADOS BRUTOS'!BP$3:BP$500)))</f>
        <v/>
      </c>
      <c r="EQ21" s="123">
        <f>IF(OR(EQ$4="",$B21=""),0,SUMIF('DADOS BRUTOS'!$A$3:$A$500,$B21,'DADOS BRUTOS'!BQ$3:BQ$500)+IF($C21="",0,SUMIF('DADOS BRUTOS'!$A$3:$A$500,$C21,'DADOS BRUTOS'!BQ$3:BQ$500)))</f>
        <v/>
      </c>
      <c r="ER21" s="123">
        <f>IF(OR(ER$4="",$B21=""),0,SUMIF('DADOS BRUTOS'!$A$3:$A$500,$B21,'DADOS BRUTOS'!BR$3:BR$500)+IF($C21="",0,SUMIF('DADOS BRUTOS'!$A$3:$A$500,$C21,'DADOS BRUTOS'!BR$3:BR$500)))</f>
        <v/>
      </c>
      <c r="ES21" s="123">
        <f>IF(OR(ES$4="",$B21=""),0,SUMIF('DADOS BRUTOS'!$A$3:$A$500,$B21,'DADOS BRUTOS'!BS$3:BS$500)+IF($C21="",0,SUMIF('DADOS BRUTOS'!$A$3:$A$500,$C21,'DADOS BRUTOS'!BS$3:BS$500)))</f>
        <v/>
      </c>
      <c r="ET21" s="123">
        <f>IF(OR(ET$4="",$B21=""),0,SUMIF('DADOS BRUTOS'!$A$3:$A$500,$B21,'DADOS BRUTOS'!BT$3:BT$500)+IF($C21="",0,SUMIF('DADOS BRUTOS'!$A$3:$A$500,$C21,'DADOS BRUTOS'!BT$3:BT$500)))</f>
        <v/>
      </c>
      <c r="EU21" s="123">
        <f>IF(OR(EU$4="",$B21=""),0,SUMIF('DADOS BRUTOS'!$A$3:$A$500,$B21,'DADOS BRUTOS'!BU$3:BU$500)+IF($C21="",0,SUMIF('DADOS BRUTOS'!$A$3:$A$500,$C21,'DADOS BRUTOS'!BU$3:BU$500)))</f>
        <v/>
      </c>
      <c r="EV21" s="123">
        <f>IF(OR(EV$4="",$B21=""),0,SUMIF('DADOS BRUTOS'!$A$3:$A$500,$B21,'DADOS BRUTOS'!BV$3:BV$500)+IF($C21="",0,SUMIF('DADOS BRUTOS'!$A$3:$A$500,$C21,'DADOS BRUTOS'!BV$3:BV$500)))</f>
        <v/>
      </c>
      <c r="EW21" s="123">
        <f>IF(OR(EW$4="",$B21=""),0,SUMIF('DADOS BRUTOS'!$A$3:$A$500,$B21,'DADOS BRUTOS'!BW$3:BW$500)+IF($C21="",0,SUMIF('DADOS BRUTOS'!$A$3:$A$500,$C21,'DADOS BRUTOS'!BW$3:BW$500)))</f>
        <v/>
      </c>
      <c r="EX21" s="123">
        <f>IF(OR(EX$4="",$B21=""),0,SUMIF('DADOS BRUTOS'!$A$3:$A$500,$B21,'DADOS BRUTOS'!BX$3:BX$500)+IF($C21="",0,SUMIF('DADOS BRUTOS'!$A$3:$A$500,$C21,'DADOS BRUTOS'!BX$3:BX$500)))</f>
        <v/>
      </c>
      <c r="EY21" s="123">
        <f>IF(OR(EY$4="",$B21=""),0,SUMIF('DADOS BRUTOS'!$A$3:$A$500,$B21,'DADOS BRUTOS'!BY$3:BY$500)+IF($C21="",0,SUMIF('DADOS BRUTOS'!$A$3:$A$500,$C21,'DADOS BRUTOS'!BY$3:BY$500)))</f>
        <v/>
      </c>
      <c r="EZ21" s="123">
        <f>IF(OR(EZ$4="",$B21=""),0,SUMIF('DADOS BRUTOS'!$A$3:$A$500,$B21,'DADOS BRUTOS'!BZ$3:BZ$500)+IF($C21="",0,SUMIF('DADOS BRUTOS'!$A$3:$A$500,$C21,'DADOS BRUTOS'!BZ$3:BZ$500)))</f>
        <v/>
      </c>
      <c r="FA21" s="123">
        <f>IF(OR(FA$4="",$B21=""),0,SUMIF('DADOS BRUTOS'!$A$3:$A$500,$B21,'DADOS BRUTOS'!CA$3:CA$500)+IF($C21="",0,SUMIF('DADOS BRUTOS'!$A$3:$A$500,$C21,'DADOS BRUTOS'!CA$3:CA$500)))</f>
        <v/>
      </c>
      <c r="FB21" s="123">
        <f>IF(OR(FB$4="",$B21=""),0,SUMIF('DADOS BRUTOS'!$A$3:$A$500,$B21,'DADOS BRUTOS'!CB$3:CB$500)+IF($C21="",0,SUMIF('DADOS BRUTOS'!$A$3:$A$500,$C21,'DADOS BRUTOS'!CB$3:CB$500)))</f>
        <v/>
      </c>
      <c r="FC21" s="123">
        <f>IF(OR(FC$4="",$B21=""),0,SUMIF('DADOS BRUTOS'!$A$3:$A$500,$B21,'DADOS BRUTOS'!CC$3:CC$500)+IF($C21="",0,SUMIF('DADOS BRUTOS'!$A$3:$A$500,$C21,'DADOS BRUTOS'!CC$3:CC$500)))</f>
        <v/>
      </c>
      <c r="FD21" s="123">
        <f>IF(OR(FD$4="",$B21=""),0,SUMIF('DADOS BRUTOS'!$A$3:$A$500,$B21,'DADOS BRUTOS'!CD$3:CD$500)+IF($C21="",0,SUMIF('DADOS BRUTOS'!$A$3:$A$500,$C21,'DADOS BRUTOS'!CD$3:CD$500)))</f>
        <v/>
      </c>
      <c r="FE21" s="123">
        <f>IF(OR(FE$4="",$B21=""),0,SUMIF('DADOS BRUTOS'!$A$3:$A$500,$B21,'DADOS BRUTOS'!CE$3:CE$500)+IF($C21="",0,SUMIF('DADOS BRUTOS'!$A$3:$A$500,$C21,'DADOS BRUTOS'!CE$3:CE$500)))</f>
        <v/>
      </c>
      <c r="FF21" s="123">
        <f>IF(OR(FF$4="",$B21=""),0,SUMIF('DADOS BRUTOS'!$A$3:$A$500,$B21,'DADOS BRUTOS'!CF$3:CF$500)+IF($C21="",0,SUMIF('DADOS BRUTOS'!$A$3:$A$500,$C21,'DADOS BRUTOS'!CF$3:CF$500)))</f>
        <v/>
      </c>
      <c r="FG21" s="123">
        <f>IF(OR(FG$4="",$B21=""),0,SUMIF('DADOS BRUTOS'!$A$3:$A$500,$B21,'DADOS BRUTOS'!CG$3:CG$500)+IF($C21="",0,SUMIF('DADOS BRUTOS'!$A$3:$A$500,$C21,'DADOS BRUTOS'!CG$3:CG$500)))</f>
        <v/>
      </c>
      <c r="FH21" s="123">
        <f>IF(OR(FH$4="",$B21=""),0,SUMIF('DADOS BRUTOS'!$A$3:$A$500,$B21,'DADOS BRUTOS'!CH$3:CH$500)+IF($C21="",0,SUMIF('DADOS BRUTOS'!$A$3:$A$500,$C21,'DADOS BRUTOS'!CH$3:CH$500)))</f>
        <v/>
      </c>
      <c r="FI21" s="123">
        <f>IF(OR(FI$4="",$B21=""),0,SUMIF('DADOS BRUTOS'!$A$3:$A$500,$B21,'DADOS BRUTOS'!CI$3:CI$500)+IF($C21="",0,SUMIF('DADOS BRUTOS'!$A$3:$A$500,$C21,'DADOS BRUTOS'!CI$3:CI$500)))</f>
        <v/>
      </c>
      <c r="FJ21" s="123">
        <f>IF(OR(FJ$4="",$B21=""),0,SUMIF('DADOS BRUTOS'!$A$3:$A$500,$B21,'DADOS BRUTOS'!CJ$3:CJ$500)+IF($C21="",0,SUMIF('DADOS BRUTOS'!$A$3:$A$500,$C21,'DADOS BRUTOS'!CJ$3:CJ$500)))</f>
        <v/>
      </c>
      <c r="FK21" s="123">
        <f>IF(OR(FK$4="",$B21=""),0,SUMIF('DADOS BRUTOS'!$A$3:$A$500,$B21,'DADOS BRUTOS'!CK$3:CK$500)+IF($C21="",0,SUMIF('DADOS BRUTOS'!$A$3:$A$500,$C21,'DADOS BRUTOS'!CK$3:CK$500)))</f>
        <v/>
      </c>
      <c r="FL21" s="123">
        <f>IF(OR(FL$4="",$B21=""),0,SUMIF('DADOS BRUTOS'!$A$3:$A$500,$B21,'DADOS BRUTOS'!CL$3:CL$500)+IF($C21="",0,SUMIF('DADOS BRUTOS'!$A$3:$A$500,$C21,'DADOS BRUTOS'!CL$3:CL$500)))</f>
        <v/>
      </c>
      <c r="FM21" s="123">
        <f>IF(OR(FM$4="",$B21=""),0,SUMIF('DADOS BRUTOS'!$A$3:$A$500,$B21,'DADOS BRUTOS'!CM$3:CM$500)+IF($C21="",0,SUMIF('DADOS BRUTOS'!$A$3:$A$500,$C21,'DADOS BRUTOS'!CM$3:CM$500)))</f>
        <v/>
      </c>
      <c r="FN21" s="123">
        <f>IF(OR(FN$4="",$B21=""),0,SUMIF('DADOS BRUTOS'!$A$3:$A$500,$B21,'DADOS BRUTOS'!CN$3:CN$500)+IF($C21="",0,SUMIF('DADOS BRUTOS'!$A$3:$A$500,$C21,'DADOS BRUTOS'!CN$3:CN$500)))</f>
        <v/>
      </c>
      <c r="FO21" s="123">
        <f>IF(OR(FO$4="",$B21=""),0,SUMIF('DADOS BRUTOS'!$A$3:$A$500,$B21,'DADOS BRUTOS'!CO$3:CO$500)+IF($C21="",0,SUMIF('DADOS BRUTOS'!$A$3:$A$500,$C21,'DADOS BRUTOS'!CO$3:CO$500)))</f>
        <v/>
      </c>
      <c r="FP21" s="123">
        <f>IF(OR(FP$4="",$B21=""),0,SUMIF('DADOS BRUTOS'!$A$3:$A$500,$B21,'DADOS BRUTOS'!CP$3:CP$500)+IF($C21="",0,SUMIF('DADOS BRUTOS'!$A$3:$A$500,$C21,'DADOS BRUTOS'!CP$3:CP$500)))</f>
        <v/>
      </c>
      <c r="FQ21" s="123">
        <f>IF(OR(FQ$4="",$B21=""),0,SUMIF('DADOS BRUTOS'!$A$3:$A$500,$B21,'DADOS BRUTOS'!CQ$3:CQ$500)+IF($C21="",0,SUMIF('DADOS BRUTOS'!$A$3:$A$500,$C21,'DADOS BRUTOS'!CQ$3:CQ$500)))</f>
        <v/>
      </c>
      <c r="FR21" s="123">
        <f>IF(OR(FR$4="",$B21=""),0,SUMIF('DADOS BRUTOS'!$A$3:$A$500,$B21,'DADOS BRUTOS'!CR$3:CR$500)+IF($C21="",0,SUMIF('DADOS BRUTOS'!$A$3:$A$500,$C21,'DADOS BRUTOS'!CR$3:CR$500)))</f>
        <v/>
      </c>
      <c r="FS21" s="123">
        <f>IF(OR(FS$4="",$B21=""),0,SUMIF('DADOS BRUTOS'!$A$3:$A$500,$B21,'DADOS BRUTOS'!CS$3:CS$500)+IF($C21="",0,SUMIF('DADOS BRUTOS'!$A$3:$A$500,$C21,'DADOS BRUTOS'!CS$3:CS$500)))</f>
        <v/>
      </c>
      <c r="FT21" s="123">
        <f>IF(OR(FT$4="",$B21=""),0,SUMIF('DADOS BRUTOS'!$A$3:$A$500,$B21,'DADOS BRUTOS'!CT$3:CT$500)+IF($C21="",0,SUMIF('DADOS BRUTOS'!$A$3:$A$500,$C21,'DADOS BRUTOS'!CT$3:CT$500)))</f>
        <v/>
      </c>
      <c r="FU21" s="123">
        <f>IF(OR(FU$4="",$B21=""),0,SUMIF('DADOS BRUTOS'!$A$3:$A$500,$B21,'DADOS BRUTOS'!CU$3:CU$500)+IF($C21="",0,SUMIF('DADOS BRUTOS'!$A$3:$A$500,$C21,'DADOS BRUTOS'!CU$3:CU$500)))</f>
        <v/>
      </c>
      <c r="FV21" s="123">
        <f>IF(OR(FV$4="",$B21=""),0,SUMIF('DADOS BRUTOS'!$A$3:$A$500,$B21,'DADOS BRUTOS'!CV$3:CV$500)+IF($C21="",0,SUMIF('DADOS BRUTOS'!$A$3:$A$500,$C21,'DADOS BRUTOS'!CV$3:CV$500)))</f>
        <v/>
      </c>
      <c r="FW21" s="123">
        <f>IF(OR(FW$4="",$B21=""),0,SUMIF('DADOS BRUTOS'!$A$3:$A$500,$B21,'DADOS BRUTOS'!CW$3:CW$500)+IF($C21="",0,SUMIF('DADOS BRUTOS'!$A$3:$A$500,$C21,'DADOS BRUTOS'!CW$3:CW$500)))</f>
        <v/>
      </c>
      <c r="FX21" s="123">
        <f>IF(OR(FX$4="",$B21=""),0,SUMIF('DADOS BRUTOS'!$A$3:$A$500,$B21,'DADOS BRUTOS'!CX$3:CX$500)+IF($C21="",0,SUMIF('DADOS BRUTOS'!$A$3:$A$500,$C21,'DADOS BRUTOS'!CX$3:CX$500)))</f>
        <v/>
      </c>
      <c r="FY21" s="123">
        <f>IF(OR(FY$4="",$B21=""),0,SUMIF('DADOS BRUTOS'!$A$3:$A$500,$B21,'DADOS BRUTOS'!CY$3:CY$500)+IF($C21="",0,SUMIF('DADOS BRUTOS'!$A$3:$A$500,$C21,'DADOS BRUTOS'!CY$3:CY$500)))</f>
        <v/>
      </c>
      <c r="FZ21" s="123">
        <f>IF(OR(FZ$4="",$B21=""),0,SUMIF('DADOS BRUTOS'!$A$3:$A$500,$B21,'DADOS BRUTOS'!CZ$3:CZ$500)+IF($C21="",0,SUMIF('DADOS BRUTOS'!$A$3:$A$500,$C21,'DADOS BRUTOS'!CZ$3:CZ$500)))</f>
        <v/>
      </c>
      <c r="GA21" s="123">
        <f>IF(OR(GA$4="",$B21=""),0,SUMIF('DADOS BRUTOS'!$A$3:$A$500,$B21,'DADOS BRUTOS'!DA$3:DA$500)+IF($C21="",0,SUMIF('DADOS BRUTOS'!$A$3:$A$500,$C21,'DADOS BRUTOS'!DA$3:DA$500)))</f>
        <v/>
      </c>
      <c r="GB21" s="123">
        <f>IF(OR(GB$4="",$B21=""),0,SUMIF('DADOS BRUTOS'!$A$3:$A$500,$B21,'DADOS BRUTOS'!DB$3:DB$500)+IF($C21="",0,SUMIF('DADOS BRUTOS'!$A$3:$A$500,$C21,'DADOS BRUTOS'!DB$3:DB$500)))</f>
        <v/>
      </c>
      <c r="GC21" s="123">
        <f>IF(OR(GC$4="",$B21=""),0,SUMIF('DADOS BRUTOS'!$A$3:$A$500,$B21,'DADOS BRUTOS'!DC$3:DC$500)+IF($C21="",0,SUMIF('DADOS BRUTOS'!$A$3:$A$500,$C21,'DADOS BRUTOS'!DC$3:DC$500)))</f>
        <v/>
      </c>
      <c r="GD21" s="123">
        <f>IF(OR(GD$4="",$B21=""),0,SUMIF('DADOS BRUTOS'!$A$3:$A$500,$B21,'DADOS BRUTOS'!DD$3:DD$500)+IF($C21="",0,SUMIF('DADOS BRUTOS'!$A$3:$A$500,$C21,'DADOS BRUTOS'!DD$3:DD$500)))</f>
        <v/>
      </c>
      <c r="GE21" s="123">
        <f>IF(OR(GE$4="",$B21=""),0,SUMIF('DADOS BRUTOS'!$A$3:$A$500,$B21,'DADOS BRUTOS'!DE$3:DE$500)+IF($C21="",0,SUMIF('DADOS BRUTOS'!$A$3:$A$500,$C21,'DADOS BRUTOS'!DE$3:DE$500)))</f>
        <v/>
      </c>
      <c r="GF21" s="123">
        <f>IF(OR(GF$4="",$B21=""),0,SUMIF('DADOS BRUTOS'!$A$3:$A$500,$B21,'DADOS BRUTOS'!DF$3:DF$500)+IF($C21="",0,SUMIF('DADOS BRUTOS'!$A$3:$A$500,$C21,'DADOS BRUTOS'!DF$3:DF$500)))</f>
        <v/>
      </c>
      <c r="GG21" s="123">
        <f>IF(OR(GG$4="",$B21=""),0,SUMIF('DADOS BRUTOS'!$A$3:$A$500,$B21,'DADOS BRUTOS'!DG$3:DG$500)+IF($C21="",0,SUMIF('DADOS BRUTOS'!$A$3:$A$500,$C21,'DADOS BRUTOS'!DG$3:DG$500)))</f>
        <v/>
      </c>
      <c r="GH21" s="123">
        <f>IF(OR(GH$4="",$B21=""),0,SUMIF('DADOS BRUTOS'!$A$3:$A$500,$B21,'DADOS BRUTOS'!DH$3:DH$500)+IF($C21="",0,SUMIF('DADOS BRUTOS'!$A$3:$A$500,$C21,'DADOS BRUTOS'!DH$3:DH$500)))</f>
        <v/>
      </c>
      <c r="GI21" s="123">
        <f>IF(OR(GI$4="",$B21=""),0,SUMIF('DADOS BRUTOS'!$A$3:$A$500,$B21,'DADOS BRUTOS'!DI$3:DI$500)+IF($C21="",0,SUMIF('DADOS BRUTOS'!$A$3:$A$500,$C21,'DADOS BRUTOS'!DI$3:DI$500)))</f>
        <v/>
      </c>
      <c r="GJ21" s="123">
        <f>IF(OR(GJ$4="",$B21=""),0,SUMIF('DADOS BRUTOS'!$A$3:$A$500,$B21,'DADOS BRUTOS'!DJ$3:DJ$500)+IF($C21="",0,SUMIF('DADOS BRUTOS'!$A$3:$A$500,$C21,'DADOS BRUTOS'!DJ$3:DJ$500)))</f>
        <v/>
      </c>
      <c r="GK21" s="123">
        <f>IF(OR(GK$4="",$B21=""),0,SUMIF('DADOS BRUTOS'!$A$3:$A$500,$B21,'DADOS BRUTOS'!DK$3:DK$500)+IF($C21="",0,SUMIF('DADOS BRUTOS'!$A$3:$A$500,$C21,'DADOS BRUTOS'!DK$3:DK$500)))</f>
        <v/>
      </c>
      <c r="GL21" s="123">
        <f>IF(OR(GL$4="",$B21=""),0,SUMIF('DADOS BRUTOS'!$A$3:$A$500,$B21,'DADOS BRUTOS'!DL$3:DL$500)+IF($C21="",0,SUMIF('DADOS BRUTOS'!$A$3:$A$500,$C21,'DADOS BRUTOS'!DL$3:DL$500)))</f>
        <v/>
      </c>
      <c r="GM21" s="123">
        <f>IF(OR(GM$4="",$B21=""),0,SUMIF('DADOS BRUTOS'!$A$3:$A$500,$B21,'DADOS BRUTOS'!DM$3:DM$500)+IF($C21="",0,SUMIF('DADOS BRUTOS'!$A$3:$A$500,$C21,'DADOS BRUTOS'!DM$3:DM$500)))</f>
        <v/>
      </c>
      <c r="GN21" s="123">
        <f>IF(OR(GN$4="",$B21=""),0,SUMIF('DADOS BRUTOS'!$A$3:$A$500,$B21,'DADOS BRUTOS'!DN$3:DN$500)+IF($C21="",0,SUMIF('DADOS BRUTOS'!$A$3:$A$500,$C21,'DADOS BRUTOS'!DN$3:DN$500)))</f>
        <v/>
      </c>
      <c r="GO21" s="123">
        <f>IF(OR(GO$4="",$B21=""),0,SUMIF('DADOS BRUTOS'!$A$3:$A$500,$B21,'DADOS BRUTOS'!DO$3:DO$500)+IF($C21="",0,SUMIF('DADOS BRUTOS'!$A$3:$A$500,$C21,'DADOS BRUTOS'!DO$3:DO$500)))</f>
        <v/>
      </c>
      <c r="GP21" s="123">
        <f>IF(OR(GP$4="",$B21=""),0,SUMIF('DADOS BRUTOS'!$A$3:$A$500,$B21,'DADOS BRUTOS'!DP$3:DP$500)+IF($C21="",0,SUMIF('DADOS BRUTOS'!$A$3:$A$500,$C21,'DADOS BRUTOS'!DP$3:DP$500)))</f>
        <v/>
      </c>
      <c r="GQ21" s="123">
        <f>IF(OR(GQ$4="",$B21=""),0,SUMIF('DADOS BRUTOS'!$A$3:$A$500,$B21,'DADOS BRUTOS'!DQ$3:DQ$500)+IF($C21="",0,SUMIF('DADOS BRUTOS'!$A$3:$A$500,$C21,'DADOS BRUTOS'!DQ$3:DQ$500)))</f>
        <v/>
      </c>
      <c r="GR21" s="123">
        <f>IF(OR(GR$4="",$B21=""),0,SUMIF('DADOS BRUTOS'!$A$3:$A$500,$B21,'DADOS BRUTOS'!DR$3:DR$500)+IF($C21="",0,SUMIF('DADOS BRUTOS'!$A$3:$A$500,$C21,'DADOS BRUTOS'!DR$3:DR$500)))</f>
        <v/>
      </c>
      <c r="GS21" s="123">
        <f>IF(OR(GS$4="",$B21=""),0,SUMIF('DADOS BRUTOS'!$A$3:$A$500,$B21,'DADOS BRUTOS'!DS$3:DS$500)+IF($C21="",0,SUMIF('DADOS BRUTOS'!$A$3:$A$500,$C21,'DADOS BRUTOS'!DS$3:DS$500)))</f>
        <v/>
      </c>
      <c r="GT21" s="123">
        <f>IF(OR(GT$4="",$B21=""),0,SUMIF('DADOS BRUTOS'!$A$3:$A$500,$B21,'DADOS BRUTOS'!DT$3:DT$500)+IF($C21="",0,SUMIF('DADOS BRUTOS'!$A$3:$A$500,$C21,'DADOS BRUTOS'!DT$3:DT$500)))</f>
        <v/>
      </c>
      <c r="GU21" s="123">
        <f>IF(OR(GU$4="",$B21=""),0,SUMIF('DADOS BRUTOS'!$A$3:$A$500,$B21,'DADOS BRUTOS'!DU$3:DU$500)+IF($C21="",0,SUMIF('DADOS BRUTOS'!$A$3:$A$500,$C21,'DADOS BRUTOS'!DU$3:DU$500)))</f>
        <v/>
      </c>
      <c r="GV21" s="123">
        <f>IF(OR(GV$4="",$B21=""),0,SUMIF('DADOS BRUTOS'!$A$3:$A$500,$B21,'DADOS BRUTOS'!DV$3:DV$500)+IF($C21="",0,SUMIF('DADOS BRUTOS'!$A$3:$A$500,$C21,'DADOS BRUTOS'!DV$3:DV$500)))</f>
        <v/>
      </c>
      <c r="GW21" s="123">
        <f>IF(OR(GW$4="",$B21=""),0,SUMIF('DADOS BRUTOS'!$A$3:$A$500,$B21,'DADOS BRUTOS'!DW$3:DW$500)+IF($C21="",0,SUMIF('DADOS BRUTOS'!$A$3:$A$500,$C21,'DADOS BRUTOS'!DW$3:DW$500)))</f>
        <v/>
      </c>
      <c r="GX21" s="123">
        <f>IF(OR(GX$4="",$B21=""),0,SUMIF('DADOS BRUTOS'!$A$3:$A$500,$B21,'DADOS BRUTOS'!DX$3:DX$500)+IF($C21="",0,SUMIF('DADOS BRUTOS'!$A$3:$A$500,$C21,'DADOS BRUTOS'!DX$3:DX$500)))</f>
        <v/>
      </c>
      <c r="GY21" s="123">
        <f>IF(OR(GY$4="",$B21=""),0,SUMIF('DADOS BRUTOS'!$A$3:$A$500,$B21,'DADOS BRUTOS'!DY$3:DY$500)+IF($C21="",0,SUMIF('DADOS BRUTOS'!$A$3:$A$500,$C21,'DADOS BRUTOS'!DY$3:DY$500)))</f>
        <v/>
      </c>
      <c r="GZ21" s="123">
        <f>IF(OR(GZ$4="",$B21=""),0,SUMIF('DADOS BRUTOS'!$A$3:$A$500,$B21,'DADOS BRUTOS'!DZ$3:DZ$500)+IF($C21="",0,SUMIF('DADOS BRUTOS'!$A$3:$A$500,$C21,'DADOS BRUTOS'!DZ$3:DZ$500)))</f>
        <v/>
      </c>
      <c r="HA21" s="123">
        <f>IF(OR(HA$4="",$B21=""),0,SUMIF('DADOS BRUTOS'!$A$3:$A$500,$B21,'DADOS BRUTOS'!EA$3:EA$500)+IF($C21="",0,SUMIF('DADOS BRUTOS'!$A$3:$A$500,$C21,'DADOS BRUTOS'!EA$3:EA$500)))</f>
        <v/>
      </c>
      <c r="HB21" s="123">
        <f>IF(OR(HB$4="",$B21=""),0,SUMIF('DADOS BRUTOS'!$A$3:$A$500,$B21,'DADOS BRUTOS'!EB$3:EB$500)+IF($C21="",0,SUMIF('DADOS BRUTOS'!$A$3:$A$500,$C21,'DADOS BRUTOS'!EB$3:EB$500)))</f>
        <v/>
      </c>
      <c r="HC21" s="123">
        <f>IF(OR(HC$4="",$B21=""),0,SUMIF('DADOS BRUTOS'!$A$3:$A$500,$B21,'DADOS BRUTOS'!EC$3:EC$500)+IF($C21="",0,SUMIF('DADOS BRUTOS'!$A$3:$A$500,$C21,'DADOS BRUTOS'!EC$3:EC$500)))</f>
        <v/>
      </c>
      <c r="HD21" s="123">
        <f>IF(OR(HD$4="",$B21=""),0,SUMIF('DADOS BRUTOS'!$A$3:$A$500,$B21,'DADOS BRUTOS'!ED$3:ED$500)+IF($C21="",0,SUMIF('DADOS BRUTOS'!$A$3:$A$500,$C21,'DADOS BRUTOS'!ED$3:ED$500)))</f>
        <v/>
      </c>
      <c r="HE21" s="123">
        <f>IF(OR(HE$4="",$B21=""),0,SUMIF('DADOS BRUTOS'!$A$3:$A$500,$B21,'DADOS BRUTOS'!EE$3:EE$500)+IF($C21="",0,SUMIF('DADOS BRUTOS'!$A$3:$A$500,$C21,'DADOS BRUTOS'!EE$3:EE$500)))</f>
        <v/>
      </c>
      <c r="HF21" s="123">
        <f>IF(OR(HF$4="",$B21=""),0,SUMIF('DADOS BRUTOS'!$A$3:$A$500,$B21,'DADOS BRUTOS'!EF$3:EF$500)+IF($C21="",0,SUMIF('DADOS BRUTOS'!$A$3:$A$500,$C21,'DADOS BRUTOS'!EF$3:EF$500)))</f>
        <v/>
      </c>
      <c r="HG21" s="123">
        <f>IF(OR(HG$4="",$B21=""),0,SUMIF('DADOS BRUTOS'!$A$3:$A$500,$B21,'DADOS BRUTOS'!EG$3:EG$500)+IF($C21="",0,SUMIF('DADOS BRUTOS'!$A$3:$A$500,$C21,'DADOS BRUTOS'!EG$3:EG$500)))</f>
        <v/>
      </c>
      <c r="HH21" s="123">
        <f>IF(OR(HH$4="",$B21=""),0,SUMIF('DADOS BRUTOS'!$A$3:$A$500,$B21,'DADOS BRUTOS'!EH$3:EH$500)+IF($C21="",0,SUMIF('DADOS BRUTOS'!$A$3:$A$500,$C21,'DADOS BRUTOS'!EH$3:EH$500)))</f>
        <v/>
      </c>
      <c r="HI21" s="123">
        <f>IF(OR(HI$4="",$B21=""),0,SUMIF('DADOS BRUTOS'!$A$3:$A$500,$B21,'DADOS BRUTOS'!EI$3:EI$500)+IF($C21="",0,SUMIF('DADOS BRUTOS'!$A$3:$A$500,$C21,'DADOS BRUTOS'!EI$3:EI$500)))</f>
        <v/>
      </c>
      <c r="HJ21" s="123">
        <f>IF(OR(HJ$4="",$B21=""),0,SUMIF('DADOS BRUTOS'!$A$3:$A$500,$B21,'DADOS BRUTOS'!EJ$3:EJ$500)+IF($C21="",0,SUMIF('DADOS BRUTOS'!$A$3:$A$500,$C21,'DADOS BRUTOS'!EJ$3:EJ$500)))</f>
        <v/>
      </c>
      <c r="HK21" s="123">
        <f>IF(OR(HK$4="",$B21=""),0,SUMIF('DADOS BRUTOS'!$A$3:$A$500,$B21,'DADOS BRUTOS'!EK$3:EK$500)+IF($C21="",0,SUMIF('DADOS BRUTOS'!$A$3:$A$500,$C21,'DADOS BRUTOS'!EK$3:EK$500)))</f>
        <v/>
      </c>
      <c r="HL21" s="123">
        <f>IF(OR(HL$4="",$B21=""),0,SUMIF('DADOS BRUTOS'!$A$3:$A$500,$B21,'DADOS BRUTOS'!EL$3:EL$500)+IF($C21="",0,SUMIF('DADOS BRUTOS'!$A$3:$A$500,$C21,'DADOS BRUTOS'!EL$3:EL$500)))</f>
        <v/>
      </c>
      <c r="HM21" s="123">
        <f>IF(OR(HM$4="",$B21=""),0,SUMIF('DADOS BRUTOS'!$A$3:$A$500,$B21,'DADOS BRUTOS'!EM$3:EM$500)+IF($C21="",0,SUMIF('DADOS BRUTOS'!$A$3:$A$500,$C21,'DADOS BRUTOS'!EM$3:EM$500)))</f>
        <v/>
      </c>
      <c r="HN21" s="123">
        <f>IF(OR(HN$4="",$B21=""),0,SUMIF('DADOS BRUTOS'!$A$3:$A$500,$B21,'DADOS BRUTOS'!EN$3:EN$500)+IF($C21="",0,SUMIF('DADOS BRUTOS'!$A$3:$A$500,$C21,'DADOS BRUTOS'!EN$3:EN$500)))</f>
        <v/>
      </c>
      <c r="HO21" s="123">
        <f>IF(OR(HO$4="",$B21=""),0,SUMIF('DADOS BRUTOS'!$A$3:$A$500,$B21,'DADOS BRUTOS'!EO$3:EO$500)+IF($C21="",0,SUMIF('DADOS BRUTOS'!$A$3:$A$500,$C21,'DADOS BRUTOS'!EO$3:EO$500)))</f>
        <v/>
      </c>
      <c r="HP21" s="123">
        <f>IF(OR(HP$4="",$B21=""),0,SUMIF('DADOS BRUTOS'!$A$3:$A$500,$B21,'DADOS BRUTOS'!EP$3:EP$500)+IF($C21="",0,SUMIF('DADOS BRUTOS'!$A$3:$A$500,$C21,'DADOS BRUTOS'!EP$3:EP$500)))</f>
        <v/>
      </c>
      <c r="HQ21" s="123">
        <f>IF(OR(HQ$4="",$B21=""),0,SUMIF('DADOS BRUTOS'!$A$3:$A$500,$B21,'DADOS BRUTOS'!EQ$3:EQ$500)+IF($C21="",0,SUMIF('DADOS BRUTOS'!$A$3:$A$500,$C21,'DADOS BRUTOS'!EQ$3:EQ$500)))</f>
        <v/>
      </c>
      <c r="HR21" s="123">
        <f>IF(OR(HR$4="",$B21=""),0,SUMIF('DADOS BRUTOS'!$A$3:$A$500,$B21,'DADOS BRUTOS'!ER$3:ER$500)+IF($C21="",0,SUMIF('DADOS BRUTOS'!$A$3:$A$500,$C21,'DADOS BRUTOS'!ER$3:ER$500)))</f>
        <v/>
      </c>
      <c r="HS21" s="123">
        <f>IF(OR(HS$4="",$B21=""),0,SUMIF('DADOS BRUTOS'!$A$3:$A$500,$B21,'DADOS BRUTOS'!ES$3:ES$500)+IF($C21="",0,SUMIF('DADOS BRUTOS'!$A$3:$A$500,$C21,'DADOS BRUTOS'!ES$3:ES$500)))</f>
        <v/>
      </c>
      <c r="HT21" s="123">
        <f>IF(OR(HT$4="",$B21=""),0,SUMIF('DADOS BRUTOS'!$A$3:$A$500,$B21,'DADOS BRUTOS'!ET$3:ET$500)+IF($C21="",0,SUMIF('DADOS BRUTOS'!$A$3:$A$500,$C21,'DADOS BRUTOS'!ET$3:ET$500)))</f>
        <v/>
      </c>
      <c r="HU21" s="123">
        <f>IF(OR(HU$4="",$B21=""),0,SUMIF('DADOS BRUTOS'!$A$3:$A$500,$B21,'DADOS BRUTOS'!EU$3:EU$500)+IF($C21="",0,SUMIF('DADOS BRUTOS'!$A$3:$A$500,$C21,'DADOS BRUTOS'!EU$3:EU$500)))</f>
        <v/>
      </c>
      <c r="HV21" s="123">
        <f>IF(OR(HV$4="",$B21=""),0,SUMIF('DADOS BRUTOS'!$A$3:$A$500,$B21,'DADOS BRUTOS'!EV$3:EV$500)+IF($C21="",0,SUMIF('DADOS BRUTOS'!$A$3:$A$500,$C21,'DADOS BRUTOS'!EV$3:EV$500)))</f>
        <v/>
      </c>
      <c r="HW21" s="123">
        <f>IF(OR(HW$4="",$B21=""),0,SUMIF('DADOS BRUTOS'!$A$3:$A$500,$B21,'DADOS BRUTOS'!EW$3:EW$500)+IF($C21="",0,SUMIF('DADOS BRUTOS'!$A$3:$A$500,$C21,'DADOS BRUTOS'!EW$3:EW$500)))</f>
        <v/>
      </c>
      <c r="HX21" s="123">
        <f>IF(OR(HX$4="",$B21=""),0,SUMIF('DADOS BRUTOS'!$A$3:$A$500,$B21,'DADOS BRUTOS'!EX$3:EX$500)+IF($C21="",0,SUMIF('DADOS BRUTOS'!$A$3:$A$500,$C21,'DADOS BRUTOS'!EX$3:EX$500)))</f>
        <v/>
      </c>
      <c r="HY21" s="123">
        <f>IF(OR(HY$4="",$B21=""),0,SUMIF('DADOS BRUTOS'!$A$3:$A$500,$B21,'DADOS BRUTOS'!EY$3:EY$500)+IF($C21="",0,SUMIF('DADOS BRUTOS'!$A$3:$A$500,$C21,'DADOS BRUTOS'!EY$3:EY$500)))</f>
        <v/>
      </c>
      <c r="HZ21" s="123">
        <f>IF(OR(HZ$4="",$B21=""),0,SUMIF('DADOS BRUTOS'!$A$3:$A$500,$B21,'DADOS BRUTOS'!EZ$3:EZ$500)+IF($C21="",0,SUMIF('DADOS BRUTOS'!$A$3:$A$500,$C21,'DADOS BRUTOS'!EZ$3:EZ$500)))</f>
        <v/>
      </c>
      <c r="IA21" s="123">
        <f>IF(OR(IA$4="",$B21=""),0,SUMIF('DADOS BRUTOS'!$A$3:$A$500,$B21,'DADOS BRUTOS'!FA$3:FA$500)+IF($C21="",0,SUMIF('DADOS BRUTOS'!$A$3:$A$500,$C21,'DADOS BRUTOS'!FA$3:FA$500)))</f>
        <v/>
      </c>
      <c r="IB21" s="123">
        <f>IF(OR(IB$4="",$B21=""),0,SUMIF('DADOS BRUTOS'!$A$3:$A$500,$B21,'DADOS BRUTOS'!FB$3:FB$500)+IF($C21="",0,SUMIF('DADOS BRUTOS'!$A$3:$A$500,$C21,'DADOS BRUTOS'!FB$3:FB$500)))</f>
        <v/>
      </c>
      <c r="IC21" s="123">
        <f>IF(OR(IC$4="",$B21=""),0,SUMIF('DADOS BRUTOS'!$A$3:$A$500,$B21,'DADOS BRUTOS'!FC$3:FC$500)+IF($C21="",0,SUMIF('DADOS BRUTOS'!$A$3:$A$500,$C21,'DADOS BRUTOS'!FC$3:FC$500)))</f>
        <v/>
      </c>
      <c r="ID21" s="123">
        <f>IF(OR(ID$4="",$B21=""),0,SUMIF('DADOS BRUTOS'!$A$3:$A$500,$B21,'DADOS BRUTOS'!FD$3:FD$500)+IF($C21="",0,SUMIF('DADOS BRUTOS'!$A$3:$A$500,$C21,'DADOS BRUTOS'!FD$3:FD$500)))</f>
        <v/>
      </c>
      <c r="IE21" s="123">
        <f>IF(OR(IE$4="",$B21=""),0,SUMIF('DADOS BRUTOS'!$A$3:$A$500,$B21,'DADOS BRUTOS'!FE$3:FE$500)+IF($C21="",0,SUMIF('DADOS BRUTOS'!$A$3:$A$500,$C21,'DADOS BRUTOS'!FE$3:FE$500)))</f>
        <v/>
      </c>
      <c r="IF21" s="123">
        <f>IF(OR(IF$4="",$B21=""),0,SUMIF('DADOS BRUTOS'!$A$3:$A$500,$B21,'DADOS BRUTOS'!FF$3:FF$500)+IF($C21="",0,SUMIF('DADOS BRUTOS'!$A$3:$A$500,$C21,'DADOS BRUTOS'!FF$3:FF$500)))</f>
        <v/>
      </c>
      <c r="IG21" s="123">
        <f>IF(OR(IG$4="",$B21=""),0,SUMIF('DADOS BRUTOS'!$A$3:$A$500,$B21,'DADOS BRUTOS'!FG$3:FG$500)+IF($C21="",0,SUMIF('DADOS BRUTOS'!$A$3:$A$500,$C21,'DADOS BRUTOS'!FG$3:FG$500)))</f>
        <v/>
      </c>
      <c r="IH21" s="123">
        <f>IF(OR(IH$4="",$B21=""),0,SUMIF('DADOS BRUTOS'!$A$3:$A$500,$B21,'DADOS BRUTOS'!FH$3:FH$500)+IF($C21="",0,SUMIF('DADOS BRUTOS'!$A$3:$A$500,$C21,'DADOS BRUTOS'!FH$3:FH$500)))</f>
        <v/>
      </c>
      <c r="II21" s="123">
        <f>IF(OR(II$4="",$B21=""),0,SUMIF('DADOS BRUTOS'!$A$3:$A$500,$B21,'DADOS BRUTOS'!FI$3:FI$500)+IF($C21="",0,SUMIF('DADOS BRUTOS'!$A$3:$A$500,$C21,'DADOS BRUTOS'!FI$3:FI$500)))</f>
        <v/>
      </c>
      <c r="IJ21" s="123">
        <f>IF(OR(IJ$4="",$B21=""),0,SUMIF('DADOS BRUTOS'!$A$3:$A$500,$B21,'DADOS BRUTOS'!FJ$3:FJ$500)+IF($C21="",0,SUMIF('DADOS BRUTOS'!$A$3:$A$500,$C21,'DADOS BRUTOS'!FJ$3:FJ$500)))</f>
        <v/>
      </c>
      <c r="IK21" s="123">
        <f>IF(OR(IK$4="",$B21=""),0,SUMIF('DADOS BRUTOS'!$A$3:$A$500,$B21,'DADOS BRUTOS'!FK$3:FK$500)+IF($C21="",0,SUMIF('DADOS BRUTOS'!$A$3:$A$500,$C21,'DADOS BRUTOS'!FK$3:FK$500)))</f>
        <v/>
      </c>
      <c r="IL21" s="123">
        <f>IF(OR(IL$4="",$B21=""),0,SUMIF('DADOS BRUTOS'!$A$3:$A$500,$B21,'DADOS BRUTOS'!FL$3:FL$500)+IF($C21="",0,SUMIF('DADOS BRUTOS'!$A$3:$A$500,$C21,'DADOS BRUTOS'!FL$3:FL$500)))</f>
        <v/>
      </c>
      <c r="IM21" s="123">
        <f>IF(OR(IM$4="",$B21=""),0,SUMIF('DADOS BRUTOS'!$A$3:$A$500,$B21,'DADOS BRUTOS'!FM$3:FM$500)+IF($C21="",0,SUMIF('DADOS BRUTOS'!$A$3:$A$500,$C21,'DADOS BRUTOS'!FM$3:FM$500)))</f>
        <v/>
      </c>
      <c r="IN21" s="123">
        <f>IF(OR(IN$4="",$B21=""),0,SUMIF('DADOS BRUTOS'!$A$3:$A$500,$B21,'DADOS BRUTOS'!FN$3:FN$500)+IF($C21="",0,SUMIF('DADOS BRUTOS'!$A$3:$A$500,$C21,'DADOS BRUTOS'!FN$3:FN$500)))</f>
        <v/>
      </c>
      <c r="IO21" s="123">
        <f>IF(OR(IO$4="",$B21=""),0,SUMIF('DADOS BRUTOS'!$A$3:$A$500,$B21,'DADOS BRUTOS'!FO$3:FO$500)+IF($C21="",0,SUMIF('DADOS BRUTOS'!$A$3:$A$500,$C21,'DADOS BRUTOS'!FO$3:FO$500)))</f>
        <v/>
      </c>
      <c r="IP21" s="123">
        <f>IF(OR(IP$4="",$B21=""),0,SUMIF('DADOS BRUTOS'!$A$3:$A$500,$B21,'DADOS BRUTOS'!FP$3:FP$500)+IF($C21="",0,SUMIF('DADOS BRUTOS'!$A$3:$A$500,$C21,'DADOS BRUTOS'!FP$3:FP$500)))</f>
        <v/>
      </c>
      <c r="IQ21" s="123">
        <f>IF(OR(IQ$4="",$B21=""),0,SUMIF('DADOS BRUTOS'!$A$3:$A$500,$B21,'DADOS BRUTOS'!FQ$3:FQ$500)+IF($C21="",0,SUMIF('DADOS BRUTOS'!$A$3:$A$500,$C21,'DADOS BRUTOS'!FQ$3:FQ$500)))</f>
        <v/>
      </c>
      <c r="IR21" s="123">
        <f>IF(OR(IR$4="",$B21=""),0,SUMIF('DADOS BRUTOS'!$A$3:$A$500,$B21,'DADOS BRUTOS'!FR$3:FR$500)+IF($C21="",0,SUMIF('DADOS BRUTOS'!$A$3:$A$500,$C21,'DADOS BRUTOS'!FR$3:FR$500)))</f>
        <v/>
      </c>
      <c r="IS21" s="123">
        <f>IF(OR(IS$4="",$B21=""),0,SUMIF('DADOS BRUTOS'!$A$3:$A$500,$B21,'DADOS BRUTOS'!FS$3:FS$500)+IF($C21="",0,SUMIF('DADOS BRUTOS'!$A$3:$A$500,$C21,'DADOS BRUTOS'!FS$3:FS$500)))</f>
        <v/>
      </c>
      <c r="IT21" s="123">
        <f>IF(OR(IT$4="",$B21=""),0,SUMIF('DADOS BRUTOS'!$A$3:$A$500,$B21,'DADOS BRUTOS'!FT$3:FT$500)+IF($C21="",0,SUMIF('DADOS BRUTOS'!$A$3:$A$500,$C21,'DADOS BRUTOS'!FT$3:FT$500)))</f>
        <v/>
      </c>
      <c r="IU21" s="123">
        <f>IF(OR(IU$4="",$B21=""),0,SUMIF('DADOS BRUTOS'!$A$3:$A$500,$B21,'DADOS BRUTOS'!FU$3:FU$500)+IF($C21="",0,SUMIF('DADOS BRUTOS'!$A$3:$A$500,$C21,'DADOS BRUTOS'!FU$3:FU$500)))</f>
        <v/>
      </c>
      <c r="IV21" s="123">
        <f>IF(OR(IV$4="",$B21=""),0,SUMIF('DADOS BRUTOS'!$A$3:$A$500,$B21,'DADOS BRUTOS'!FV$3:FV$500)+IF($C21="",0,SUMIF('DADOS BRUTOS'!$A$3:$A$500,$C21,'DADOS BRUTOS'!FV$3:FV$500)))</f>
        <v/>
      </c>
      <c r="IW21" s="123">
        <f>IF(OR(IW$4="",$B21=""),0,SUMIF('DADOS BRUTOS'!$A$3:$A$500,$B21,'DADOS BRUTOS'!FW$3:FW$500)+IF($C21="",0,SUMIF('DADOS BRUTOS'!$A$3:$A$500,$C21,'DADOS BRUTOS'!FW$3:FW$500)))</f>
        <v/>
      </c>
      <c r="IX21" s="123">
        <f>IF(OR(IX$4="",$B21=""),0,SUMIF('DADOS BRUTOS'!$A$3:$A$500,$B21,'DADOS BRUTOS'!FX$3:FX$500)+IF($C21="",0,SUMIF('DADOS BRUTOS'!$A$3:$A$500,$C21,'DADOS BRUTOS'!FX$3:FX$500)))</f>
        <v/>
      </c>
      <c r="IY21" s="123">
        <f>IF(OR(IY$4="",$B21=""),0,SUMIF('DADOS BRUTOS'!$A$3:$A$500,$B21,'DADOS BRUTOS'!FY$3:FY$500)+IF($C21="",0,SUMIF('DADOS BRUTOS'!$A$3:$A$500,$C21,'DADOS BRUTOS'!FY$3:FY$500)))</f>
        <v/>
      </c>
      <c r="IZ21" s="123">
        <f>IF(OR(IZ$4="",$B21=""),0,SUMIF('DADOS BRUTOS'!$A$3:$A$500,$B21,'DADOS BRUTOS'!FZ$3:FZ$500)+IF($C21="",0,SUMIF('DADOS BRUTOS'!$A$3:$A$500,$C21,'DADOS BRUTOS'!FZ$3:FZ$500)))</f>
        <v/>
      </c>
      <c r="JA21" s="123">
        <f>IF(OR(JA$4="",$B21=""),0,SUMIF('DADOS BRUTOS'!$A$3:$A$500,$B21,'DADOS BRUTOS'!GA$3:GA$500)+IF($C21="",0,SUMIF('DADOS BRUTOS'!$A$3:$A$500,$C21,'DADOS BRUTOS'!GA$3:GA$500)))</f>
        <v/>
      </c>
      <c r="JB21" s="123">
        <f>IF(OR(JB$4="",$B21=""),0,SUMIF('DADOS BRUTOS'!$A$3:$A$500,$B21,'DADOS BRUTOS'!GB$3:GB$500)+IF($C21="",0,SUMIF('DADOS BRUTOS'!$A$3:$A$500,$C21,'DADOS BRUTOS'!GB$3:GB$500)))</f>
        <v/>
      </c>
      <c r="JC21" s="123">
        <f>IF(OR(JC$4="",$B21=""),0,SUMIF('DADOS BRUTOS'!$A$3:$A$500,$B21,'DADOS BRUTOS'!GC$3:GC$500)+IF($C21="",0,SUMIF('DADOS BRUTOS'!$A$3:$A$500,$C21,'DADOS BRUTOS'!GC$3:GC$500)))</f>
        <v/>
      </c>
      <c r="JD21" s="123">
        <f>IF(OR(JD$4="",$B21=""),0,SUMIF('DADOS BRUTOS'!$A$3:$A$500,$B21,'DADOS BRUTOS'!GD$3:GD$500)+IF($C21="",0,SUMIF('DADOS BRUTOS'!$A$3:$A$500,$C21,'DADOS BRUTOS'!GD$3:GD$500)))</f>
        <v/>
      </c>
      <c r="JE21" s="123">
        <f>IF(OR(JE$4="",$B21=""),0,SUMIF('DADOS BRUTOS'!$A$3:$A$500,$B21,'DADOS BRUTOS'!GE$3:GE$500)+IF($C21="",0,SUMIF('DADOS BRUTOS'!$A$3:$A$500,$C21,'DADOS BRUTOS'!GE$3:GE$500)))</f>
        <v/>
      </c>
      <c r="JF21" s="123">
        <f>IF(OR(JF$4="",$B21=""),0,SUMIF('DADOS BRUTOS'!$A$3:$A$500,$B21,'DADOS BRUTOS'!GF$3:GF$500)+IF($C21="",0,SUMIF('DADOS BRUTOS'!$A$3:$A$500,$C21,'DADOS BRUTOS'!GF$3:GF$500)))</f>
        <v/>
      </c>
      <c r="JG21" s="123">
        <f>IF(OR(JG$4="",$B21=""),0,SUMIF('DADOS BRUTOS'!$A$3:$A$500,$B21,'DADOS BRUTOS'!GG$3:GG$500)+IF($C21="",0,SUMIF('DADOS BRUTOS'!$A$3:$A$500,$C21,'DADOS BRUTOS'!GG$3:GG$500)))</f>
        <v/>
      </c>
      <c r="JH21" s="123">
        <f>IF(OR(JH$4="",$B21=""),0,SUMIF('DADOS BRUTOS'!$A$3:$A$500,$B21,'DADOS BRUTOS'!GH$3:GH$500)+IF($C21="",0,SUMIF('DADOS BRUTOS'!$A$3:$A$500,$C21,'DADOS BRUTOS'!GH$3:GH$500)))</f>
        <v/>
      </c>
      <c r="JI21" s="123">
        <f>IF(OR(JI$4="",$B21=""),0,SUMIF('DADOS BRUTOS'!$A$3:$A$500,$B21,'DADOS BRUTOS'!GI$3:GI$500)+IF($C21="",0,SUMIF('DADOS BRUTOS'!$A$3:$A$500,$C21,'DADOS BRUTOS'!GI$3:GI$500)))</f>
        <v/>
      </c>
      <c r="JJ21" s="123">
        <f>IF(OR(JJ$4="",$B21=""),0,SUMIF('DADOS BRUTOS'!$A$3:$A$500,$B21,'DADOS BRUTOS'!GJ$3:GJ$500)+IF($C21="",0,SUMIF('DADOS BRUTOS'!$A$3:$A$500,$C21,'DADOS BRUTOS'!GJ$3:GJ$500)))</f>
        <v/>
      </c>
      <c r="JK21" s="123">
        <f>IF(OR(JK$4="",$B21=""),0,SUMIF('DADOS BRUTOS'!$A$3:$A$500,$B21,'DADOS BRUTOS'!GK$3:GK$500)+IF($C21="",0,SUMIF('DADOS BRUTOS'!$A$3:$A$500,$C21,'DADOS BRUTOS'!GK$3:GK$500)))</f>
        <v/>
      </c>
      <c r="JL21" s="123">
        <f>IF(OR(JL$4="",$B21=""),0,SUMIF('DADOS BRUTOS'!$A$3:$A$500,$B21,'DADOS BRUTOS'!GL$3:GL$500)+IF($C21="",0,SUMIF('DADOS BRUTOS'!$A$3:$A$500,$C21,'DADOS BRUTOS'!GL$3:GL$500)))</f>
        <v/>
      </c>
      <c r="JM21" s="123">
        <f>IF(OR(JM$4="",$B21=""),0,SUMIF('DADOS BRUTOS'!$A$3:$A$500,$B21,'DADOS BRUTOS'!GM$3:GM$500)+IF($C21="",0,SUMIF('DADOS BRUTOS'!$A$3:$A$500,$C21,'DADOS BRUTOS'!GM$3:GM$500)))</f>
        <v/>
      </c>
      <c r="JN21" s="123">
        <f>IF(OR(JN$4="",$B21=""),0,SUMIF('DADOS BRUTOS'!$A$3:$A$500,$B21,'DADOS BRUTOS'!GN$3:GN$500)+IF($C21="",0,SUMIF('DADOS BRUTOS'!$A$3:$A$500,$C21,'DADOS BRUTOS'!GN$3:GN$500)))</f>
        <v/>
      </c>
      <c r="JO21" s="123">
        <f>IF(OR(JO$4="",$B21=""),0,SUMIF('DADOS BRUTOS'!$A$3:$A$500,$B21,'DADOS BRUTOS'!GO$3:GO$500)+IF($C21="",0,SUMIF('DADOS BRUTOS'!$A$3:$A$500,$C21,'DADOS BRUTOS'!GO$3:GO$500)))</f>
        <v/>
      </c>
      <c r="JP21" s="123">
        <f>IF(OR(JP$4="",$B21=""),0,SUMIF('DADOS BRUTOS'!$A$3:$A$500,$B21,'DADOS BRUTOS'!GP$3:GP$500)+IF($C21="",0,SUMIF('DADOS BRUTOS'!$A$3:$A$500,$C21,'DADOS BRUTOS'!GP$3:GP$500)))</f>
        <v/>
      </c>
      <c r="JQ21" s="123">
        <f>IF(OR(JQ$4="",$B21=""),0,SUMIF('DADOS BRUTOS'!$A$3:$A$500,$B21,'DADOS BRUTOS'!GQ$3:GQ$500)+IF($C21="",0,SUMIF('DADOS BRUTOS'!$A$3:$A$500,$C21,'DADOS BRUTOS'!GQ$3:GQ$500)))</f>
        <v/>
      </c>
      <c r="JR21" s="123">
        <f>IF(OR(JR$4="",$B21=""),0,SUMIF('DADOS BRUTOS'!$A$3:$A$500,$B21,'DADOS BRUTOS'!GR$3:GR$500)+IF($C21="",0,SUMIF('DADOS BRUTOS'!$A$3:$A$500,$C21,'DADOS BRUTOS'!GR$3:GR$500)))</f>
        <v/>
      </c>
      <c r="JS21" s="123">
        <f>IF(OR(JS$4="",$B21=""),0,SUMIF('DADOS BRUTOS'!$A$3:$A$500,$B21,'DADOS BRUTOS'!GS$3:GS$500)+IF($C21="",0,SUMIF('DADOS BRUTOS'!$A$3:$A$500,$C21,'DADOS BRUTOS'!GS$3:GS$500)))</f>
        <v/>
      </c>
    </row>
    <row r="22">
      <c r="A22" s="60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CB22" s="123">
        <f>IF(OR(CB$4="",$B22=""),0,SUMIF('DADOS BRUTOS'!$A$3:$A$500,$B22,'DADOS BRUTOS'!B$3:B$500)+IF($C22="",0,SUMIF('DADOS BRUTOS'!$A$3:$A$500,$C22,'DADOS BRUTOS'!B$3:B$500)))</f>
        <v/>
      </c>
      <c r="CC22" s="123">
        <f>IF(OR(CC$4="",$B22=""),0,SUMIF('DADOS BRUTOS'!$A$3:$A$500,$B22,'DADOS BRUTOS'!C$3:C$500)+IF($C22="",0,SUMIF('DADOS BRUTOS'!$A$3:$A$500,$C22,'DADOS BRUTOS'!C$3:C$500)))</f>
        <v/>
      </c>
      <c r="CD22" s="123">
        <f>IF(OR(CD$4="",$B22=""),0,SUMIF('DADOS BRUTOS'!$A$3:$A$500,$B22,'DADOS BRUTOS'!D$3:D$500)+IF($C22="",0,SUMIF('DADOS BRUTOS'!$A$3:$A$500,$C22,'DADOS BRUTOS'!D$3:D$500)))</f>
        <v/>
      </c>
      <c r="CE22" s="123">
        <f>IF(OR(CE$4="",$B22=""),0,SUMIF('DADOS BRUTOS'!$A$3:$A$500,$B22,'DADOS BRUTOS'!E$3:E$500)+IF($C22="",0,SUMIF('DADOS BRUTOS'!$A$3:$A$500,$C22,'DADOS BRUTOS'!E$3:E$500)))</f>
        <v/>
      </c>
      <c r="CF22" s="123">
        <f>IF(OR(CF$4="",$B22=""),0,SUMIF('DADOS BRUTOS'!$A$3:$A$500,$B22,'DADOS BRUTOS'!F$3:F$500)+IF($C22="",0,SUMIF('DADOS BRUTOS'!$A$3:$A$500,$C22,'DADOS BRUTOS'!F$3:F$500)))</f>
        <v/>
      </c>
      <c r="CG22" s="123">
        <f>IF(OR(CG$4="",$B22=""),0,SUMIF('DADOS BRUTOS'!$A$3:$A$500,$B22,'DADOS BRUTOS'!G$3:G$500)+IF($C22="",0,SUMIF('DADOS BRUTOS'!$A$3:$A$500,$C22,'DADOS BRUTOS'!G$3:G$500)))</f>
        <v/>
      </c>
      <c r="CH22" s="123">
        <f>IF(OR(CH$4="",$B22=""),0,SUMIF('DADOS BRUTOS'!$A$3:$A$500,$B22,'DADOS BRUTOS'!H$3:H$500)+IF($C22="",0,SUMIF('DADOS BRUTOS'!$A$3:$A$500,$C22,'DADOS BRUTOS'!H$3:H$500)))</f>
        <v/>
      </c>
      <c r="CI22" s="123">
        <f>IF(OR(CI$4="",$B22=""),0,SUMIF('DADOS BRUTOS'!$A$3:$A$500,$B22,'DADOS BRUTOS'!I$3:I$500)+IF($C22="",0,SUMIF('DADOS BRUTOS'!$A$3:$A$500,$C22,'DADOS BRUTOS'!I$3:I$500)))</f>
        <v/>
      </c>
      <c r="CJ22" s="123">
        <f>IF(OR(CJ$4="",$B22=""),0,SUMIF('DADOS BRUTOS'!$A$3:$A$500,$B22,'DADOS BRUTOS'!J$3:J$500)+IF($C22="",0,SUMIF('DADOS BRUTOS'!$A$3:$A$500,$C22,'DADOS BRUTOS'!J$3:J$500)))</f>
        <v/>
      </c>
      <c r="CK22" s="123">
        <f>IF(OR(CK$4="",$B22=""),0,SUMIF('DADOS BRUTOS'!$A$3:$A$500,$B22,'DADOS BRUTOS'!K$3:K$500)+IF($C22="",0,SUMIF('DADOS BRUTOS'!$A$3:$A$500,$C22,'DADOS BRUTOS'!K$3:K$500)))</f>
        <v/>
      </c>
      <c r="CL22" s="123">
        <f>IF(OR(CL$4="",$B22=""),0,SUMIF('DADOS BRUTOS'!$A$3:$A$500,$B22,'DADOS BRUTOS'!L$3:L$500)+IF($C22="",0,SUMIF('DADOS BRUTOS'!$A$3:$A$500,$C22,'DADOS BRUTOS'!L$3:L$500)))</f>
        <v/>
      </c>
      <c r="CM22" s="123">
        <f>IF(OR(CM$4="",$B22=""),0,SUMIF('DADOS BRUTOS'!$A$3:$A$500,$B22,'DADOS BRUTOS'!M$3:M$500)+IF($C22="",0,SUMIF('DADOS BRUTOS'!$A$3:$A$500,$C22,'DADOS BRUTOS'!M$3:M$500)))</f>
        <v/>
      </c>
      <c r="CN22" s="123">
        <f>IF(OR(CN$4="",$B22=""),0,SUMIF('DADOS BRUTOS'!$A$3:$A$500,$B22,'DADOS BRUTOS'!N$3:N$500)+IF($C22="",0,SUMIF('DADOS BRUTOS'!$A$3:$A$500,$C22,'DADOS BRUTOS'!N$3:N$500)))</f>
        <v/>
      </c>
      <c r="CO22" s="123">
        <f>IF(OR(CO$4="",$B22=""),0,SUMIF('DADOS BRUTOS'!$A$3:$A$500,$B22,'DADOS BRUTOS'!O$3:O$500)+IF($C22="",0,SUMIF('DADOS BRUTOS'!$A$3:$A$500,$C22,'DADOS BRUTOS'!O$3:O$500)))</f>
        <v/>
      </c>
      <c r="CP22" s="123">
        <f>IF(OR(CP$4="",$B22=""),0,SUMIF('DADOS BRUTOS'!$A$3:$A$500,$B22,'DADOS BRUTOS'!P$3:P$500)+IF($C22="",0,SUMIF('DADOS BRUTOS'!$A$3:$A$500,$C22,'DADOS BRUTOS'!P$3:P$500)))</f>
        <v/>
      </c>
      <c r="CQ22" s="123">
        <f>IF(OR(CQ$4="",$B22=""),0,SUMIF('DADOS BRUTOS'!$A$3:$A$500,$B22,'DADOS BRUTOS'!Q$3:Q$500)+IF($C22="",0,SUMIF('DADOS BRUTOS'!$A$3:$A$500,$C22,'DADOS BRUTOS'!Q$3:Q$500)))</f>
        <v/>
      </c>
      <c r="CR22" s="123">
        <f>IF(OR(CR$4="",$B22=""),0,SUMIF('DADOS BRUTOS'!$A$3:$A$500,$B22,'DADOS BRUTOS'!R$3:R$500)+IF($C22="",0,SUMIF('DADOS BRUTOS'!$A$3:$A$500,$C22,'DADOS BRUTOS'!R$3:R$500)))</f>
        <v/>
      </c>
      <c r="CS22" s="123">
        <f>IF(OR(CS$4="",$B22=""),0,SUMIF('DADOS BRUTOS'!$A$3:$A$500,$B22,'DADOS BRUTOS'!S$3:S$500)+IF($C22="",0,SUMIF('DADOS BRUTOS'!$A$3:$A$500,$C22,'DADOS BRUTOS'!S$3:S$500)))</f>
        <v/>
      </c>
      <c r="CT22" s="123">
        <f>IF(OR(CT$4="",$B22=""),0,SUMIF('DADOS BRUTOS'!$A$3:$A$500,$B22,'DADOS BRUTOS'!T$3:T$500)+IF($C22="",0,SUMIF('DADOS BRUTOS'!$A$3:$A$500,$C22,'DADOS BRUTOS'!T$3:T$500)))</f>
        <v/>
      </c>
      <c r="CU22" s="123">
        <f>IF(OR(CU$4="",$B22=""),0,SUMIF('DADOS BRUTOS'!$A$3:$A$500,$B22,'DADOS BRUTOS'!U$3:U$500)+IF($C22="",0,SUMIF('DADOS BRUTOS'!$A$3:$A$500,$C22,'DADOS BRUTOS'!U$3:U$500)))</f>
        <v/>
      </c>
      <c r="CV22" s="123">
        <f>IF(OR(CV$4="",$B22=""),0,SUMIF('DADOS BRUTOS'!$A$3:$A$500,$B22,'DADOS BRUTOS'!V$3:V$500)+IF($C22="",0,SUMIF('DADOS BRUTOS'!$A$3:$A$500,$C22,'DADOS BRUTOS'!V$3:V$500)))</f>
        <v/>
      </c>
      <c r="CW22" s="123">
        <f>IF(OR(CW$4="",$B22=""),0,SUMIF('DADOS BRUTOS'!$A$3:$A$500,$B22,'DADOS BRUTOS'!W$3:W$500)+IF($C22="",0,SUMIF('DADOS BRUTOS'!$A$3:$A$500,$C22,'DADOS BRUTOS'!W$3:W$500)))</f>
        <v/>
      </c>
      <c r="CX22" s="123">
        <f>IF(OR(CX$4="",$B22=""),0,SUMIF('DADOS BRUTOS'!$A$3:$A$500,$B22,'DADOS BRUTOS'!X$3:X$500)+IF($C22="",0,SUMIF('DADOS BRUTOS'!$A$3:$A$500,$C22,'DADOS BRUTOS'!X$3:X$500)))</f>
        <v/>
      </c>
      <c r="CY22" s="123">
        <f>IF(OR(CY$4="",$B22=""),0,SUMIF('DADOS BRUTOS'!$A$3:$A$500,$B22,'DADOS BRUTOS'!Y$3:Y$500)+IF($C22="",0,SUMIF('DADOS BRUTOS'!$A$3:$A$500,$C22,'DADOS BRUTOS'!Y$3:Y$500)))</f>
        <v/>
      </c>
      <c r="CZ22" s="123">
        <f>IF(OR(CZ$4="",$B22=""),0,SUMIF('DADOS BRUTOS'!$A$3:$A$500,$B22,'DADOS BRUTOS'!Z$3:Z$500)+IF($C22="",0,SUMIF('DADOS BRUTOS'!$A$3:$A$500,$C22,'DADOS BRUTOS'!Z$3:Z$500)))</f>
        <v/>
      </c>
      <c r="DA22" s="123">
        <f>IF(OR(DA$4="",$B22=""),0,SUMIF('DADOS BRUTOS'!$A$3:$A$500,$B22,'DADOS BRUTOS'!AA$3:AA$500)+IF($C22="",0,SUMIF('DADOS BRUTOS'!$A$3:$A$500,$C22,'DADOS BRUTOS'!AA$3:AA$500)))</f>
        <v/>
      </c>
      <c r="DB22" s="123">
        <f>IF(OR(DB$4="",$B22=""),0,SUMIF('DADOS BRUTOS'!$A$3:$A$500,$B22,'DADOS BRUTOS'!AB$3:AB$500)+IF($C22="",0,SUMIF('DADOS BRUTOS'!$A$3:$A$500,$C22,'DADOS BRUTOS'!AB$3:AB$500)))</f>
        <v/>
      </c>
      <c r="DC22" s="123">
        <f>IF(OR(DC$4="",$B22=""),0,SUMIF('DADOS BRUTOS'!$A$3:$A$500,$B22,'DADOS BRUTOS'!AC$3:AC$500)+IF($C22="",0,SUMIF('DADOS BRUTOS'!$A$3:$A$500,$C22,'DADOS BRUTOS'!AC$3:AC$500)))</f>
        <v/>
      </c>
      <c r="DD22" s="123">
        <f>IF(OR(DD$4="",$B22=""),0,SUMIF('DADOS BRUTOS'!$A$3:$A$500,$B22,'DADOS BRUTOS'!AD$3:AD$500)+IF($C22="",0,SUMIF('DADOS BRUTOS'!$A$3:$A$500,$C22,'DADOS BRUTOS'!AD$3:AD$500)))</f>
        <v/>
      </c>
      <c r="DE22" s="123">
        <f>IF(OR(DE$4="",$B22=""),0,SUMIF('DADOS BRUTOS'!$A$3:$A$500,$B22,'DADOS BRUTOS'!AE$3:AE$500)+IF($C22="",0,SUMIF('DADOS BRUTOS'!$A$3:$A$500,$C22,'DADOS BRUTOS'!AE$3:AE$500)))</f>
        <v/>
      </c>
      <c r="DF22" s="123">
        <f>IF(OR(DF$4="",$B22=""),0,SUMIF('DADOS BRUTOS'!$A$3:$A$500,$B22,'DADOS BRUTOS'!AF$3:AF$500)+IF($C22="",0,SUMIF('DADOS BRUTOS'!$A$3:$A$500,$C22,'DADOS BRUTOS'!AF$3:AF$500)))</f>
        <v/>
      </c>
      <c r="DG22" s="123">
        <f>IF(OR(DG$4="",$B22=""),0,SUMIF('DADOS BRUTOS'!$A$3:$A$500,$B22,'DADOS BRUTOS'!AG$3:AG$500)+IF($C22="",0,SUMIF('DADOS BRUTOS'!$A$3:$A$500,$C22,'DADOS BRUTOS'!AG$3:AG$500)))</f>
        <v/>
      </c>
      <c r="DH22" s="123">
        <f>IF(OR(DH$4="",$B22=""),0,SUMIF('DADOS BRUTOS'!$A$3:$A$500,$B22,'DADOS BRUTOS'!AH$3:AH$500)+IF($C22="",0,SUMIF('DADOS BRUTOS'!$A$3:$A$500,$C22,'DADOS BRUTOS'!AH$3:AH$500)))</f>
        <v/>
      </c>
      <c r="DI22" s="123">
        <f>IF(OR(DI$4="",$B22=""),0,SUMIF('DADOS BRUTOS'!$A$3:$A$500,$B22,'DADOS BRUTOS'!AI$3:AI$500)+IF($C22="",0,SUMIF('DADOS BRUTOS'!$A$3:$A$500,$C22,'DADOS BRUTOS'!AI$3:AI$500)))</f>
        <v/>
      </c>
      <c r="DJ22" s="123">
        <f>IF(OR(DJ$4="",$B22=""),0,SUMIF('DADOS BRUTOS'!$A$3:$A$500,$B22,'DADOS BRUTOS'!AJ$3:AJ$500)+IF($C22="",0,SUMIF('DADOS BRUTOS'!$A$3:$A$500,$C22,'DADOS BRUTOS'!AJ$3:AJ$500)))</f>
        <v/>
      </c>
      <c r="DK22" s="123">
        <f>IF(OR(DK$4="",$B22=""),0,SUMIF('DADOS BRUTOS'!$A$3:$A$500,$B22,'DADOS BRUTOS'!AK$3:AK$500)+IF($C22="",0,SUMIF('DADOS BRUTOS'!$A$3:$A$500,$C22,'DADOS BRUTOS'!AK$3:AK$500)))</f>
        <v/>
      </c>
      <c r="DL22" s="123">
        <f>IF(OR(DL$4="",$B22=""),0,SUMIF('DADOS BRUTOS'!$A$3:$A$500,$B22,'DADOS BRUTOS'!AL$3:AL$500)+IF($C22="",0,SUMIF('DADOS BRUTOS'!$A$3:$A$500,$C22,'DADOS BRUTOS'!AL$3:AL$500)))</f>
        <v/>
      </c>
      <c r="DM22" s="123">
        <f>IF(OR(DM$4="",$B22=""),0,SUMIF('DADOS BRUTOS'!$A$3:$A$500,$B22,'DADOS BRUTOS'!AM$3:AM$500)+IF($C22="",0,SUMIF('DADOS BRUTOS'!$A$3:$A$500,$C22,'DADOS BRUTOS'!AM$3:AM$500)))</f>
        <v/>
      </c>
      <c r="DN22" s="123">
        <f>IF(OR(DN$4="",$B22=""),0,SUMIF('DADOS BRUTOS'!$A$3:$A$500,$B22,'DADOS BRUTOS'!AN$3:AN$500)+IF($C22="",0,SUMIF('DADOS BRUTOS'!$A$3:$A$500,$C22,'DADOS BRUTOS'!AN$3:AN$500)))</f>
        <v/>
      </c>
      <c r="DO22" s="123">
        <f>IF(OR(DO$4="",$B22=""),0,SUMIF('DADOS BRUTOS'!$A$3:$A$500,$B22,'DADOS BRUTOS'!AO$3:AO$500)+IF($C22="",0,SUMIF('DADOS BRUTOS'!$A$3:$A$500,$C22,'DADOS BRUTOS'!AO$3:AO$500)))</f>
        <v/>
      </c>
      <c r="DP22" s="123">
        <f>IF(OR(DP$4="",$B22=""),0,SUMIF('DADOS BRUTOS'!$A$3:$A$500,$B22,'DADOS BRUTOS'!AP$3:AP$500)+IF($C22="",0,SUMIF('DADOS BRUTOS'!$A$3:$A$500,$C22,'DADOS BRUTOS'!AP$3:AP$500)))</f>
        <v/>
      </c>
      <c r="DQ22" s="123">
        <f>IF(OR(DQ$4="",$B22=""),0,SUMIF('DADOS BRUTOS'!$A$3:$A$500,$B22,'DADOS BRUTOS'!AQ$3:AQ$500)+IF($C22="",0,SUMIF('DADOS BRUTOS'!$A$3:$A$500,$C22,'DADOS BRUTOS'!AQ$3:AQ$500)))</f>
        <v/>
      </c>
      <c r="DR22" s="123">
        <f>IF(OR(DR$4="",$B22=""),0,SUMIF('DADOS BRUTOS'!$A$3:$A$500,$B22,'DADOS BRUTOS'!AR$3:AR$500)+IF($C22="",0,SUMIF('DADOS BRUTOS'!$A$3:$A$500,$C22,'DADOS BRUTOS'!AR$3:AR$500)))</f>
        <v/>
      </c>
      <c r="DS22" s="123">
        <f>IF(OR(DS$4="",$B22=""),0,SUMIF('DADOS BRUTOS'!$A$3:$A$500,$B22,'DADOS BRUTOS'!AS$3:AS$500)+IF($C22="",0,SUMIF('DADOS BRUTOS'!$A$3:$A$500,$C22,'DADOS BRUTOS'!AS$3:AS$500)))</f>
        <v/>
      </c>
      <c r="DT22" s="123">
        <f>IF(OR(DT$4="",$B22=""),0,SUMIF('DADOS BRUTOS'!$A$3:$A$500,$B22,'DADOS BRUTOS'!AT$3:AT$500)+IF($C22="",0,SUMIF('DADOS BRUTOS'!$A$3:$A$500,$C22,'DADOS BRUTOS'!AT$3:AT$500)))</f>
        <v/>
      </c>
      <c r="DU22" s="123">
        <f>IF(OR(DU$4="",$B22=""),0,SUMIF('DADOS BRUTOS'!$A$3:$A$500,$B22,'DADOS BRUTOS'!AU$3:AU$500)+IF($C22="",0,SUMIF('DADOS BRUTOS'!$A$3:$A$500,$C22,'DADOS BRUTOS'!AU$3:AU$500)))</f>
        <v/>
      </c>
      <c r="DV22" s="123">
        <f>IF(OR(DV$4="",$B22=""),0,SUMIF('DADOS BRUTOS'!$A$3:$A$500,$B22,'DADOS BRUTOS'!AV$3:AV$500)+IF($C22="",0,SUMIF('DADOS BRUTOS'!$A$3:$A$500,$C22,'DADOS BRUTOS'!AV$3:AV$500)))</f>
        <v/>
      </c>
      <c r="DW22" s="123">
        <f>IF(OR(DW$4="",$B22=""),0,SUMIF('DADOS BRUTOS'!$A$3:$A$500,$B22,'DADOS BRUTOS'!AW$3:AW$500)+IF($C22="",0,SUMIF('DADOS BRUTOS'!$A$3:$A$500,$C22,'DADOS BRUTOS'!AW$3:AW$500)))</f>
        <v/>
      </c>
      <c r="DX22" s="123">
        <f>IF(OR(DX$4="",$B22=""),0,SUMIF('DADOS BRUTOS'!$A$3:$A$500,$B22,'DADOS BRUTOS'!AX$3:AX$500)+IF($C22="",0,SUMIF('DADOS BRUTOS'!$A$3:$A$500,$C22,'DADOS BRUTOS'!AX$3:AX$500)))</f>
        <v/>
      </c>
      <c r="DY22" s="123">
        <f>IF(OR(DY$4="",$B22=""),0,SUMIF('DADOS BRUTOS'!$A$3:$A$500,$B22,'DADOS BRUTOS'!AY$3:AY$500)+IF($C22="",0,SUMIF('DADOS BRUTOS'!$A$3:$A$500,$C22,'DADOS BRUTOS'!AY$3:AY$500)))</f>
        <v/>
      </c>
      <c r="DZ22" s="123">
        <f>IF(OR(DZ$4="",$B22=""),0,SUMIF('DADOS BRUTOS'!$A$3:$A$500,$B22,'DADOS BRUTOS'!AZ$3:AZ$500)+IF($C22="",0,SUMIF('DADOS BRUTOS'!$A$3:$A$500,$C22,'DADOS BRUTOS'!AZ$3:AZ$500)))</f>
        <v/>
      </c>
      <c r="EA22" s="123">
        <f>IF(OR(EA$4="",$B22=""),0,SUMIF('DADOS BRUTOS'!$A$3:$A$500,$B22,'DADOS BRUTOS'!BA$3:BA$500)+IF($C22="",0,SUMIF('DADOS BRUTOS'!$A$3:$A$500,$C22,'DADOS BRUTOS'!BA$3:BA$500)))</f>
        <v/>
      </c>
      <c r="EB22" s="123">
        <f>IF(OR(EB$4="",$B22=""),0,SUMIF('DADOS BRUTOS'!$A$3:$A$500,$B22,'DADOS BRUTOS'!BB$3:BB$500)+IF($C22="",0,SUMIF('DADOS BRUTOS'!$A$3:$A$500,$C22,'DADOS BRUTOS'!BB$3:BB$500)))</f>
        <v/>
      </c>
      <c r="EC22" s="123">
        <f>IF(OR(EC$4="",$B22=""),0,SUMIF('DADOS BRUTOS'!$A$3:$A$500,$B22,'DADOS BRUTOS'!BC$3:BC$500)+IF($C22="",0,SUMIF('DADOS BRUTOS'!$A$3:$A$500,$C22,'DADOS BRUTOS'!BC$3:BC$500)))</f>
        <v/>
      </c>
      <c r="ED22" s="123">
        <f>IF(OR(ED$4="",$B22=""),0,SUMIF('DADOS BRUTOS'!$A$3:$A$500,$B22,'DADOS BRUTOS'!BD$3:BD$500)+IF($C22="",0,SUMIF('DADOS BRUTOS'!$A$3:$A$500,$C22,'DADOS BRUTOS'!BD$3:BD$500)))</f>
        <v/>
      </c>
      <c r="EE22" s="123">
        <f>IF(OR(EE$4="",$B22=""),0,SUMIF('DADOS BRUTOS'!$A$3:$A$500,$B22,'DADOS BRUTOS'!BE$3:BE$500)+IF($C22="",0,SUMIF('DADOS BRUTOS'!$A$3:$A$500,$C22,'DADOS BRUTOS'!BE$3:BE$500)))</f>
        <v/>
      </c>
      <c r="EF22" s="123">
        <f>IF(OR(EF$4="",$B22=""),0,SUMIF('DADOS BRUTOS'!$A$3:$A$500,$B22,'DADOS BRUTOS'!BF$3:BF$500)+IF($C22="",0,SUMIF('DADOS BRUTOS'!$A$3:$A$500,$C22,'DADOS BRUTOS'!BF$3:BF$500)))</f>
        <v/>
      </c>
      <c r="EG22" s="123">
        <f>IF(OR(EG$4="",$B22=""),0,SUMIF('DADOS BRUTOS'!$A$3:$A$500,$B22,'DADOS BRUTOS'!BG$3:BG$500)+IF($C22="",0,SUMIF('DADOS BRUTOS'!$A$3:$A$500,$C22,'DADOS BRUTOS'!BG$3:BG$500)))</f>
        <v/>
      </c>
      <c r="EH22" s="123">
        <f>IF(OR(EH$4="",$B22=""),0,SUMIF('DADOS BRUTOS'!$A$3:$A$500,$B22,'DADOS BRUTOS'!BH$3:BH$500)+IF($C22="",0,SUMIF('DADOS BRUTOS'!$A$3:$A$500,$C22,'DADOS BRUTOS'!BH$3:BH$500)))</f>
        <v/>
      </c>
      <c r="EI22" s="123">
        <f>IF(OR(EI$4="",$B22=""),0,SUMIF('DADOS BRUTOS'!$A$3:$A$500,$B22,'DADOS BRUTOS'!BI$3:BI$500)+IF($C22="",0,SUMIF('DADOS BRUTOS'!$A$3:$A$500,$C22,'DADOS BRUTOS'!BI$3:BI$500)))</f>
        <v/>
      </c>
      <c r="EJ22" s="123">
        <f>IF(OR(EJ$4="",$B22=""),0,SUMIF('DADOS BRUTOS'!$A$3:$A$500,$B22,'DADOS BRUTOS'!BJ$3:BJ$500)+IF($C22="",0,SUMIF('DADOS BRUTOS'!$A$3:$A$500,$C22,'DADOS BRUTOS'!BJ$3:BJ$500)))</f>
        <v/>
      </c>
      <c r="EK22" s="123">
        <f>IF(OR(EK$4="",$B22=""),0,SUMIF('DADOS BRUTOS'!$A$3:$A$500,$B22,'DADOS BRUTOS'!BK$3:BK$500)+IF($C22="",0,SUMIF('DADOS BRUTOS'!$A$3:$A$500,$C22,'DADOS BRUTOS'!BK$3:BK$500)))</f>
        <v/>
      </c>
      <c r="EL22" s="123">
        <f>IF(OR(EL$4="",$B22=""),0,SUMIF('DADOS BRUTOS'!$A$3:$A$500,$B22,'DADOS BRUTOS'!BL$3:BL$500)+IF($C22="",0,SUMIF('DADOS BRUTOS'!$A$3:$A$500,$C22,'DADOS BRUTOS'!BL$3:BL$500)))</f>
        <v/>
      </c>
      <c r="EM22" s="123">
        <f>IF(OR(EM$4="",$B22=""),0,SUMIF('DADOS BRUTOS'!$A$3:$A$500,$B22,'DADOS BRUTOS'!BM$3:BM$500)+IF($C22="",0,SUMIF('DADOS BRUTOS'!$A$3:$A$500,$C22,'DADOS BRUTOS'!BM$3:BM$500)))</f>
        <v/>
      </c>
      <c r="EN22" s="123">
        <f>IF(OR(EN$4="",$B22=""),0,SUMIF('DADOS BRUTOS'!$A$3:$A$500,$B22,'DADOS BRUTOS'!BN$3:BN$500)+IF($C22="",0,SUMIF('DADOS BRUTOS'!$A$3:$A$500,$C22,'DADOS BRUTOS'!BN$3:BN$500)))</f>
        <v/>
      </c>
      <c r="EO22" s="123">
        <f>IF(OR(EO$4="",$B22=""),0,SUMIF('DADOS BRUTOS'!$A$3:$A$500,$B22,'DADOS BRUTOS'!BO$3:BO$500)+IF($C22="",0,SUMIF('DADOS BRUTOS'!$A$3:$A$500,$C22,'DADOS BRUTOS'!BO$3:BO$500)))</f>
        <v/>
      </c>
      <c r="EP22" s="123">
        <f>IF(OR(EP$4="",$B22=""),0,SUMIF('DADOS BRUTOS'!$A$3:$A$500,$B22,'DADOS BRUTOS'!BP$3:BP$500)+IF($C22="",0,SUMIF('DADOS BRUTOS'!$A$3:$A$500,$C22,'DADOS BRUTOS'!BP$3:BP$500)))</f>
        <v/>
      </c>
      <c r="EQ22" s="123">
        <f>IF(OR(EQ$4="",$B22=""),0,SUMIF('DADOS BRUTOS'!$A$3:$A$500,$B22,'DADOS BRUTOS'!BQ$3:BQ$500)+IF($C22="",0,SUMIF('DADOS BRUTOS'!$A$3:$A$500,$C22,'DADOS BRUTOS'!BQ$3:BQ$500)))</f>
        <v/>
      </c>
      <c r="ER22" s="123">
        <f>IF(OR(ER$4="",$B22=""),0,SUMIF('DADOS BRUTOS'!$A$3:$A$500,$B22,'DADOS BRUTOS'!BR$3:BR$500)+IF($C22="",0,SUMIF('DADOS BRUTOS'!$A$3:$A$500,$C22,'DADOS BRUTOS'!BR$3:BR$500)))</f>
        <v/>
      </c>
      <c r="ES22" s="123">
        <f>IF(OR(ES$4="",$B22=""),0,SUMIF('DADOS BRUTOS'!$A$3:$A$500,$B22,'DADOS BRUTOS'!BS$3:BS$500)+IF($C22="",0,SUMIF('DADOS BRUTOS'!$A$3:$A$500,$C22,'DADOS BRUTOS'!BS$3:BS$500)))</f>
        <v/>
      </c>
      <c r="ET22" s="123">
        <f>IF(OR(ET$4="",$B22=""),0,SUMIF('DADOS BRUTOS'!$A$3:$A$500,$B22,'DADOS BRUTOS'!BT$3:BT$500)+IF($C22="",0,SUMIF('DADOS BRUTOS'!$A$3:$A$500,$C22,'DADOS BRUTOS'!BT$3:BT$500)))</f>
        <v/>
      </c>
      <c r="EU22" s="123">
        <f>IF(OR(EU$4="",$B22=""),0,SUMIF('DADOS BRUTOS'!$A$3:$A$500,$B22,'DADOS BRUTOS'!BU$3:BU$500)+IF($C22="",0,SUMIF('DADOS BRUTOS'!$A$3:$A$500,$C22,'DADOS BRUTOS'!BU$3:BU$500)))</f>
        <v/>
      </c>
      <c r="EV22" s="123">
        <f>IF(OR(EV$4="",$B22=""),0,SUMIF('DADOS BRUTOS'!$A$3:$A$500,$B22,'DADOS BRUTOS'!BV$3:BV$500)+IF($C22="",0,SUMIF('DADOS BRUTOS'!$A$3:$A$500,$C22,'DADOS BRUTOS'!BV$3:BV$500)))</f>
        <v/>
      </c>
      <c r="EW22" s="123">
        <f>IF(OR(EW$4="",$B22=""),0,SUMIF('DADOS BRUTOS'!$A$3:$A$500,$B22,'DADOS BRUTOS'!BW$3:BW$500)+IF($C22="",0,SUMIF('DADOS BRUTOS'!$A$3:$A$500,$C22,'DADOS BRUTOS'!BW$3:BW$500)))</f>
        <v/>
      </c>
      <c r="EX22" s="123">
        <f>IF(OR(EX$4="",$B22=""),0,SUMIF('DADOS BRUTOS'!$A$3:$A$500,$B22,'DADOS BRUTOS'!BX$3:BX$500)+IF($C22="",0,SUMIF('DADOS BRUTOS'!$A$3:$A$500,$C22,'DADOS BRUTOS'!BX$3:BX$500)))</f>
        <v/>
      </c>
      <c r="EY22" s="123">
        <f>IF(OR(EY$4="",$B22=""),0,SUMIF('DADOS BRUTOS'!$A$3:$A$500,$B22,'DADOS BRUTOS'!BY$3:BY$500)+IF($C22="",0,SUMIF('DADOS BRUTOS'!$A$3:$A$500,$C22,'DADOS BRUTOS'!BY$3:BY$500)))</f>
        <v/>
      </c>
      <c r="EZ22" s="123">
        <f>IF(OR(EZ$4="",$B22=""),0,SUMIF('DADOS BRUTOS'!$A$3:$A$500,$B22,'DADOS BRUTOS'!BZ$3:BZ$500)+IF($C22="",0,SUMIF('DADOS BRUTOS'!$A$3:$A$500,$C22,'DADOS BRUTOS'!BZ$3:BZ$500)))</f>
        <v/>
      </c>
      <c r="FA22" s="123">
        <f>IF(OR(FA$4="",$B22=""),0,SUMIF('DADOS BRUTOS'!$A$3:$A$500,$B22,'DADOS BRUTOS'!CA$3:CA$500)+IF($C22="",0,SUMIF('DADOS BRUTOS'!$A$3:$A$500,$C22,'DADOS BRUTOS'!CA$3:CA$500)))</f>
        <v/>
      </c>
      <c r="FB22" s="123">
        <f>IF(OR(FB$4="",$B22=""),0,SUMIF('DADOS BRUTOS'!$A$3:$A$500,$B22,'DADOS BRUTOS'!CB$3:CB$500)+IF($C22="",0,SUMIF('DADOS BRUTOS'!$A$3:$A$500,$C22,'DADOS BRUTOS'!CB$3:CB$500)))</f>
        <v/>
      </c>
      <c r="FC22" s="123">
        <f>IF(OR(FC$4="",$B22=""),0,SUMIF('DADOS BRUTOS'!$A$3:$A$500,$B22,'DADOS BRUTOS'!CC$3:CC$500)+IF($C22="",0,SUMIF('DADOS BRUTOS'!$A$3:$A$500,$C22,'DADOS BRUTOS'!CC$3:CC$500)))</f>
        <v/>
      </c>
      <c r="FD22" s="123">
        <f>IF(OR(FD$4="",$B22=""),0,SUMIF('DADOS BRUTOS'!$A$3:$A$500,$B22,'DADOS BRUTOS'!CD$3:CD$500)+IF($C22="",0,SUMIF('DADOS BRUTOS'!$A$3:$A$500,$C22,'DADOS BRUTOS'!CD$3:CD$500)))</f>
        <v/>
      </c>
      <c r="FE22" s="123">
        <f>IF(OR(FE$4="",$B22=""),0,SUMIF('DADOS BRUTOS'!$A$3:$A$500,$B22,'DADOS BRUTOS'!CE$3:CE$500)+IF($C22="",0,SUMIF('DADOS BRUTOS'!$A$3:$A$500,$C22,'DADOS BRUTOS'!CE$3:CE$500)))</f>
        <v/>
      </c>
      <c r="FF22" s="123">
        <f>IF(OR(FF$4="",$B22=""),0,SUMIF('DADOS BRUTOS'!$A$3:$A$500,$B22,'DADOS BRUTOS'!CF$3:CF$500)+IF($C22="",0,SUMIF('DADOS BRUTOS'!$A$3:$A$500,$C22,'DADOS BRUTOS'!CF$3:CF$500)))</f>
        <v/>
      </c>
      <c r="FG22" s="123">
        <f>IF(OR(FG$4="",$B22=""),0,SUMIF('DADOS BRUTOS'!$A$3:$A$500,$B22,'DADOS BRUTOS'!CG$3:CG$500)+IF($C22="",0,SUMIF('DADOS BRUTOS'!$A$3:$A$500,$C22,'DADOS BRUTOS'!CG$3:CG$500)))</f>
        <v/>
      </c>
      <c r="FH22" s="123">
        <f>IF(OR(FH$4="",$B22=""),0,SUMIF('DADOS BRUTOS'!$A$3:$A$500,$B22,'DADOS BRUTOS'!CH$3:CH$500)+IF($C22="",0,SUMIF('DADOS BRUTOS'!$A$3:$A$500,$C22,'DADOS BRUTOS'!CH$3:CH$500)))</f>
        <v/>
      </c>
      <c r="FI22" s="123">
        <f>IF(OR(FI$4="",$B22=""),0,SUMIF('DADOS BRUTOS'!$A$3:$A$500,$B22,'DADOS BRUTOS'!CI$3:CI$500)+IF($C22="",0,SUMIF('DADOS BRUTOS'!$A$3:$A$500,$C22,'DADOS BRUTOS'!CI$3:CI$500)))</f>
        <v/>
      </c>
      <c r="FJ22" s="123">
        <f>IF(OR(FJ$4="",$B22=""),0,SUMIF('DADOS BRUTOS'!$A$3:$A$500,$B22,'DADOS BRUTOS'!CJ$3:CJ$500)+IF($C22="",0,SUMIF('DADOS BRUTOS'!$A$3:$A$500,$C22,'DADOS BRUTOS'!CJ$3:CJ$500)))</f>
        <v/>
      </c>
      <c r="FK22" s="123">
        <f>IF(OR(FK$4="",$B22=""),0,SUMIF('DADOS BRUTOS'!$A$3:$A$500,$B22,'DADOS BRUTOS'!CK$3:CK$500)+IF($C22="",0,SUMIF('DADOS BRUTOS'!$A$3:$A$500,$C22,'DADOS BRUTOS'!CK$3:CK$500)))</f>
        <v/>
      </c>
      <c r="FL22" s="123">
        <f>IF(OR(FL$4="",$B22=""),0,SUMIF('DADOS BRUTOS'!$A$3:$A$500,$B22,'DADOS BRUTOS'!CL$3:CL$500)+IF($C22="",0,SUMIF('DADOS BRUTOS'!$A$3:$A$500,$C22,'DADOS BRUTOS'!CL$3:CL$500)))</f>
        <v/>
      </c>
      <c r="FM22" s="123">
        <f>IF(OR(FM$4="",$B22=""),0,SUMIF('DADOS BRUTOS'!$A$3:$A$500,$B22,'DADOS BRUTOS'!CM$3:CM$500)+IF($C22="",0,SUMIF('DADOS BRUTOS'!$A$3:$A$500,$C22,'DADOS BRUTOS'!CM$3:CM$500)))</f>
        <v/>
      </c>
      <c r="FN22" s="123">
        <f>IF(OR(FN$4="",$B22=""),0,SUMIF('DADOS BRUTOS'!$A$3:$A$500,$B22,'DADOS BRUTOS'!CN$3:CN$500)+IF($C22="",0,SUMIF('DADOS BRUTOS'!$A$3:$A$500,$C22,'DADOS BRUTOS'!CN$3:CN$500)))</f>
        <v/>
      </c>
      <c r="FO22" s="123">
        <f>IF(OR(FO$4="",$B22=""),0,SUMIF('DADOS BRUTOS'!$A$3:$A$500,$B22,'DADOS BRUTOS'!CO$3:CO$500)+IF($C22="",0,SUMIF('DADOS BRUTOS'!$A$3:$A$500,$C22,'DADOS BRUTOS'!CO$3:CO$500)))</f>
        <v/>
      </c>
      <c r="FP22" s="123">
        <f>IF(OR(FP$4="",$B22=""),0,SUMIF('DADOS BRUTOS'!$A$3:$A$500,$B22,'DADOS BRUTOS'!CP$3:CP$500)+IF($C22="",0,SUMIF('DADOS BRUTOS'!$A$3:$A$500,$C22,'DADOS BRUTOS'!CP$3:CP$500)))</f>
        <v/>
      </c>
      <c r="FQ22" s="123">
        <f>IF(OR(FQ$4="",$B22=""),0,SUMIF('DADOS BRUTOS'!$A$3:$A$500,$B22,'DADOS BRUTOS'!CQ$3:CQ$500)+IF($C22="",0,SUMIF('DADOS BRUTOS'!$A$3:$A$500,$C22,'DADOS BRUTOS'!CQ$3:CQ$500)))</f>
        <v/>
      </c>
      <c r="FR22" s="123">
        <f>IF(OR(FR$4="",$B22=""),0,SUMIF('DADOS BRUTOS'!$A$3:$A$500,$B22,'DADOS BRUTOS'!CR$3:CR$500)+IF($C22="",0,SUMIF('DADOS BRUTOS'!$A$3:$A$500,$C22,'DADOS BRUTOS'!CR$3:CR$500)))</f>
        <v/>
      </c>
      <c r="FS22" s="123">
        <f>IF(OR(FS$4="",$B22=""),0,SUMIF('DADOS BRUTOS'!$A$3:$A$500,$B22,'DADOS BRUTOS'!CS$3:CS$500)+IF($C22="",0,SUMIF('DADOS BRUTOS'!$A$3:$A$500,$C22,'DADOS BRUTOS'!CS$3:CS$500)))</f>
        <v/>
      </c>
      <c r="FT22" s="123">
        <f>IF(OR(FT$4="",$B22=""),0,SUMIF('DADOS BRUTOS'!$A$3:$A$500,$B22,'DADOS BRUTOS'!CT$3:CT$500)+IF($C22="",0,SUMIF('DADOS BRUTOS'!$A$3:$A$500,$C22,'DADOS BRUTOS'!CT$3:CT$500)))</f>
        <v/>
      </c>
      <c r="FU22" s="123">
        <f>IF(OR(FU$4="",$B22=""),0,SUMIF('DADOS BRUTOS'!$A$3:$A$500,$B22,'DADOS BRUTOS'!CU$3:CU$500)+IF($C22="",0,SUMIF('DADOS BRUTOS'!$A$3:$A$500,$C22,'DADOS BRUTOS'!CU$3:CU$500)))</f>
        <v/>
      </c>
      <c r="FV22" s="123">
        <f>IF(OR(FV$4="",$B22=""),0,SUMIF('DADOS BRUTOS'!$A$3:$A$500,$B22,'DADOS BRUTOS'!CV$3:CV$500)+IF($C22="",0,SUMIF('DADOS BRUTOS'!$A$3:$A$500,$C22,'DADOS BRUTOS'!CV$3:CV$500)))</f>
        <v/>
      </c>
      <c r="FW22" s="123">
        <f>IF(OR(FW$4="",$B22=""),0,SUMIF('DADOS BRUTOS'!$A$3:$A$500,$B22,'DADOS BRUTOS'!CW$3:CW$500)+IF($C22="",0,SUMIF('DADOS BRUTOS'!$A$3:$A$500,$C22,'DADOS BRUTOS'!CW$3:CW$500)))</f>
        <v/>
      </c>
      <c r="FX22" s="123">
        <f>IF(OR(FX$4="",$B22=""),0,SUMIF('DADOS BRUTOS'!$A$3:$A$500,$B22,'DADOS BRUTOS'!CX$3:CX$500)+IF($C22="",0,SUMIF('DADOS BRUTOS'!$A$3:$A$500,$C22,'DADOS BRUTOS'!CX$3:CX$500)))</f>
        <v/>
      </c>
      <c r="FY22" s="123">
        <f>IF(OR(FY$4="",$B22=""),0,SUMIF('DADOS BRUTOS'!$A$3:$A$500,$B22,'DADOS BRUTOS'!CY$3:CY$500)+IF($C22="",0,SUMIF('DADOS BRUTOS'!$A$3:$A$500,$C22,'DADOS BRUTOS'!CY$3:CY$500)))</f>
        <v/>
      </c>
      <c r="FZ22" s="123">
        <f>IF(OR(FZ$4="",$B22=""),0,SUMIF('DADOS BRUTOS'!$A$3:$A$500,$B22,'DADOS BRUTOS'!CZ$3:CZ$500)+IF($C22="",0,SUMIF('DADOS BRUTOS'!$A$3:$A$500,$C22,'DADOS BRUTOS'!CZ$3:CZ$500)))</f>
        <v/>
      </c>
      <c r="GA22" s="123">
        <f>IF(OR(GA$4="",$B22=""),0,SUMIF('DADOS BRUTOS'!$A$3:$A$500,$B22,'DADOS BRUTOS'!DA$3:DA$500)+IF($C22="",0,SUMIF('DADOS BRUTOS'!$A$3:$A$500,$C22,'DADOS BRUTOS'!DA$3:DA$500)))</f>
        <v/>
      </c>
      <c r="GB22" s="123">
        <f>IF(OR(GB$4="",$B22=""),0,SUMIF('DADOS BRUTOS'!$A$3:$A$500,$B22,'DADOS BRUTOS'!DB$3:DB$500)+IF($C22="",0,SUMIF('DADOS BRUTOS'!$A$3:$A$500,$C22,'DADOS BRUTOS'!DB$3:DB$500)))</f>
        <v/>
      </c>
      <c r="GC22" s="123">
        <f>IF(OR(GC$4="",$B22=""),0,SUMIF('DADOS BRUTOS'!$A$3:$A$500,$B22,'DADOS BRUTOS'!DC$3:DC$500)+IF($C22="",0,SUMIF('DADOS BRUTOS'!$A$3:$A$500,$C22,'DADOS BRUTOS'!DC$3:DC$500)))</f>
        <v/>
      </c>
      <c r="GD22" s="123">
        <f>IF(OR(GD$4="",$B22=""),0,SUMIF('DADOS BRUTOS'!$A$3:$A$500,$B22,'DADOS BRUTOS'!DD$3:DD$500)+IF($C22="",0,SUMIF('DADOS BRUTOS'!$A$3:$A$500,$C22,'DADOS BRUTOS'!DD$3:DD$500)))</f>
        <v/>
      </c>
      <c r="GE22" s="123">
        <f>IF(OR(GE$4="",$B22=""),0,SUMIF('DADOS BRUTOS'!$A$3:$A$500,$B22,'DADOS BRUTOS'!DE$3:DE$500)+IF($C22="",0,SUMIF('DADOS BRUTOS'!$A$3:$A$500,$C22,'DADOS BRUTOS'!DE$3:DE$500)))</f>
        <v/>
      </c>
      <c r="GF22" s="123">
        <f>IF(OR(GF$4="",$B22=""),0,SUMIF('DADOS BRUTOS'!$A$3:$A$500,$B22,'DADOS BRUTOS'!DF$3:DF$500)+IF($C22="",0,SUMIF('DADOS BRUTOS'!$A$3:$A$500,$C22,'DADOS BRUTOS'!DF$3:DF$500)))</f>
        <v/>
      </c>
      <c r="GG22" s="123">
        <f>IF(OR(GG$4="",$B22=""),0,SUMIF('DADOS BRUTOS'!$A$3:$A$500,$B22,'DADOS BRUTOS'!DG$3:DG$500)+IF($C22="",0,SUMIF('DADOS BRUTOS'!$A$3:$A$500,$C22,'DADOS BRUTOS'!DG$3:DG$500)))</f>
        <v/>
      </c>
      <c r="GH22" s="123">
        <f>IF(OR(GH$4="",$B22=""),0,SUMIF('DADOS BRUTOS'!$A$3:$A$500,$B22,'DADOS BRUTOS'!DH$3:DH$500)+IF($C22="",0,SUMIF('DADOS BRUTOS'!$A$3:$A$500,$C22,'DADOS BRUTOS'!DH$3:DH$500)))</f>
        <v/>
      </c>
      <c r="GI22" s="123">
        <f>IF(OR(GI$4="",$B22=""),0,SUMIF('DADOS BRUTOS'!$A$3:$A$500,$B22,'DADOS BRUTOS'!DI$3:DI$500)+IF($C22="",0,SUMIF('DADOS BRUTOS'!$A$3:$A$500,$C22,'DADOS BRUTOS'!DI$3:DI$500)))</f>
        <v/>
      </c>
      <c r="GJ22" s="123">
        <f>IF(OR(GJ$4="",$B22=""),0,SUMIF('DADOS BRUTOS'!$A$3:$A$500,$B22,'DADOS BRUTOS'!DJ$3:DJ$500)+IF($C22="",0,SUMIF('DADOS BRUTOS'!$A$3:$A$500,$C22,'DADOS BRUTOS'!DJ$3:DJ$500)))</f>
        <v/>
      </c>
      <c r="GK22" s="123">
        <f>IF(OR(GK$4="",$B22=""),0,SUMIF('DADOS BRUTOS'!$A$3:$A$500,$B22,'DADOS BRUTOS'!DK$3:DK$500)+IF($C22="",0,SUMIF('DADOS BRUTOS'!$A$3:$A$500,$C22,'DADOS BRUTOS'!DK$3:DK$500)))</f>
        <v/>
      </c>
      <c r="GL22" s="123">
        <f>IF(OR(GL$4="",$B22=""),0,SUMIF('DADOS BRUTOS'!$A$3:$A$500,$B22,'DADOS BRUTOS'!DL$3:DL$500)+IF($C22="",0,SUMIF('DADOS BRUTOS'!$A$3:$A$500,$C22,'DADOS BRUTOS'!DL$3:DL$500)))</f>
        <v/>
      </c>
      <c r="GM22" s="123">
        <f>IF(OR(GM$4="",$B22=""),0,SUMIF('DADOS BRUTOS'!$A$3:$A$500,$B22,'DADOS BRUTOS'!DM$3:DM$500)+IF($C22="",0,SUMIF('DADOS BRUTOS'!$A$3:$A$500,$C22,'DADOS BRUTOS'!DM$3:DM$500)))</f>
        <v/>
      </c>
      <c r="GN22" s="123">
        <f>IF(OR(GN$4="",$B22=""),0,SUMIF('DADOS BRUTOS'!$A$3:$A$500,$B22,'DADOS BRUTOS'!DN$3:DN$500)+IF($C22="",0,SUMIF('DADOS BRUTOS'!$A$3:$A$500,$C22,'DADOS BRUTOS'!DN$3:DN$500)))</f>
        <v/>
      </c>
      <c r="GO22" s="123">
        <f>IF(OR(GO$4="",$B22=""),0,SUMIF('DADOS BRUTOS'!$A$3:$A$500,$B22,'DADOS BRUTOS'!DO$3:DO$500)+IF($C22="",0,SUMIF('DADOS BRUTOS'!$A$3:$A$500,$C22,'DADOS BRUTOS'!DO$3:DO$500)))</f>
        <v/>
      </c>
      <c r="GP22" s="123">
        <f>IF(OR(GP$4="",$B22=""),0,SUMIF('DADOS BRUTOS'!$A$3:$A$500,$B22,'DADOS BRUTOS'!DP$3:DP$500)+IF($C22="",0,SUMIF('DADOS BRUTOS'!$A$3:$A$500,$C22,'DADOS BRUTOS'!DP$3:DP$500)))</f>
        <v/>
      </c>
      <c r="GQ22" s="123">
        <f>IF(OR(GQ$4="",$B22=""),0,SUMIF('DADOS BRUTOS'!$A$3:$A$500,$B22,'DADOS BRUTOS'!DQ$3:DQ$500)+IF($C22="",0,SUMIF('DADOS BRUTOS'!$A$3:$A$500,$C22,'DADOS BRUTOS'!DQ$3:DQ$500)))</f>
        <v/>
      </c>
      <c r="GR22" s="123">
        <f>IF(OR(GR$4="",$B22=""),0,SUMIF('DADOS BRUTOS'!$A$3:$A$500,$B22,'DADOS BRUTOS'!DR$3:DR$500)+IF($C22="",0,SUMIF('DADOS BRUTOS'!$A$3:$A$500,$C22,'DADOS BRUTOS'!DR$3:DR$500)))</f>
        <v/>
      </c>
      <c r="GS22" s="123">
        <f>IF(OR(GS$4="",$B22=""),0,SUMIF('DADOS BRUTOS'!$A$3:$A$500,$B22,'DADOS BRUTOS'!DS$3:DS$500)+IF($C22="",0,SUMIF('DADOS BRUTOS'!$A$3:$A$500,$C22,'DADOS BRUTOS'!DS$3:DS$500)))</f>
        <v/>
      </c>
      <c r="GT22" s="123">
        <f>IF(OR(GT$4="",$B22=""),0,SUMIF('DADOS BRUTOS'!$A$3:$A$500,$B22,'DADOS BRUTOS'!DT$3:DT$500)+IF($C22="",0,SUMIF('DADOS BRUTOS'!$A$3:$A$500,$C22,'DADOS BRUTOS'!DT$3:DT$500)))</f>
        <v/>
      </c>
      <c r="GU22" s="123">
        <f>IF(OR(GU$4="",$B22=""),0,SUMIF('DADOS BRUTOS'!$A$3:$A$500,$B22,'DADOS BRUTOS'!DU$3:DU$500)+IF($C22="",0,SUMIF('DADOS BRUTOS'!$A$3:$A$500,$C22,'DADOS BRUTOS'!DU$3:DU$500)))</f>
        <v/>
      </c>
      <c r="GV22" s="123">
        <f>IF(OR(GV$4="",$B22=""),0,SUMIF('DADOS BRUTOS'!$A$3:$A$500,$B22,'DADOS BRUTOS'!DV$3:DV$500)+IF($C22="",0,SUMIF('DADOS BRUTOS'!$A$3:$A$500,$C22,'DADOS BRUTOS'!DV$3:DV$500)))</f>
        <v/>
      </c>
      <c r="GW22" s="123">
        <f>IF(OR(GW$4="",$B22=""),0,SUMIF('DADOS BRUTOS'!$A$3:$A$500,$B22,'DADOS BRUTOS'!DW$3:DW$500)+IF($C22="",0,SUMIF('DADOS BRUTOS'!$A$3:$A$500,$C22,'DADOS BRUTOS'!DW$3:DW$500)))</f>
        <v/>
      </c>
      <c r="GX22" s="123">
        <f>IF(OR(GX$4="",$B22=""),0,SUMIF('DADOS BRUTOS'!$A$3:$A$500,$B22,'DADOS BRUTOS'!DX$3:DX$500)+IF($C22="",0,SUMIF('DADOS BRUTOS'!$A$3:$A$500,$C22,'DADOS BRUTOS'!DX$3:DX$500)))</f>
        <v/>
      </c>
      <c r="GY22" s="123">
        <f>IF(OR(GY$4="",$B22=""),0,SUMIF('DADOS BRUTOS'!$A$3:$A$500,$B22,'DADOS BRUTOS'!DY$3:DY$500)+IF($C22="",0,SUMIF('DADOS BRUTOS'!$A$3:$A$500,$C22,'DADOS BRUTOS'!DY$3:DY$500)))</f>
        <v/>
      </c>
      <c r="GZ22" s="123">
        <f>IF(OR(GZ$4="",$B22=""),0,SUMIF('DADOS BRUTOS'!$A$3:$A$500,$B22,'DADOS BRUTOS'!DZ$3:DZ$500)+IF($C22="",0,SUMIF('DADOS BRUTOS'!$A$3:$A$500,$C22,'DADOS BRUTOS'!DZ$3:DZ$500)))</f>
        <v/>
      </c>
      <c r="HA22" s="123">
        <f>IF(OR(HA$4="",$B22=""),0,SUMIF('DADOS BRUTOS'!$A$3:$A$500,$B22,'DADOS BRUTOS'!EA$3:EA$500)+IF($C22="",0,SUMIF('DADOS BRUTOS'!$A$3:$A$500,$C22,'DADOS BRUTOS'!EA$3:EA$500)))</f>
        <v/>
      </c>
      <c r="HB22" s="123">
        <f>IF(OR(HB$4="",$B22=""),0,SUMIF('DADOS BRUTOS'!$A$3:$A$500,$B22,'DADOS BRUTOS'!EB$3:EB$500)+IF($C22="",0,SUMIF('DADOS BRUTOS'!$A$3:$A$500,$C22,'DADOS BRUTOS'!EB$3:EB$500)))</f>
        <v/>
      </c>
      <c r="HC22" s="123">
        <f>IF(OR(HC$4="",$B22=""),0,SUMIF('DADOS BRUTOS'!$A$3:$A$500,$B22,'DADOS BRUTOS'!EC$3:EC$500)+IF($C22="",0,SUMIF('DADOS BRUTOS'!$A$3:$A$500,$C22,'DADOS BRUTOS'!EC$3:EC$500)))</f>
        <v/>
      </c>
      <c r="HD22" s="123">
        <f>IF(OR(HD$4="",$B22=""),0,SUMIF('DADOS BRUTOS'!$A$3:$A$500,$B22,'DADOS BRUTOS'!ED$3:ED$500)+IF($C22="",0,SUMIF('DADOS BRUTOS'!$A$3:$A$500,$C22,'DADOS BRUTOS'!ED$3:ED$500)))</f>
        <v/>
      </c>
      <c r="HE22" s="123">
        <f>IF(OR(HE$4="",$B22=""),0,SUMIF('DADOS BRUTOS'!$A$3:$A$500,$B22,'DADOS BRUTOS'!EE$3:EE$500)+IF($C22="",0,SUMIF('DADOS BRUTOS'!$A$3:$A$500,$C22,'DADOS BRUTOS'!EE$3:EE$500)))</f>
        <v/>
      </c>
      <c r="HF22" s="123">
        <f>IF(OR(HF$4="",$B22=""),0,SUMIF('DADOS BRUTOS'!$A$3:$A$500,$B22,'DADOS BRUTOS'!EF$3:EF$500)+IF($C22="",0,SUMIF('DADOS BRUTOS'!$A$3:$A$500,$C22,'DADOS BRUTOS'!EF$3:EF$500)))</f>
        <v/>
      </c>
      <c r="HG22" s="123">
        <f>IF(OR(HG$4="",$B22=""),0,SUMIF('DADOS BRUTOS'!$A$3:$A$500,$B22,'DADOS BRUTOS'!EG$3:EG$500)+IF($C22="",0,SUMIF('DADOS BRUTOS'!$A$3:$A$500,$C22,'DADOS BRUTOS'!EG$3:EG$500)))</f>
        <v/>
      </c>
      <c r="HH22" s="123">
        <f>IF(OR(HH$4="",$B22=""),0,SUMIF('DADOS BRUTOS'!$A$3:$A$500,$B22,'DADOS BRUTOS'!EH$3:EH$500)+IF($C22="",0,SUMIF('DADOS BRUTOS'!$A$3:$A$500,$C22,'DADOS BRUTOS'!EH$3:EH$500)))</f>
        <v/>
      </c>
      <c r="HI22" s="123">
        <f>IF(OR(HI$4="",$B22=""),0,SUMIF('DADOS BRUTOS'!$A$3:$A$500,$B22,'DADOS BRUTOS'!EI$3:EI$500)+IF($C22="",0,SUMIF('DADOS BRUTOS'!$A$3:$A$500,$C22,'DADOS BRUTOS'!EI$3:EI$500)))</f>
        <v/>
      </c>
      <c r="HJ22" s="123">
        <f>IF(OR(HJ$4="",$B22=""),0,SUMIF('DADOS BRUTOS'!$A$3:$A$500,$B22,'DADOS BRUTOS'!EJ$3:EJ$500)+IF($C22="",0,SUMIF('DADOS BRUTOS'!$A$3:$A$500,$C22,'DADOS BRUTOS'!EJ$3:EJ$500)))</f>
        <v/>
      </c>
      <c r="HK22" s="123">
        <f>IF(OR(HK$4="",$B22=""),0,SUMIF('DADOS BRUTOS'!$A$3:$A$500,$B22,'DADOS BRUTOS'!EK$3:EK$500)+IF($C22="",0,SUMIF('DADOS BRUTOS'!$A$3:$A$500,$C22,'DADOS BRUTOS'!EK$3:EK$500)))</f>
        <v/>
      </c>
      <c r="HL22" s="123">
        <f>IF(OR(HL$4="",$B22=""),0,SUMIF('DADOS BRUTOS'!$A$3:$A$500,$B22,'DADOS BRUTOS'!EL$3:EL$500)+IF($C22="",0,SUMIF('DADOS BRUTOS'!$A$3:$A$500,$C22,'DADOS BRUTOS'!EL$3:EL$500)))</f>
        <v/>
      </c>
      <c r="HM22" s="123">
        <f>IF(OR(HM$4="",$B22=""),0,SUMIF('DADOS BRUTOS'!$A$3:$A$500,$B22,'DADOS BRUTOS'!EM$3:EM$500)+IF($C22="",0,SUMIF('DADOS BRUTOS'!$A$3:$A$500,$C22,'DADOS BRUTOS'!EM$3:EM$500)))</f>
        <v/>
      </c>
      <c r="HN22" s="123">
        <f>IF(OR(HN$4="",$B22=""),0,SUMIF('DADOS BRUTOS'!$A$3:$A$500,$B22,'DADOS BRUTOS'!EN$3:EN$500)+IF($C22="",0,SUMIF('DADOS BRUTOS'!$A$3:$A$500,$C22,'DADOS BRUTOS'!EN$3:EN$500)))</f>
        <v/>
      </c>
      <c r="HO22" s="123">
        <f>IF(OR(HO$4="",$B22=""),0,SUMIF('DADOS BRUTOS'!$A$3:$A$500,$B22,'DADOS BRUTOS'!EO$3:EO$500)+IF($C22="",0,SUMIF('DADOS BRUTOS'!$A$3:$A$500,$C22,'DADOS BRUTOS'!EO$3:EO$500)))</f>
        <v/>
      </c>
      <c r="HP22" s="123">
        <f>IF(OR(HP$4="",$B22=""),0,SUMIF('DADOS BRUTOS'!$A$3:$A$500,$B22,'DADOS BRUTOS'!EP$3:EP$500)+IF($C22="",0,SUMIF('DADOS BRUTOS'!$A$3:$A$500,$C22,'DADOS BRUTOS'!EP$3:EP$500)))</f>
        <v/>
      </c>
      <c r="HQ22" s="123">
        <f>IF(OR(HQ$4="",$B22=""),0,SUMIF('DADOS BRUTOS'!$A$3:$A$500,$B22,'DADOS BRUTOS'!EQ$3:EQ$500)+IF($C22="",0,SUMIF('DADOS BRUTOS'!$A$3:$A$500,$C22,'DADOS BRUTOS'!EQ$3:EQ$500)))</f>
        <v/>
      </c>
      <c r="HR22" s="123">
        <f>IF(OR(HR$4="",$B22=""),0,SUMIF('DADOS BRUTOS'!$A$3:$A$500,$B22,'DADOS BRUTOS'!ER$3:ER$500)+IF($C22="",0,SUMIF('DADOS BRUTOS'!$A$3:$A$500,$C22,'DADOS BRUTOS'!ER$3:ER$500)))</f>
        <v/>
      </c>
      <c r="HS22" s="123">
        <f>IF(OR(HS$4="",$B22=""),0,SUMIF('DADOS BRUTOS'!$A$3:$A$500,$B22,'DADOS BRUTOS'!ES$3:ES$500)+IF($C22="",0,SUMIF('DADOS BRUTOS'!$A$3:$A$500,$C22,'DADOS BRUTOS'!ES$3:ES$500)))</f>
        <v/>
      </c>
      <c r="HT22" s="123">
        <f>IF(OR(HT$4="",$B22=""),0,SUMIF('DADOS BRUTOS'!$A$3:$A$500,$B22,'DADOS BRUTOS'!ET$3:ET$500)+IF($C22="",0,SUMIF('DADOS BRUTOS'!$A$3:$A$500,$C22,'DADOS BRUTOS'!ET$3:ET$500)))</f>
        <v/>
      </c>
      <c r="HU22" s="123">
        <f>IF(OR(HU$4="",$B22=""),0,SUMIF('DADOS BRUTOS'!$A$3:$A$500,$B22,'DADOS BRUTOS'!EU$3:EU$500)+IF($C22="",0,SUMIF('DADOS BRUTOS'!$A$3:$A$500,$C22,'DADOS BRUTOS'!EU$3:EU$500)))</f>
        <v/>
      </c>
      <c r="HV22" s="123">
        <f>IF(OR(HV$4="",$B22=""),0,SUMIF('DADOS BRUTOS'!$A$3:$A$500,$B22,'DADOS BRUTOS'!EV$3:EV$500)+IF($C22="",0,SUMIF('DADOS BRUTOS'!$A$3:$A$500,$C22,'DADOS BRUTOS'!EV$3:EV$500)))</f>
        <v/>
      </c>
      <c r="HW22" s="123">
        <f>IF(OR(HW$4="",$B22=""),0,SUMIF('DADOS BRUTOS'!$A$3:$A$500,$B22,'DADOS BRUTOS'!EW$3:EW$500)+IF($C22="",0,SUMIF('DADOS BRUTOS'!$A$3:$A$500,$C22,'DADOS BRUTOS'!EW$3:EW$500)))</f>
        <v/>
      </c>
      <c r="HX22" s="123">
        <f>IF(OR(HX$4="",$B22=""),0,SUMIF('DADOS BRUTOS'!$A$3:$A$500,$B22,'DADOS BRUTOS'!EX$3:EX$500)+IF($C22="",0,SUMIF('DADOS BRUTOS'!$A$3:$A$500,$C22,'DADOS BRUTOS'!EX$3:EX$500)))</f>
        <v/>
      </c>
      <c r="HY22" s="123">
        <f>IF(OR(HY$4="",$B22=""),0,SUMIF('DADOS BRUTOS'!$A$3:$A$500,$B22,'DADOS BRUTOS'!EY$3:EY$500)+IF($C22="",0,SUMIF('DADOS BRUTOS'!$A$3:$A$500,$C22,'DADOS BRUTOS'!EY$3:EY$500)))</f>
        <v/>
      </c>
      <c r="HZ22" s="123">
        <f>IF(OR(HZ$4="",$B22=""),0,SUMIF('DADOS BRUTOS'!$A$3:$A$500,$B22,'DADOS BRUTOS'!EZ$3:EZ$500)+IF($C22="",0,SUMIF('DADOS BRUTOS'!$A$3:$A$500,$C22,'DADOS BRUTOS'!EZ$3:EZ$500)))</f>
        <v/>
      </c>
      <c r="IA22" s="123">
        <f>IF(OR(IA$4="",$B22=""),0,SUMIF('DADOS BRUTOS'!$A$3:$A$500,$B22,'DADOS BRUTOS'!FA$3:FA$500)+IF($C22="",0,SUMIF('DADOS BRUTOS'!$A$3:$A$500,$C22,'DADOS BRUTOS'!FA$3:FA$500)))</f>
        <v/>
      </c>
      <c r="IB22" s="123">
        <f>IF(OR(IB$4="",$B22=""),0,SUMIF('DADOS BRUTOS'!$A$3:$A$500,$B22,'DADOS BRUTOS'!FB$3:FB$500)+IF($C22="",0,SUMIF('DADOS BRUTOS'!$A$3:$A$500,$C22,'DADOS BRUTOS'!FB$3:FB$500)))</f>
        <v/>
      </c>
      <c r="IC22" s="123">
        <f>IF(OR(IC$4="",$B22=""),0,SUMIF('DADOS BRUTOS'!$A$3:$A$500,$B22,'DADOS BRUTOS'!FC$3:FC$500)+IF($C22="",0,SUMIF('DADOS BRUTOS'!$A$3:$A$500,$C22,'DADOS BRUTOS'!FC$3:FC$500)))</f>
        <v/>
      </c>
      <c r="ID22" s="123">
        <f>IF(OR(ID$4="",$B22=""),0,SUMIF('DADOS BRUTOS'!$A$3:$A$500,$B22,'DADOS BRUTOS'!FD$3:FD$500)+IF($C22="",0,SUMIF('DADOS BRUTOS'!$A$3:$A$500,$C22,'DADOS BRUTOS'!FD$3:FD$500)))</f>
        <v/>
      </c>
      <c r="IE22" s="123">
        <f>IF(OR(IE$4="",$B22=""),0,SUMIF('DADOS BRUTOS'!$A$3:$A$500,$B22,'DADOS BRUTOS'!FE$3:FE$500)+IF($C22="",0,SUMIF('DADOS BRUTOS'!$A$3:$A$500,$C22,'DADOS BRUTOS'!FE$3:FE$500)))</f>
        <v/>
      </c>
      <c r="IF22" s="123">
        <f>IF(OR(IF$4="",$B22=""),0,SUMIF('DADOS BRUTOS'!$A$3:$A$500,$B22,'DADOS BRUTOS'!FF$3:FF$500)+IF($C22="",0,SUMIF('DADOS BRUTOS'!$A$3:$A$500,$C22,'DADOS BRUTOS'!FF$3:FF$500)))</f>
        <v/>
      </c>
      <c r="IG22" s="123">
        <f>IF(OR(IG$4="",$B22=""),0,SUMIF('DADOS BRUTOS'!$A$3:$A$500,$B22,'DADOS BRUTOS'!FG$3:FG$500)+IF($C22="",0,SUMIF('DADOS BRUTOS'!$A$3:$A$500,$C22,'DADOS BRUTOS'!FG$3:FG$500)))</f>
        <v/>
      </c>
      <c r="IH22" s="123">
        <f>IF(OR(IH$4="",$B22=""),0,SUMIF('DADOS BRUTOS'!$A$3:$A$500,$B22,'DADOS BRUTOS'!FH$3:FH$500)+IF($C22="",0,SUMIF('DADOS BRUTOS'!$A$3:$A$500,$C22,'DADOS BRUTOS'!FH$3:FH$500)))</f>
        <v/>
      </c>
      <c r="II22" s="123">
        <f>IF(OR(II$4="",$B22=""),0,SUMIF('DADOS BRUTOS'!$A$3:$A$500,$B22,'DADOS BRUTOS'!FI$3:FI$500)+IF($C22="",0,SUMIF('DADOS BRUTOS'!$A$3:$A$500,$C22,'DADOS BRUTOS'!FI$3:FI$500)))</f>
        <v/>
      </c>
      <c r="IJ22" s="123">
        <f>IF(OR(IJ$4="",$B22=""),0,SUMIF('DADOS BRUTOS'!$A$3:$A$500,$B22,'DADOS BRUTOS'!FJ$3:FJ$500)+IF($C22="",0,SUMIF('DADOS BRUTOS'!$A$3:$A$500,$C22,'DADOS BRUTOS'!FJ$3:FJ$500)))</f>
        <v/>
      </c>
      <c r="IK22" s="123">
        <f>IF(OR(IK$4="",$B22=""),0,SUMIF('DADOS BRUTOS'!$A$3:$A$500,$B22,'DADOS BRUTOS'!FK$3:FK$500)+IF($C22="",0,SUMIF('DADOS BRUTOS'!$A$3:$A$500,$C22,'DADOS BRUTOS'!FK$3:FK$500)))</f>
        <v/>
      </c>
      <c r="IL22" s="123">
        <f>IF(OR(IL$4="",$B22=""),0,SUMIF('DADOS BRUTOS'!$A$3:$A$500,$B22,'DADOS BRUTOS'!FL$3:FL$500)+IF($C22="",0,SUMIF('DADOS BRUTOS'!$A$3:$A$500,$C22,'DADOS BRUTOS'!FL$3:FL$500)))</f>
        <v/>
      </c>
      <c r="IM22" s="123">
        <f>IF(OR(IM$4="",$B22=""),0,SUMIF('DADOS BRUTOS'!$A$3:$A$500,$B22,'DADOS BRUTOS'!FM$3:FM$500)+IF($C22="",0,SUMIF('DADOS BRUTOS'!$A$3:$A$500,$C22,'DADOS BRUTOS'!FM$3:FM$500)))</f>
        <v/>
      </c>
      <c r="IN22" s="123">
        <f>IF(OR(IN$4="",$B22=""),0,SUMIF('DADOS BRUTOS'!$A$3:$A$500,$B22,'DADOS BRUTOS'!FN$3:FN$500)+IF($C22="",0,SUMIF('DADOS BRUTOS'!$A$3:$A$500,$C22,'DADOS BRUTOS'!FN$3:FN$500)))</f>
        <v/>
      </c>
      <c r="IO22" s="123">
        <f>IF(OR(IO$4="",$B22=""),0,SUMIF('DADOS BRUTOS'!$A$3:$A$500,$B22,'DADOS BRUTOS'!FO$3:FO$500)+IF($C22="",0,SUMIF('DADOS BRUTOS'!$A$3:$A$500,$C22,'DADOS BRUTOS'!FO$3:FO$500)))</f>
        <v/>
      </c>
      <c r="IP22" s="123">
        <f>IF(OR(IP$4="",$B22=""),0,SUMIF('DADOS BRUTOS'!$A$3:$A$500,$B22,'DADOS BRUTOS'!FP$3:FP$500)+IF($C22="",0,SUMIF('DADOS BRUTOS'!$A$3:$A$500,$C22,'DADOS BRUTOS'!FP$3:FP$500)))</f>
        <v/>
      </c>
      <c r="IQ22" s="123">
        <f>IF(OR(IQ$4="",$B22=""),0,SUMIF('DADOS BRUTOS'!$A$3:$A$500,$B22,'DADOS BRUTOS'!FQ$3:FQ$500)+IF($C22="",0,SUMIF('DADOS BRUTOS'!$A$3:$A$500,$C22,'DADOS BRUTOS'!FQ$3:FQ$500)))</f>
        <v/>
      </c>
      <c r="IR22" s="123">
        <f>IF(OR(IR$4="",$B22=""),0,SUMIF('DADOS BRUTOS'!$A$3:$A$500,$B22,'DADOS BRUTOS'!FR$3:FR$500)+IF($C22="",0,SUMIF('DADOS BRUTOS'!$A$3:$A$500,$C22,'DADOS BRUTOS'!FR$3:FR$500)))</f>
        <v/>
      </c>
      <c r="IS22" s="123">
        <f>IF(OR(IS$4="",$B22=""),0,SUMIF('DADOS BRUTOS'!$A$3:$A$500,$B22,'DADOS BRUTOS'!FS$3:FS$500)+IF($C22="",0,SUMIF('DADOS BRUTOS'!$A$3:$A$500,$C22,'DADOS BRUTOS'!FS$3:FS$500)))</f>
        <v/>
      </c>
      <c r="IT22" s="123">
        <f>IF(OR(IT$4="",$B22=""),0,SUMIF('DADOS BRUTOS'!$A$3:$A$500,$B22,'DADOS BRUTOS'!FT$3:FT$500)+IF($C22="",0,SUMIF('DADOS BRUTOS'!$A$3:$A$500,$C22,'DADOS BRUTOS'!FT$3:FT$500)))</f>
        <v/>
      </c>
      <c r="IU22" s="123">
        <f>IF(OR(IU$4="",$B22=""),0,SUMIF('DADOS BRUTOS'!$A$3:$A$500,$B22,'DADOS BRUTOS'!FU$3:FU$500)+IF($C22="",0,SUMIF('DADOS BRUTOS'!$A$3:$A$500,$C22,'DADOS BRUTOS'!FU$3:FU$500)))</f>
        <v/>
      </c>
      <c r="IV22" s="123">
        <f>IF(OR(IV$4="",$B22=""),0,SUMIF('DADOS BRUTOS'!$A$3:$A$500,$B22,'DADOS BRUTOS'!FV$3:FV$500)+IF($C22="",0,SUMIF('DADOS BRUTOS'!$A$3:$A$500,$C22,'DADOS BRUTOS'!FV$3:FV$500)))</f>
        <v/>
      </c>
      <c r="IW22" s="123">
        <f>IF(OR(IW$4="",$B22=""),0,SUMIF('DADOS BRUTOS'!$A$3:$A$500,$B22,'DADOS BRUTOS'!FW$3:FW$500)+IF($C22="",0,SUMIF('DADOS BRUTOS'!$A$3:$A$500,$C22,'DADOS BRUTOS'!FW$3:FW$500)))</f>
        <v/>
      </c>
      <c r="IX22" s="123">
        <f>IF(OR(IX$4="",$B22=""),0,SUMIF('DADOS BRUTOS'!$A$3:$A$500,$B22,'DADOS BRUTOS'!FX$3:FX$500)+IF($C22="",0,SUMIF('DADOS BRUTOS'!$A$3:$A$500,$C22,'DADOS BRUTOS'!FX$3:FX$500)))</f>
        <v/>
      </c>
      <c r="IY22" s="123">
        <f>IF(OR(IY$4="",$B22=""),0,SUMIF('DADOS BRUTOS'!$A$3:$A$500,$B22,'DADOS BRUTOS'!FY$3:FY$500)+IF($C22="",0,SUMIF('DADOS BRUTOS'!$A$3:$A$500,$C22,'DADOS BRUTOS'!FY$3:FY$500)))</f>
        <v/>
      </c>
      <c r="IZ22" s="123">
        <f>IF(OR(IZ$4="",$B22=""),0,SUMIF('DADOS BRUTOS'!$A$3:$A$500,$B22,'DADOS BRUTOS'!FZ$3:FZ$500)+IF($C22="",0,SUMIF('DADOS BRUTOS'!$A$3:$A$500,$C22,'DADOS BRUTOS'!FZ$3:FZ$500)))</f>
        <v/>
      </c>
      <c r="JA22" s="123">
        <f>IF(OR(JA$4="",$B22=""),0,SUMIF('DADOS BRUTOS'!$A$3:$A$500,$B22,'DADOS BRUTOS'!GA$3:GA$500)+IF($C22="",0,SUMIF('DADOS BRUTOS'!$A$3:$A$500,$C22,'DADOS BRUTOS'!GA$3:GA$500)))</f>
        <v/>
      </c>
      <c r="JB22" s="123">
        <f>IF(OR(JB$4="",$B22=""),0,SUMIF('DADOS BRUTOS'!$A$3:$A$500,$B22,'DADOS BRUTOS'!GB$3:GB$500)+IF($C22="",0,SUMIF('DADOS BRUTOS'!$A$3:$A$500,$C22,'DADOS BRUTOS'!GB$3:GB$500)))</f>
        <v/>
      </c>
      <c r="JC22" s="123">
        <f>IF(OR(JC$4="",$B22=""),0,SUMIF('DADOS BRUTOS'!$A$3:$A$500,$B22,'DADOS BRUTOS'!GC$3:GC$500)+IF($C22="",0,SUMIF('DADOS BRUTOS'!$A$3:$A$500,$C22,'DADOS BRUTOS'!GC$3:GC$500)))</f>
        <v/>
      </c>
      <c r="JD22" s="123">
        <f>IF(OR(JD$4="",$B22=""),0,SUMIF('DADOS BRUTOS'!$A$3:$A$500,$B22,'DADOS BRUTOS'!GD$3:GD$500)+IF($C22="",0,SUMIF('DADOS BRUTOS'!$A$3:$A$500,$C22,'DADOS BRUTOS'!GD$3:GD$500)))</f>
        <v/>
      </c>
      <c r="JE22" s="123">
        <f>IF(OR(JE$4="",$B22=""),0,SUMIF('DADOS BRUTOS'!$A$3:$A$500,$B22,'DADOS BRUTOS'!GE$3:GE$500)+IF($C22="",0,SUMIF('DADOS BRUTOS'!$A$3:$A$500,$C22,'DADOS BRUTOS'!GE$3:GE$500)))</f>
        <v/>
      </c>
      <c r="JF22" s="123">
        <f>IF(OR(JF$4="",$B22=""),0,SUMIF('DADOS BRUTOS'!$A$3:$A$500,$B22,'DADOS BRUTOS'!GF$3:GF$500)+IF($C22="",0,SUMIF('DADOS BRUTOS'!$A$3:$A$500,$C22,'DADOS BRUTOS'!GF$3:GF$500)))</f>
        <v/>
      </c>
      <c r="JG22" s="123">
        <f>IF(OR(JG$4="",$B22=""),0,SUMIF('DADOS BRUTOS'!$A$3:$A$500,$B22,'DADOS BRUTOS'!GG$3:GG$500)+IF($C22="",0,SUMIF('DADOS BRUTOS'!$A$3:$A$500,$C22,'DADOS BRUTOS'!GG$3:GG$500)))</f>
        <v/>
      </c>
      <c r="JH22" s="123">
        <f>IF(OR(JH$4="",$B22=""),0,SUMIF('DADOS BRUTOS'!$A$3:$A$500,$B22,'DADOS BRUTOS'!GH$3:GH$500)+IF($C22="",0,SUMIF('DADOS BRUTOS'!$A$3:$A$500,$C22,'DADOS BRUTOS'!GH$3:GH$500)))</f>
        <v/>
      </c>
      <c r="JI22" s="123">
        <f>IF(OR(JI$4="",$B22=""),0,SUMIF('DADOS BRUTOS'!$A$3:$A$500,$B22,'DADOS BRUTOS'!GI$3:GI$500)+IF($C22="",0,SUMIF('DADOS BRUTOS'!$A$3:$A$500,$C22,'DADOS BRUTOS'!GI$3:GI$500)))</f>
        <v/>
      </c>
      <c r="JJ22" s="123">
        <f>IF(OR(JJ$4="",$B22=""),0,SUMIF('DADOS BRUTOS'!$A$3:$A$500,$B22,'DADOS BRUTOS'!GJ$3:GJ$500)+IF($C22="",0,SUMIF('DADOS BRUTOS'!$A$3:$A$500,$C22,'DADOS BRUTOS'!GJ$3:GJ$500)))</f>
        <v/>
      </c>
      <c r="JK22" s="123">
        <f>IF(OR(JK$4="",$B22=""),0,SUMIF('DADOS BRUTOS'!$A$3:$A$500,$B22,'DADOS BRUTOS'!GK$3:GK$500)+IF($C22="",0,SUMIF('DADOS BRUTOS'!$A$3:$A$500,$C22,'DADOS BRUTOS'!GK$3:GK$500)))</f>
        <v/>
      </c>
      <c r="JL22" s="123">
        <f>IF(OR(JL$4="",$B22=""),0,SUMIF('DADOS BRUTOS'!$A$3:$A$500,$B22,'DADOS BRUTOS'!GL$3:GL$500)+IF($C22="",0,SUMIF('DADOS BRUTOS'!$A$3:$A$500,$C22,'DADOS BRUTOS'!GL$3:GL$500)))</f>
        <v/>
      </c>
      <c r="JM22" s="123">
        <f>IF(OR(JM$4="",$B22=""),0,SUMIF('DADOS BRUTOS'!$A$3:$A$500,$B22,'DADOS BRUTOS'!GM$3:GM$500)+IF($C22="",0,SUMIF('DADOS BRUTOS'!$A$3:$A$500,$C22,'DADOS BRUTOS'!GM$3:GM$500)))</f>
        <v/>
      </c>
      <c r="JN22" s="123">
        <f>IF(OR(JN$4="",$B22=""),0,SUMIF('DADOS BRUTOS'!$A$3:$A$500,$B22,'DADOS BRUTOS'!GN$3:GN$500)+IF($C22="",0,SUMIF('DADOS BRUTOS'!$A$3:$A$500,$C22,'DADOS BRUTOS'!GN$3:GN$500)))</f>
        <v/>
      </c>
      <c r="JO22" s="123">
        <f>IF(OR(JO$4="",$B22=""),0,SUMIF('DADOS BRUTOS'!$A$3:$A$500,$B22,'DADOS BRUTOS'!GO$3:GO$500)+IF($C22="",0,SUMIF('DADOS BRUTOS'!$A$3:$A$500,$C22,'DADOS BRUTOS'!GO$3:GO$500)))</f>
        <v/>
      </c>
      <c r="JP22" s="123">
        <f>IF(OR(JP$4="",$B22=""),0,SUMIF('DADOS BRUTOS'!$A$3:$A$500,$B22,'DADOS BRUTOS'!GP$3:GP$500)+IF($C22="",0,SUMIF('DADOS BRUTOS'!$A$3:$A$500,$C22,'DADOS BRUTOS'!GP$3:GP$500)))</f>
        <v/>
      </c>
      <c r="JQ22" s="123">
        <f>IF(OR(JQ$4="",$B22=""),0,SUMIF('DADOS BRUTOS'!$A$3:$A$500,$B22,'DADOS BRUTOS'!GQ$3:GQ$500)+IF($C22="",0,SUMIF('DADOS BRUTOS'!$A$3:$A$500,$C22,'DADOS BRUTOS'!GQ$3:GQ$500)))</f>
        <v/>
      </c>
      <c r="JR22" s="123">
        <f>IF(OR(JR$4="",$B22=""),0,SUMIF('DADOS BRUTOS'!$A$3:$A$500,$B22,'DADOS BRUTOS'!GR$3:GR$500)+IF($C22="",0,SUMIF('DADOS BRUTOS'!$A$3:$A$500,$C22,'DADOS BRUTOS'!GR$3:GR$500)))</f>
        <v/>
      </c>
      <c r="JS22" s="123">
        <f>IF(OR(JS$4="",$B22=""),0,SUMIF('DADOS BRUTOS'!$A$3:$A$500,$B22,'DADOS BRUTOS'!GS$3:GS$500)+IF($C22="",0,SUMIF('DADOS BRUTOS'!$A$3:$A$500,$C22,'DADOS BRUTOS'!GS$3:GS$500)))</f>
        <v/>
      </c>
    </row>
    <row r="23">
      <c r="A23" s="60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CB23" s="123">
        <f>IF(OR(CB$4="",$B23=""),0,SUMIF('DADOS BRUTOS'!$A$3:$A$500,$B23,'DADOS BRUTOS'!B$3:B$500)+IF($C23="",0,SUMIF('DADOS BRUTOS'!$A$3:$A$500,$C23,'DADOS BRUTOS'!B$3:B$500)))</f>
        <v/>
      </c>
      <c r="CC23" s="123">
        <f>IF(OR(CC$4="",$B23=""),0,SUMIF('DADOS BRUTOS'!$A$3:$A$500,$B23,'DADOS BRUTOS'!C$3:C$500)+IF($C23="",0,SUMIF('DADOS BRUTOS'!$A$3:$A$500,$C23,'DADOS BRUTOS'!C$3:C$500)))</f>
        <v/>
      </c>
      <c r="CD23" s="123">
        <f>IF(OR(CD$4="",$B23=""),0,SUMIF('DADOS BRUTOS'!$A$3:$A$500,$B23,'DADOS BRUTOS'!D$3:D$500)+IF($C23="",0,SUMIF('DADOS BRUTOS'!$A$3:$A$500,$C23,'DADOS BRUTOS'!D$3:D$500)))</f>
        <v/>
      </c>
      <c r="CE23" s="123">
        <f>IF(OR(CE$4="",$B23=""),0,SUMIF('DADOS BRUTOS'!$A$3:$A$500,$B23,'DADOS BRUTOS'!E$3:E$500)+IF($C23="",0,SUMIF('DADOS BRUTOS'!$A$3:$A$500,$C23,'DADOS BRUTOS'!E$3:E$500)))</f>
        <v/>
      </c>
      <c r="CF23" s="123">
        <f>IF(OR(CF$4="",$B23=""),0,SUMIF('DADOS BRUTOS'!$A$3:$A$500,$B23,'DADOS BRUTOS'!F$3:F$500)+IF($C23="",0,SUMIF('DADOS BRUTOS'!$A$3:$A$500,$C23,'DADOS BRUTOS'!F$3:F$500)))</f>
        <v/>
      </c>
      <c r="CG23" s="123">
        <f>IF(OR(CG$4="",$B23=""),0,SUMIF('DADOS BRUTOS'!$A$3:$A$500,$B23,'DADOS BRUTOS'!G$3:G$500)+IF($C23="",0,SUMIF('DADOS BRUTOS'!$A$3:$A$500,$C23,'DADOS BRUTOS'!G$3:G$500)))</f>
        <v/>
      </c>
      <c r="CH23" s="123">
        <f>IF(OR(CH$4="",$B23=""),0,SUMIF('DADOS BRUTOS'!$A$3:$A$500,$B23,'DADOS BRUTOS'!H$3:H$500)+IF($C23="",0,SUMIF('DADOS BRUTOS'!$A$3:$A$500,$C23,'DADOS BRUTOS'!H$3:H$500)))</f>
        <v/>
      </c>
      <c r="CI23" s="123">
        <f>IF(OR(CI$4="",$B23=""),0,SUMIF('DADOS BRUTOS'!$A$3:$A$500,$B23,'DADOS BRUTOS'!I$3:I$500)+IF($C23="",0,SUMIF('DADOS BRUTOS'!$A$3:$A$500,$C23,'DADOS BRUTOS'!I$3:I$500)))</f>
        <v/>
      </c>
      <c r="CJ23" s="123">
        <f>IF(OR(CJ$4="",$B23=""),0,SUMIF('DADOS BRUTOS'!$A$3:$A$500,$B23,'DADOS BRUTOS'!J$3:J$500)+IF($C23="",0,SUMIF('DADOS BRUTOS'!$A$3:$A$500,$C23,'DADOS BRUTOS'!J$3:J$500)))</f>
        <v/>
      </c>
      <c r="CK23" s="123">
        <f>IF(OR(CK$4="",$B23=""),0,SUMIF('DADOS BRUTOS'!$A$3:$A$500,$B23,'DADOS BRUTOS'!K$3:K$500)+IF($C23="",0,SUMIF('DADOS BRUTOS'!$A$3:$A$500,$C23,'DADOS BRUTOS'!K$3:K$500)))</f>
        <v/>
      </c>
      <c r="CL23" s="123">
        <f>IF(OR(CL$4="",$B23=""),0,SUMIF('DADOS BRUTOS'!$A$3:$A$500,$B23,'DADOS BRUTOS'!L$3:L$500)+IF($C23="",0,SUMIF('DADOS BRUTOS'!$A$3:$A$500,$C23,'DADOS BRUTOS'!L$3:L$500)))</f>
        <v/>
      </c>
      <c r="CM23" s="123">
        <f>IF(OR(CM$4="",$B23=""),0,SUMIF('DADOS BRUTOS'!$A$3:$A$500,$B23,'DADOS BRUTOS'!M$3:M$500)+IF($C23="",0,SUMIF('DADOS BRUTOS'!$A$3:$A$500,$C23,'DADOS BRUTOS'!M$3:M$500)))</f>
        <v/>
      </c>
      <c r="CN23" s="123">
        <f>IF(OR(CN$4="",$B23=""),0,SUMIF('DADOS BRUTOS'!$A$3:$A$500,$B23,'DADOS BRUTOS'!N$3:N$500)+IF($C23="",0,SUMIF('DADOS BRUTOS'!$A$3:$A$500,$C23,'DADOS BRUTOS'!N$3:N$500)))</f>
        <v/>
      </c>
      <c r="CO23" s="123">
        <f>IF(OR(CO$4="",$B23=""),0,SUMIF('DADOS BRUTOS'!$A$3:$A$500,$B23,'DADOS BRUTOS'!O$3:O$500)+IF($C23="",0,SUMIF('DADOS BRUTOS'!$A$3:$A$500,$C23,'DADOS BRUTOS'!O$3:O$500)))</f>
        <v/>
      </c>
      <c r="CP23" s="123">
        <f>IF(OR(CP$4="",$B23=""),0,SUMIF('DADOS BRUTOS'!$A$3:$A$500,$B23,'DADOS BRUTOS'!P$3:P$500)+IF($C23="",0,SUMIF('DADOS BRUTOS'!$A$3:$A$500,$C23,'DADOS BRUTOS'!P$3:P$500)))</f>
        <v/>
      </c>
      <c r="CQ23" s="123">
        <f>IF(OR(CQ$4="",$B23=""),0,SUMIF('DADOS BRUTOS'!$A$3:$A$500,$B23,'DADOS BRUTOS'!Q$3:Q$500)+IF($C23="",0,SUMIF('DADOS BRUTOS'!$A$3:$A$500,$C23,'DADOS BRUTOS'!Q$3:Q$500)))</f>
        <v/>
      </c>
      <c r="CR23" s="123">
        <f>IF(OR(CR$4="",$B23=""),0,SUMIF('DADOS BRUTOS'!$A$3:$A$500,$B23,'DADOS BRUTOS'!R$3:R$500)+IF($C23="",0,SUMIF('DADOS BRUTOS'!$A$3:$A$500,$C23,'DADOS BRUTOS'!R$3:R$500)))</f>
        <v/>
      </c>
      <c r="CS23" s="123">
        <f>IF(OR(CS$4="",$B23=""),0,SUMIF('DADOS BRUTOS'!$A$3:$A$500,$B23,'DADOS BRUTOS'!S$3:S$500)+IF($C23="",0,SUMIF('DADOS BRUTOS'!$A$3:$A$500,$C23,'DADOS BRUTOS'!S$3:S$500)))</f>
        <v/>
      </c>
      <c r="CT23" s="123">
        <f>IF(OR(CT$4="",$B23=""),0,SUMIF('DADOS BRUTOS'!$A$3:$A$500,$B23,'DADOS BRUTOS'!T$3:T$500)+IF($C23="",0,SUMIF('DADOS BRUTOS'!$A$3:$A$500,$C23,'DADOS BRUTOS'!T$3:T$500)))</f>
        <v/>
      </c>
      <c r="CU23" s="123">
        <f>IF(OR(CU$4="",$B23=""),0,SUMIF('DADOS BRUTOS'!$A$3:$A$500,$B23,'DADOS BRUTOS'!U$3:U$500)+IF($C23="",0,SUMIF('DADOS BRUTOS'!$A$3:$A$500,$C23,'DADOS BRUTOS'!U$3:U$500)))</f>
        <v/>
      </c>
      <c r="CV23" s="123">
        <f>IF(OR(CV$4="",$B23=""),0,SUMIF('DADOS BRUTOS'!$A$3:$A$500,$B23,'DADOS BRUTOS'!V$3:V$500)+IF($C23="",0,SUMIF('DADOS BRUTOS'!$A$3:$A$500,$C23,'DADOS BRUTOS'!V$3:V$500)))</f>
        <v/>
      </c>
      <c r="CW23" s="123">
        <f>IF(OR(CW$4="",$B23=""),0,SUMIF('DADOS BRUTOS'!$A$3:$A$500,$B23,'DADOS BRUTOS'!W$3:W$500)+IF($C23="",0,SUMIF('DADOS BRUTOS'!$A$3:$A$500,$C23,'DADOS BRUTOS'!W$3:W$500)))</f>
        <v/>
      </c>
      <c r="CX23" s="123">
        <f>IF(OR(CX$4="",$B23=""),0,SUMIF('DADOS BRUTOS'!$A$3:$A$500,$B23,'DADOS BRUTOS'!X$3:X$500)+IF($C23="",0,SUMIF('DADOS BRUTOS'!$A$3:$A$500,$C23,'DADOS BRUTOS'!X$3:X$500)))</f>
        <v/>
      </c>
      <c r="CY23" s="123">
        <f>IF(OR(CY$4="",$B23=""),0,SUMIF('DADOS BRUTOS'!$A$3:$A$500,$B23,'DADOS BRUTOS'!Y$3:Y$500)+IF($C23="",0,SUMIF('DADOS BRUTOS'!$A$3:$A$500,$C23,'DADOS BRUTOS'!Y$3:Y$500)))</f>
        <v/>
      </c>
      <c r="CZ23" s="123">
        <f>IF(OR(CZ$4="",$B23=""),0,SUMIF('DADOS BRUTOS'!$A$3:$A$500,$B23,'DADOS BRUTOS'!Z$3:Z$500)+IF($C23="",0,SUMIF('DADOS BRUTOS'!$A$3:$A$500,$C23,'DADOS BRUTOS'!Z$3:Z$500)))</f>
        <v/>
      </c>
      <c r="DA23" s="123">
        <f>IF(OR(DA$4="",$B23=""),0,SUMIF('DADOS BRUTOS'!$A$3:$A$500,$B23,'DADOS BRUTOS'!AA$3:AA$500)+IF($C23="",0,SUMIF('DADOS BRUTOS'!$A$3:$A$500,$C23,'DADOS BRUTOS'!AA$3:AA$500)))</f>
        <v/>
      </c>
      <c r="DB23" s="123">
        <f>IF(OR(DB$4="",$B23=""),0,SUMIF('DADOS BRUTOS'!$A$3:$A$500,$B23,'DADOS BRUTOS'!AB$3:AB$500)+IF($C23="",0,SUMIF('DADOS BRUTOS'!$A$3:$A$500,$C23,'DADOS BRUTOS'!AB$3:AB$500)))</f>
        <v/>
      </c>
      <c r="DC23" s="123">
        <f>IF(OR(DC$4="",$B23=""),0,SUMIF('DADOS BRUTOS'!$A$3:$A$500,$B23,'DADOS BRUTOS'!AC$3:AC$500)+IF($C23="",0,SUMIF('DADOS BRUTOS'!$A$3:$A$500,$C23,'DADOS BRUTOS'!AC$3:AC$500)))</f>
        <v/>
      </c>
      <c r="DD23" s="123">
        <f>IF(OR(DD$4="",$B23=""),0,SUMIF('DADOS BRUTOS'!$A$3:$A$500,$B23,'DADOS BRUTOS'!AD$3:AD$500)+IF($C23="",0,SUMIF('DADOS BRUTOS'!$A$3:$A$500,$C23,'DADOS BRUTOS'!AD$3:AD$500)))</f>
        <v/>
      </c>
      <c r="DE23" s="123">
        <f>IF(OR(DE$4="",$B23=""),0,SUMIF('DADOS BRUTOS'!$A$3:$A$500,$B23,'DADOS BRUTOS'!AE$3:AE$500)+IF($C23="",0,SUMIF('DADOS BRUTOS'!$A$3:$A$500,$C23,'DADOS BRUTOS'!AE$3:AE$500)))</f>
        <v/>
      </c>
      <c r="DF23" s="123">
        <f>IF(OR(DF$4="",$B23=""),0,SUMIF('DADOS BRUTOS'!$A$3:$A$500,$B23,'DADOS BRUTOS'!AF$3:AF$500)+IF($C23="",0,SUMIF('DADOS BRUTOS'!$A$3:$A$500,$C23,'DADOS BRUTOS'!AF$3:AF$500)))</f>
        <v/>
      </c>
      <c r="DG23" s="123">
        <f>IF(OR(DG$4="",$B23=""),0,SUMIF('DADOS BRUTOS'!$A$3:$A$500,$B23,'DADOS BRUTOS'!AG$3:AG$500)+IF($C23="",0,SUMIF('DADOS BRUTOS'!$A$3:$A$500,$C23,'DADOS BRUTOS'!AG$3:AG$500)))</f>
        <v/>
      </c>
      <c r="DH23" s="123">
        <f>IF(OR(DH$4="",$B23=""),0,SUMIF('DADOS BRUTOS'!$A$3:$A$500,$B23,'DADOS BRUTOS'!AH$3:AH$500)+IF($C23="",0,SUMIF('DADOS BRUTOS'!$A$3:$A$500,$C23,'DADOS BRUTOS'!AH$3:AH$500)))</f>
        <v/>
      </c>
      <c r="DI23" s="123">
        <f>IF(OR(DI$4="",$B23=""),0,SUMIF('DADOS BRUTOS'!$A$3:$A$500,$B23,'DADOS BRUTOS'!AI$3:AI$500)+IF($C23="",0,SUMIF('DADOS BRUTOS'!$A$3:$A$500,$C23,'DADOS BRUTOS'!AI$3:AI$500)))</f>
        <v/>
      </c>
      <c r="DJ23" s="123">
        <f>IF(OR(DJ$4="",$B23=""),0,SUMIF('DADOS BRUTOS'!$A$3:$A$500,$B23,'DADOS BRUTOS'!AJ$3:AJ$500)+IF($C23="",0,SUMIF('DADOS BRUTOS'!$A$3:$A$500,$C23,'DADOS BRUTOS'!AJ$3:AJ$500)))</f>
        <v/>
      </c>
      <c r="DK23" s="123">
        <f>IF(OR(DK$4="",$B23=""),0,SUMIF('DADOS BRUTOS'!$A$3:$A$500,$B23,'DADOS BRUTOS'!AK$3:AK$500)+IF($C23="",0,SUMIF('DADOS BRUTOS'!$A$3:$A$500,$C23,'DADOS BRUTOS'!AK$3:AK$500)))</f>
        <v/>
      </c>
      <c r="DL23" s="123">
        <f>IF(OR(DL$4="",$B23=""),0,SUMIF('DADOS BRUTOS'!$A$3:$A$500,$B23,'DADOS BRUTOS'!AL$3:AL$500)+IF($C23="",0,SUMIF('DADOS BRUTOS'!$A$3:$A$500,$C23,'DADOS BRUTOS'!AL$3:AL$500)))</f>
        <v/>
      </c>
      <c r="DM23" s="123">
        <f>IF(OR(DM$4="",$B23=""),0,SUMIF('DADOS BRUTOS'!$A$3:$A$500,$B23,'DADOS BRUTOS'!AM$3:AM$500)+IF($C23="",0,SUMIF('DADOS BRUTOS'!$A$3:$A$500,$C23,'DADOS BRUTOS'!AM$3:AM$500)))</f>
        <v/>
      </c>
      <c r="DN23" s="123">
        <f>IF(OR(DN$4="",$B23=""),0,SUMIF('DADOS BRUTOS'!$A$3:$A$500,$B23,'DADOS BRUTOS'!AN$3:AN$500)+IF($C23="",0,SUMIF('DADOS BRUTOS'!$A$3:$A$500,$C23,'DADOS BRUTOS'!AN$3:AN$500)))</f>
        <v/>
      </c>
      <c r="DO23" s="123">
        <f>IF(OR(DO$4="",$B23=""),0,SUMIF('DADOS BRUTOS'!$A$3:$A$500,$B23,'DADOS BRUTOS'!AO$3:AO$500)+IF($C23="",0,SUMIF('DADOS BRUTOS'!$A$3:$A$500,$C23,'DADOS BRUTOS'!AO$3:AO$500)))</f>
        <v/>
      </c>
      <c r="DP23" s="123">
        <f>IF(OR(DP$4="",$B23=""),0,SUMIF('DADOS BRUTOS'!$A$3:$A$500,$B23,'DADOS BRUTOS'!AP$3:AP$500)+IF($C23="",0,SUMIF('DADOS BRUTOS'!$A$3:$A$500,$C23,'DADOS BRUTOS'!AP$3:AP$500)))</f>
        <v/>
      </c>
      <c r="DQ23" s="123">
        <f>IF(OR(DQ$4="",$B23=""),0,SUMIF('DADOS BRUTOS'!$A$3:$A$500,$B23,'DADOS BRUTOS'!AQ$3:AQ$500)+IF($C23="",0,SUMIF('DADOS BRUTOS'!$A$3:$A$500,$C23,'DADOS BRUTOS'!AQ$3:AQ$500)))</f>
        <v/>
      </c>
      <c r="DR23" s="123">
        <f>IF(OR(DR$4="",$B23=""),0,SUMIF('DADOS BRUTOS'!$A$3:$A$500,$B23,'DADOS BRUTOS'!AR$3:AR$500)+IF($C23="",0,SUMIF('DADOS BRUTOS'!$A$3:$A$500,$C23,'DADOS BRUTOS'!AR$3:AR$500)))</f>
        <v/>
      </c>
      <c r="DS23" s="123">
        <f>IF(OR(DS$4="",$B23=""),0,SUMIF('DADOS BRUTOS'!$A$3:$A$500,$B23,'DADOS BRUTOS'!AS$3:AS$500)+IF($C23="",0,SUMIF('DADOS BRUTOS'!$A$3:$A$500,$C23,'DADOS BRUTOS'!AS$3:AS$500)))</f>
        <v/>
      </c>
      <c r="DT23" s="123">
        <f>IF(OR(DT$4="",$B23=""),0,SUMIF('DADOS BRUTOS'!$A$3:$A$500,$B23,'DADOS BRUTOS'!AT$3:AT$500)+IF($C23="",0,SUMIF('DADOS BRUTOS'!$A$3:$A$500,$C23,'DADOS BRUTOS'!AT$3:AT$500)))</f>
        <v/>
      </c>
      <c r="DU23" s="123">
        <f>IF(OR(DU$4="",$B23=""),0,SUMIF('DADOS BRUTOS'!$A$3:$A$500,$B23,'DADOS BRUTOS'!AU$3:AU$500)+IF($C23="",0,SUMIF('DADOS BRUTOS'!$A$3:$A$500,$C23,'DADOS BRUTOS'!AU$3:AU$500)))</f>
        <v/>
      </c>
      <c r="DV23" s="123">
        <f>IF(OR(DV$4="",$B23=""),0,SUMIF('DADOS BRUTOS'!$A$3:$A$500,$B23,'DADOS BRUTOS'!AV$3:AV$500)+IF($C23="",0,SUMIF('DADOS BRUTOS'!$A$3:$A$500,$C23,'DADOS BRUTOS'!AV$3:AV$500)))</f>
        <v/>
      </c>
      <c r="DW23" s="123">
        <f>IF(OR(DW$4="",$B23=""),0,SUMIF('DADOS BRUTOS'!$A$3:$A$500,$B23,'DADOS BRUTOS'!AW$3:AW$500)+IF($C23="",0,SUMIF('DADOS BRUTOS'!$A$3:$A$500,$C23,'DADOS BRUTOS'!AW$3:AW$500)))</f>
        <v/>
      </c>
      <c r="DX23" s="123">
        <f>IF(OR(DX$4="",$B23=""),0,SUMIF('DADOS BRUTOS'!$A$3:$A$500,$B23,'DADOS BRUTOS'!AX$3:AX$500)+IF($C23="",0,SUMIF('DADOS BRUTOS'!$A$3:$A$500,$C23,'DADOS BRUTOS'!AX$3:AX$500)))</f>
        <v/>
      </c>
      <c r="DY23" s="123">
        <f>IF(OR(DY$4="",$B23=""),0,SUMIF('DADOS BRUTOS'!$A$3:$A$500,$B23,'DADOS BRUTOS'!AY$3:AY$500)+IF($C23="",0,SUMIF('DADOS BRUTOS'!$A$3:$A$500,$C23,'DADOS BRUTOS'!AY$3:AY$500)))</f>
        <v/>
      </c>
      <c r="DZ23" s="123">
        <f>IF(OR(DZ$4="",$B23=""),0,SUMIF('DADOS BRUTOS'!$A$3:$A$500,$B23,'DADOS BRUTOS'!AZ$3:AZ$500)+IF($C23="",0,SUMIF('DADOS BRUTOS'!$A$3:$A$500,$C23,'DADOS BRUTOS'!AZ$3:AZ$500)))</f>
        <v/>
      </c>
      <c r="EA23" s="123">
        <f>IF(OR(EA$4="",$B23=""),0,SUMIF('DADOS BRUTOS'!$A$3:$A$500,$B23,'DADOS BRUTOS'!BA$3:BA$500)+IF($C23="",0,SUMIF('DADOS BRUTOS'!$A$3:$A$500,$C23,'DADOS BRUTOS'!BA$3:BA$500)))</f>
        <v/>
      </c>
      <c r="EB23" s="123">
        <f>IF(OR(EB$4="",$B23=""),0,SUMIF('DADOS BRUTOS'!$A$3:$A$500,$B23,'DADOS BRUTOS'!BB$3:BB$500)+IF($C23="",0,SUMIF('DADOS BRUTOS'!$A$3:$A$500,$C23,'DADOS BRUTOS'!BB$3:BB$500)))</f>
        <v/>
      </c>
      <c r="EC23" s="123">
        <f>IF(OR(EC$4="",$B23=""),0,SUMIF('DADOS BRUTOS'!$A$3:$A$500,$B23,'DADOS BRUTOS'!BC$3:BC$500)+IF($C23="",0,SUMIF('DADOS BRUTOS'!$A$3:$A$500,$C23,'DADOS BRUTOS'!BC$3:BC$500)))</f>
        <v/>
      </c>
      <c r="ED23" s="123">
        <f>IF(OR(ED$4="",$B23=""),0,SUMIF('DADOS BRUTOS'!$A$3:$A$500,$B23,'DADOS BRUTOS'!BD$3:BD$500)+IF($C23="",0,SUMIF('DADOS BRUTOS'!$A$3:$A$500,$C23,'DADOS BRUTOS'!BD$3:BD$500)))</f>
        <v/>
      </c>
      <c r="EE23" s="123">
        <f>IF(OR(EE$4="",$B23=""),0,SUMIF('DADOS BRUTOS'!$A$3:$A$500,$B23,'DADOS BRUTOS'!BE$3:BE$500)+IF($C23="",0,SUMIF('DADOS BRUTOS'!$A$3:$A$500,$C23,'DADOS BRUTOS'!BE$3:BE$500)))</f>
        <v/>
      </c>
      <c r="EF23" s="123">
        <f>IF(OR(EF$4="",$B23=""),0,SUMIF('DADOS BRUTOS'!$A$3:$A$500,$B23,'DADOS BRUTOS'!BF$3:BF$500)+IF($C23="",0,SUMIF('DADOS BRUTOS'!$A$3:$A$500,$C23,'DADOS BRUTOS'!BF$3:BF$500)))</f>
        <v/>
      </c>
      <c r="EG23" s="123">
        <f>IF(OR(EG$4="",$B23=""),0,SUMIF('DADOS BRUTOS'!$A$3:$A$500,$B23,'DADOS BRUTOS'!BG$3:BG$500)+IF($C23="",0,SUMIF('DADOS BRUTOS'!$A$3:$A$500,$C23,'DADOS BRUTOS'!BG$3:BG$500)))</f>
        <v/>
      </c>
      <c r="EH23" s="123">
        <f>IF(OR(EH$4="",$B23=""),0,SUMIF('DADOS BRUTOS'!$A$3:$A$500,$B23,'DADOS BRUTOS'!BH$3:BH$500)+IF($C23="",0,SUMIF('DADOS BRUTOS'!$A$3:$A$500,$C23,'DADOS BRUTOS'!BH$3:BH$500)))</f>
        <v/>
      </c>
      <c r="EI23" s="123">
        <f>IF(OR(EI$4="",$B23=""),0,SUMIF('DADOS BRUTOS'!$A$3:$A$500,$B23,'DADOS BRUTOS'!BI$3:BI$500)+IF($C23="",0,SUMIF('DADOS BRUTOS'!$A$3:$A$500,$C23,'DADOS BRUTOS'!BI$3:BI$500)))</f>
        <v/>
      </c>
      <c r="EJ23" s="123">
        <f>IF(OR(EJ$4="",$B23=""),0,SUMIF('DADOS BRUTOS'!$A$3:$A$500,$B23,'DADOS BRUTOS'!BJ$3:BJ$500)+IF($C23="",0,SUMIF('DADOS BRUTOS'!$A$3:$A$500,$C23,'DADOS BRUTOS'!BJ$3:BJ$500)))</f>
        <v/>
      </c>
      <c r="EK23" s="123">
        <f>IF(OR(EK$4="",$B23=""),0,SUMIF('DADOS BRUTOS'!$A$3:$A$500,$B23,'DADOS BRUTOS'!BK$3:BK$500)+IF($C23="",0,SUMIF('DADOS BRUTOS'!$A$3:$A$500,$C23,'DADOS BRUTOS'!BK$3:BK$500)))</f>
        <v/>
      </c>
      <c r="EL23" s="123">
        <f>IF(OR(EL$4="",$B23=""),0,SUMIF('DADOS BRUTOS'!$A$3:$A$500,$B23,'DADOS BRUTOS'!BL$3:BL$500)+IF($C23="",0,SUMIF('DADOS BRUTOS'!$A$3:$A$500,$C23,'DADOS BRUTOS'!BL$3:BL$500)))</f>
        <v/>
      </c>
      <c r="EM23" s="123">
        <f>IF(OR(EM$4="",$B23=""),0,SUMIF('DADOS BRUTOS'!$A$3:$A$500,$B23,'DADOS BRUTOS'!BM$3:BM$500)+IF($C23="",0,SUMIF('DADOS BRUTOS'!$A$3:$A$500,$C23,'DADOS BRUTOS'!BM$3:BM$500)))</f>
        <v/>
      </c>
      <c r="EN23" s="123">
        <f>IF(OR(EN$4="",$B23=""),0,SUMIF('DADOS BRUTOS'!$A$3:$A$500,$B23,'DADOS BRUTOS'!BN$3:BN$500)+IF($C23="",0,SUMIF('DADOS BRUTOS'!$A$3:$A$500,$C23,'DADOS BRUTOS'!BN$3:BN$500)))</f>
        <v/>
      </c>
      <c r="EO23" s="123">
        <f>IF(OR(EO$4="",$B23=""),0,SUMIF('DADOS BRUTOS'!$A$3:$A$500,$B23,'DADOS BRUTOS'!BO$3:BO$500)+IF($C23="",0,SUMIF('DADOS BRUTOS'!$A$3:$A$500,$C23,'DADOS BRUTOS'!BO$3:BO$500)))</f>
        <v/>
      </c>
      <c r="EP23" s="123">
        <f>IF(OR(EP$4="",$B23=""),0,SUMIF('DADOS BRUTOS'!$A$3:$A$500,$B23,'DADOS BRUTOS'!BP$3:BP$500)+IF($C23="",0,SUMIF('DADOS BRUTOS'!$A$3:$A$500,$C23,'DADOS BRUTOS'!BP$3:BP$500)))</f>
        <v/>
      </c>
      <c r="EQ23" s="123">
        <f>IF(OR(EQ$4="",$B23=""),0,SUMIF('DADOS BRUTOS'!$A$3:$A$500,$B23,'DADOS BRUTOS'!BQ$3:BQ$500)+IF($C23="",0,SUMIF('DADOS BRUTOS'!$A$3:$A$500,$C23,'DADOS BRUTOS'!BQ$3:BQ$500)))</f>
        <v/>
      </c>
      <c r="ER23" s="123">
        <f>IF(OR(ER$4="",$B23=""),0,SUMIF('DADOS BRUTOS'!$A$3:$A$500,$B23,'DADOS BRUTOS'!BR$3:BR$500)+IF($C23="",0,SUMIF('DADOS BRUTOS'!$A$3:$A$500,$C23,'DADOS BRUTOS'!BR$3:BR$500)))</f>
        <v/>
      </c>
      <c r="ES23" s="123">
        <f>IF(OR(ES$4="",$B23=""),0,SUMIF('DADOS BRUTOS'!$A$3:$A$500,$B23,'DADOS BRUTOS'!BS$3:BS$500)+IF($C23="",0,SUMIF('DADOS BRUTOS'!$A$3:$A$500,$C23,'DADOS BRUTOS'!BS$3:BS$500)))</f>
        <v/>
      </c>
      <c r="ET23" s="123">
        <f>IF(OR(ET$4="",$B23=""),0,SUMIF('DADOS BRUTOS'!$A$3:$A$500,$B23,'DADOS BRUTOS'!BT$3:BT$500)+IF($C23="",0,SUMIF('DADOS BRUTOS'!$A$3:$A$500,$C23,'DADOS BRUTOS'!BT$3:BT$500)))</f>
        <v/>
      </c>
      <c r="EU23" s="123">
        <f>IF(OR(EU$4="",$B23=""),0,SUMIF('DADOS BRUTOS'!$A$3:$A$500,$B23,'DADOS BRUTOS'!BU$3:BU$500)+IF($C23="",0,SUMIF('DADOS BRUTOS'!$A$3:$A$500,$C23,'DADOS BRUTOS'!BU$3:BU$500)))</f>
        <v/>
      </c>
      <c r="EV23" s="123">
        <f>IF(OR(EV$4="",$B23=""),0,SUMIF('DADOS BRUTOS'!$A$3:$A$500,$B23,'DADOS BRUTOS'!BV$3:BV$500)+IF($C23="",0,SUMIF('DADOS BRUTOS'!$A$3:$A$500,$C23,'DADOS BRUTOS'!BV$3:BV$500)))</f>
        <v/>
      </c>
      <c r="EW23" s="123">
        <f>IF(OR(EW$4="",$B23=""),0,SUMIF('DADOS BRUTOS'!$A$3:$A$500,$B23,'DADOS BRUTOS'!BW$3:BW$500)+IF($C23="",0,SUMIF('DADOS BRUTOS'!$A$3:$A$500,$C23,'DADOS BRUTOS'!BW$3:BW$500)))</f>
        <v/>
      </c>
      <c r="EX23" s="123">
        <f>IF(OR(EX$4="",$B23=""),0,SUMIF('DADOS BRUTOS'!$A$3:$A$500,$B23,'DADOS BRUTOS'!BX$3:BX$500)+IF($C23="",0,SUMIF('DADOS BRUTOS'!$A$3:$A$500,$C23,'DADOS BRUTOS'!BX$3:BX$500)))</f>
        <v/>
      </c>
      <c r="EY23" s="123">
        <f>IF(OR(EY$4="",$B23=""),0,SUMIF('DADOS BRUTOS'!$A$3:$A$500,$B23,'DADOS BRUTOS'!BY$3:BY$500)+IF($C23="",0,SUMIF('DADOS BRUTOS'!$A$3:$A$500,$C23,'DADOS BRUTOS'!BY$3:BY$500)))</f>
        <v/>
      </c>
      <c r="EZ23" s="123">
        <f>IF(OR(EZ$4="",$B23=""),0,SUMIF('DADOS BRUTOS'!$A$3:$A$500,$B23,'DADOS BRUTOS'!BZ$3:BZ$500)+IF($C23="",0,SUMIF('DADOS BRUTOS'!$A$3:$A$500,$C23,'DADOS BRUTOS'!BZ$3:BZ$500)))</f>
        <v/>
      </c>
      <c r="FA23" s="123">
        <f>IF(OR(FA$4="",$B23=""),0,SUMIF('DADOS BRUTOS'!$A$3:$A$500,$B23,'DADOS BRUTOS'!CA$3:CA$500)+IF($C23="",0,SUMIF('DADOS BRUTOS'!$A$3:$A$500,$C23,'DADOS BRUTOS'!CA$3:CA$500)))</f>
        <v/>
      </c>
      <c r="FB23" s="123">
        <f>IF(OR(FB$4="",$B23=""),0,SUMIF('DADOS BRUTOS'!$A$3:$A$500,$B23,'DADOS BRUTOS'!CB$3:CB$500)+IF($C23="",0,SUMIF('DADOS BRUTOS'!$A$3:$A$500,$C23,'DADOS BRUTOS'!CB$3:CB$500)))</f>
        <v/>
      </c>
      <c r="FC23" s="123">
        <f>IF(OR(FC$4="",$B23=""),0,SUMIF('DADOS BRUTOS'!$A$3:$A$500,$B23,'DADOS BRUTOS'!CC$3:CC$500)+IF($C23="",0,SUMIF('DADOS BRUTOS'!$A$3:$A$500,$C23,'DADOS BRUTOS'!CC$3:CC$500)))</f>
        <v/>
      </c>
      <c r="FD23" s="123">
        <f>IF(OR(FD$4="",$B23=""),0,SUMIF('DADOS BRUTOS'!$A$3:$A$500,$B23,'DADOS BRUTOS'!CD$3:CD$500)+IF($C23="",0,SUMIF('DADOS BRUTOS'!$A$3:$A$500,$C23,'DADOS BRUTOS'!CD$3:CD$500)))</f>
        <v/>
      </c>
      <c r="FE23" s="123">
        <f>IF(OR(FE$4="",$B23=""),0,SUMIF('DADOS BRUTOS'!$A$3:$A$500,$B23,'DADOS BRUTOS'!CE$3:CE$500)+IF($C23="",0,SUMIF('DADOS BRUTOS'!$A$3:$A$500,$C23,'DADOS BRUTOS'!CE$3:CE$500)))</f>
        <v/>
      </c>
      <c r="FF23" s="123">
        <f>IF(OR(FF$4="",$B23=""),0,SUMIF('DADOS BRUTOS'!$A$3:$A$500,$B23,'DADOS BRUTOS'!CF$3:CF$500)+IF($C23="",0,SUMIF('DADOS BRUTOS'!$A$3:$A$500,$C23,'DADOS BRUTOS'!CF$3:CF$500)))</f>
        <v/>
      </c>
      <c r="FG23" s="123">
        <f>IF(OR(FG$4="",$B23=""),0,SUMIF('DADOS BRUTOS'!$A$3:$A$500,$B23,'DADOS BRUTOS'!CG$3:CG$500)+IF($C23="",0,SUMIF('DADOS BRUTOS'!$A$3:$A$500,$C23,'DADOS BRUTOS'!CG$3:CG$500)))</f>
        <v/>
      </c>
      <c r="FH23" s="123">
        <f>IF(OR(FH$4="",$B23=""),0,SUMIF('DADOS BRUTOS'!$A$3:$A$500,$B23,'DADOS BRUTOS'!CH$3:CH$500)+IF($C23="",0,SUMIF('DADOS BRUTOS'!$A$3:$A$500,$C23,'DADOS BRUTOS'!CH$3:CH$500)))</f>
        <v/>
      </c>
      <c r="FI23" s="123">
        <f>IF(OR(FI$4="",$B23=""),0,SUMIF('DADOS BRUTOS'!$A$3:$A$500,$B23,'DADOS BRUTOS'!CI$3:CI$500)+IF($C23="",0,SUMIF('DADOS BRUTOS'!$A$3:$A$500,$C23,'DADOS BRUTOS'!CI$3:CI$500)))</f>
        <v/>
      </c>
      <c r="FJ23" s="123">
        <f>IF(OR(FJ$4="",$B23=""),0,SUMIF('DADOS BRUTOS'!$A$3:$A$500,$B23,'DADOS BRUTOS'!CJ$3:CJ$500)+IF($C23="",0,SUMIF('DADOS BRUTOS'!$A$3:$A$500,$C23,'DADOS BRUTOS'!CJ$3:CJ$500)))</f>
        <v/>
      </c>
      <c r="FK23" s="123">
        <f>IF(OR(FK$4="",$B23=""),0,SUMIF('DADOS BRUTOS'!$A$3:$A$500,$B23,'DADOS BRUTOS'!CK$3:CK$500)+IF($C23="",0,SUMIF('DADOS BRUTOS'!$A$3:$A$500,$C23,'DADOS BRUTOS'!CK$3:CK$500)))</f>
        <v/>
      </c>
      <c r="FL23" s="123">
        <f>IF(OR(FL$4="",$B23=""),0,SUMIF('DADOS BRUTOS'!$A$3:$A$500,$B23,'DADOS BRUTOS'!CL$3:CL$500)+IF($C23="",0,SUMIF('DADOS BRUTOS'!$A$3:$A$500,$C23,'DADOS BRUTOS'!CL$3:CL$500)))</f>
        <v/>
      </c>
      <c r="FM23" s="123">
        <f>IF(OR(FM$4="",$B23=""),0,SUMIF('DADOS BRUTOS'!$A$3:$A$500,$B23,'DADOS BRUTOS'!CM$3:CM$500)+IF($C23="",0,SUMIF('DADOS BRUTOS'!$A$3:$A$500,$C23,'DADOS BRUTOS'!CM$3:CM$500)))</f>
        <v/>
      </c>
      <c r="FN23" s="123">
        <f>IF(OR(FN$4="",$B23=""),0,SUMIF('DADOS BRUTOS'!$A$3:$A$500,$B23,'DADOS BRUTOS'!CN$3:CN$500)+IF($C23="",0,SUMIF('DADOS BRUTOS'!$A$3:$A$500,$C23,'DADOS BRUTOS'!CN$3:CN$500)))</f>
        <v/>
      </c>
      <c r="FO23" s="123">
        <f>IF(OR(FO$4="",$B23=""),0,SUMIF('DADOS BRUTOS'!$A$3:$A$500,$B23,'DADOS BRUTOS'!CO$3:CO$500)+IF($C23="",0,SUMIF('DADOS BRUTOS'!$A$3:$A$500,$C23,'DADOS BRUTOS'!CO$3:CO$500)))</f>
        <v/>
      </c>
      <c r="FP23" s="123">
        <f>IF(OR(FP$4="",$B23=""),0,SUMIF('DADOS BRUTOS'!$A$3:$A$500,$B23,'DADOS BRUTOS'!CP$3:CP$500)+IF($C23="",0,SUMIF('DADOS BRUTOS'!$A$3:$A$500,$C23,'DADOS BRUTOS'!CP$3:CP$500)))</f>
        <v/>
      </c>
      <c r="FQ23" s="123">
        <f>IF(OR(FQ$4="",$B23=""),0,SUMIF('DADOS BRUTOS'!$A$3:$A$500,$B23,'DADOS BRUTOS'!CQ$3:CQ$500)+IF($C23="",0,SUMIF('DADOS BRUTOS'!$A$3:$A$500,$C23,'DADOS BRUTOS'!CQ$3:CQ$500)))</f>
        <v/>
      </c>
      <c r="FR23" s="123">
        <f>IF(OR(FR$4="",$B23=""),0,SUMIF('DADOS BRUTOS'!$A$3:$A$500,$B23,'DADOS BRUTOS'!CR$3:CR$500)+IF($C23="",0,SUMIF('DADOS BRUTOS'!$A$3:$A$500,$C23,'DADOS BRUTOS'!CR$3:CR$500)))</f>
        <v/>
      </c>
      <c r="FS23" s="123">
        <f>IF(OR(FS$4="",$B23=""),0,SUMIF('DADOS BRUTOS'!$A$3:$A$500,$B23,'DADOS BRUTOS'!CS$3:CS$500)+IF($C23="",0,SUMIF('DADOS BRUTOS'!$A$3:$A$500,$C23,'DADOS BRUTOS'!CS$3:CS$500)))</f>
        <v/>
      </c>
      <c r="FT23" s="123">
        <f>IF(OR(FT$4="",$B23=""),0,SUMIF('DADOS BRUTOS'!$A$3:$A$500,$B23,'DADOS BRUTOS'!CT$3:CT$500)+IF($C23="",0,SUMIF('DADOS BRUTOS'!$A$3:$A$500,$C23,'DADOS BRUTOS'!CT$3:CT$500)))</f>
        <v/>
      </c>
      <c r="FU23" s="123">
        <f>IF(OR(FU$4="",$B23=""),0,SUMIF('DADOS BRUTOS'!$A$3:$A$500,$B23,'DADOS BRUTOS'!CU$3:CU$500)+IF($C23="",0,SUMIF('DADOS BRUTOS'!$A$3:$A$500,$C23,'DADOS BRUTOS'!CU$3:CU$500)))</f>
        <v/>
      </c>
      <c r="FV23" s="123">
        <f>IF(OR(FV$4="",$B23=""),0,SUMIF('DADOS BRUTOS'!$A$3:$A$500,$B23,'DADOS BRUTOS'!CV$3:CV$500)+IF($C23="",0,SUMIF('DADOS BRUTOS'!$A$3:$A$500,$C23,'DADOS BRUTOS'!CV$3:CV$500)))</f>
        <v/>
      </c>
      <c r="FW23" s="123">
        <f>IF(OR(FW$4="",$B23=""),0,SUMIF('DADOS BRUTOS'!$A$3:$A$500,$B23,'DADOS BRUTOS'!CW$3:CW$500)+IF($C23="",0,SUMIF('DADOS BRUTOS'!$A$3:$A$500,$C23,'DADOS BRUTOS'!CW$3:CW$500)))</f>
        <v/>
      </c>
      <c r="FX23" s="123">
        <f>IF(OR(FX$4="",$B23=""),0,SUMIF('DADOS BRUTOS'!$A$3:$A$500,$B23,'DADOS BRUTOS'!CX$3:CX$500)+IF($C23="",0,SUMIF('DADOS BRUTOS'!$A$3:$A$500,$C23,'DADOS BRUTOS'!CX$3:CX$500)))</f>
        <v/>
      </c>
      <c r="FY23" s="123">
        <f>IF(OR(FY$4="",$B23=""),0,SUMIF('DADOS BRUTOS'!$A$3:$A$500,$B23,'DADOS BRUTOS'!CY$3:CY$500)+IF($C23="",0,SUMIF('DADOS BRUTOS'!$A$3:$A$500,$C23,'DADOS BRUTOS'!CY$3:CY$500)))</f>
        <v/>
      </c>
      <c r="FZ23" s="123">
        <f>IF(OR(FZ$4="",$B23=""),0,SUMIF('DADOS BRUTOS'!$A$3:$A$500,$B23,'DADOS BRUTOS'!CZ$3:CZ$500)+IF($C23="",0,SUMIF('DADOS BRUTOS'!$A$3:$A$500,$C23,'DADOS BRUTOS'!CZ$3:CZ$500)))</f>
        <v/>
      </c>
      <c r="GA23" s="123">
        <f>IF(OR(GA$4="",$B23=""),0,SUMIF('DADOS BRUTOS'!$A$3:$A$500,$B23,'DADOS BRUTOS'!DA$3:DA$500)+IF($C23="",0,SUMIF('DADOS BRUTOS'!$A$3:$A$500,$C23,'DADOS BRUTOS'!DA$3:DA$500)))</f>
        <v/>
      </c>
      <c r="GB23" s="123">
        <f>IF(OR(GB$4="",$B23=""),0,SUMIF('DADOS BRUTOS'!$A$3:$A$500,$B23,'DADOS BRUTOS'!DB$3:DB$500)+IF($C23="",0,SUMIF('DADOS BRUTOS'!$A$3:$A$500,$C23,'DADOS BRUTOS'!DB$3:DB$500)))</f>
        <v/>
      </c>
      <c r="GC23" s="123">
        <f>IF(OR(GC$4="",$B23=""),0,SUMIF('DADOS BRUTOS'!$A$3:$A$500,$B23,'DADOS BRUTOS'!DC$3:DC$500)+IF($C23="",0,SUMIF('DADOS BRUTOS'!$A$3:$A$500,$C23,'DADOS BRUTOS'!DC$3:DC$500)))</f>
        <v/>
      </c>
      <c r="GD23" s="123">
        <f>IF(OR(GD$4="",$B23=""),0,SUMIF('DADOS BRUTOS'!$A$3:$A$500,$B23,'DADOS BRUTOS'!DD$3:DD$500)+IF($C23="",0,SUMIF('DADOS BRUTOS'!$A$3:$A$500,$C23,'DADOS BRUTOS'!DD$3:DD$500)))</f>
        <v/>
      </c>
      <c r="GE23" s="123">
        <f>IF(OR(GE$4="",$B23=""),0,SUMIF('DADOS BRUTOS'!$A$3:$A$500,$B23,'DADOS BRUTOS'!DE$3:DE$500)+IF($C23="",0,SUMIF('DADOS BRUTOS'!$A$3:$A$500,$C23,'DADOS BRUTOS'!DE$3:DE$500)))</f>
        <v/>
      </c>
      <c r="GF23" s="123">
        <f>IF(OR(GF$4="",$B23=""),0,SUMIF('DADOS BRUTOS'!$A$3:$A$500,$B23,'DADOS BRUTOS'!DF$3:DF$500)+IF($C23="",0,SUMIF('DADOS BRUTOS'!$A$3:$A$500,$C23,'DADOS BRUTOS'!DF$3:DF$500)))</f>
        <v/>
      </c>
      <c r="GG23" s="123">
        <f>IF(OR(GG$4="",$B23=""),0,SUMIF('DADOS BRUTOS'!$A$3:$A$500,$B23,'DADOS BRUTOS'!DG$3:DG$500)+IF($C23="",0,SUMIF('DADOS BRUTOS'!$A$3:$A$500,$C23,'DADOS BRUTOS'!DG$3:DG$500)))</f>
        <v/>
      </c>
      <c r="GH23" s="123">
        <f>IF(OR(GH$4="",$B23=""),0,SUMIF('DADOS BRUTOS'!$A$3:$A$500,$B23,'DADOS BRUTOS'!DH$3:DH$500)+IF($C23="",0,SUMIF('DADOS BRUTOS'!$A$3:$A$500,$C23,'DADOS BRUTOS'!DH$3:DH$500)))</f>
        <v/>
      </c>
      <c r="GI23" s="123">
        <f>IF(OR(GI$4="",$B23=""),0,SUMIF('DADOS BRUTOS'!$A$3:$A$500,$B23,'DADOS BRUTOS'!DI$3:DI$500)+IF($C23="",0,SUMIF('DADOS BRUTOS'!$A$3:$A$500,$C23,'DADOS BRUTOS'!DI$3:DI$500)))</f>
        <v/>
      </c>
      <c r="GJ23" s="123">
        <f>IF(OR(GJ$4="",$B23=""),0,SUMIF('DADOS BRUTOS'!$A$3:$A$500,$B23,'DADOS BRUTOS'!DJ$3:DJ$500)+IF($C23="",0,SUMIF('DADOS BRUTOS'!$A$3:$A$500,$C23,'DADOS BRUTOS'!DJ$3:DJ$500)))</f>
        <v/>
      </c>
      <c r="GK23" s="123">
        <f>IF(OR(GK$4="",$B23=""),0,SUMIF('DADOS BRUTOS'!$A$3:$A$500,$B23,'DADOS BRUTOS'!DK$3:DK$500)+IF($C23="",0,SUMIF('DADOS BRUTOS'!$A$3:$A$500,$C23,'DADOS BRUTOS'!DK$3:DK$500)))</f>
        <v/>
      </c>
      <c r="GL23" s="123">
        <f>IF(OR(GL$4="",$B23=""),0,SUMIF('DADOS BRUTOS'!$A$3:$A$500,$B23,'DADOS BRUTOS'!DL$3:DL$500)+IF($C23="",0,SUMIF('DADOS BRUTOS'!$A$3:$A$500,$C23,'DADOS BRUTOS'!DL$3:DL$500)))</f>
        <v/>
      </c>
      <c r="GM23" s="123">
        <f>IF(OR(GM$4="",$B23=""),0,SUMIF('DADOS BRUTOS'!$A$3:$A$500,$B23,'DADOS BRUTOS'!DM$3:DM$500)+IF($C23="",0,SUMIF('DADOS BRUTOS'!$A$3:$A$500,$C23,'DADOS BRUTOS'!DM$3:DM$500)))</f>
        <v/>
      </c>
      <c r="GN23" s="123">
        <f>IF(OR(GN$4="",$B23=""),0,SUMIF('DADOS BRUTOS'!$A$3:$A$500,$B23,'DADOS BRUTOS'!DN$3:DN$500)+IF($C23="",0,SUMIF('DADOS BRUTOS'!$A$3:$A$500,$C23,'DADOS BRUTOS'!DN$3:DN$500)))</f>
        <v/>
      </c>
      <c r="GO23" s="123">
        <f>IF(OR(GO$4="",$B23=""),0,SUMIF('DADOS BRUTOS'!$A$3:$A$500,$B23,'DADOS BRUTOS'!DO$3:DO$500)+IF($C23="",0,SUMIF('DADOS BRUTOS'!$A$3:$A$500,$C23,'DADOS BRUTOS'!DO$3:DO$500)))</f>
        <v/>
      </c>
      <c r="GP23" s="123">
        <f>IF(OR(GP$4="",$B23=""),0,SUMIF('DADOS BRUTOS'!$A$3:$A$500,$B23,'DADOS BRUTOS'!DP$3:DP$500)+IF($C23="",0,SUMIF('DADOS BRUTOS'!$A$3:$A$500,$C23,'DADOS BRUTOS'!DP$3:DP$500)))</f>
        <v/>
      </c>
      <c r="GQ23" s="123">
        <f>IF(OR(GQ$4="",$B23=""),0,SUMIF('DADOS BRUTOS'!$A$3:$A$500,$B23,'DADOS BRUTOS'!DQ$3:DQ$500)+IF($C23="",0,SUMIF('DADOS BRUTOS'!$A$3:$A$500,$C23,'DADOS BRUTOS'!DQ$3:DQ$500)))</f>
        <v/>
      </c>
      <c r="GR23" s="123">
        <f>IF(OR(GR$4="",$B23=""),0,SUMIF('DADOS BRUTOS'!$A$3:$A$500,$B23,'DADOS BRUTOS'!DR$3:DR$500)+IF($C23="",0,SUMIF('DADOS BRUTOS'!$A$3:$A$500,$C23,'DADOS BRUTOS'!DR$3:DR$500)))</f>
        <v/>
      </c>
      <c r="GS23" s="123">
        <f>IF(OR(GS$4="",$B23=""),0,SUMIF('DADOS BRUTOS'!$A$3:$A$500,$B23,'DADOS BRUTOS'!DS$3:DS$500)+IF($C23="",0,SUMIF('DADOS BRUTOS'!$A$3:$A$500,$C23,'DADOS BRUTOS'!DS$3:DS$500)))</f>
        <v/>
      </c>
      <c r="GT23" s="123">
        <f>IF(OR(GT$4="",$B23=""),0,SUMIF('DADOS BRUTOS'!$A$3:$A$500,$B23,'DADOS BRUTOS'!DT$3:DT$500)+IF($C23="",0,SUMIF('DADOS BRUTOS'!$A$3:$A$500,$C23,'DADOS BRUTOS'!DT$3:DT$500)))</f>
        <v/>
      </c>
      <c r="GU23" s="123">
        <f>IF(OR(GU$4="",$B23=""),0,SUMIF('DADOS BRUTOS'!$A$3:$A$500,$B23,'DADOS BRUTOS'!DU$3:DU$500)+IF($C23="",0,SUMIF('DADOS BRUTOS'!$A$3:$A$500,$C23,'DADOS BRUTOS'!DU$3:DU$500)))</f>
        <v/>
      </c>
      <c r="GV23" s="123">
        <f>IF(OR(GV$4="",$B23=""),0,SUMIF('DADOS BRUTOS'!$A$3:$A$500,$B23,'DADOS BRUTOS'!DV$3:DV$500)+IF($C23="",0,SUMIF('DADOS BRUTOS'!$A$3:$A$500,$C23,'DADOS BRUTOS'!DV$3:DV$500)))</f>
        <v/>
      </c>
      <c r="GW23" s="123">
        <f>IF(OR(GW$4="",$B23=""),0,SUMIF('DADOS BRUTOS'!$A$3:$A$500,$B23,'DADOS BRUTOS'!DW$3:DW$500)+IF($C23="",0,SUMIF('DADOS BRUTOS'!$A$3:$A$500,$C23,'DADOS BRUTOS'!DW$3:DW$500)))</f>
        <v/>
      </c>
      <c r="GX23" s="123">
        <f>IF(OR(GX$4="",$B23=""),0,SUMIF('DADOS BRUTOS'!$A$3:$A$500,$B23,'DADOS BRUTOS'!DX$3:DX$500)+IF($C23="",0,SUMIF('DADOS BRUTOS'!$A$3:$A$500,$C23,'DADOS BRUTOS'!DX$3:DX$500)))</f>
        <v/>
      </c>
      <c r="GY23" s="123">
        <f>IF(OR(GY$4="",$B23=""),0,SUMIF('DADOS BRUTOS'!$A$3:$A$500,$B23,'DADOS BRUTOS'!DY$3:DY$500)+IF($C23="",0,SUMIF('DADOS BRUTOS'!$A$3:$A$500,$C23,'DADOS BRUTOS'!DY$3:DY$500)))</f>
        <v/>
      </c>
      <c r="GZ23" s="123">
        <f>IF(OR(GZ$4="",$B23=""),0,SUMIF('DADOS BRUTOS'!$A$3:$A$500,$B23,'DADOS BRUTOS'!DZ$3:DZ$500)+IF($C23="",0,SUMIF('DADOS BRUTOS'!$A$3:$A$500,$C23,'DADOS BRUTOS'!DZ$3:DZ$500)))</f>
        <v/>
      </c>
      <c r="HA23" s="123">
        <f>IF(OR(HA$4="",$B23=""),0,SUMIF('DADOS BRUTOS'!$A$3:$A$500,$B23,'DADOS BRUTOS'!EA$3:EA$500)+IF($C23="",0,SUMIF('DADOS BRUTOS'!$A$3:$A$500,$C23,'DADOS BRUTOS'!EA$3:EA$500)))</f>
        <v/>
      </c>
      <c r="HB23" s="123">
        <f>IF(OR(HB$4="",$B23=""),0,SUMIF('DADOS BRUTOS'!$A$3:$A$500,$B23,'DADOS BRUTOS'!EB$3:EB$500)+IF($C23="",0,SUMIF('DADOS BRUTOS'!$A$3:$A$500,$C23,'DADOS BRUTOS'!EB$3:EB$500)))</f>
        <v/>
      </c>
      <c r="HC23" s="123">
        <f>IF(OR(HC$4="",$B23=""),0,SUMIF('DADOS BRUTOS'!$A$3:$A$500,$B23,'DADOS BRUTOS'!EC$3:EC$500)+IF($C23="",0,SUMIF('DADOS BRUTOS'!$A$3:$A$500,$C23,'DADOS BRUTOS'!EC$3:EC$500)))</f>
        <v/>
      </c>
      <c r="HD23" s="123">
        <f>IF(OR(HD$4="",$B23=""),0,SUMIF('DADOS BRUTOS'!$A$3:$A$500,$B23,'DADOS BRUTOS'!ED$3:ED$500)+IF($C23="",0,SUMIF('DADOS BRUTOS'!$A$3:$A$500,$C23,'DADOS BRUTOS'!ED$3:ED$500)))</f>
        <v/>
      </c>
      <c r="HE23" s="123">
        <f>IF(OR(HE$4="",$B23=""),0,SUMIF('DADOS BRUTOS'!$A$3:$A$500,$B23,'DADOS BRUTOS'!EE$3:EE$500)+IF($C23="",0,SUMIF('DADOS BRUTOS'!$A$3:$A$500,$C23,'DADOS BRUTOS'!EE$3:EE$500)))</f>
        <v/>
      </c>
      <c r="HF23" s="123">
        <f>IF(OR(HF$4="",$B23=""),0,SUMIF('DADOS BRUTOS'!$A$3:$A$500,$B23,'DADOS BRUTOS'!EF$3:EF$500)+IF($C23="",0,SUMIF('DADOS BRUTOS'!$A$3:$A$500,$C23,'DADOS BRUTOS'!EF$3:EF$500)))</f>
        <v/>
      </c>
      <c r="HG23" s="123">
        <f>IF(OR(HG$4="",$B23=""),0,SUMIF('DADOS BRUTOS'!$A$3:$A$500,$B23,'DADOS BRUTOS'!EG$3:EG$500)+IF($C23="",0,SUMIF('DADOS BRUTOS'!$A$3:$A$500,$C23,'DADOS BRUTOS'!EG$3:EG$500)))</f>
        <v/>
      </c>
      <c r="HH23" s="123">
        <f>IF(OR(HH$4="",$B23=""),0,SUMIF('DADOS BRUTOS'!$A$3:$A$500,$B23,'DADOS BRUTOS'!EH$3:EH$500)+IF($C23="",0,SUMIF('DADOS BRUTOS'!$A$3:$A$500,$C23,'DADOS BRUTOS'!EH$3:EH$500)))</f>
        <v/>
      </c>
      <c r="HI23" s="123">
        <f>IF(OR(HI$4="",$B23=""),0,SUMIF('DADOS BRUTOS'!$A$3:$A$500,$B23,'DADOS BRUTOS'!EI$3:EI$500)+IF($C23="",0,SUMIF('DADOS BRUTOS'!$A$3:$A$500,$C23,'DADOS BRUTOS'!EI$3:EI$500)))</f>
        <v/>
      </c>
      <c r="HJ23" s="123">
        <f>IF(OR(HJ$4="",$B23=""),0,SUMIF('DADOS BRUTOS'!$A$3:$A$500,$B23,'DADOS BRUTOS'!EJ$3:EJ$500)+IF($C23="",0,SUMIF('DADOS BRUTOS'!$A$3:$A$500,$C23,'DADOS BRUTOS'!EJ$3:EJ$500)))</f>
        <v/>
      </c>
      <c r="HK23" s="123">
        <f>IF(OR(HK$4="",$B23=""),0,SUMIF('DADOS BRUTOS'!$A$3:$A$500,$B23,'DADOS BRUTOS'!EK$3:EK$500)+IF($C23="",0,SUMIF('DADOS BRUTOS'!$A$3:$A$500,$C23,'DADOS BRUTOS'!EK$3:EK$500)))</f>
        <v/>
      </c>
      <c r="HL23" s="123">
        <f>IF(OR(HL$4="",$B23=""),0,SUMIF('DADOS BRUTOS'!$A$3:$A$500,$B23,'DADOS BRUTOS'!EL$3:EL$500)+IF($C23="",0,SUMIF('DADOS BRUTOS'!$A$3:$A$500,$C23,'DADOS BRUTOS'!EL$3:EL$500)))</f>
        <v/>
      </c>
      <c r="HM23" s="123">
        <f>IF(OR(HM$4="",$B23=""),0,SUMIF('DADOS BRUTOS'!$A$3:$A$500,$B23,'DADOS BRUTOS'!EM$3:EM$500)+IF($C23="",0,SUMIF('DADOS BRUTOS'!$A$3:$A$500,$C23,'DADOS BRUTOS'!EM$3:EM$500)))</f>
        <v/>
      </c>
      <c r="HN23" s="123">
        <f>IF(OR(HN$4="",$B23=""),0,SUMIF('DADOS BRUTOS'!$A$3:$A$500,$B23,'DADOS BRUTOS'!EN$3:EN$500)+IF($C23="",0,SUMIF('DADOS BRUTOS'!$A$3:$A$500,$C23,'DADOS BRUTOS'!EN$3:EN$500)))</f>
        <v/>
      </c>
      <c r="HO23" s="123">
        <f>IF(OR(HO$4="",$B23=""),0,SUMIF('DADOS BRUTOS'!$A$3:$A$500,$B23,'DADOS BRUTOS'!EO$3:EO$500)+IF($C23="",0,SUMIF('DADOS BRUTOS'!$A$3:$A$500,$C23,'DADOS BRUTOS'!EO$3:EO$500)))</f>
        <v/>
      </c>
      <c r="HP23" s="123">
        <f>IF(OR(HP$4="",$B23=""),0,SUMIF('DADOS BRUTOS'!$A$3:$A$500,$B23,'DADOS BRUTOS'!EP$3:EP$500)+IF($C23="",0,SUMIF('DADOS BRUTOS'!$A$3:$A$500,$C23,'DADOS BRUTOS'!EP$3:EP$500)))</f>
        <v/>
      </c>
      <c r="HQ23" s="123">
        <f>IF(OR(HQ$4="",$B23=""),0,SUMIF('DADOS BRUTOS'!$A$3:$A$500,$B23,'DADOS BRUTOS'!EQ$3:EQ$500)+IF($C23="",0,SUMIF('DADOS BRUTOS'!$A$3:$A$500,$C23,'DADOS BRUTOS'!EQ$3:EQ$500)))</f>
        <v/>
      </c>
      <c r="HR23" s="123">
        <f>IF(OR(HR$4="",$B23=""),0,SUMIF('DADOS BRUTOS'!$A$3:$A$500,$B23,'DADOS BRUTOS'!ER$3:ER$500)+IF($C23="",0,SUMIF('DADOS BRUTOS'!$A$3:$A$500,$C23,'DADOS BRUTOS'!ER$3:ER$500)))</f>
        <v/>
      </c>
      <c r="HS23" s="123">
        <f>IF(OR(HS$4="",$B23=""),0,SUMIF('DADOS BRUTOS'!$A$3:$A$500,$B23,'DADOS BRUTOS'!ES$3:ES$500)+IF($C23="",0,SUMIF('DADOS BRUTOS'!$A$3:$A$500,$C23,'DADOS BRUTOS'!ES$3:ES$500)))</f>
        <v/>
      </c>
      <c r="HT23" s="123">
        <f>IF(OR(HT$4="",$B23=""),0,SUMIF('DADOS BRUTOS'!$A$3:$A$500,$B23,'DADOS BRUTOS'!ET$3:ET$500)+IF($C23="",0,SUMIF('DADOS BRUTOS'!$A$3:$A$500,$C23,'DADOS BRUTOS'!ET$3:ET$500)))</f>
        <v/>
      </c>
      <c r="HU23" s="123">
        <f>IF(OR(HU$4="",$B23=""),0,SUMIF('DADOS BRUTOS'!$A$3:$A$500,$B23,'DADOS BRUTOS'!EU$3:EU$500)+IF($C23="",0,SUMIF('DADOS BRUTOS'!$A$3:$A$500,$C23,'DADOS BRUTOS'!EU$3:EU$500)))</f>
        <v/>
      </c>
      <c r="HV23" s="123">
        <f>IF(OR(HV$4="",$B23=""),0,SUMIF('DADOS BRUTOS'!$A$3:$A$500,$B23,'DADOS BRUTOS'!EV$3:EV$500)+IF($C23="",0,SUMIF('DADOS BRUTOS'!$A$3:$A$500,$C23,'DADOS BRUTOS'!EV$3:EV$500)))</f>
        <v/>
      </c>
      <c r="HW23" s="123">
        <f>IF(OR(HW$4="",$B23=""),0,SUMIF('DADOS BRUTOS'!$A$3:$A$500,$B23,'DADOS BRUTOS'!EW$3:EW$500)+IF($C23="",0,SUMIF('DADOS BRUTOS'!$A$3:$A$500,$C23,'DADOS BRUTOS'!EW$3:EW$500)))</f>
        <v/>
      </c>
      <c r="HX23" s="123">
        <f>IF(OR(HX$4="",$B23=""),0,SUMIF('DADOS BRUTOS'!$A$3:$A$500,$B23,'DADOS BRUTOS'!EX$3:EX$500)+IF($C23="",0,SUMIF('DADOS BRUTOS'!$A$3:$A$500,$C23,'DADOS BRUTOS'!EX$3:EX$500)))</f>
        <v/>
      </c>
      <c r="HY23" s="123">
        <f>IF(OR(HY$4="",$B23=""),0,SUMIF('DADOS BRUTOS'!$A$3:$A$500,$B23,'DADOS BRUTOS'!EY$3:EY$500)+IF($C23="",0,SUMIF('DADOS BRUTOS'!$A$3:$A$500,$C23,'DADOS BRUTOS'!EY$3:EY$500)))</f>
        <v/>
      </c>
      <c r="HZ23" s="123">
        <f>IF(OR(HZ$4="",$B23=""),0,SUMIF('DADOS BRUTOS'!$A$3:$A$500,$B23,'DADOS BRUTOS'!EZ$3:EZ$500)+IF($C23="",0,SUMIF('DADOS BRUTOS'!$A$3:$A$500,$C23,'DADOS BRUTOS'!EZ$3:EZ$500)))</f>
        <v/>
      </c>
      <c r="IA23" s="123">
        <f>IF(OR(IA$4="",$B23=""),0,SUMIF('DADOS BRUTOS'!$A$3:$A$500,$B23,'DADOS BRUTOS'!FA$3:FA$500)+IF($C23="",0,SUMIF('DADOS BRUTOS'!$A$3:$A$500,$C23,'DADOS BRUTOS'!FA$3:FA$500)))</f>
        <v/>
      </c>
      <c r="IB23" s="123">
        <f>IF(OR(IB$4="",$B23=""),0,SUMIF('DADOS BRUTOS'!$A$3:$A$500,$B23,'DADOS BRUTOS'!FB$3:FB$500)+IF($C23="",0,SUMIF('DADOS BRUTOS'!$A$3:$A$500,$C23,'DADOS BRUTOS'!FB$3:FB$500)))</f>
        <v/>
      </c>
      <c r="IC23" s="123">
        <f>IF(OR(IC$4="",$B23=""),0,SUMIF('DADOS BRUTOS'!$A$3:$A$500,$B23,'DADOS BRUTOS'!FC$3:FC$500)+IF($C23="",0,SUMIF('DADOS BRUTOS'!$A$3:$A$500,$C23,'DADOS BRUTOS'!FC$3:FC$500)))</f>
        <v/>
      </c>
      <c r="ID23" s="123">
        <f>IF(OR(ID$4="",$B23=""),0,SUMIF('DADOS BRUTOS'!$A$3:$A$500,$B23,'DADOS BRUTOS'!FD$3:FD$500)+IF($C23="",0,SUMIF('DADOS BRUTOS'!$A$3:$A$500,$C23,'DADOS BRUTOS'!FD$3:FD$500)))</f>
        <v/>
      </c>
      <c r="IE23" s="123">
        <f>IF(OR(IE$4="",$B23=""),0,SUMIF('DADOS BRUTOS'!$A$3:$A$500,$B23,'DADOS BRUTOS'!FE$3:FE$500)+IF($C23="",0,SUMIF('DADOS BRUTOS'!$A$3:$A$500,$C23,'DADOS BRUTOS'!FE$3:FE$500)))</f>
        <v/>
      </c>
      <c r="IF23" s="123">
        <f>IF(OR(IF$4="",$B23=""),0,SUMIF('DADOS BRUTOS'!$A$3:$A$500,$B23,'DADOS BRUTOS'!FF$3:FF$500)+IF($C23="",0,SUMIF('DADOS BRUTOS'!$A$3:$A$500,$C23,'DADOS BRUTOS'!FF$3:FF$500)))</f>
        <v/>
      </c>
      <c r="IG23" s="123">
        <f>IF(OR(IG$4="",$B23=""),0,SUMIF('DADOS BRUTOS'!$A$3:$A$500,$B23,'DADOS BRUTOS'!FG$3:FG$500)+IF($C23="",0,SUMIF('DADOS BRUTOS'!$A$3:$A$500,$C23,'DADOS BRUTOS'!FG$3:FG$500)))</f>
        <v/>
      </c>
      <c r="IH23" s="123">
        <f>IF(OR(IH$4="",$B23=""),0,SUMIF('DADOS BRUTOS'!$A$3:$A$500,$B23,'DADOS BRUTOS'!FH$3:FH$500)+IF($C23="",0,SUMIF('DADOS BRUTOS'!$A$3:$A$500,$C23,'DADOS BRUTOS'!FH$3:FH$500)))</f>
        <v/>
      </c>
      <c r="II23" s="123">
        <f>IF(OR(II$4="",$B23=""),0,SUMIF('DADOS BRUTOS'!$A$3:$A$500,$B23,'DADOS BRUTOS'!FI$3:FI$500)+IF($C23="",0,SUMIF('DADOS BRUTOS'!$A$3:$A$500,$C23,'DADOS BRUTOS'!FI$3:FI$500)))</f>
        <v/>
      </c>
      <c r="IJ23" s="123">
        <f>IF(OR(IJ$4="",$B23=""),0,SUMIF('DADOS BRUTOS'!$A$3:$A$500,$B23,'DADOS BRUTOS'!FJ$3:FJ$500)+IF($C23="",0,SUMIF('DADOS BRUTOS'!$A$3:$A$500,$C23,'DADOS BRUTOS'!FJ$3:FJ$500)))</f>
        <v/>
      </c>
      <c r="IK23" s="123">
        <f>IF(OR(IK$4="",$B23=""),0,SUMIF('DADOS BRUTOS'!$A$3:$A$500,$B23,'DADOS BRUTOS'!FK$3:FK$500)+IF($C23="",0,SUMIF('DADOS BRUTOS'!$A$3:$A$500,$C23,'DADOS BRUTOS'!FK$3:FK$500)))</f>
        <v/>
      </c>
      <c r="IL23" s="123">
        <f>IF(OR(IL$4="",$B23=""),0,SUMIF('DADOS BRUTOS'!$A$3:$A$500,$B23,'DADOS BRUTOS'!FL$3:FL$500)+IF($C23="",0,SUMIF('DADOS BRUTOS'!$A$3:$A$500,$C23,'DADOS BRUTOS'!FL$3:FL$500)))</f>
        <v/>
      </c>
      <c r="IM23" s="123">
        <f>IF(OR(IM$4="",$B23=""),0,SUMIF('DADOS BRUTOS'!$A$3:$A$500,$B23,'DADOS BRUTOS'!FM$3:FM$500)+IF($C23="",0,SUMIF('DADOS BRUTOS'!$A$3:$A$500,$C23,'DADOS BRUTOS'!FM$3:FM$500)))</f>
        <v/>
      </c>
      <c r="IN23" s="123">
        <f>IF(OR(IN$4="",$B23=""),0,SUMIF('DADOS BRUTOS'!$A$3:$A$500,$B23,'DADOS BRUTOS'!FN$3:FN$500)+IF($C23="",0,SUMIF('DADOS BRUTOS'!$A$3:$A$500,$C23,'DADOS BRUTOS'!FN$3:FN$500)))</f>
        <v/>
      </c>
      <c r="IO23" s="123">
        <f>IF(OR(IO$4="",$B23=""),0,SUMIF('DADOS BRUTOS'!$A$3:$A$500,$B23,'DADOS BRUTOS'!FO$3:FO$500)+IF($C23="",0,SUMIF('DADOS BRUTOS'!$A$3:$A$500,$C23,'DADOS BRUTOS'!FO$3:FO$500)))</f>
        <v/>
      </c>
      <c r="IP23" s="123">
        <f>IF(OR(IP$4="",$B23=""),0,SUMIF('DADOS BRUTOS'!$A$3:$A$500,$B23,'DADOS BRUTOS'!FP$3:FP$500)+IF($C23="",0,SUMIF('DADOS BRUTOS'!$A$3:$A$500,$C23,'DADOS BRUTOS'!FP$3:FP$500)))</f>
        <v/>
      </c>
      <c r="IQ23" s="123">
        <f>IF(OR(IQ$4="",$B23=""),0,SUMIF('DADOS BRUTOS'!$A$3:$A$500,$B23,'DADOS BRUTOS'!FQ$3:FQ$500)+IF($C23="",0,SUMIF('DADOS BRUTOS'!$A$3:$A$500,$C23,'DADOS BRUTOS'!FQ$3:FQ$500)))</f>
        <v/>
      </c>
      <c r="IR23" s="123">
        <f>IF(OR(IR$4="",$B23=""),0,SUMIF('DADOS BRUTOS'!$A$3:$A$500,$B23,'DADOS BRUTOS'!FR$3:FR$500)+IF($C23="",0,SUMIF('DADOS BRUTOS'!$A$3:$A$500,$C23,'DADOS BRUTOS'!FR$3:FR$500)))</f>
        <v/>
      </c>
      <c r="IS23" s="123">
        <f>IF(OR(IS$4="",$B23=""),0,SUMIF('DADOS BRUTOS'!$A$3:$A$500,$B23,'DADOS BRUTOS'!FS$3:FS$500)+IF($C23="",0,SUMIF('DADOS BRUTOS'!$A$3:$A$500,$C23,'DADOS BRUTOS'!FS$3:FS$500)))</f>
        <v/>
      </c>
      <c r="IT23" s="123">
        <f>IF(OR(IT$4="",$B23=""),0,SUMIF('DADOS BRUTOS'!$A$3:$A$500,$B23,'DADOS BRUTOS'!FT$3:FT$500)+IF($C23="",0,SUMIF('DADOS BRUTOS'!$A$3:$A$500,$C23,'DADOS BRUTOS'!FT$3:FT$500)))</f>
        <v/>
      </c>
      <c r="IU23" s="123">
        <f>IF(OR(IU$4="",$B23=""),0,SUMIF('DADOS BRUTOS'!$A$3:$A$500,$B23,'DADOS BRUTOS'!FU$3:FU$500)+IF($C23="",0,SUMIF('DADOS BRUTOS'!$A$3:$A$500,$C23,'DADOS BRUTOS'!FU$3:FU$500)))</f>
        <v/>
      </c>
      <c r="IV23" s="123">
        <f>IF(OR(IV$4="",$B23=""),0,SUMIF('DADOS BRUTOS'!$A$3:$A$500,$B23,'DADOS BRUTOS'!FV$3:FV$500)+IF($C23="",0,SUMIF('DADOS BRUTOS'!$A$3:$A$500,$C23,'DADOS BRUTOS'!FV$3:FV$500)))</f>
        <v/>
      </c>
      <c r="IW23" s="123">
        <f>IF(OR(IW$4="",$B23=""),0,SUMIF('DADOS BRUTOS'!$A$3:$A$500,$B23,'DADOS BRUTOS'!FW$3:FW$500)+IF($C23="",0,SUMIF('DADOS BRUTOS'!$A$3:$A$500,$C23,'DADOS BRUTOS'!FW$3:FW$500)))</f>
        <v/>
      </c>
      <c r="IX23" s="123">
        <f>IF(OR(IX$4="",$B23=""),0,SUMIF('DADOS BRUTOS'!$A$3:$A$500,$B23,'DADOS BRUTOS'!FX$3:FX$500)+IF($C23="",0,SUMIF('DADOS BRUTOS'!$A$3:$A$500,$C23,'DADOS BRUTOS'!FX$3:FX$500)))</f>
        <v/>
      </c>
      <c r="IY23" s="123">
        <f>IF(OR(IY$4="",$B23=""),0,SUMIF('DADOS BRUTOS'!$A$3:$A$500,$B23,'DADOS BRUTOS'!FY$3:FY$500)+IF($C23="",0,SUMIF('DADOS BRUTOS'!$A$3:$A$500,$C23,'DADOS BRUTOS'!FY$3:FY$500)))</f>
        <v/>
      </c>
      <c r="IZ23" s="123">
        <f>IF(OR(IZ$4="",$B23=""),0,SUMIF('DADOS BRUTOS'!$A$3:$A$500,$B23,'DADOS BRUTOS'!FZ$3:FZ$500)+IF($C23="",0,SUMIF('DADOS BRUTOS'!$A$3:$A$500,$C23,'DADOS BRUTOS'!FZ$3:FZ$500)))</f>
        <v/>
      </c>
      <c r="JA23" s="123">
        <f>IF(OR(JA$4="",$B23=""),0,SUMIF('DADOS BRUTOS'!$A$3:$A$500,$B23,'DADOS BRUTOS'!GA$3:GA$500)+IF($C23="",0,SUMIF('DADOS BRUTOS'!$A$3:$A$500,$C23,'DADOS BRUTOS'!GA$3:GA$500)))</f>
        <v/>
      </c>
      <c r="JB23" s="123">
        <f>IF(OR(JB$4="",$B23=""),0,SUMIF('DADOS BRUTOS'!$A$3:$A$500,$B23,'DADOS BRUTOS'!GB$3:GB$500)+IF($C23="",0,SUMIF('DADOS BRUTOS'!$A$3:$A$500,$C23,'DADOS BRUTOS'!GB$3:GB$500)))</f>
        <v/>
      </c>
      <c r="JC23" s="123">
        <f>IF(OR(JC$4="",$B23=""),0,SUMIF('DADOS BRUTOS'!$A$3:$A$500,$B23,'DADOS BRUTOS'!GC$3:GC$500)+IF($C23="",0,SUMIF('DADOS BRUTOS'!$A$3:$A$500,$C23,'DADOS BRUTOS'!GC$3:GC$500)))</f>
        <v/>
      </c>
      <c r="JD23" s="123">
        <f>IF(OR(JD$4="",$B23=""),0,SUMIF('DADOS BRUTOS'!$A$3:$A$500,$B23,'DADOS BRUTOS'!GD$3:GD$500)+IF($C23="",0,SUMIF('DADOS BRUTOS'!$A$3:$A$500,$C23,'DADOS BRUTOS'!GD$3:GD$500)))</f>
        <v/>
      </c>
      <c r="JE23" s="123">
        <f>IF(OR(JE$4="",$B23=""),0,SUMIF('DADOS BRUTOS'!$A$3:$A$500,$B23,'DADOS BRUTOS'!GE$3:GE$500)+IF($C23="",0,SUMIF('DADOS BRUTOS'!$A$3:$A$500,$C23,'DADOS BRUTOS'!GE$3:GE$500)))</f>
        <v/>
      </c>
      <c r="JF23" s="123">
        <f>IF(OR(JF$4="",$B23=""),0,SUMIF('DADOS BRUTOS'!$A$3:$A$500,$B23,'DADOS BRUTOS'!GF$3:GF$500)+IF($C23="",0,SUMIF('DADOS BRUTOS'!$A$3:$A$500,$C23,'DADOS BRUTOS'!GF$3:GF$500)))</f>
        <v/>
      </c>
      <c r="JG23" s="123">
        <f>IF(OR(JG$4="",$B23=""),0,SUMIF('DADOS BRUTOS'!$A$3:$A$500,$B23,'DADOS BRUTOS'!GG$3:GG$500)+IF($C23="",0,SUMIF('DADOS BRUTOS'!$A$3:$A$500,$C23,'DADOS BRUTOS'!GG$3:GG$500)))</f>
        <v/>
      </c>
      <c r="JH23" s="123">
        <f>IF(OR(JH$4="",$B23=""),0,SUMIF('DADOS BRUTOS'!$A$3:$A$500,$B23,'DADOS BRUTOS'!GH$3:GH$500)+IF($C23="",0,SUMIF('DADOS BRUTOS'!$A$3:$A$500,$C23,'DADOS BRUTOS'!GH$3:GH$500)))</f>
        <v/>
      </c>
      <c r="JI23" s="123">
        <f>IF(OR(JI$4="",$B23=""),0,SUMIF('DADOS BRUTOS'!$A$3:$A$500,$B23,'DADOS BRUTOS'!GI$3:GI$500)+IF($C23="",0,SUMIF('DADOS BRUTOS'!$A$3:$A$500,$C23,'DADOS BRUTOS'!GI$3:GI$500)))</f>
        <v/>
      </c>
      <c r="JJ23" s="123">
        <f>IF(OR(JJ$4="",$B23=""),0,SUMIF('DADOS BRUTOS'!$A$3:$A$500,$B23,'DADOS BRUTOS'!GJ$3:GJ$500)+IF($C23="",0,SUMIF('DADOS BRUTOS'!$A$3:$A$500,$C23,'DADOS BRUTOS'!GJ$3:GJ$500)))</f>
        <v/>
      </c>
      <c r="JK23" s="123">
        <f>IF(OR(JK$4="",$B23=""),0,SUMIF('DADOS BRUTOS'!$A$3:$A$500,$B23,'DADOS BRUTOS'!GK$3:GK$500)+IF($C23="",0,SUMIF('DADOS BRUTOS'!$A$3:$A$500,$C23,'DADOS BRUTOS'!GK$3:GK$500)))</f>
        <v/>
      </c>
      <c r="JL23" s="123">
        <f>IF(OR(JL$4="",$B23=""),0,SUMIF('DADOS BRUTOS'!$A$3:$A$500,$B23,'DADOS BRUTOS'!GL$3:GL$500)+IF($C23="",0,SUMIF('DADOS BRUTOS'!$A$3:$A$500,$C23,'DADOS BRUTOS'!GL$3:GL$500)))</f>
        <v/>
      </c>
      <c r="JM23" s="123">
        <f>IF(OR(JM$4="",$B23=""),0,SUMIF('DADOS BRUTOS'!$A$3:$A$500,$B23,'DADOS BRUTOS'!GM$3:GM$500)+IF($C23="",0,SUMIF('DADOS BRUTOS'!$A$3:$A$500,$C23,'DADOS BRUTOS'!GM$3:GM$500)))</f>
        <v/>
      </c>
      <c r="JN23" s="123">
        <f>IF(OR(JN$4="",$B23=""),0,SUMIF('DADOS BRUTOS'!$A$3:$A$500,$B23,'DADOS BRUTOS'!GN$3:GN$500)+IF($C23="",0,SUMIF('DADOS BRUTOS'!$A$3:$A$500,$C23,'DADOS BRUTOS'!GN$3:GN$500)))</f>
        <v/>
      </c>
      <c r="JO23" s="123">
        <f>IF(OR(JO$4="",$B23=""),0,SUMIF('DADOS BRUTOS'!$A$3:$A$500,$B23,'DADOS BRUTOS'!GO$3:GO$500)+IF($C23="",0,SUMIF('DADOS BRUTOS'!$A$3:$A$500,$C23,'DADOS BRUTOS'!GO$3:GO$500)))</f>
        <v/>
      </c>
      <c r="JP23" s="123">
        <f>IF(OR(JP$4="",$B23=""),0,SUMIF('DADOS BRUTOS'!$A$3:$A$500,$B23,'DADOS BRUTOS'!GP$3:GP$500)+IF($C23="",0,SUMIF('DADOS BRUTOS'!$A$3:$A$500,$C23,'DADOS BRUTOS'!GP$3:GP$500)))</f>
        <v/>
      </c>
      <c r="JQ23" s="123">
        <f>IF(OR(JQ$4="",$B23=""),0,SUMIF('DADOS BRUTOS'!$A$3:$A$500,$B23,'DADOS BRUTOS'!GQ$3:GQ$500)+IF($C23="",0,SUMIF('DADOS BRUTOS'!$A$3:$A$500,$C23,'DADOS BRUTOS'!GQ$3:GQ$500)))</f>
        <v/>
      </c>
      <c r="JR23" s="123">
        <f>IF(OR(JR$4="",$B23=""),0,SUMIF('DADOS BRUTOS'!$A$3:$A$500,$B23,'DADOS BRUTOS'!GR$3:GR$500)+IF($C23="",0,SUMIF('DADOS BRUTOS'!$A$3:$A$500,$C23,'DADOS BRUTOS'!GR$3:GR$500)))</f>
        <v/>
      </c>
      <c r="JS23" s="123">
        <f>IF(OR(JS$4="",$B23=""),0,SUMIF('DADOS BRUTOS'!$A$3:$A$500,$B23,'DADOS BRUTOS'!GS$3:GS$500)+IF($C23="",0,SUMIF('DADOS BRUTOS'!$A$3:$A$500,$C23,'DADOS BRUTOS'!GS$3:GS$500)))</f>
        <v/>
      </c>
    </row>
    <row r="24">
      <c r="A24" s="60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CB24" s="123">
        <f>IF(OR(CB$4="",$B24=""),0,SUMIF('DADOS BRUTOS'!$A$3:$A$500,$B24,'DADOS BRUTOS'!B$3:B$500)+IF($C24="",0,SUMIF('DADOS BRUTOS'!$A$3:$A$500,$C24,'DADOS BRUTOS'!B$3:B$500)))</f>
        <v/>
      </c>
      <c r="CC24" s="123">
        <f>IF(OR(CC$4="",$B24=""),0,SUMIF('DADOS BRUTOS'!$A$3:$A$500,$B24,'DADOS BRUTOS'!C$3:C$500)+IF($C24="",0,SUMIF('DADOS BRUTOS'!$A$3:$A$500,$C24,'DADOS BRUTOS'!C$3:C$500)))</f>
        <v/>
      </c>
      <c r="CD24" s="123">
        <f>IF(OR(CD$4="",$B24=""),0,SUMIF('DADOS BRUTOS'!$A$3:$A$500,$B24,'DADOS BRUTOS'!D$3:D$500)+IF($C24="",0,SUMIF('DADOS BRUTOS'!$A$3:$A$500,$C24,'DADOS BRUTOS'!D$3:D$500)))</f>
        <v/>
      </c>
      <c r="CE24" s="123">
        <f>IF(OR(CE$4="",$B24=""),0,SUMIF('DADOS BRUTOS'!$A$3:$A$500,$B24,'DADOS BRUTOS'!E$3:E$500)+IF($C24="",0,SUMIF('DADOS BRUTOS'!$A$3:$A$500,$C24,'DADOS BRUTOS'!E$3:E$500)))</f>
        <v/>
      </c>
      <c r="CF24" s="123">
        <f>IF(OR(CF$4="",$B24=""),0,SUMIF('DADOS BRUTOS'!$A$3:$A$500,$B24,'DADOS BRUTOS'!F$3:F$500)+IF($C24="",0,SUMIF('DADOS BRUTOS'!$A$3:$A$500,$C24,'DADOS BRUTOS'!F$3:F$500)))</f>
        <v/>
      </c>
      <c r="CG24" s="123">
        <f>IF(OR(CG$4="",$B24=""),0,SUMIF('DADOS BRUTOS'!$A$3:$A$500,$B24,'DADOS BRUTOS'!G$3:G$500)+IF($C24="",0,SUMIF('DADOS BRUTOS'!$A$3:$A$500,$C24,'DADOS BRUTOS'!G$3:G$500)))</f>
        <v/>
      </c>
      <c r="CH24" s="123">
        <f>IF(OR(CH$4="",$B24=""),0,SUMIF('DADOS BRUTOS'!$A$3:$A$500,$B24,'DADOS BRUTOS'!H$3:H$500)+IF($C24="",0,SUMIF('DADOS BRUTOS'!$A$3:$A$500,$C24,'DADOS BRUTOS'!H$3:H$500)))</f>
        <v/>
      </c>
      <c r="CI24" s="123">
        <f>IF(OR(CI$4="",$B24=""),0,SUMIF('DADOS BRUTOS'!$A$3:$A$500,$B24,'DADOS BRUTOS'!I$3:I$500)+IF($C24="",0,SUMIF('DADOS BRUTOS'!$A$3:$A$500,$C24,'DADOS BRUTOS'!I$3:I$500)))</f>
        <v/>
      </c>
      <c r="CJ24" s="123">
        <f>IF(OR(CJ$4="",$B24=""),0,SUMIF('DADOS BRUTOS'!$A$3:$A$500,$B24,'DADOS BRUTOS'!J$3:J$500)+IF($C24="",0,SUMIF('DADOS BRUTOS'!$A$3:$A$500,$C24,'DADOS BRUTOS'!J$3:J$500)))</f>
        <v/>
      </c>
      <c r="CK24" s="123">
        <f>IF(OR(CK$4="",$B24=""),0,SUMIF('DADOS BRUTOS'!$A$3:$A$500,$B24,'DADOS BRUTOS'!K$3:K$500)+IF($C24="",0,SUMIF('DADOS BRUTOS'!$A$3:$A$500,$C24,'DADOS BRUTOS'!K$3:K$500)))</f>
        <v/>
      </c>
      <c r="CL24" s="123">
        <f>IF(OR(CL$4="",$B24=""),0,SUMIF('DADOS BRUTOS'!$A$3:$A$500,$B24,'DADOS BRUTOS'!L$3:L$500)+IF($C24="",0,SUMIF('DADOS BRUTOS'!$A$3:$A$500,$C24,'DADOS BRUTOS'!L$3:L$500)))</f>
        <v/>
      </c>
      <c r="CM24" s="123">
        <f>IF(OR(CM$4="",$B24=""),0,SUMIF('DADOS BRUTOS'!$A$3:$A$500,$B24,'DADOS BRUTOS'!M$3:M$500)+IF($C24="",0,SUMIF('DADOS BRUTOS'!$A$3:$A$500,$C24,'DADOS BRUTOS'!M$3:M$500)))</f>
        <v/>
      </c>
      <c r="CN24" s="123">
        <f>IF(OR(CN$4="",$B24=""),0,SUMIF('DADOS BRUTOS'!$A$3:$A$500,$B24,'DADOS BRUTOS'!N$3:N$500)+IF($C24="",0,SUMIF('DADOS BRUTOS'!$A$3:$A$500,$C24,'DADOS BRUTOS'!N$3:N$500)))</f>
        <v/>
      </c>
      <c r="CO24" s="123">
        <f>IF(OR(CO$4="",$B24=""),0,SUMIF('DADOS BRUTOS'!$A$3:$A$500,$B24,'DADOS BRUTOS'!O$3:O$500)+IF($C24="",0,SUMIF('DADOS BRUTOS'!$A$3:$A$500,$C24,'DADOS BRUTOS'!O$3:O$500)))</f>
        <v/>
      </c>
      <c r="CP24" s="123">
        <f>IF(OR(CP$4="",$B24=""),0,SUMIF('DADOS BRUTOS'!$A$3:$A$500,$B24,'DADOS BRUTOS'!P$3:P$500)+IF($C24="",0,SUMIF('DADOS BRUTOS'!$A$3:$A$500,$C24,'DADOS BRUTOS'!P$3:P$500)))</f>
        <v/>
      </c>
      <c r="CQ24" s="123">
        <f>IF(OR(CQ$4="",$B24=""),0,SUMIF('DADOS BRUTOS'!$A$3:$A$500,$B24,'DADOS BRUTOS'!Q$3:Q$500)+IF($C24="",0,SUMIF('DADOS BRUTOS'!$A$3:$A$500,$C24,'DADOS BRUTOS'!Q$3:Q$500)))</f>
        <v/>
      </c>
      <c r="CR24" s="123">
        <f>IF(OR(CR$4="",$B24=""),0,SUMIF('DADOS BRUTOS'!$A$3:$A$500,$B24,'DADOS BRUTOS'!R$3:R$500)+IF($C24="",0,SUMIF('DADOS BRUTOS'!$A$3:$A$500,$C24,'DADOS BRUTOS'!R$3:R$500)))</f>
        <v/>
      </c>
      <c r="CS24" s="123">
        <f>IF(OR(CS$4="",$B24=""),0,SUMIF('DADOS BRUTOS'!$A$3:$A$500,$B24,'DADOS BRUTOS'!S$3:S$500)+IF($C24="",0,SUMIF('DADOS BRUTOS'!$A$3:$A$500,$C24,'DADOS BRUTOS'!S$3:S$500)))</f>
        <v/>
      </c>
      <c r="CT24" s="123">
        <f>IF(OR(CT$4="",$B24=""),0,SUMIF('DADOS BRUTOS'!$A$3:$A$500,$B24,'DADOS BRUTOS'!T$3:T$500)+IF($C24="",0,SUMIF('DADOS BRUTOS'!$A$3:$A$500,$C24,'DADOS BRUTOS'!T$3:T$500)))</f>
        <v/>
      </c>
      <c r="CU24" s="123">
        <f>IF(OR(CU$4="",$B24=""),0,SUMIF('DADOS BRUTOS'!$A$3:$A$500,$B24,'DADOS BRUTOS'!U$3:U$500)+IF($C24="",0,SUMIF('DADOS BRUTOS'!$A$3:$A$500,$C24,'DADOS BRUTOS'!U$3:U$500)))</f>
        <v/>
      </c>
      <c r="CV24" s="123">
        <f>IF(OR(CV$4="",$B24=""),0,SUMIF('DADOS BRUTOS'!$A$3:$A$500,$B24,'DADOS BRUTOS'!V$3:V$500)+IF($C24="",0,SUMIF('DADOS BRUTOS'!$A$3:$A$500,$C24,'DADOS BRUTOS'!V$3:V$500)))</f>
        <v/>
      </c>
      <c r="CW24" s="123">
        <f>IF(OR(CW$4="",$B24=""),0,SUMIF('DADOS BRUTOS'!$A$3:$A$500,$B24,'DADOS BRUTOS'!W$3:W$500)+IF($C24="",0,SUMIF('DADOS BRUTOS'!$A$3:$A$500,$C24,'DADOS BRUTOS'!W$3:W$500)))</f>
        <v/>
      </c>
      <c r="CX24" s="123">
        <f>IF(OR(CX$4="",$B24=""),0,SUMIF('DADOS BRUTOS'!$A$3:$A$500,$B24,'DADOS BRUTOS'!X$3:X$500)+IF($C24="",0,SUMIF('DADOS BRUTOS'!$A$3:$A$500,$C24,'DADOS BRUTOS'!X$3:X$500)))</f>
        <v/>
      </c>
      <c r="CY24" s="123">
        <f>IF(OR(CY$4="",$B24=""),0,SUMIF('DADOS BRUTOS'!$A$3:$A$500,$B24,'DADOS BRUTOS'!Y$3:Y$500)+IF($C24="",0,SUMIF('DADOS BRUTOS'!$A$3:$A$500,$C24,'DADOS BRUTOS'!Y$3:Y$500)))</f>
        <v/>
      </c>
      <c r="CZ24" s="123">
        <f>IF(OR(CZ$4="",$B24=""),0,SUMIF('DADOS BRUTOS'!$A$3:$A$500,$B24,'DADOS BRUTOS'!Z$3:Z$500)+IF($C24="",0,SUMIF('DADOS BRUTOS'!$A$3:$A$500,$C24,'DADOS BRUTOS'!Z$3:Z$500)))</f>
        <v/>
      </c>
      <c r="DA24" s="123">
        <f>IF(OR(DA$4="",$B24=""),0,SUMIF('DADOS BRUTOS'!$A$3:$A$500,$B24,'DADOS BRUTOS'!AA$3:AA$500)+IF($C24="",0,SUMIF('DADOS BRUTOS'!$A$3:$A$500,$C24,'DADOS BRUTOS'!AA$3:AA$500)))</f>
        <v/>
      </c>
      <c r="DB24" s="123">
        <f>IF(OR(DB$4="",$B24=""),0,SUMIF('DADOS BRUTOS'!$A$3:$A$500,$B24,'DADOS BRUTOS'!AB$3:AB$500)+IF($C24="",0,SUMIF('DADOS BRUTOS'!$A$3:$A$500,$C24,'DADOS BRUTOS'!AB$3:AB$500)))</f>
        <v/>
      </c>
      <c r="DC24" s="123">
        <f>IF(OR(DC$4="",$B24=""),0,SUMIF('DADOS BRUTOS'!$A$3:$A$500,$B24,'DADOS BRUTOS'!AC$3:AC$500)+IF($C24="",0,SUMIF('DADOS BRUTOS'!$A$3:$A$500,$C24,'DADOS BRUTOS'!AC$3:AC$500)))</f>
        <v/>
      </c>
      <c r="DD24" s="123">
        <f>IF(OR(DD$4="",$B24=""),0,SUMIF('DADOS BRUTOS'!$A$3:$A$500,$B24,'DADOS BRUTOS'!AD$3:AD$500)+IF($C24="",0,SUMIF('DADOS BRUTOS'!$A$3:$A$500,$C24,'DADOS BRUTOS'!AD$3:AD$500)))</f>
        <v/>
      </c>
      <c r="DE24" s="123">
        <f>IF(OR(DE$4="",$B24=""),0,SUMIF('DADOS BRUTOS'!$A$3:$A$500,$B24,'DADOS BRUTOS'!AE$3:AE$500)+IF($C24="",0,SUMIF('DADOS BRUTOS'!$A$3:$A$500,$C24,'DADOS BRUTOS'!AE$3:AE$500)))</f>
        <v/>
      </c>
      <c r="DF24" s="123">
        <f>IF(OR(DF$4="",$B24=""),0,SUMIF('DADOS BRUTOS'!$A$3:$A$500,$B24,'DADOS BRUTOS'!AF$3:AF$500)+IF($C24="",0,SUMIF('DADOS BRUTOS'!$A$3:$A$500,$C24,'DADOS BRUTOS'!AF$3:AF$500)))</f>
        <v/>
      </c>
      <c r="DG24" s="123">
        <f>IF(OR(DG$4="",$B24=""),0,SUMIF('DADOS BRUTOS'!$A$3:$A$500,$B24,'DADOS BRUTOS'!AG$3:AG$500)+IF($C24="",0,SUMIF('DADOS BRUTOS'!$A$3:$A$500,$C24,'DADOS BRUTOS'!AG$3:AG$500)))</f>
        <v/>
      </c>
      <c r="DH24" s="123">
        <f>IF(OR(DH$4="",$B24=""),0,SUMIF('DADOS BRUTOS'!$A$3:$A$500,$B24,'DADOS BRUTOS'!AH$3:AH$500)+IF($C24="",0,SUMIF('DADOS BRUTOS'!$A$3:$A$500,$C24,'DADOS BRUTOS'!AH$3:AH$500)))</f>
        <v/>
      </c>
      <c r="DI24" s="123">
        <f>IF(OR(DI$4="",$B24=""),0,SUMIF('DADOS BRUTOS'!$A$3:$A$500,$B24,'DADOS BRUTOS'!AI$3:AI$500)+IF($C24="",0,SUMIF('DADOS BRUTOS'!$A$3:$A$500,$C24,'DADOS BRUTOS'!AI$3:AI$500)))</f>
        <v/>
      </c>
      <c r="DJ24" s="123">
        <f>IF(OR(DJ$4="",$B24=""),0,SUMIF('DADOS BRUTOS'!$A$3:$A$500,$B24,'DADOS BRUTOS'!AJ$3:AJ$500)+IF($C24="",0,SUMIF('DADOS BRUTOS'!$A$3:$A$500,$C24,'DADOS BRUTOS'!AJ$3:AJ$500)))</f>
        <v/>
      </c>
      <c r="DK24" s="123">
        <f>IF(OR(DK$4="",$B24=""),0,SUMIF('DADOS BRUTOS'!$A$3:$A$500,$B24,'DADOS BRUTOS'!AK$3:AK$500)+IF($C24="",0,SUMIF('DADOS BRUTOS'!$A$3:$A$500,$C24,'DADOS BRUTOS'!AK$3:AK$500)))</f>
        <v/>
      </c>
      <c r="DL24" s="123">
        <f>IF(OR(DL$4="",$B24=""),0,SUMIF('DADOS BRUTOS'!$A$3:$A$500,$B24,'DADOS BRUTOS'!AL$3:AL$500)+IF($C24="",0,SUMIF('DADOS BRUTOS'!$A$3:$A$500,$C24,'DADOS BRUTOS'!AL$3:AL$500)))</f>
        <v/>
      </c>
      <c r="DM24" s="123">
        <f>IF(OR(DM$4="",$B24=""),0,SUMIF('DADOS BRUTOS'!$A$3:$A$500,$B24,'DADOS BRUTOS'!AM$3:AM$500)+IF($C24="",0,SUMIF('DADOS BRUTOS'!$A$3:$A$500,$C24,'DADOS BRUTOS'!AM$3:AM$500)))</f>
        <v/>
      </c>
      <c r="DN24" s="123">
        <f>IF(OR(DN$4="",$B24=""),0,SUMIF('DADOS BRUTOS'!$A$3:$A$500,$B24,'DADOS BRUTOS'!AN$3:AN$500)+IF($C24="",0,SUMIF('DADOS BRUTOS'!$A$3:$A$500,$C24,'DADOS BRUTOS'!AN$3:AN$500)))</f>
        <v/>
      </c>
      <c r="DO24" s="123">
        <f>IF(OR(DO$4="",$B24=""),0,SUMIF('DADOS BRUTOS'!$A$3:$A$500,$B24,'DADOS BRUTOS'!AO$3:AO$500)+IF($C24="",0,SUMIF('DADOS BRUTOS'!$A$3:$A$500,$C24,'DADOS BRUTOS'!AO$3:AO$500)))</f>
        <v/>
      </c>
      <c r="DP24" s="123">
        <f>IF(OR(DP$4="",$B24=""),0,SUMIF('DADOS BRUTOS'!$A$3:$A$500,$B24,'DADOS BRUTOS'!AP$3:AP$500)+IF($C24="",0,SUMIF('DADOS BRUTOS'!$A$3:$A$500,$C24,'DADOS BRUTOS'!AP$3:AP$500)))</f>
        <v/>
      </c>
      <c r="DQ24" s="123">
        <f>IF(OR(DQ$4="",$B24=""),0,SUMIF('DADOS BRUTOS'!$A$3:$A$500,$B24,'DADOS BRUTOS'!AQ$3:AQ$500)+IF($C24="",0,SUMIF('DADOS BRUTOS'!$A$3:$A$500,$C24,'DADOS BRUTOS'!AQ$3:AQ$500)))</f>
        <v/>
      </c>
      <c r="DR24" s="123">
        <f>IF(OR(DR$4="",$B24=""),0,SUMIF('DADOS BRUTOS'!$A$3:$A$500,$B24,'DADOS BRUTOS'!AR$3:AR$500)+IF($C24="",0,SUMIF('DADOS BRUTOS'!$A$3:$A$500,$C24,'DADOS BRUTOS'!AR$3:AR$500)))</f>
        <v/>
      </c>
      <c r="DS24" s="123">
        <f>IF(OR(DS$4="",$B24=""),0,SUMIF('DADOS BRUTOS'!$A$3:$A$500,$B24,'DADOS BRUTOS'!AS$3:AS$500)+IF($C24="",0,SUMIF('DADOS BRUTOS'!$A$3:$A$500,$C24,'DADOS BRUTOS'!AS$3:AS$500)))</f>
        <v/>
      </c>
      <c r="DT24" s="123">
        <f>IF(OR(DT$4="",$B24=""),0,SUMIF('DADOS BRUTOS'!$A$3:$A$500,$B24,'DADOS BRUTOS'!AT$3:AT$500)+IF($C24="",0,SUMIF('DADOS BRUTOS'!$A$3:$A$500,$C24,'DADOS BRUTOS'!AT$3:AT$500)))</f>
        <v/>
      </c>
      <c r="DU24" s="123">
        <f>IF(OR(DU$4="",$B24=""),0,SUMIF('DADOS BRUTOS'!$A$3:$A$500,$B24,'DADOS BRUTOS'!AU$3:AU$500)+IF($C24="",0,SUMIF('DADOS BRUTOS'!$A$3:$A$500,$C24,'DADOS BRUTOS'!AU$3:AU$500)))</f>
        <v/>
      </c>
      <c r="DV24" s="123">
        <f>IF(OR(DV$4="",$B24=""),0,SUMIF('DADOS BRUTOS'!$A$3:$A$500,$B24,'DADOS BRUTOS'!AV$3:AV$500)+IF($C24="",0,SUMIF('DADOS BRUTOS'!$A$3:$A$500,$C24,'DADOS BRUTOS'!AV$3:AV$500)))</f>
        <v/>
      </c>
      <c r="DW24" s="123">
        <f>IF(OR(DW$4="",$B24=""),0,SUMIF('DADOS BRUTOS'!$A$3:$A$500,$B24,'DADOS BRUTOS'!AW$3:AW$500)+IF($C24="",0,SUMIF('DADOS BRUTOS'!$A$3:$A$500,$C24,'DADOS BRUTOS'!AW$3:AW$500)))</f>
        <v/>
      </c>
      <c r="DX24" s="123">
        <f>IF(OR(DX$4="",$B24=""),0,SUMIF('DADOS BRUTOS'!$A$3:$A$500,$B24,'DADOS BRUTOS'!AX$3:AX$500)+IF($C24="",0,SUMIF('DADOS BRUTOS'!$A$3:$A$500,$C24,'DADOS BRUTOS'!AX$3:AX$500)))</f>
        <v/>
      </c>
      <c r="DY24" s="123">
        <f>IF(OR(DY$4="",$B24=""),0,SUMIF('DADOS BRUTOS'!$A$3:$A$500,$B24,'DADOS BRUTOS'!AY$3:AY$500)+IF($C24="",0,SUMIF('DADOS BRUTOS'!$A$3:$A$500,$C24,'DADOS BRUTOS'!AY$3:AY$500)))</f>
        <v/>
      </c>
      <c r="DZ24" s="123">
        <f>IF(OR(DZ$4="",$B24=""),0,SUMIF('DADOS BRUTOS'!$A$3:$A$500,$B24,'DADOS BRUTOS'!AZ$3:AZ$500)+IF($C24="",0,SUMIF('DADOS BRUTOS'!$A$3:$A$500,$C24,'DADOS BRUTOS'!AZ$3:AZ$500)))</f>
        <v/>
      </c>
      <c r="EA24" s="123">
        <f>IF(OR(EA$4="",$B24=""),0,SUMIF('DADOS BRUTOS'!$A$3:$A$500,$B24,'DADOS BRUTOS'!BA$3:BA$500)+IF($C24="",0,SUMIF('DADOS BRUTOS'!$A$3:$A$500,$C24,'DADOS BRUTOS'!BA$3:BA$500)))</f>
        <v/>
      </c>
      <c r="EB24" s="123">
        <f>IF(OR(EB$4="",$B24=""),0,SUMIF('DADOS BRUTOS'!$A$3:$A$500,$B24,'DADOS BRUTOS'!BB$3:BB$500)+IF($C24="",0,SUMIF('DADOS BRUTOS'!$A$3:$A$500,$C24,'DADOS BRUTOS'!BB$3:BB$500)))</f>
        <v/>
      </c>
      <c r="EC24" s="123">
        <f>IF(OR(EC$4="",$B24=""),0,SUMIF('DADOS BRUTOS'!$A$3:$A$500,$B24,'DADOS BRUTOS'!BC$3:BC$500)+IF($C24="",0,SUMIF('DADOS BRUTOS'!$A$3:$A$500,$C24,'DADOS BRUTOS'!BC$3:BC$500)))</f>
        <v/>
      </c>
      <c r="ED24" s="123">
        <f>IF(OR(ED$4="",$B24=""),0,SUMIF('DADOS BRUTOS'!$A$3:$A$500,$B24,'DADOS BRUTOS'!BD$3:BD$500)+IF($C24="",0,SUMIF('DADOS BRUTOS'!$A$3:$A$500,$C24,'DADOS BRUTOS'!BD$3:BD$500)))</f>
        <v/>
      </c>
      <c r="EE24" s="123">
        <f>IF(OR(EE$4="",$B24=""),0,SUMIF('DADOS BRUTOS'!$A$3:$A$500,$B24,'DADOS BRUTOS'!BE$3:BE$500)+IF($C24="",0,SUMIF('DADOS BRUTOS'!$A$3:$A$500,$C24,'DADOS BRUTOS'!BE$3:BE$500)))</f>
        <v/>
      </c>
      <c r="EF24" s="123">
        <f>IF(OR(EF$4="",$B24=""),0,SUMIF('DADOS BRUTOS'!$A$3:$A$500,$B24,'DADOS BRUTOS'!BF$3:BF$500)+IF($C24="",0,SUMIF('DADOS BRUTOS'!$A$3:$A$500,$C24,'DADOS BRUTOS'!BF$3:BF$500)))</f>
        <v/>
      </c>
      <c r="EG24" s="123">
        <f>IF(OR(EG$4="",$B24=""),0,SUMIF('DADOS BRUTOS'!$A$3:$A$500,$B24,'DADOS BRUTOS'!BG$3:BG$500)+IF($C24="",0,SUMIF('DADOS BRUTOS'!$A$3:$A$500,$C24,'DADOS BRUTOS'!BG$3:BG$500)))</f>
        <v/>
      </c>
      <c r="EH24" s="123">
        <f>IF(OR(EH$4="",$B24=""),0,SUMIF('DADOS BRUTOS'!$A$3:$A$500,$B24,'DADOS BRUTOS'!BH$3:BH$500)+IF($C24="",0,SUMIF('DADOS BRUTOS'!$A$3:$A$500,$C24,'DADOS BRUTOS'!BH$3:BH$500)))</f>
        <v/>
      </c>
      <c r="EI24" s="123">
        <f>IF(OR(EI$4="",$B24=""),0,SUMIF('DADOS BRUTOS'!$A$3:$A$500,$B24,'DADOS BRUTOS'!BI$3:BI$500)+IF($C24="",0,SUMIF('DADOS BRUTOS'!$A$3:$A$500,$C24,'DADOS BRUTOS'!BI$3:BI$500)))</f>
        <v/>
      </c>
      <c r="EJ24" s="123">
        <f>IF(OR(EJ$4="",$B24=""),0,SUMIF('DADOS BRUTOS'!$A$3:$A$500,$B24,'DADOS BRUTOS'!BJ$3:BJ$500)+IF($C24="",0,SUMIF('DADOS BRUTOS'!$A$3:$A$500,$C24,'DADOS BRUTOS'!BJ$3:BJ$500)))</f>
        <v/>
      </c>
      <c r="EK24" s="123">
        <f>IF(OR(EK$4="",$B24=""),0,SUMIF('DADOS BRUTOS'!$A$3:$A$500,$B24,'DADOS BRUTOS'!BK$3:BK$500)+IF($C24="",0,SUMIF('DADOS BRUTOS'!$A$3:$A$500,$C24,'DADOS BRUTOS'!BK$3:BK$500)))</f>
        <v/>
      </c>
      <c r="EL24" s="123">
        <f>IF(OR(EL$4="",$B24=""),0,SUMIF('DADOS BRUTOS'!$A$3:$A$500,$B24,'DADOS BRUTOS'!BL$3:BL$500)+IF($C24="",0,SUMIF('DADOS BRUTOS'!$A$3:$A$500,$C24,'DADOS BRUTOS'!BL$3:BL$500)))</f>
        <v/>
      </c>
      <c r="EM24" s="123">
        <f>IF(OR(EM$4="",$B24=""),0,SUMIF('DADOS BRUTOS'!$A$3:$A$500,$B24,'DADOS BRUTOS'!BM$3:BM$500)+IF($C24="",0,SUMIF('DADOS BRUTOS'!$A$3:$A$500,$C24,'DADOS BRUTOS'!BM$3:BM$500)))</f>
        <v/>
      </c>
      <c r="EN24" s="123">
        <f>IF(OR(EN$4="",$B24=""),0,SUMIF('DADOS BRUTOS'!$A$3:$A$500,$B24,'DADOS BRUTOS'!BN$3:BN$500)+IF($C24="",0,SUMIF('DADOS BRUTOS'!$A$3:$A$500,$C24,'DADOS BRUTOS'!BN$3:BN$500)))</f>
        <v/>
      </c>
      <c r="EO24" s="123">
        <f>IF(OR(EO$4="",$B24=""),0,SUMIF('DADOS BRUTOS'!$A$3:$A$500,$B24,'DADOS BRUTOS'!BO$3:BO$500)+IF($C24="",0,SUMIF('DADOS BRUTOS'!$A$3:$A$500,$C24,'DADOS BRUTOS'!BO$3:BO$500)))</f>
        <v/>
      </c>
      <c r="EP24" s="123">
        <f>IF(OR(EP$4="",$B24=""),0,SUMIF('DADOS BRUTOS'!$A$3:$A$500,$B24,'DADOS BRUTOS'!BP$3:BP$500)+IF($C24="",0,SUMIF('DADOS BRUTOS'!$A$3:$A$500,$C24,'DADOS BRUTOS'!BP$3:BP$500)))</f>
        <v/>
      </c>
      <c r="EQ24" s="123">
        <f>IF(OR(EQ$4="",$B24=""),0,SUMIF('DADOS BRUTOS'!$A$3:$A$500,$B24,'DADOS BRUTOS'!BQ$3:BQ$500)+IF($C24="",0,SUMIF('DADOS BRUTOS'!$A$3:$A$500,$C24,'DADOS BRUTOS'!BQ$3:BQ$500)))</f>
        <v/>
      </c>
      <c r="ER24" s="123">
        <f>IF(OR(ER$4="",$B24=""),0,SUMIF('DADOS BRUTOS'!$A$3:$A$500,$B24,'DADOS BRUTOS'!BR$3:BR$500)+IF($C24="",0,SUMIF('DADOS BRUTOS'!$A$3:$A$500,$C24,'DADOS BRUTOS'!BR$3:BR$500)))</f>
        <v/>
      </c>
      <c r="ES24" s="123">
        <f>IF(OR(ES$4="",$B24=""),0,SUMIF('DADOS BRUTOS'!$A$3:$A$500,$B24,'DADOS BRUTOS'!BS$3:BS$500)+IF($C24="",0,SUMIF('DADOS BRUTOS'!$A$3:$A$500,$C24,'DADOS BRUTOS'!BS$3:BS$500)))</f>
        <v/>
      </c>
      <c r="ET24" s="123">
        <f>IF(OR(ET$4="",$B24=""),0,SUMIF('DADOS BRUTOS'!$A$3:$A$500,$B24,'DADOS BRUTOS'!BT$3:BT$500)+IF($C24="",0,SUMIF('DADOS BRUTOS'!$A$3:$A$500,$C24,'DADOS BRUTOS'!BT$3:BT$500)))</f>
        <v/>
      </c>
      <c r="EU24" s="123">
        <f>IF(OR(EU$4="",$B24=""),0,SUMIF('DADOS BRUTOS'!$A$3:$A$500,$B24,'DADOS BRUTOS'!BU$3:BU$500)+IF($C24="",0,SUMIF('DADOS BRUTOS'!$A$3:$A$500,$C24,'DADOS BRUTOS'!BU$3:BU$500)))</f>
        <v/>
      </c>
      <c r="EV24" s="123">
        <f>IF(OR(EV$4="",$B24=""),0,SUMIF('DADOS BRUTOS'!$A$3:$A$500,$B24,'DADOS BRUTOS'!BV$3:BV$500)+IF($C24="",0,SUMIF('DADOS BRUTOS'!$A$3:$A$500,$C24,'DADOS BRUTOS'!BV$3:BV$500)))</f>
        <v/>
      </c>
      <c r="EW24" s="123">
        <f>IF(OR(EW$4="",$B24=""),0,SUMIF('DADOS BRUTOS'!$A$3:$A$500,$B24,'DADOS BRUTOS'!BW$3:BW$500)+IF($C24="",0,SUMIF('DADOS BRUTOS'!$A$3:$A$500,$C24,'DADOS BRUTOS'!BW$3:BW$500)))</f>
        <v/>
      </c>
      <c r="EX24" s="123">
        <f>IF(OR(EX$4="",$B24=""),0,SUMIF('DADOS BRUTOS'!$A$3:$A$500,$B24,'DADOS BRUTOS'!BX$3:BX$500)+IF($C24="",0,SUMIF('DADOS BRUTOS'!$A$3:$A$500,$C24,'DADOS BRUTOS'!BX$3:BX$500)))</f>
        <v/>
      </c>
      <c r="EY24" s="123">
        <f>IF(OR(EY$4="",$B24=""),0,SUMIF('DADOS BRUTOS'!$A$3:$A$500,$B24,'DADOS BRUTOS'!BY$3:BY$500)+IF($C24="",0,SUMIF('DADOS BRUTOS'!$A$3:$A$500,$C24,'DADOS BRUTOS'!BY$3:BY$500)))</f>
        <v/>
      </c>
      <c r="EZ24" s="123">
        <f>IF(OR(EZ$4="",$B24=""),0,SUMIF('DADOS BRUTOS'!$A$3:$A$500,$B24,'DADOS BRUTOS'!BZ$3:BZ$500)+IF($C24="",0,SUMIF('DADOS BRUTOS'!$A$3:$A$500,$C24,'DADOS BRUTOS'!BZ$3:BZ$500)))</f>
        <v/>
      </c>
      <c r="FA24" s="123">
        <f>IF(OR(FA$4="",$B24=""),0,SUMIF('DADOS BRUTOS'!$A$3:$A$500,$B24,'DADOS BRUTOS'!CA$3:CA$500)+IF($C24="",0,SUMIF('DADOS BRUTOS'!$A$3:$A$500,$C24,'DADOS BRUTOS'!CA$3:CA$500)))</f>
        <v/>
      </c>
      <c r="FB24" s="123">
        <f>IF(OR(FB$4="",$B24=""),0,SUMIF('DADOS BRUTOS'!$A$3:$A$500,$B24,'DADOS BRUTOS'!CB$3:CB$500)+IF($C24="",0,SUMIF('DADOS BRUTOS'!$A$3:$A$500,$C24,'DADOS BRUTOS'!CB$3:CB$500)))</f>
        <v/>
      </c>
      <c r="FC24" s="123">
        <f>IF(OR(FC$4="",$B24=""),0,SUMIF('DADOS BRUTOS'!$A$3:$A$500,$B24,'DADOS BRUTOS'!CC$3:CC$500)+IF($C24="",0,SUMIF('DADOS BRUTOS'!$A$3:$A$500,$C24,'DADOS BRUTOS'!CC$3:CC$500)))</f>
        <v/>
      </c>
      <c r="FD24" s="123">
        <f>IF(OR(FD$4="",$B24=""),0,SUMIF('DADOS BRUTOS'!$A$3:$A$500,$B24,'DADOS BRUTOS'!CD$3:CD$500)+IF($C24="",0,SUMIF('DADOS BRUTOS'!$A$3:$A$500,$C24,'DADOS BRUTOS'!CD$3:CD$500)))</f>
        <v/>
      </c>
      <c r="FE24" s="123">
        <f>IF(OR(FE$4="",$B24=""),0,SUMIF('DADOS BRUTOS'!$A$3:$A$500,$B24,'DADOS BRUTOS'!CE$3:CE$500)+IF($C24="",0,SUMIF('DADOS BRUTOS'!$A$3:$A$500,$C24,'DADOS BRUTOS'!CE$3:CE$500)))</f>
        <v/>
      </c>
      <c r="FF24" s="123">
        <f>IF(OR(FF$4="",$B24=""),0,SUMIF('DADOS BRUTOS'!$A$3:$A$500,$B24,'DADOS BRUTOS'!CF$3:CF$500)+IF($C24="",0,SUMIF('DADOS BRUTOS'!$A$3:$A$500,$C24,'DADOS BRUTOS'!CF$3:CF$500)))</f>
        <v/>
      </c>
      <c r="FG24" s="123">
        <f>IF(OR(FG$4="",$B24=""),0,SUMIF('DADOS BRUTOS'!$A$3:$A$500,$B24,'DADOS BRUTOS'!CG$3:CG$500)+IF($C24="",0,SUMIF('DADOS BRUTOS'!$A$3:$A$500,$C24,'DADOS BRUTOS'!CG$3:CG$500)))</f>
        <v/>
      </c>
      <c r="FH24" s="123">
        <f>IF(OR(FH$4="",$B24=""),0,SUMIF('DADOS BRUTOS'!$A$3:$A$500,$B24,'DADOS BRUTOS'!CH$3:CH$500)+IF($C24="",0,SUMIF('DADOS BRUTOS'!$A$3:$A$500,$C24,'DADOS BRUTOS'!CH$3:CH$500)))</f>
        <v/>
      </c>
      <c r="FI24" s="123">
        <f>IF(OR(FI$4="",$B24=""),0,SUMIF('DADOS BRUTOS'!$A$3:$A$500,$B24,'DADOS BRUTOS'!CI$3:CI$500)+IF($C24="",0,SUMIF('DADOS BRUTOS'!$A$3:$A$500,$C24,'DADOS BRUTOS'!CI$3:CI$500)))</f>
        <v/>
      </c>
      <c r="FJ24" s="123">
        <f>IF(OR(FJ$4="",$B24=""),0,SUMIF('DADOS BRUTOS'!$A$3:$A$500,$B24,'DADOS BRUTOS'!CJ$3:CJ$500)+IF($C24="",0,SUMIF('DADOS BRUTOS'!$A$3:$A$500,$C24,'DADOS BRUTOS'!CJ$3:CJ$500)))</f>
        <v/>
      </c>
      <c r="FK24" s="123">
        <f>IF(OR(FK$4="",$B24=""),0,SUMIF('DADOS BRUTOS'!$A$3:$A$500,$B24,'DADOS BRUTOS'!CK$3:CK$500)+IF($C24="",0,SUMIF('DADOS BRUTOS'!$A$3:$A$500,$C24,'DADOS BRUTOS'!CK$3:CK$500)))</f>
        <v/>
      </c>
      <c r="FL24" s="123">
        <f>IF(OR(FL$4="",$B24=""),0,SUMIF('DADOS BRUTOS'!$A$3:$A$500,$B24,'DADOS BRUTOS'!CL$3:CL$500)+IF($C24="",0,SUMIF('DADOS BRUTOS'!$A$3:$A$500,$C24,'DADOS BRUTOS'!CL$3:CL$500)))</f>
        <v/>
      </c>
      <c r="FM24" s="123">
        <f>IF(OR(FM$4="",$B24=""),0,SUMIF('DADOS BRUTOS'!$A$3:$A$500,$B24,'DADOS BRUTOS'!CM$3:CM$500)+IF($C24="",0,SUMIF('DADOS BRUTOS'!$A$3:$A$500,$C24,'DADOS BRUTOS'!CM$3:CM$500)))</f>
        <v/>
      </c>
      <c r="FN24" s="123">
        <f>IF(OR(FN$4="",$B24=""),0,SUMIF('DADOS BRUTOS'!$A$3:$A$500,$B24,'DADOS BRUTOS'!CN$3:CN$500)+IF($C24="",0,SUMIF('DADOS BRUTOS'!$A$3:$A$500,$C24,'DADOS BRUTOS'!CN$3:CN$500)))</f>
        <v/>
      </c>
      <c r="FO24" s="123">
        <f>IF(OR(FO$4="",$B24=""),0,SUMIF('DADOS BRUTOS'!$A$3:$A$500,$B24,'DADOS BRUTOS'!CO$3:CO$500)+IF($C24="",0,SUMIF('DADOS BRUTOS'!$A$3:$A$500,$C24,'DADOS BRUTOS'!CO$3:CO$500)))</f>
        <v/>
      </c>
      <c r="FP24" s="123">
        <f>IF(OR(FP$4="",$B24=""),0,SUMIF('DADOS BRUTOS'!$A$3:$A$500,$B24,'DADOS BRUTOS'!CP$3:CP$500)+IF($C24="",0,SUMIF('DADOS BRUTOS'!$A$3:$A$500,$C24,'DADOS BRUTOS'!CP$3:CP$500)))</f>
        <v/>
      </c>
      <c r="FQ24" s="123">
        <f>IF(OR(FQ$4="",$B24=""),0,SUMIF('DADOS BRUTOS'!$A$3:$A$500,$B24,'DADOS BRUTOS'!CQ$3:CQ$500)+IF($C24="",0,SUMIF('DADOS BRUTOS'!$A$3:$A$500,$C24,'DADOS BRUTOS'!CQ$3:CQ$500)))</f>
        <v/>
      </c>
      <c r="FR24" s="123">
        <f>IF(OR(FR$4="",$B24=""),0,SUMIF('DADOS BRUTOS'!$A$3:$A$500,$B24,'DADOS BRUTOS'!CR$3:CR$500)+IF($C24="",0,SUMIF('DADOS BRUTOS'!$A$3:$A$500,$C24,'DADOS BRUTOS'!CR$3:CR$500)))</f>
        <v/>
      </c>
      <c r="FS24" s="123">
        <f>IF(OR(FS$4="",$B24=""),0,SUMIF('DADOS BRUTOS'!$A$3:$A$500,$B24,'DADOS BRUTOS'!CS$3:CS$500)+IF($C24="",0,SUMIF('DADOS BRUTOS'!$A$3:$A$500,$C24,'DADOS BRUTOS'!CS$3:CS$500)))</f>
        <v/>
      </c>
      <c r="FT24" s="123">
        <f>IF(OR(FT$4="",$B24=""),0,SUMIF('DADOS BRUTOS'!$A$3:$A$500,$B24,'DADOS BRUTOS'!CT$3:CT$500)+IF($C24="",0,SUMIF('DADOS BRUTOS'!$A$3:$A$500,$C24,'DADOS BRUTOS'!CT$3:CT$500)))</f>
        <v/>
      </c>
      <c r="FU24" s="123">
        <f>IF(OR(FU$4="",$B24=""),0,SUMIF('DADOS BRUTOS'!$A$3:$A$500,$B24,'DADOS BRUTOS'!CU$3:CU$500)+IF($C24="",0,SUMIF('DADOS BRUTOS'!$A$3:$A$500,$C24,'DADOS BRUTOS'!CU$3:CU$500)))</f>
        <v/>
      </c>
      <c r="FV24" s="123">
        <f>IF(OR(FV$4="",$B24=""),0,SUMIF('DADOS BRUTOS'!$A$3:$A$500,$B24,'DADOS BRUTOS'!CV$3:CV$500)+IF($C24="",0,SUMIF('DADOS BRUTOS'!$A$3:$A$500,$C24,'DADOS BRUTOS'!CV$3:CV$500)))</f>
        <v/>
      </c>
      <c r="FW24" s="123">
        <f>IF(OR(FW$4="",$B24=""),0,SUMIF('DADOS BRUTOS'!$A$3:$A$500,$B24,'DADOS BRUTOS'!CW$3:CW$500)+IF($C24="",0,SUMIF('DADOS BRUTOS'!$A$3:$A$500,$C24,'DADOS BRUTOS'!CW$3:CW$500)))</f>
        <v/>
      </c>
      <c r="FX24" s="123">
        <f>IF(OR(FX$4="",$B24=""),0,SUMIF('DADOS BRUTOS'!$A$3:$A$500,$B24,'DADOS BRUTOS'!CX$3:CX$500)+IF($C24="",0,SUMIF('DADOS BRUTOS'!$A$3:$A$500,$C24,'DADOS BRUTOS'!CX$3:CX$500)))</f>
        <v/>
      </c>
      <c r="FY24" s="123">
        <f>IF(OR(FY$4="",$B24=""),0,SUMIF('DADOS BRUTOS'!$A$3:$A$500,$B24,'DADOS BRUTOS'!CY$3:CY$500)+IF($C24="",0,SUMIF('DADOS BRUTOS'!$A$3:$A$500,$C24,'DADOS BRUTOS'!CY$3:CY$500)))</f>
        <v/>
      </c>
      <c r="FZ24" s="123">
        <f>IF(OR(FZ$4="",$B24=""),0,SUMIF('DADOS BRUTOS'!$A$3:$A$500,$B24,'DADOS BRUTOS'!CZ$3:CZ$500)+IF($C24="",0,SUMIF('DADOS BRUTOS'!$A$3:$A$500,$C24,'DADOS BRUTOS'!CZ$3:CZ$500)))</f>
        <v/>
      </c>
      <c r="GA24" s="123">
        <f>IF(OR(GA$4="",$B24=""),0,SUMIF('DADOS BRUTOS'!$A$3:$A$500,$B24,'DADOS BRUTOS'!DA$3:DA$500)+IF($C24="",0,SUMIF('DADOS BRUTOS'!$A$3:$A$500,$C24,'DADOS BRUTOS'!DA$3:DA$500)))</f>
        <v/>
      </c>
      <c r="GB24" s="123">
        <f>IF(OR(GB$4="",$B24=""),0,SUMIF('DADOS BRUTOS'!$A$3:$A$500,$B24,'DADOS BRUTOS'!DB$3:DB$500)+IF($C24="",0,SUMIF('DADOS BRUTOS'!$A$3:$A$500,$C24,'DADOS BRUTOS'!DB$3:DB$500)))</f>
        <v/>
      </c>
      <c r="GC24" s="123">
        <f>IF(OR(GC$4="",$B24=""),0,SUMIF('DADOS BRUTOS'!$A$3:$A$500,$B24,'DADOS BRUTOS'!DC$3:DC$500)+IF($C24="",0,SUMIF('DADOS BRUTOS'!$A$3:$A$500,$C24,'DADOS BRUTOS'!DC$3:DC$500)))</f>
        <v/>
      </c>
      <c r="GD24" s="123">
        <f>IF(OR(GD$4="",$B24=""),0,SUMIF('DADOS BRUTOS'!$A$3:$A$500,$B24,'DADOS BRUTOS'!DD$3:DD$500)+IF($C24="",0,SUMIF('DADOS BRUTOS'!$A$3:$A$500,$C24,'DADOS BRUTOS'!DD$3:DD$500)))</f>
        <v/>
      </c>
      <c r="GE24" s="123">
        <f>IF(OR(GE$4="",$B24=""),0,SUMIF('DADOS BRUTOS'!$A$3:$A$500,$B24,'DADOS BRUTOS'!DE$3:DE$500)+IF($C24="",0,SUMIF('DADOS BRUTOS'!$A$3:$A$500,$C24,'DADOS BRUTOS'!DE$3:DE$500)))</f>
        <v/>
      </c>
      <c r="GF24" s="123">
        <f>IF(OR(GF$4="",$B24=""),0,SUMIF('DADOS BRUTOS'!$A$3:$A$500,$B24,'DADOS BRUTOS'!DF$3:DF$500)+IF($C24="",0,SUMIF('DADOS BRUTOS'!$A$3:$A$500,$C24,'DADOS BRUTOS'!DF$3:DF$500)))</f>
        <v/>
      </c>
      <c r="GG24" s="123">
        <f>IF(OR(GG$4="",$B24=""),0,SUMIF('DADOS BRUTOS'!$A$3:$A$500,$B24,'DADOS BRUTOS'!DG$3:DG$500)+IF($C24="",0,SUMIF('DADOS BRUTOS'!$A$3:$A$500,$C24,'DADOS BRUTOS'!DG$3:DG$500)))</f>
        <v/>
      </c>
      <c r="GH24" s="123">
        <f>IF(OR(GH$4="",$B24=""),0,SUMIF('DADOS BRUTOS'!$A$3:$A$500,$B24,'DADOS BRUTOS'!DH$3:DH$500)+IF($C24="",0,SUMIF('DADOS BRUTOS'!$A$3:$A$500,$C24,'DADOS BRUTOS'!DH$3:DH$500)))</f>
        <v/>
      </c>
      <c r="GI24" s="123">
        <f>IF(OR(GI$4="",$B24=""),0,SUMIF('DADOS BRUTOS'!$A$3:$A$500,$B24,'DADOS BRUTOS'!DI$3:DI$500)+IF($C24="",0,SUMIF('DADOS BRUTOS'!$A$3:$A$500,$C24,'DADOS BRUTOS'!DI$3:DI$500)))</f>
        <v/>
      </c>
      <c r="GJ24" s="123">
        <f>IF(OR(GJ$4="",$B24=""),0,SUMIF('DADOS BRUTOS'!$A$3:$A$500,$B24,'DADOS BRUTOS'!DJ$3:DJ$500)+IF($C24="",0,SUMIF('DADOS BRUTOS'!$A$3:$A$500,$C24,'DADOS BRUTOS'!DJ$3:DJ$500)))</f>
        <v/>
      </c>
      <c r="GK24" s="123">
        <f>IF(OR(GK$4="",$B24=""),0,SUMIF('DADOS BRUTOS'!$A$3:$A$500,$B24,'DADOS BRUTOS'!DK$3:DK$500)+IF($C24="",0,SUMIF('DADOS BRUTOS'!$A$3:$A$500,$C24,'DADOS BRUTOS'!DK$3:DK$500)))</f>
        <v/>
      </c>
      <c r="GL24" s="123">
        <f>IF(OR(GL$4="",$B24=""),0,SUMIF('DADOS BRUTOS'!$A$3:$A$500,$B24,'DADOS BRUTOS'!DL$3:DL$500)+IF($C24="",0,SUMIF('DADOS BRUTOS'!$A$3:$A$500,$C24,'DADOS BRUTOS'!DL$3:DL$500)))</f>
        <v/>
      </c>
      <c r="GM24" s="123">
        <f>IF(OR(GM$4="",$B24=""),0,SUMIF('DADOS BRUTOS'!$A$3:$A$500,$B24,'DADOS BRUTOS'!DM$3:DM$500)+IF($C24="",0,SUMIF('DADOS BRUTOS'!$A$3:$A$500,$C24,'DADOS BRUTOS'!DM$3:DM$500)))</f>
        <v/>
      </c>
      <c r="GN24" s="123">
        <f>IF(OR(GN$4="",$B24=""),0,SUMIF('DADOS BRUTOS'!$A$3:$A$500,$B24,'DADOS BRUTOS'!DN$3:DN$500)+IF($C24="",0,SUMIF('DADOS BRUTOS'!$A$3:$A$500,$C24,'DADOS BRUTOS'!DN$3:DN$500)))</f>
        <v/>
      </c>
      <c r="GO24" s="123">
        <f>IF(OR(GO$4="",$B24=""),0,SUMIF('DADOS BRUTOS'!$A$3:$A$500,$B24,'DADOS BRUTOS'!DO$3:DO$500)+IF($C24="",0,SUMIF('DADOS BRUTOS'!$A$3:$A$500,$C24,'DADOS BRUTOS'!DO$3:DO$500)))</f>
        <v/>
      </c>
      <c r="GP24" s="123">
        <f>IF(OR(GP$4="",$B24=""),0,SUMIF('DADOS BRUTOS'!$A$3:$A$500,$B24,'DADOS BRUTOS'!DP$3:DP$500)+IF($C24="",0,SUMIF('DADOS BRUTOS'!$A$3:$A$500,$C24,'DADOS BRUTOS'!DP$3:DP$500)))</f>
        <v/>
      </c>
      <c r="GQ24" s="123">
        <f>IF(OR(GQ$4="",$B24=""),0,SUMIF('DADOS BRUTOS'!$A$3:$A$500,$B24,'DADOS BRUTOS'!DQ$3:DQ$500)+IF($C24="",0,SUMIF('DADOS BRUTOS'!$A$3:$A$500,$C24,'DADOS BRUTOS'!DQ$3:DQ$500)))</f>
        <v/>
      </c>
      <c r="GR24" s="123">
        <f>IF(OR(GR$4="",$B24=""),0,SUMIF('DADOS BRUTOS'!$A$3:$A$500,$B24,'DADOS BRUTOS'!DR$3:DR$500)+IF($C24="",0,SUMIF('DADOS BRUTOS'!$A$3:$A$500,$C24,'DADOS BRUTOS'!DR$3:DR$500)))</f>
        <v/>
      </c>
      <c r="GS24" s="123">
        <f>IF(OR(GS$4="",$B24=""),0,SUMIF('DADOS BRUTOS'!$A$3:$A$500,$B24,'DADOS BRUTOS'!DS$3:DS$500)+IF($C24="",0,SUMIF('DADOS BRUTOS'!$A$3:$A$500,$C24,'DADOS BRUTOS'!DS$3:DS$500)))</f>
        <v/>
      </c>
      <c r="GT24" s="123">
        <f>IF(OR(GT$4="",$B24=""),0,SUMIF('DADOS BRUTOS'!$A$3:$A$500,$B24,'DADOS BRUTOS'!DT$3:DT$500)+IF($C24="",0,SUMIF('DADOS BRUTOS'!$A$3:$A$500,$C24,'DADOS BRUTOS'!DT$3:DT$500)))</f>
        <v/>
      </c>
      <c r="GU24" s="123">
        <f>IF(OR(GU$4="",$B24=""),0,SUMIF('DADOS BRUTOS'!$A$3:$A$500,$B24,'DADOS BRUTOS'!DU$3:DU$500)+IF($C24="",0,SUMIF('DADOS BRUTOS'!$A$3:$A$500,$C24,'DADOS BRUTOS'!DU$3:DU$500)))</f>
        <v/>
      </c>
      <c r="GV24" s="123">
        <f>IF(OR(GV$4="",$B24=""),0,SUMIF('DADOS BRUTOS'!$A$3:$A$500,$B24,'DADOS BRUTOS'!DV$3:DV$500)+IF($C24="",0,SUMIF('DADOS BRUTOS'!$A$3:$A$500,$C24,'DADOS BRUTOS'!DV$3:DV$500)))</f>
        <v/>
      </c>
      <c r="GW24" s="123">
        <f>IF(OR(GW$4="",$B24=""),0,SUMIF('DADOS BRUTOS'!$A$3:$A$500,$B24,'DADOS BRUTOS'!DW$3:DW$500)+IF($C24="",0,SUMIF('DADOS BRUTOS'!$A$3:$A$500,$C24,'DADOS BRUTOS'!DW$3:DW$500)))</f>
        <v/>
      </c>
      <c r="GX24" s="123">
        <f>IF(OR(GX$4="",$B24=""),0,SUMIF('DADOS BRUTOS'!$A$3:$A$500,$B24,'DADOS BRUTOS'!DX$3:DX$500)+IF($C24="",0,SUMIF('DADOS BRUTOS'!$A$3:$A$500,$C24,'DADOS BRUTOS'!DX$3:DX$500)))</f>
        <v/>
      </c>
      <c r="GY24" s="123">
        <f>IF(OR(GY$4="",$B24=""),0,SUMIF('DADOS BRUTOS'!$A$3:$A$500,$B24,'DADOS BRUTOS'!DY$3:DY$500)+IF($C24="",0,SUMIF('DADOS BRUTOS'!$A$3:$A$500,$C24,'DADOS BRUTOS'!DY$3:DY$500)))</f>
        <v/>
      </c>
      <c r="GZ24" s="123">
        <f>IF(OR(GZ$4="",$B24=""),0,SUMIF('DADOS BRUTOS'!$A$3:$A$500,$B24,'DADOS BRUTOS'!DZ$3:DZ$500)+IF($C24="",0,SUMIF('DADOS BRUTOS'!$A$3:$A$500,$C24,'DADOS BRUTOS'!DZ$3:DZ$500)))</f>
        <v/>
      </c>
      <c r="HA24" s="123">
        <f>IF(OR(HA$4="",$B24=""),0,SUMIF('DADOS BRUTOS'!$A$3:$A$500,$B24,'DADOS BRUTOS'!EA$3:EA$500)+IF($C24="",0,SUMIF('DADOS BRUTOS'!$A$3:$A$500,$C24,'DADOS BRUTOS'!EA$3:EA$500)))</f>
        <v/>
      </c>
      <c r="HB24" s="123">
        <f>IF(OR(HB$4="",$B24=""),0,SUMIF('DADOS BRUTOS'!$A$3:$A$500,$B24,'DADOS BRUTOS'!EB$3:EB$500)+IF($C24="",0,SUMIF('DADOS BRUTOS'!$A$3:$A$500,$C24,'DADOS BRUTOS'!EB$3:EB$500)))</f>
        <v/>
      </c>
      <c r="HC24" s="123">
        <f>IF(OR(HC$4="",$B24=""),0,SUMIF('DADOS BRUTOS'!$A$3:$A$500,$B24,'DADOS BRUTOS'!EC$3:EC$500)+IF($C24="",0,SUMIF('DADOS BRUTOS'!$A$3:$A$500,$C24,'DADOS BRUTOS'!EC$3:EC$500)))</f>
        <v/>
      </c>
      <c r="HD24" s="123">
        <f>IF(OR(HD$4="",$B24=""),0,SUMIF('DADOS BRUTOS'!$A$3:$A$500,$B24,'DADOS BRUTOS'!ED$3:ED$500)+IF($C24="",0,SUMIF('DADOS BRUTOS'!$A$3:$A$500,$C24,'DADOS BRUTOS'!ED$3:ED$500)))</f>
        <v/>
      </c>
      <c r="HE24" s="123">
        <f>IF(OR(HE$4="",$B24=""),0,SUMIF('DADOS BRUTOS'!$A$3:$A$500,$B24,'DADOS BRUTOS'!EE$3:EE$500)+IF($C24="",0,SUMIF('DADOS BRUTOS'!$A$3:$A$500,$C24,'DADOS BRUTOS'!EE$3:EE$500)))</f>
        <v/>
      </c>
      <c r="HF24" s="123">
        <f>IF(OR(HF$4="",$B24=""),0,SUMIF('DADOS BRUTOS'!$A$3:$A$500,$B24,'DADOS BRUTOS'!EF$3:EF$500)+IF($C24="",0,SUMIF('DADOS BRUTOS'!$A$3:$A$500,$C24,'DADOS BRUTOS'!EF$3:EF$500)))</f>
        <v/>
      </c>
      <c r="HG24" s="123">
        <f>IF(OR(HG$4="",$B24=""),0,SUMIF('DADOS BRUTOS'!$A$3:$A$500,$B24,'DADOS BRUTOS'!EG$3:EG$500)+IF($C24="",0,SUMIF('DADOS BRUTOS'!$A$3:$A$500,$C24,'DADOS BRUTOS'!EG$3:EG$500)))</f>
        <v/>
      </c>
      <c r="HH24" s="123">
        <f>IF(OR(HH$4="",$B24=""),0,SUMIF('DADOS BRUTOS'!$A$3:$A$500,$B24,'DADOS BRUTOS'!EH$3:EH$500)+IF($C24="",0,SUMIF('DADOS BRUTOS'!$A$3:$A$500,$C24,'DADOS BRUTOS'!EH$3:EH$500)))</f>
        <v/>
      </c>
      <c r="HI24" s="123">
        <f>IF(OR(HI$4="",$B24=""),0,SUMIF('DADOS BRUTOS'!$A$3:$A$500,$B24,'DADOS BRUTOS'!EI$3:EI$500)+IF($C24="",0,SUMIF('DADOS BRUTOS'!$A$3:$A$500,$C24,'DADOS BRUTOS'!EI$3:EI$500)))</f>
        <v/>
      </c>
      <c r="HJ24" s="123">
        <f>IF(OR(HJ$4="",$B24=""),0,SUMIF('DADOS BRUTOS'!$A$3:$A$500,$B24,'DADOS BRUTOS'!EJ$3:EJ$500)+IF($C24="",0,SUMIF('DADOS BRUTOS'!$A$3:$A$500,$C24,'DADOS BRUTOS'!EJ$3:EJ$500)))</f>
        <v/>
      </c>
      <c r="HK24" s="123">
        <f>IF(OR(HK$4="",$B24=""),0,SUMIF('DADOS BRUTOS'!$A$3:$A$500,$B24,'DADOS BRUTOS'!EK$3:EK$500)+IF($C24="",0,SUMIF('DADOS BRUTOS'!$A$3:$A$500,$C24,'DADOS BRUTOS'!EK$3:EK$500)))</f>
        <v/>
      </c>
      <c r="HL24" s="123">
        <f>IF(OR(HL$4="",$B24=""),0,SUMIF('DADOS BRUTOS'!$A$3:$A$500,$B24,'DADOS BRUTOS'!EL$3:EL$500)+IF($C24="",0,SUMIF('DADOS BRUTOS'!$A$3:$A$500,$C24,'DADOS BRUTOS'!EL$3:EL$500)))</f>
        <v/>
      </c>
      <c r="HM24" s="123">
        <f>IF(OR(HM$4="",$B24=""),0,SUMIF('DADOS BRUTOS'!$A$3:$A$500,$B24,'DADOS BRUTOS'!EM$3:EM$500)+IF($C24="",0,SUMIF('DADOS BRUTOS'!$A$3:$A$500,$C24,'DADOS BRUTOS'!EM$3:EM$500)))</f>
        <v/>
      </c>
      <c r="HN24" s="123">
        <f>IF(OR(HN$4="",$B24=""),0,SUMIF('DADOS BRUTOS'!$A$3:$A$500,$B24,'DADOS BRUTOS'!EN$3:EN$500)+IF($C24="",0,SUMIF('DADOS BRUTOS'!$A$3:$A$500,$C24,'DADOS BRUTOS'!EN$3:EN$500)))</f>
        <v/>
      </c>
      <c r="HO24" s="123">
        <f>IF(OR(HO$4="",$B24=""),0,SUMIF('DADOS BRUTOS'!$A$3:$A$500,$B24,'DADOS BRUTOS'!EO$3:EO$500)+IF($C24="",0,SUMIF('DADOS BRUTOS'!$A$3:$A$500,$C24,'DADOS BRUTOS'!EO$3:EO$500)))</f>
        <v/>
      </c>
      <c r="HP24" s="123">
        <f>IF(OR(HP$4="",$B24=""),0,SUMIF('DADOS BRUTOS'!$A$3:$A$500,$B24,'DADOS BRUTOS'!EP$3:EP$500)+IF($C24="",0,SUMIF('DADOS BRUTOS'!$A$3:$A$500,$C24,'DADOS BRUTOS'!EP$3:EP$500)))</f>
        <v/>
      </c>
      <c r="HQ24" s="123">
        <f>IF(OR(HQ$4="",$B24=""),0,SUMIF('DADOS BRUTOS'!$A$3:$A$500,$B24,'DADOS BRUTOS'!EQ$3:EQ$500)+IF($C24="",0,SUMIF('DADOS BRUTOS'!$A$3:$A$500,$C24,'DADOS BRUTOS'!EQ$3:EQ$500)))</f>
        <v/>
      </c>
      <c r="HR24" s="123">
        <f>IF(OR(HR$4="",$B24=""),0,SUMIF('DADOS BRUTOS'!$A$3:$A$500,$B24,'DADOS BRUTOS'!ER$3:ER$500)+IF($C24="",0,SUMIF('DADOS BRUTOS'!$A$3:$A$500,$C24,'DADOS BRUTOS'!ER$3:ER$500)))</f>
        <v/>
      </c>
      <c r="HS24" s="123">
        <f>IF(OR(HS$4="",$B24=""),0,SUMIF('DADOS BRUTOS'!$A$3:$A$500,$B24,'DADOS BRUTOS'!ES$3:ES$500)+IF($C24="",0,SUMIF('DADOS BRUTOS'!$A$3:$A$500,$C24,'DADOS BRUTOS'!ES$3:ES$500)))</f>
        <v/>
      </c>
      <c r="HT24" s="123">
        <f>IF(OR(HT$4="",$B24=""),0,SUMIF('DADOS BRUTOS'!$A$3:$A$500,$B24,'DADOS BRUTOS'!ET$3:ET$500)+IF($C24="",0,SUMIF('DADOS BRUTOS'!$A$3:$A$500,$C24,'DADOS BRUTOS'!ET$3:ET$500)))</f>
        <v/>
      </c>
      <c r="HU24" s="123">
        <f>IF(OR(HU$4="",$B24=""),0,SUMIF('DADOS BRUTOS'!$A$3:$A$500,$B24,'DADOS BRUTOS'!EU$3:EU$500)+IF($C24="",0,SUMIF('DADOS BRUTOS'!$A$3:$A$500,$C24,'DADOS BRUTOS'!EU$3:EU$500)))</f>
        <v/>
      </c>
      <c r="HV24" s="123">
        <f>IF(OR(HV$4="",$B24=""),0,SUMIF('DADOS BRUTOS'!$A$3:$A$500,$B24,'DADOS BRUTOS'!EV$3:EV$500)+IF($C24="",0,SUMIF('DADOS BRUTOS'!$A$3:$A$500,$C24,'DADOS BRUTOS'!EV$3:EV$500)))</f>
        <v/>
      </c>
      <c r="HW24" s="123">
        <f>IF(OR(HW$4="",$B24=""),0,SUMIF('DADOS BRUTOS'!$A$3:$A$500,$B24,'DADOS BRUTOS'!EW$3:EW$500)+IF($C24="",0,SUMIF('DADOS BRUTOS'!$A$3:$A$500,$C24,'DADOS BRUTOS'!EW$3:EW$500)))</f>
        <v/>
      </c>
      <c r="HX24" s="123">
        <f>IF(OR(HX$4="",$B24=""),0,SUMIF('DADOS BRUTOS'!$A$3:$A$500,$B24,'DADOS BRUTOS'!EX$3:EX$500)+IF($C24="",0,SUMIF('DADOS BRUTOS'!$A$3:$A$500,$C24,'DADOS BRUTOS'!EX$3:EX$500)))</f>
        <v/>
      </c>
      <c r="HY24" s="123">
        <f>IF(OR(HY$4="",$B24=""),0,SUMIF('DADOS BRUTOS'!$A$3:$A$500,$B24,'DADOS BRUTOS'!EY$3:EY$500)+IF($C24="",0,SUMIF('DADOS BRUTOS'!$A$3:$A$500,$C24,'DADOS BRUTOS'!EY$3:EY$500)))</f>
        <v/>
      </c>
      <c r="HZ24" s="123">
        <f>IF(OR(HZ$4="",$B24=""),0,SUMIF('DADOS BRUTOS'!$A$3:$A$500,$B24,'DADOS BRUTOS'!EZ$3:EZ$500)+IF($C24="",0,SUMIF('DADOS BRUTOS'!$A$3:$A$500,$C24,'DADOS BRUTOS'!EZ$3:EZ$500)))</f>
        <v/>
      </c>
      <c r="IA24" s="123">
        <f>IF(OR(IA$4="",$B24=""),0,SUMIF('DADOS BRUTOS'!$A$3:$A$500,$B24,'DADOS BRUTOS'!FA$3:FA$500)+IF($C24="",0,SUMIF('DADOS BRUTOS'!$A$3:$A$500,$C24,'DADOS BRUTOS'!FA$3:FA$500)))</f>
        <v/>
      </c>
      <c r="IB24" s="123">
        <f>IF(OR(IB$4="",$B24=""),0,SUMIF('DADOS BRUTOS'!$A$3:$A$500,$B24,'DADOS BRUTOS'!FB$3:FB$500)+IF($C24="",0,SUMIF('DADOS BRUTOS'!$A$3:$A$500,$C24,'DADOS BRUTOS'!FB$3:FB$500)))</f>
        <v/>
      </c>
      <c r="IC24" s="123">
        <f>IF(OR(IC$4="",$B24=""),0,SUMIF('DADOS BRUTOS'!$A$3:$A$500,$B24,'DADOS BRUTOS'!FC$3:FC$500)+IF($C24="",0,SUMIF('DADOS BRUTOS'!$A$3:$A$500,$C24,'DADOS BRUTOS'!FC$3:FC$500)))</f>
        <v/>
      </c>
      <c r="ID24" s="123">
        <f>IF(OR(ID$4="",$B24=""),0,SUMIF('DADOS BRUTOS'!$A$3:$A$500,$B24,'DADOS BRUTOS'!FD$3:FD$500)+IF($C24="",0,SUMIF('DADOS BRUTOS'!$A$3:$A$500,$C24,'DADOS BRUTOS'!FD$3:FD$500)))</f>
        <v/>
      </c>
      <c r="IE24" s="123">
        <f>IF(OR(IE$4="",$B24=""),0,SUMIF('DADOS BRUTOS'!$A$3:$A$500,$B24,'DADOS BRUTOS'!FE$3:FE$500)+IF($C24="",0,SUMIF('DADOS BRUTOS'!$A$3:$A$500,$C24,'DADOS BRUTOS'!FE$3:FE$500)))</f>
        <v/>
      </c>
      <c r="IF24" s="123">
        <f>IF(OR(IF$4="",$B24=""),0,SUMIF('DADOS BRUTOS'!$A$3:$A$500,$B24,'DADOS BRUTOS'!FF$3:FF$500)+IF($C24="",0,SUMIF('DADOS BRUTOS'!$A$3:$A$500,$C24,'DADOS BRUTOS'!FF$3:FF$500)))</f>
        <v/>
      </c>
      <c r="IG24" s="123">
        <f>IF(OR(IG$4="",$B24=""),0,SUMIF('DADOS BRUTOS'!$A$3:$A$500,$B24,'DADOS BRUTOS'!FG$3:FG$500)+IF($C24="",0,SUMIF('DADOS BRUTOS'!$A$3:$A$500,$C24,'DADOS BRUTOS'!FG$3:FG$500)))</f>
        <v/>
      </c>
      <c r="IH24" s="123">
        <f>IF(OR(IH$4="",$B24=""),0,SUMIF('DADOS BRUTOS'!$A$3:$A$500,$B24,'DADOS BRUTOS'!FH$3:FH$500)+IF($C24="",0,SUMIF('DADOS BRUTOS'!$A$3:$A$500,$C24,'DADOS BRUTOS'!FH$3:FH$500)))</f>
        <v/>
      </c>
      <c r="II24" s="123">
        <f>IF(OR(II$4="",$B24=""),0,SUMIF('DADOS BRUTOS'!$A$3:$A$500,$B24,'DADOS BRUTOS'!FI$3:FI$500)+IF($C24="",0,SUMIF('DADOS BRUTOS'!$A$3:$A$500,$C24,'DADOS BRUTOS'!FI$3:FI$500)))</f>
        <v/>
      </c>
      <c r="IJ24" s="123">
        <f>IF(OR(IJ$4="",$B24=""),0,SUMIF('DADOS BRUTOS'!$A$3:$A$500,$B24,'DADOS BRUTOS'!FJ$3:FJ$500)+IF($C24="",0,SUMIF('DADOS BRUTOS'!$A$3:$A$500,$C24,'DADOS BRUTOS'!FJ$3:FJ$500)))</f>
        <v/>
      </c>
      <c r="IK24" s="123">
        <f>IF(OR(IK$4="",$B24=""),0,SUMIF('DADOS BRUTOS'!$A$3:$A$500,$B24,'DADOS BRUTOS'!FK$3:FK$500)+IF($C24="",0,SUMIF('DADOS BRUTOS'!$A$3:$A$500,$C24,'DADOS BRUTOS'!FK$3:FK$500)))</f>
        <v/>
      </c>
      <c r="IL24" s="123">
        <f>IF(OR(IL$4="",$B24=""),0,SUMIF('DADOS BRUTOS'!$A$3:$A$500,$B24,'DADOS BRUTOS'!FL$3:FL$500)+IF($C24="",0,SUMIF('DADOS BRUTOS'!$A$3:$A$500,$C24,'DADOS BRUTOS'!FL$3:FL$500)))</f>
        <v/>
      </c>
      <c r="IM24" s="123">
        <f>IF(OR(IM$4="",$B24=""),0,SUMIF('DADOS BRUTOS'!$A$3:$A$500,$B24,'DADOS BRUTOS'!FM$3:FM$500)+IF($C24="",0,SUMIF('DADOS BRUTOS'!$A$3:$A$500,$C24,'DADOS BRUTOS'!FM$3:FM$500)))</f>
        <v/>
      </c>
      <c r="IN24" s="123">
        <f>IF(OR(IN$4="",$B24=""),0,SUMIF('DADOS BRUTOS'!$A$3:$A$500,$B24,'DADOS BRUTOS'!FN$3:FN$500)+IF($C24="",0,SUMIF('DADOS BRUTOS'!$A$3:$A$500,$C24,'DADOS BRUTOS'!FN$3:FN$500)))</f>
        <v/>
      </c>
      <c r="IO24" s="123">
        <f>IF(OR(IO$4="",$B24=""),0,SUMIF('DADOS BRUTOS'!$A$3:$A$500,$B24,'DADOS BRUTOS'!FO$3:FO$500)+IF($C24="",0,SUMIF('DADOS BRUTOS'!$A$3:$A$500,$C24,'DADOS BRUTOS'!FO$3:FO$500)))</f>
        <v/>
      </c>
      <c r="IP24" s="123">
        <f>IF(OR(IP$4="",$B24=""),0,SUMIF('DADOS BRUTOS'!$A$3:$A$500,$B24,'DADOS BRUTOS'!FP$3:FP$500)+IF($C24="",0,SUMIF('DADOS BRUTOS'!$A$3:$A$500,$C24,'DADOS BRUTOS'!FP$3:FP$500)))</f>
        <v/>
      </c>
      <c r="IQ24" s="123">
        <f>IF(OR(IQ$4="",$B24=""),0,SUMIF('DADOS BRUTOS'!$A$3:$A$500,$B24,'DADOS BRUTOS'!FQ$3:FQ$500)+IF($C24="",0,SUMIF('DADOS BRUTOS'!$A$3:$A$500,$C24,'DADOS BRUTOS'!FQ$3:FQ$500)))</f>
        <v/>
      </c>
      <c r="IR24" s="123">
        <f>IF(OR(IR$4="",$B24=""),0,SUMIF('DADOS BRUTOS'!$A$3:$A$500,$B24,'DADOS BRUTOS'!FR$3:FR$500)+IF($C24="",0,SUMIF('DADOS BRUTOS'!$A$3:$A$500,$C24,'DADOS BRUTOS'!FR$3:FR$500)))</f>
        <v/>
      </c>
      <c r="IS24" s="123">
        <f>IF(OR(IS$4="",$B24=""),0,SUMIF('DADOS BRUTOS'!$A$3:$A$500,$B24,'DADOS BRUTOS'!FS$3:FS$500)+IF($C24="",0,SUMIF('DADOS BRUTOS'!$A$3:$A$500,$C24,'DADOS BRUTOS'!FS$3:FS$500)))</f>
        <v/>
      </c>
      <c r="IT24" s="123">
        <f>IF(OR(IT$4="",$B24=""),0,SUMIF('DADOS BRUTOS'!$A$3:$A$500,$B24,'DADOS BRUTOS'!FT$3:FT$500)+IF($C24="",0,SUMIF('DADOS BRUTOS'!$A$3:$A$500,$C24,'DADOS BRUTOS'!FT$3:FT$500)))</f>
        <v/>
      </c>
      <c r="IU24" s="123">
        <f>IF(OR(IU$4="",$B24=""),0,SUMIF('DADOS BRUTOS'!$A$3:$A$500,$B24,'DADOS BRUTOS'!FU$3:FU$500)+IF($C24="",0,SUMIF('DADOS BRUTOS'!$A$3:$A$500,$C24,'DADOS BRUTOS'!FU$3:FU$500)))</f>
        <v/>
      </c>
      <c r="IV24" s="123">
        <f>IF(OR(IV$4="",$B24=""),0,SUMIF('DADOS BRUTOS'!$A$3:$A$500,$B24,'DADOS BRUTOS'!FV$3:FV$500)+IF($C24="",0,SUMIF('DADOS BRUTOS'!$A$3:$A$500,$C24,'DADOS BRUTOS'!FV$3:FV$500)))</f>
        <v/>
      </c>
      <c r="IW24" s="123">
        <f>IF(OR(IW$4="",$B24=""),0,SUMIF('DADOS BRUTOS'!$A$3:$A$500,$B24,'DADOS BRUTOS'!FW$3:FW$500)+IF($C24="",0,SUMIF('DADOS BRUTOS'!$A$3:$A$500,$C24,'DADOS BRUTOS'!FW$3:FW$500)))</f>
        <v/>
      </c>
      <c r="IX24" s="123">
        <f>IF(OR(IX$4="",$B24=""),0,SUMIF('DADOS BRUTOS'!$A$3:$A$500,$B24,'DADOS BRUTOS'!FX$3:FX$500)+IF($C24="",0,SUMIF('DADOS BRUTOS'!$A$3:$A$500,$C24,'DADOS BRUTOS'!FX$3:FX$500)))</f>
        <v/>
      </c>
      <c r="IY24" s="123">
        <f>IF(OR(IY$4="",$B24=""),0,SUMIF('DADOS BRUTOS'!$A$3:$A$500,$B24,'DADOS BRUTOS'!FY$3:FY$500)+IF($C24="",0,SUMIF('DADOS BRUTOS'!$A$3:$A$500,$C24,'DADOS BRUTOS'!FY$3:FY$500)))</f>
        <v/>
      </c>
      <c r="IZ24" s="123">
        <f>IF(OR(IZ$4="",$B24=""),0,SUMIF('DADOS BRUTOS'!$A$3:$A$500,$B24,'DADOS BRUTOS'!FZ$3:FZ$500)+IF($C24="",0,SUMIF('DADOS BRUTOS'!$A$3:$A$500,$C24,'DADOS BRUTOS'!FZ$3:FZ$500)))</f>
        <v/>
      </c>
      <c r="JA24" s="123">
        <f>IF(OR(JA$4="",$B24=""),0,SUMIF('DADOS BRUTOS'!$A$3:$A$500,$B24,'DADOS BRUTOS'!GA$3:GA$500)+IF($C24="",0,SUMIF('DADOS BRUTOS'!$A$3:$A$500,$C24,'DADOS BRUTOS'!GA$3:GA$500)))</f>
        <v/>
      </c>
      <c r="JB24" s="123">
        <f>IF(OR(JB$4="",$B24=""),0,SUMIF('DADOS BRUTOS'!$A$3:$A$500,$B24,'DADOS BRUTOS'!GB$3:GB$500)+IF($C24="",0,SUMIF('DADOS BRUTOS'!$A$3:$A$500,$C24,'DADOS BRUTOS'!GB$3:GB$500)))</f>
        <v/>
      </c>
      <c r="JC24" s="123">
        <f>IF(OR(JC$4="",$B24=""),0,SUMIF('DADOS BRUTOS'!$A$3:$A$500,$B24,'DADOS BRUTOS'!GC$3:GC$500)+IF($C24="",0,SUMIF('DADOS BRUTOS'!$A$3:$A$500,$C24,'DADOS BRUTOS'!GC$3:GC$500)))</f>
        <v/>
      </c>
      <c r="JD24" s="123">
        <f>IF(OR(JD$4="",$B24=""),0,SUMIF('DADOS BRUTOS'!$A$3:$A$500,$B24,'DADOS BRUTOS'!GD$3:GD$500)+IF($C24="",0,SUMIF('DADOS BRUTOS'!$A$3:$A$500,$C24,'DADOS BRUTOS'!GD$3:GD$500)))</f>
        <v/>
      </c>
      <c r="JE24" s="123">
        <f>IF(OR(JE$4="",$B24=""),0,SUMIF('DADOS BRUTOS'!$A$3:$A$500,$B24,'DADOS BRUTOS'!GE$3:GE$500)+IF($C24="",0,SUMIF('DADOS BRUTOS'!$A$3:$A$500,$C24,'DADOS BRUTOS'!GE$3:GE$500)))</f>
        <v/>
      </c>
      <c r="JF24" s="123">
        <f>IF(OR(JF$4="",$B24=""),0,SUMIF('DADOS BRUTOS'!$A$3:$A$500,$B24,'DADOS BRUTOS'!GF$3:GF$500)+IF($C24="",0,SUMIF('DADOS BRUTOS'!$A$3:$A$500,$C24,'DADOS BRUTOS'!GF$3:GF$500)))</f>
        <v/>
      </c>
      <c r="JG24" s="123">
        <f>IF(OR(JG$4="",$B24=""),0,SUMIF('DADOS BRUTOS'!$A$3:$A$500,$B24,'DADOS BRUTOS'!GG$3:GG$500)+IF($C24="",0,SUMIF('DADOS BRUTOS'!$A$3:$A$500,$C24,'DADOS BRUTOS'!GG$3:GG$500)))</f>
        <v/>
      </c>
      <c r="JH24" s="123">
        <f>IF(OR(JH$4="",$B24=""),0,SUMIF('DADOS BRUTOS'!$A$3:$A$500,$B24,'DADOS BRUTOS'!GH$3:GH$500)+IF($C24="",0,SUMIF('DADOS BRUTOS'!$A$3:$A$500,$C24,'DADOS BRUTOS'!GH$3:GH$500)))</f>
        <v/>
      </c>
      <c r="JI24" s="123">
        <f>IF(OR(JI$4="",$B24=""),0,SUMIF('DADOS BRUTOS'!$A$3:$A$500,$B24,'DADOS BRUTOS'!GI$3:GI$500)+IF($C24="",0,SUMIF('DADOS BRUTOS'!$A$3:$A$500,$C24,'DADOS BRUTOS'!GI$3:GI$500)))</f>
        <v/>
      </c>
      <c r="JJ24" s="123">
        <f>IF(OR(JJ$4="",$B24=""),0,SUMIF('DADOS BRUTOS'!$A$3:$A$500,$B24,'DADOS BRUTOS'!GJ$3:GJ$500)+IF($C24="",0,SUMIF('DADOS BRUTOS'!$A$3:$A$500,$C24,'DADOS BRUTOS'!GJ$3:GJ$500)))</f>
        <v/>
      </c>
      <c r="JK24" s="123">
        <f>IF(OR(JK$4="",$B24=""),0,SUMIF('DADOS BRUTOS'!$A$3:$A$500,$B24,'DADOS BRUTOS'!GK$3:GK$500)+IF($C24="",0,SUMIF('DADOS BRUTOS'!$A$3:$A$500,$C24,'DADOS BRUTOS'!GK$3:GK$500)))</f>
        <v/>
      </c>
      <c r="JL24" s="123">
        <f>IF(OR(JL$4="",$B24=""),0,SUMIF('DADOS BRUTOS'!$A$3:$A$500,$B24,'DADOS BRUTOS'!GL$3:GL$500)+IF($C24="",0,SUMIF('DADOS BRUTOS'!$A$3:$A$500,$C24,'DADOS BRUTOS'!GL$3:GL$500)))</f>
        <v/>
      </c>
      <c r="JM24" s="123">
        <f>IF(OR(JM$4="",$B24=""),0,SUMIF('DADOS BRUTOS'!$A$3:$A$500,$B24,'DADOS BRUTOS'!GM$3:GM$500)+IF($C24="",0,SUMIF('DADOS BRUTOS'!$A$3:$A$500,$C24,'DADOS BRUTOS'!GM$3:GM$500)))</f>
        <v/>
      </c>
      <c r="JN24" s="123">
        <f>IF(OR(JN$4="",$B24=""),0,SUMIF('DADOS BRUTOS'!$A$3:$A$500,$B24,'DADOS BRUTOS'!GN$3:GN$500)+IF($C24="",0,SUMIF('DADOS BRUTOS'!$A$3:$A$500,$C24,'DADOS BRUTOS'!GN$3:GN$500)))</f>
        <v/>
      </c>
      <c r="JO24" s="123">
        <f>IF(OR(JO$4="",$B24=""),0,SUMIF('DADOS BRUTOS'!$A$3:$A$500,$B24,'DADOS BRUTOS'!GO$3:GO$500)+IF($C24="",0,SUMIF('DADOS BRUTOS'!$A$3:$A$500,$C24,'DADOS BRUTOS'!GO$3:GO$500)))</f>
        <v/>
      </c>
      <c r="JP24" s="123">
        <f>IF(OR(JP$4="",$B24=""),0,SUMIF('DADOS BRUTOS'!$A$3:$A$500,$B24,'DADOS BRUTOS'!GP$3:GP$500)+IF($C24="",0,SUMIF('DADOS BRUTOS'!$A$3:$A$500,$C24,'DADOS BRUTOS'!GP$3:GP$500)))</f>
        <v/>
      </c>
      <c r="JQ24" s="123">
        <f>IF(OR(JQ$4="",$B24=""),0,SUMIF('DADOS BRUTOS'!$A$3:$A$500,$B24,'DADOS BRUTOS'!GQ$3:GQ$500)+IF($C24="",0,SUMIF('DADOS BRUTOS'!$A$3:$A$500,$C24,'DADOS BRUTOS'!GQ$3:GQ$500)))</f>
        <v/>
      </c>
      <c r="JR24" s="123">
        <f>IF(OR(JR$4="",$B24=""),0,SUMIF('DADOS BRUTOS'!$A$3:$A$500,$B24,'DADOS BRUTOS'!GR$3:GR$500)+IF($C24="",0,SUMIF('DADOS BRUTOS'!$A$3:$A$500,$C24,'DADOS BRUTOS'!GR$3:GR$500)))</f>
        <v/>
      </c>
      <c r="JS24" s="123">
        <f>IF(OR(JS$4="",$B24=""),0,SUMIF('DADOS BRUTOS'!$A$3:$A$500,$B24,'DADOS BRUTOS'!GS$3:GS$500)+IF($C24="",0,SUMIF('DADOS BRUTOS'!$A$3:$A$500,$C24,'DADOS BRUTOS'!GS$3:GS$500)))</f>
        <v/>
      </c>
    </row>
    <row r="25">
      <c r="A25" s="60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CB25" s="123">
        <f>IF(OR(CB$4="",$B25=""),0,SUMIF('DADOS BRUTOS'!$A$3:$A$500,$B25,'DADOS BRUTOS'!B$3:B$500)+IF($C25="",0,SUMIF('DADOS BRUTOS'!$A$3:$A$500,$C25,'DADOS BRUTOS'!B$3:B$500)))</f>
        <v/>
      </c>
      <c r="CC25" s="123">
        <f>IF(OR(CC$4="",$B25=""),0,SUMIF('DADOS BRUTOS'!$A$3:$A$500,$B25,'DADOS BRUTOS'!C$3:C$500)+IF($C25="",0,SUMIF('DADOS BRUTOS'!$A$3:$A$500,$C25,'DADOS BRUTOS'!C$3:C$500)))</f>
        <v/>
      </c>
      <c r="CD25" s="123">
        <f>IF(OR(CD$4="",$B25=""),0,SUMIF('DADOS BRUTOS'!$A$3:$A$500,$B25,'DADOS BRUTOS'!D$3:D$500)+IF($C25="",0,SUMIF('DADOS BRUTOS'!$A$3:$A$500,$C25,'DADOS BRUTOS'!D$3:D$500)))</f>
        <v/>
      </c>
      <c r="CE25" s="123">
        <f>IF(OR(CE$4="",$B25=""),0,SUMIF('DADOS BRUTOS'!$A$3:$A$500,$B25,'DADOS BRUTOS'!E$3:E$500)+IF($C25="",0,SUMIF('DADOS BRUTOS'!$A$3:$A$500,$C25,'DADOS BRUTOS'!E$3:E$500)))</f>
        <v/>
      </c>
      <c r="CF25" s="123">
        <f>IF(OR(CF$4="",$B25=""),0,SUMIF('DADOS BRUTOS'!$A$3:$A$500,$B25,'DADOS BRUTOS'!F$3:F$500)+IF($C25="",0,SUMIF('DADOS BRUTOS'!$A$3:$A$500,$C25,'DADOS BRUTOS'!F$3:F$500)))</f>
        <v/>
      </c>
      <c r="CG25" s="123">
        <f>IF(OR(CG$4="",$B25=""),0,SUMIF('DADOS BRUTOS'!$A$3:$A$500,$B25,'DADOS BRUTOS'!G$3:G$500)+IF($C25="",0,SUMIF('DADOS BRUTOS'!$A$3:$A$500,$C25,'DADOS BRUTOS'!G$3:G$500)))</f>
        <v/>
      </c>
      <c r="CH25" s="123">
        <f>IF(OR(CH$4="",$B25=""),0,SUMIF('DADOS BRUTOS'!$A$3:$A$500,$B25,'DADOS BRUTOS'!H$3:H$500)+IF($C25="",0,SUMIF('DADOS BRUTOS'!$A$3:$A$500,$C25,'DADOS BRUTOS'!H$3:H$500)))</f>
        <v/>
      </c>
      <c r="CI25" s="123">
        <f>IF(OR(CI$4="",$B25=""),0,SUMIF('DADOS BRUTOS'!$A$3:$A$500,$B25,'DADOS BRUTOS'!I$3:I$500)+IF($C25="",0,SUMIF('DADOS BRUTOS'!$A$3:$A$500,$C25,'DADOS BRUTOS'!I$3:I$500)))</f>
        <v/>
      </c>
      <c r="CJ25" s="123">
        <f>IF(OR(CJ$4="",$B25=""),0,SUMIF('DADOS BRUTOS'!$A$3:$A$500,$B25,'DADOS BRUTOS'!J$3:J$500)+IF($C25="",0,SUMIF('DADOS BRUTOS'!$A$3:$A$500,$C25,'DADOS BRUTOS'!J$3:J$500)))</f>
        <v/>
      </c>
      <c r="CK25" s="123">
        <f>IF(OR(CK$4="",$B25=""),0,SUMIF('DADOS BRUTOS'!$A$3:$A$500,$B25,'DADOS BRUTOS'!K$3:K$500)+IF($C25="",0,SUMIF('DADOS BRUTOS'!$A$3:$A$500,$C25,'DADOS BRUTOS'!K$3:K$500)))</f>
        <v/>
      </c>
      <c r="CL25" s="123">
        <f>IF(OR(CL$4="",$B25=""),0,SUMIF('DADOS BRUTOS'!$A$3:$A$500,$B25,'DADOS BRUTOS'!L$3:L$500)+IF($C25="",0,SUMIF('DADOS BRUTOS'!$A$3:$A$500,$C25,'DADOS BRUTOS'!L$3:L$500)))</f>
        <v/>
      </c>
      <c r="CM25" s="123">
        <f>IF(OR(CM$4="",$B25=""),0,SUMIF('DADOS BRUTOS'!$A$3:$A$500,$B25,'DADOS BRUTOS'!M$3:M$500)+IF($C25="",0,SUMIF('DADOS BRUTOS'!$A$3:$A$500,$C25,'DADOS BRUTOS'!M$3:M$500)))</f>
        <v/>
      </c>
      <c r="CN25" s="123">
        <f>IF(OR(CN$4="",$B25=""),0,SUMIF('DADOS BRUTOS'!$A$3:$A$500,$B25,'DADOS BRUTOS'!N$3:N$500)+IF($C25="",0,SUMIF('DADOS BRUTOS'!$A$3:$A$500,$C25,'DADOS BRUTOS'!N$3:N$500)))</f>
        <v/>
      </c>
      <c r="CO25" s="123">
        <f>IF(OR(CO$4="",$B25=""),0,SUMIF('DADOS BRUTOS'!$A$3:$A$500,$B25,'DADOS BRUTOS'!O$3:O$500)+IF($C25="",0,SUMIF('DADOS BRUTOS'!$A$3:$A$500,$C25,'DADOS BRUTOS'!O$3:O$500)))</f>
        <v/>
      </c>
      <c r="CP25" s="123">
        <f>IF(OR(CP$4="",$B25=""),0,SUMIF('DADOS BRUTOS'!$A$3:$A$500,$B25,'DADOS BRUTOS'!P$3:P$500)+IF($C25="",0,SUMIF('DADOS BRUTOS'!$A$3:$A$500,$C25,'DADOS BRUTOS'!P$3:P$500)))</f>
        <v/>
      </c>
      <c r="CQ25" s="123">
        <f>IF(OR(CQ$4="",$B25=""),0,SUMIF('DADOS BRUTOS'!$A$3:$A$500,$B25,'DADOS BRUTOS'!Q$3:Q$500)+IF($C25="",0,SUMIF('DADOS BRUTOS'!$A$3:$A$500,$C25,'DADOS BRUTOS'!Q$3:Q$500)))</f>
        <v/>
      </c>
      <c r="CR25" s="123">
        <f>IF(OR(CR$4="",$B25=""),0,SUMIF('DADOS BRUTOS'!$A$3:$A$500,$B25,'DADOS BRUTOS'!R$3:R$500)+IF($C25="",0,SUMIF('DADOS BRUTOS'!$A$3:$A$500,$C25,'DADOS BRUTOS'!R$3:R$500)))</f>
        <v/>
      </c>
      <c r="CS25" s="123">
        <f>IF(OR(CS$4="",$B25=""),0,SUMIF('DADOS BRUTOS'!$A$3:$A$500,$B25,'DADOS BRUTOS'!S$3:S$500)+IF($C25="",0,SUMIF('DADOS BRUTOS'!$A$3:$A$500,$C25,'DADOS BRUTOS'!S$3:S$500)))</f>
        <v/>
      </c>
      <c r="CT25" s="123">
        <f>IF(OR(CT$4="",$B25=""),0,SUMIF('DADOS BRUTOS'!$A$3:$A$500,$B25,'DADOS BRUTOS'!T$3:T$500)+IF($C25="",0,SUMIF('DADOS BRUTOS'!$A$3:$A$500,$C25,'DADOS BRUTOS'!T$3:T$500)))</f>
        <v/>
      </c>
      <c r="CU25" s="123">
        <f>IF(OR(CU$4="",$B25=""),0,SUMIF('DADOS BRUTOS'!$A$3:$A$500,$B25,'DADOS BRUTOS'!U$3:U$500)+IF($C25="",0,SUMIF('DADOS BRUTOS'!$A$3:$A$500,$C25,'DADOS BRUTOS'!U$3:U$500)))</f>
        <v/>
      </c>
      <c r="CV25" s="123">
        <f>IF(OR(CV$4="",$B25=""),0,SUMIF('DADOS BRUTOS'!$A$3:$A$500,$B25,'DADOS BRUTOS'!V$3:V$500)+IF($C25="",0,SUMIF('DADOS BRUTOS'!$A$3:$A$500,$C25,'DADOS BRUTOS'!V$3:V$500)))</f>
        <v/>
      </c>
      <c r="CW25" s="123">
        <f>IF(OR(CW$4="",$B25=""),0,SUMIF('DADOS BRUTOS'!$A$3:$A$500,$B25,'DADOS BRUTOS'!W$3:W$500)+IF($C25="",0,SUMIF('DADOS BRUTOS'!$A$3:$A$500,$C25,'DADOS BRUTOS'!W$3:W$500)))</f>
        <v/>
      </c>
      <c r="CX25" s="123">
        <f>IF(OR(CX$4="",$B25=""),0,SUMIF('DADOS BRUTOS'!$A$3:$A$500,$B25,'DADOS BRUTOS'!X$3:X$500)+IF($C25="",0,SUMIF('DADOS BRUTOS'!$A$3:$A$500,$C25,'DADOS BRUTOS'!X$3:X$500)))</f>
        <v/>
      </c>
      <c r="CY25" s="123">
        <f>IF(OR(CY$4="",$B25=""),0,SUMIF('DADOS BRUTOS'!$A$3:$A$500,$B25,'DADOS BRUTOS'!Y$3:Y$500)+IF($C25="",0,SUMIF('DADOS BRUTOS'!$A$3:$A$500,$C25,'DADOS BRUTOS'!Y$3:Y$500)))</f>
        <v/>
      </c>
      <c r="CZ25" s="123">
        <f>IF(OR(CZ$4="",$B25=""),0,SUMIF('DADOS BRUTOS'!$A$3:$A$500,$B25,'DADOS BRUTOS'!Z$3:Z$500)+IF($C25="",0,SUMIF('DADOS BRUTOS'!$A$3:$A$500,$C25,'DADOS BRUTOS'!Z$3:Z$500)))</f>
        <v/>
      </c>
      <c r="DA25" s="123">
        <f>IF(OR(DA$4="",$B25=""),0,SUMIF('DADOS BRUTOS'!$A$3:$A$500,$B25,'DADOS BRUTOS'!AA$3:AA$500)+IF($C25="",0,SUMIF('DADOS BRUTOS'!$A$3:$A$500,$C25,'DADOS BRUTOS'!AA$3:AA$500)))</f>
        <v/>
      </c>
      <c r="DB25" s="123">
        <f>IF(OR(DB$4="",$B25=""),0,SUMIF('DADOS BRUTOS'!$A$3:$A$500,$B25,'DADOS BRUTOS'!AB$3:AB$500)+IF($C25="",0,SUMIF('DADOS BRUTOS'!$A$3:$A$500,$C25,'DADOS BRUTOS'!AB$3:AB$500)))</f>
        <v/>
      </c>
      <c r="DC25" s="123">
        <f>IF(OR(DC$4="",$B25=""),0,SUMIF('DADOS BRUTOS'!$A$3:$A$500,$B25,'DADOS BRUTOS'!AC$3:AC$500)+IF($C25="",0,SUMIF('DADOS BRUTOS'!$A$3:$A$500,$C25,'DADOS BRUTOS'!AC$3:AC$500)))</f>
        <v/>
      </c>
      <c r="DD25" s="123">
        <f>IF(OR(DD$4="",$B25=""),0,SUMIF('DADOS BRUTOS'!$A$3:$A$500,$B25,'DADOS BRUTOS'!AD$3:AD$500)+IF($C25="",0,SUMIF('DADOS BRUTOS'!$A$3:$A$500,$C25,'DADOS BRUTOS'!AD$3:AD$500)))</f>
        <v/>
      </c>
      <c r="DE25" s="123">
        <f>IF(OR(DE$4="",$B25=""),0,SUMIF('DADOS BRUTOS'!$A$3:$A$500,$B25,'DADOS BRUTOS'!AE$3:AE$500)+IF($C25="",0,SUMIF('DADOS BRUTOS'!$A$3:$A$500,$C25,'DADOS BRUTOS'!AE$3:AE$500)))</f>
        <v/>
      </c>
      <c r="DF25" s="123">
        <f>IF(OR(DF$4="",$B25=""),0,SUMIF('DADOS BRUTOS'!$A$3:$A$500,$B25,'DADOS BRUTOS'!AF$3:AF$500)+IF($C25="",0,SUMIF('DADOS BRUTOS'!$A$3:$A$500,$C25,'DADOS BRUTOS'!AF$3:AF$500)))</f>
        <v/>
      </c>
      <c r="DG25" s="123">
        <f>IF(OR(DG$4="",$B25=""),0,SUMIF('DADOS BRUTOS'!$A$3:$A$500,$B25,'DADOS BRUTOS'!AG$3:AG$500)+IF($C25="",0,SUMIF('DADOS BRUTOS'!$A$3:$A$500,$C25,'DADOS BRUTOS'!AG$3:AG$500)))</f>
        <v/>
      </c>
      <c r="DH25" s="123">
        <f>IF(OR(DH$4="",$B25=""),0,SUMIF('DADOS BRUTOS'!$A$3:$A$500,$B25,'DADOS BRUTOS'!AH$3:AH$500)+IF($C25="",0,SUMIF('DADOS BRUTOS'!$A$3:$A$500,$C25,'DADOS BRUTOS'!AH$3:AH$500)))</f>
        <v/>
      </c>
      <c r="DI25" s="123">
        <f>IF(OR(DI$4="",$B25=""),0,SUMIF('DADOS BRUTOS'!$A$3:$A$500,$B25,'DADOS BRUTOS'!AI$3:AI$500)+IF($C25="",0,SUMIF('DADOS BRUTOS'!$A$3:$A$500,$C25,'DADOS BRUTOS'!AI$3:AI$500)))</f>
        <v/>
      </c>
      <c r="DJ25" s="123">
        <f>IF(OR(DJ$4="",$B25=""),0,SUMIF('DADOS BRUTOS'!$A$3:$A$500,$B25,'DADOS BRUTOS'!AJ$3:AJ$500)+IF($C25="",0,SUMIF('DADOS BRUTOS'!$A$3:$A$500,$C25,'DADOS BRUTOS'!AJ$3:AJ$500)))</f>
        <v/>
      </c>
      <c r="DK25" s="123">
        <f>IF(OR(DK$4="",$B25=""),0,SUMIF('DADOS BRUTOS'!$A$3:$A$500,$B25,'DADOS BRUTOS'!AK$3:AK$500)+IF($C25="",0,SUMIF('DADOS BRUTOS'!$A$3:$A$500,$C25,'DADOS BRUTOS'!AK$3:AK$500)))</f>
        <v/>
      </c>
      <c r="DL25" s="123">
        <f>IF(OR(DL$4="",$B25=""),0,SUMIF('DADOS BRUTOS'!$A$3:$A$500,$B25,'DADOS BRUTOS'!AL$3:AL$500)+IF($C25="",0,SUMIF('DADOS BRUTOS'!$A$3:$A$500,$C25,'DADOS BRUTOS'!AL$3:AL$500)))</f>
        <v/>
      </c>
      <c r="DM25" s="123">
        <f>IF(OR(DM$4="",$B25=""),0,SUMIF('DADOS BRUTOS'!$A$3:$A$500,$B25,'DADOS BRUTOS'!AM$3:AM$500)+IF($C25="",0,SUMIF('DADOS BRUTOS'!$A$3:$A$500,$C25,'DADOS BRUTOS'!AM$3:AM$500)))</f>
        <v/>
      </c>
      <c r="DN25" s="123">
        <f>IF(OR(DN$4="",$B25=""),0,SUMIF('DADOS BRUTOS'!$A$3:$A$500,$B25,'DADOS BRUTOS'!AN$3:AN$500)+IF($C25="",0,SUMIF('DADOS BRUTOS'!$A$3:$A$500,$C25,'DADOS BRUTOS'!AN$3:AN$500)))</f>
        <v/>
      </c>
      <c r="DO25" s="123">
        <f>IF(OR(DO$4="",$B25=""),0,SUMIF('DADOS BRUTOS'!$A$3:$A$500,$B25,'DADOS BRUTOS'!AO$3:AO$500)+IF($C25="",0,SUMIF('DADOS BRUTOS'!$A$3:$A$500,$C25,'DADOS BRUTOS'!AO$3:AO$500)))</f>
        <v/>
      </c>
      <c r="DP25" s="123">
        <f>IF(OR(DP$4="",$B25=""),0,SUMIF('DADOS BRUTOS'!$A$3:$A$500,$B25,'DADOS BRUTOS'!AP$3:AP$500)+IF($C25="",0,SUMIF('DADOS BRUTOS'!$A$3:$A$500,$C25,'DADOS BRUTOS'!AP$3:AP$500)))</f>
        <v/>
      </c>
      <c r="DQ25" s="123">
        <f>IF(OR(DQ$4="",$B25=""),0,SUMIF('DADOS BRUTOS'!$A$3:$A$500,$B25,'DADOS BRUTOS'!AQ$3:AQ$500)+IF($C25="",0,SUMIF('DADOS BRUTOS'!$A$3:$A$500,$C25,'DADOS BRUTOS'!AQ$3:AQ$500)))</f>
        <v/>
      </c>
      <c r="DR25" s="123">
        <f>IF(OR(DR$4="",$B25=""),0,SUMIF('DADOS BRUTOS'!$A$3:$A$500,$B25,'DADOS BRUTOS'!AR$3:AR$500)+IF($C25="",0,SUMIF('DADOS BRUTOS'!$A$3:$A$500,$C25,'DADOS BRUTOS'!AR$3:AR$500)))</f>
        <v/>
      </c>
      <c r="DS25" s="123">
        <f>IF(OR(DS$4="",$B25=""),0,SUMIF('DADOS BRUTOS'!$A$3:$A$500,$B25,'DADOS BRUTOS'!AS$3:AS$500)+IF($C25="",0,SUMIF('DADOS BRUTOS'!$A$3:$A$500,$C25,'DADOS BRUTOS'!AS$3:AS$500)))</f>
        <v/>
      </c>
      <c r="DT25" s="123">
        <f>IF(OR(DT$4="",$B25=""),0,SUMIF('DADOS BRUTOS'!$A$3:$A$500,$B25,'DADOS BRUTOS'!AT$3:AT$500)+IF($C25="",0,SUMIF('DADOS BRUTOS'!$A$3:$A$500,$C25,'DADOS BRUTOS'!AT$3:AT$500)))</f>
        <v/>
      </c>
      <c r="DU25" s="123">
        <f>IF(OR(DU$4="",$B25=""),0,SUMIF('DADOS BRUTOS'!$A$3:$A$500,$B25,'DADOS BRUTOS'!AU$3:AU$500)+IF($C25="",0,SUMIF('DADOS BRUTOS'!$A$3:$A$500,$C25,'DADOS BRUTOS'!AU$3:AU$500)))</f>
        <v/>
      </c>
      <c r="DV25" s="123">
        <f>IF(OR(DV$4="",$B25=""),0,SUMIF('DADOS BRUTOS'!$A$3:$A$500,$B25,'DADOS BRUTOS'!AV$3:AV$500)+IF($C25="",0,SUMIF('DADOS BRUTOS'!$A$3:$A$500,$C25,'DADOS BRUTOS'!AV$3:AV$500)))</f>
        <v/>
      </c>
      <c r="DW25" s="123">
        <f>IF(OR(DW$4="",$B25=""),0,SUMIF('DADOS BRUTOS'!$A$3:$A$500,$B25,'DADOS BRUTOS'!AW$3:AW$500)+IF($C25="",0,SUMIF('DADOS BRUTOS'!$A$3:$A$500,$C25,'DADOS BRUTOS'!AW$3:AW$500)))</f>
        <v/>
      </c>
      <c r="DX25" s="123">
        <f>IF(OR(DX$4="",$B25=""),0,SUMIF('DADOS BRUTOS'!$A$3:$A$500,$B25,'DADOS BRUTOS'!AX$3:AX$500)+IF($C25="",0,SUMIF('DADOS BRUTOS'!$A$3:$A$500,$C25,'DADOS BRUTOS'!AX$3:AX$500)))</f>
        <v/>
      </c>
      <c r="DY25" s="123">
        <f>IF(OR(DY$4="",$B25=""),0,SUMIF('DADOS BRUTOS'!$A$3:$A$500,$B25,'DADOS BRUTOS'!AY$3:AY$500)+IF($C25="",0,SUMIF('DADOS BRUTOS'!$A$3:$A$500,$C25,'DADOS BRUTOS'!AY$3:AY$500)))</f>
        <v/>
      </c>
      <c r="DZ25" s="123">
        <f>IF(OR(DZ$4="",$B25=""),0,SUMIF('DADOS BRUTOS'!$A$3:$A$500,$B25,'DADOS BRUTOS'!AZ$3:AZ$500)+IF($C25="",0,SUMIF('DADOS BRUTOS'!$A$3:$A$500,$C25,'DADOS BRUTOS'!AZ$3:AZ$500)))</f>
        <v/>
      </c>
      <c r="EA25" s="123">
        <f>IF(OR(EA$4="",$B25=""),0,SUMIF('DADOS BRUTOS'!$A$3:$A$500,$B25,'DADOS BRUTOS'!BA$3:BA$500)+IF($C25="",0,SUMIF('DADOS BRUTOS'!$A$3:$A$500,$C25,'DADOS BRUTOS'!BA$3:BA$500)))</f>
        <v/>
      </c>
      <c r="EB25" s="123">
        <f>IF(OR(EB$4="",$B25=""),0,SUMIF('DADOS BRUTOS'!$A$3:$A$500,$B25,'DADOS BRUTOS'!BB$3:BB$500)+IF($C25="",0,SUMIF('DADOS BRUTOS'!$A$3:$A$500,$C25,'DADOS BRUTOS'!BB$3:BB$500)))</f>
        <v/>
      </c>
      <c r="EC25" s="123">
        <f>IF(OR(EC$4="",$B25=""),0,SUMIF('DADOS BRUTOS'!$A$3:$A$500,$B25,'DADOS BRUTOS'!BC$3:BC$500)+IF($C25="",0,SUMIF('DADOS BRUTOS'!$A$3:$A$500,$C25,'DADOS BRUTOS'!BC$3:BC$500)))</f>
        <v/>
      </c>
      <c r="ED25" s="123">
        <f>IF(OR(ED$4="",$B25=""),0,SUMIF('DADOS BRUTOS'!$A$3:$A$500,$B25,'DADOS BRUTOS'!BD$3:BD$500)+IF($C25="",0,SUMIF('DADOS BRUTOS'!$A$3:$A$500,$C25,'DADOS BRUTOS'!BD$3:BD$500)))</f>
        <v/>
      </c>
      <c r="EE25" s="123">
        <f>IF(OR(EE$4="",$B25=""),0,SUMIF('DADOS BRUTOS'!$A$3:$A$500,$B25,'DADOS BRUTOS'!BE$3:BE$500)+IF($C25="",0,SUMIF('DADOS BRUTOS'!$A$3:$A$500,$C25,'DADOS BRUTOS'!BE$3:BE$500)))</f>
        <v/>
      </c>
      <c r="EF25" s="123">
        <f>IF(OR(EF$4="",$B25=""),0,SUMIF('DADOS BRUTOS'!$A$3:$A$500,$B25,'DADOS BRUTOS'!BF$3:BF$500)+IF($C25="",0,SUMIF('DADOS BRUTOS'!$A$3:$A$500,$C25,'DADOS BRUTOS'!BF$3:BF$500)))</f>
        <v/>
      </c>
      <c r="EG25" s="123">
        <f>IF(OR(EG$4="",$B25=""),0,SUMIF('DADOS BRUTOS'!$A$3:$A$500,$B25,'DADOS BRUTOS'!BG$3:BG$500)+IF($C25="",0,SUMIF('DADOS BRUTOS'!$A$3:$A$500,$C25,'DADOS BRUTOS'!BG$3:BG$500)))</f>
        <v/>
      </c>
      <c r="EH25" s="123">
        <f>IF(OR(EH$4="",$B25=""),0,SUMIF('DADOS BRUTOS'!$A$3:$A$500,$B25,'DADOS BRUTOS'!BH$3:BH$500)+IF($C25="",0,SUMIF('DADOS BRUTOS'!$A$3:$A$500,$C25,'DADOS BRUTOS'!BH$3:BH$500)))</f>
        <v/>
      </c>
      <c r="EI25" s="123">
        <f>IF(OR(EI$4="",$B25=""),0,SUMIF('DADOS BRUTOS'!$A$3:$A$500,$B25,'DADOS BRUTOS'!BI$3:BI$500)+IF($C25="",0,SUMIF('DADOS BRUTOS'!$A$3:$A$500,$C25,'DADOS BRUTOS'!BI$3:BI$500)))</f>
        <v/>
      </c>
      <c r="EJ25" s="123">
        <f>IF(OR(EJ$4="",$B25=""),0,SUMIF('DADOS BRUTOS'!$A$3:$A$500,$B25,'DADOS BRUTOS'!BJ$3:BJ$500)+IF($C25="",0,SUMIF('DADOS BRUTOS'!$A$3:$A$500,$C25,'DADOS BRUTOS'!BJ$3:BJ$500)))</f>
        <v/>
      </c>
      <c r="EK25" s="123">
        <f>IF(OR(EK$4="",$B25=""),0,SUMIF('DADOS BRUTOS'!$A$3:$A$500,$B25,'DADOS BRUTOS'!BK$3:BK$500)+IF($C25="",0,SUMIF('DADOS BRUTOS'!$A$3:$A$500,$C25,'DADOS BRUTOS'!BK$3:BK$500)))</f>
        <v/>
      </c>
      <c r="EL25" s="123">
        <f>IF(OR(EL$4="",$B25=""),0,SUMIF('DADOS BRUTOS'!$A$3:$A$500,$B25,'DADOS BRUTOS'!BL$3:BL$500)+IF($C25="",0,SUMIF('DADOS BRUTOS'!$A$3:$A$500,$C25,'DADOS BRUTOS'!BL$3:BL$500)))</f>
        <v/>
      </c>
      <c r="EM25" s="123">
        <f>IF(OR(EM$4="",$B25=""),0,SUMIF('DADOS BRUTOS'!$A$3:$A$500,$B25,'DADOS BRUTOS'!BM$3:BM$500)+IF($C25="",0,SUMIF('DADOS BRUTOS'!$A$3:$A$500,$C25,'DADOS BRUTOS'!BM$3:BM$500)))</f>
        <v/>
      </c>
      <c r="EN25" s="123">
        <f>IF(OR(EN$4="",$B25=""),0,SUMIF('DADOS BRUTOS'!$A$3:$A$500,$B25,'DADOS BRUTOS'!BN$3:BN$500)+IF($C25="",0,SUMIF('DADOS BRUTOS'!$A$3:$A$500,$C25,'DADOS BRUTOS'!BN$3:BN$500)))</f>
        <v/>
      </c>
      <c r="EO25" s="123">
        <f>IF(OR(EO$4="",$B25=""),0,SUMIF('DADOS BRUTOS'!$A$3:$A$500,$B25,'DADOS BRUTOS'!BO$3:BO$500)+IF($C25="",0,SUMIF('DADOS BRUTOS'!$A$3:$A$500,$C25,'DADOS BRUTOS'!BO$3:BO$500)))</f>
        <v/>
      </c>
      <c r="EP25" s="123">
        <f>IF(OR(EP$4="",$B25=""),0,SUMIF('DADOS BRUTOS'!$A$3:$A$500,$B25,'DADOS BRUTOS'!BP$3:BP$500)+IF($C25="",0,SUMIF('DADOS BRUTOS'!$A$3:$A$500,$C25,'DADOS BRUTOS'!BP$3:BP$500)))</f>
        <v/>
      </c>
      <c r="EQ25" s="123">
        <f>IF(OR(EQ$4="",$B25=""),0,SUMIF('DADOS BRUTOS'!$A$3:$A$500,$B25,'DADOS BRUTOS'!BQ$3:BQ$500)+IF($C25="",0,SUMIF('DADOS BRUTOS'!$A$3:$A$500,$C25,'DADOS BRUTOS'!BQ$3:BQ$500)))</f>
        <v/>
      </c>
      <c r="ER25" s="123">
        <f>IF(OR(ER$4="",$B25=""),0,SUMIF('DADOS BRUTOS'!$A$3:$A$500,$B25,'DADOS BRUTOS'!BR$3:BR$500)+IF($C25="",0,SUMIF('DADOS BRUTOS'!$A$3:$A$500,$C25,'DADOS BRUTOS'!BR$3:BR$500)))</f>
        <v/>
      </c>
      <c r="ES25" s="123">
        <f>IF(OR(ES$4="",$B25=""),0,SUMIF('DADOS BRUTOS'!$A$3:$A$500,$B25,'DADOS BRUTOS'!BS$3:BS$500)+IF($C25="",0,SUMIF('DADOS BRUTOS'!$A$3:$A$500,$C25,'DADOS BRUTOS'!BS$3:BS$500)))</f>
        <v/>
      </c>
      <c r="ET25" s="123">
        <f>IF(OR(ET$4="",$B25=""),0,SUMIF('DADOS BRUTOS'!$A$3:$A$500,$B25,'DADOS BRUTOS'!BT$3:BT$500)+IF($C25="",0,SUMIF('DADOS BRUTOS'!$A$3:$A$500,$C25,'DADOS BRUTOS'!BT$3:BT$500)))</f>
        <v/>
      </c>
      <c r="EU25" s="123">
        <f>IF(OR(EU$4="",$B25=""),0,SUMIF('DADOS BRUTOS'!$A$3:$A$500,$B25,'DADOS BRUTOS'!BU$3:BU$500)+IF($C25="",0,SUMIF('DADOS BRUTOS'!$A$3:$A$500,$C25,'DADOS BRUTOS'!BU$3:BU$500)))</f>
        <v/>
      </c>
      <c r="EV25" s="123">
        <f>IF(OR(EV$4="",$B25=""),0,SUMIF('DADOS BRUTOS'!$A$3:$A$500,$B25,'DADOS BRUTOS'!BV$3:BV$500)+IF($C25="",0,SUMIF('DADOS BRUTOS'!$A$3:$A$500,$C25,'DADOS BRUTOS'!BV$3:BV$500)))</f>
        <v/>
      </c>
      <c r="EW25" s="123">
        <f>IF(OR(EW$4="",$B25=""),0,SUMIF('DADOS BRUTOS'!$A$3:$A$500,$B25,'DADOS BRUTOS'!BW$3:BW$500)+IF($C25="",0,SUMIF('DADOS BRUTOS'!$A$3:$A$500,$C25,'DADOS BRUTOS'!BW$3:BW$500)))</f>
        <v/>
      </c>
      <c r="EX25" s="123">
        <f>IF(OR(EX$4="",$B25=""),0,SUMIF('DADOS BRUTOS'!$A$3:$A$500,$B25,'DADOS BRUTOS'!BX$3:BX$500)+IF($C25="",0,SUMIF('DADOS BRUTOS'!$A$3:$A$500,$C25,'DADOS BRUTOS'!BX$3:BX$500)))</f>
        <v/>
      </c>
      <c r="EY25" s="123">
        <f>IF(OR(EY$4="",$B25=""),0,SUMIF('DADOS BRUTOS'!$A$3:$A$500,$B25,'DADOS BRUTOS'!BY$3:BY$500)+IF($C25="",0,SUMIF('DADOS BRUTOS'!$A$3:$A$500,$C25,'DADOS BRUTOS'!BY$3:BY$500)))</f>
        <v/>
      </c>
      <c r="EZ25" s="123">
        <f>IF(OR(EZ$4="",$B25=""),0,SUMIF('DADOS BRUTOS'!$A$3:$A$500,$B25,'DADOS BRUTOS'!BZ$3:BZ$500)+IF($C25="",0,SUMIF('DADOS BRUTOS'!$A$3:$A$500,$C25,'DADOS BRUTOS'!BZ$3:BZ$500)))</f>
        <v/>
      </c>
      <c r="FA25" s="123">
        <f>IF(OR(FA$4="",$B25=""),0,SUMIF('DADOS BRUTOS'!$A$3:$A$500,$B25,'DADOS BRUTOS'!CA$3:CA$500)+IF($C25="",0,SUMIF('DADOS BRUTOS'!$A$3:$A$500,$C25,'DADOS BRUTOS'!CA$3:CA$500)))</f>
        <v/>
      </c>
      <c r="FB25" s="123">
        <f>IF(OR(FB$4="",$B25=""),0,SUMIF('DADOS BRUTOS'!$A$3:$A$500,$B25,'DADOS BRUTOS'!CB$3:CB$500)+IF($C25="",0,SUMIF('DADOS BRUTOS'!$A$3:$A$500,$C25,'DADOS BRUTOS'!CB$3:CB$500)))</f>
        <v/>
      </c>
      <c r="FC25" s="123">
        <f>IF(OR(FC$4="",$B25=""),0,SUMIF('DADOS BRUTOS'!$A$3:$A$500,$B25,'DADOS BRUTOS'!CC$3:CC$500)+IF($C25="",0,SUMIF('DADOS BRUTOS'!$A$3:$A$500,$C25,'DADOS BRUTOS'!CC$3:CC$500)))</f>
        <v/>
      </c>
      <c r="FD25" s="123">
        <f>IF(OR(FD$4="",$B25=""),0,SUMIF('DADOS BRUTOS'!$A$3:$A$500,$B25,'DADOS BRUTOS'!CD$3:CD$500)+IF($C25="",0,SUMIF('DADOS BRUTOS'!$A$3:$A$500,$C25,'DADOS BRUTOS'!CD$3:CD$500)))</f>
        <v/>
      </c>
      <c r="FE25" s="123">
        <f>IF(OR(FE$4="",$B25=""),0,SUMIF('DADOS BRUTOS'!$A$3:$A$500,$B25,'DADOS BRUTOS'!CE$3:CE$500)+IF($C25="",0,SUMIF('DADOS BRUTOS'!$A$3:$A$500,$C25,'DADOS BRUTOS'!CE$3:CE$500)))</f>
        <v/>
      </c>
      <c r="FF25" s="123">
        <f>IF(OR(FF$4="",$B25=""),0,SUMIF('DADOS BRUTOS'!$A$3:$A$500,$B25,'DADOS BRUTOS'!CF$3:CF$500)+IF($C25="",0,SUMIF('DADOS BRUTOS'!$A$3:$A$500,$C25,'DADOS BRUTOS'!CF$3:CF$500)))</f>
        <v/>
      </c>
      <c r="FG25" s="123">
        <f>IF(OR(FG$4="",$B25=""),0,SUMIF('DADOS BRUTOS'!$A$3:$A$500,$B25,'DADOS BRUTOS'!CG$3:CG$500)+IF($C25="",0,SUMIF('DADOS BRUTOS'!$A$3:$A$500,$C25,'DADOS BRUTOS'!CG$3:CG$500)))</f>
        <v/>
      </c>
      <c r="FH25" s="123">
        <f>IF(OR(FH$4="",$B25=""),0,SUMIF('DADOS BRUTOS'!$A$3:$A$500,$B25,'DADOS BRUTOS'!CH$3:CH$500)+IF($C25="",0,SUMIF('DADOS BRUTOS'!$A$3:$A$500,$C25,'DADOS BRUTOS'!CH$3:CH$500)))</f>
        <v/>
      </c>
      <c r="FI25" s="123">
        <f>IF(OR(FI$4="",$B25=""),0,SUMIF('DADOS BRUTOS'!$A$3:$A$500,$B25,'DADOS BRUTOS'!CI$3:CI$500)+IF($C25="",0,SUMIF('DADOS BRUTOS'!$A$3:$A$500,$C25,'DADOS BRUTOS'!CI$3:CI$500)))</f>
        <v/>
      </c>
      <c r="FJ25" s="123">
        <f>IF(OR(FJ$4="",$B25=""),0,SUMIF('DADOS BRUTOS'!$A$3:$A$500,$B25,'DADOS BRUTOS'!CJ$3:CJ$500)+IF($C25="",0,SUMIF('DADOS BRUTOS'!$A$3:$A$500,$C25,'DADOS BRUTOS'!CJ$3:CJ$500)))</f>
        <v/>
      </c>
      <c r="FK25" s="123">
        <f>IF(OR(FK$4="",$B25=""),0,SUMIF('DADOS BRUTOS'!$A$3:$A$500,$B25,'DADOS BRUTOS'!CK$3:CK$500)+IF($C25="",0,SUMIF('DADOS BRUTOS'!$A$3:$A$500,$C25,'DADOS BRUTOS'!CK$3:CK$500)))</f>
        <v/>
      </c>
      <c r="FL25" s="123">
        <f>IF(OR(FL$4="",$B25=""),0,SUMIF('DADOS BRUTOS'!$A$3:$A$500,$B25,'DADOS BRUTOS'!CL$3:CL$500)+IF($C25="",0,SUMIF('DADOS BRUTOS'!$A$3:$A$500,$C25,'DADOS BRUTOS'!CL$3:CL$500)))</f>
        <v/>
      </c>
      <c r="FM25" s="123">
        <f>IF(OR(FM$4="",$B25=""),0,SUMIF('DADOS BRUTOS'!$A$3:$A$500,$B25,'DADOS BRUTOS'!CM$3:CM$500)+IF($C25="",0,SUMIF('DADOS BRUTOS'!$A$3:$A$500,$C25,'DADOS BRUTOS'!CM$3:CM$500)))</f>
        <v/>
      </c>
      <c r="FN25" s="123">
        <f>IF(OR(FN$4="",$B25=""),0,SUMIF('DADOS BRUTOS'!$A$3:$A$500,$B25,'DADOS BRUTOS'!CN$3:CN$500)+IF($C25="",0,SUMIF('DADOS BRUTOS'!$A$3:$A$500,$C25,'DADOS BRUTOS'!CN$3:CN$500)))</f>
        <v/>
      </c>
      <c r="FO25" s="123">
        <f>IF(OR(FO$4="",$B25=""),0,SUMIF('DADOS BRUTOS'!$A$3:$A$500,$B25,'DADOS BRUTOS'!CO$3:CO$500)+IF($C25="",0,SUMIF('DADOS BRUTOS'!$A$3:$A$500,$C25,'DADOS BRUTOS'!CO$3:CO$500)))</f>
        <v/>
      </c>
      <c r="FP25" s="123">
        <f>IF(OR(FP$4="",$B25=""),0,SUMIF('DADOS BRUTOS'!$A$3:$A$500,$B25,'DADOS BRUTOS'!CP$3:CP$500)+IF($C25="",0,SUMIF('DADOS BRUTOS'!$A$3:$A$500,$C25,'DADOS BRUTOS'!CP$3:CP$500)))</f>
        <v/>
      </c>
      <c r="FQ25" s="123">
        <f>IF(OR(FQ$4="",$B25=""),0,SUMIF('DADOS BRUTOS'!$A$3:$A$500,$B25,'DADOS BRUTOS'!CQ$3:CQ$500)+IF($C25="",0,SUMIF('DADOS BRUTOS'!$A$3:$A$500,$C25,'DADOS BRUTOS'!CQ$3:CQ$500)))</f>
        <v/>
      </c>
      <c r="FR25" s="123">
        <f>IF(OR(FR$4="",$B25=""),0,SUMIF('DADOS BRUTOS'!$A$3:$A$500,$B25,'DADOS BRUTOS'!CR$3:CR$500)+IF($C25="",0,SUMIF('DADOS BRUTOS'!$A$3:$A$500,$C25,'DADOS BRUTOS'!CR$3:CR$500)))</f>
        <v/>
      </c>
      <c r="FS25" s="123">
        <f>IF(OR(FS$4="",$B25=""),0,SUMIF('DADOS BRUTOS'!$A$3:$A$500,$B25,'DADOS BRUTOS'!CS$3:CS$500)+IF($C25="",0,SUMIF('DADOS BRUTOS'!$A$3:$A$500,$C25,'DADOS BRUTOS'!CS$3:CS$500)))</f>
        <v/>
      </c>
      <c r="FT25" s="123">
        <f>IF(OR(FT$4="",$B25=""),0,SUMIF('DADOS BRUTOS'!$A$3:$A$500,$B25,'DADOS BRUTOS'!CT$3:CT$500)+IF($C25="",0,SUMIF('DADOS BRUTOS'!$A$3:$A$500,$C25,'DADOS BRUTOS'!CT$3:CT$500)))</f>
        <v/>
      </c>
      <c r="FU25" s="123">
        <f>IF(OR(FU$4="",$B25=""),0,SUMIF('DADOS BRUTOS'!$A$3:$A$500,$B25,'DADOS BRUTOS'!CU$3:CU$500)+IF($C25="",0,SUMIF('DADOS BRUTOS'!$A$3:$A$500,$C25,'DADOS BRUTOS'!CU$3:CU$500)))</f>
        <v/>
      </c>
      <c r="FV25" s="123">
        <f>IF(OR(FV$4="",$B25=""),0,SUMIF('DADOS BRUTOS'!$A$3:$A$500,$B25,'DADOS BRUTOS'!CV$3:CV$500)+IF($C25="",0,SUMIF('DADOS BRUTOS'!$A$3:$A$500,$C25,'DADOS BRUTOS'!CV$3:CV$500)))</f>
        <v/>
      </c>
      <c r="FW25" s="123">
        <f>IF(OR(FW$4="",$B25=""),0,SUMIF('DADOS BRUTOS'!$A$3:$A$500,$B25,'DADOS BRUTOS'!CW$3:CW$500)+IF($C25="",0,SUMIF('DADOS BRUTOS'!$A$3:$A$500,$C25,'DADOS BRUTOS'!CW$3:CW$500)))</f>
        <v/>
      </c>
      <c r="FX25" s="123">
        <f>IF(OR(FX$4="",$B25=""),0,SUMIF('DADOS BRUTOS'!$A$3:$A$500,$B25,'DADOS BRUTOS'!CX$3:CX$500)+IF($C25="",0,SUMIF('DADOS BRUTOS'!$A$3:$A$500,$C25,'DADOS BRUTOS'!CX$3:CX$500)))</f>
        <v/>
      </c>
      <c r="FY25" s="123">
        <f>IF(OR(FY$4="",$B25=""),0,SUMIF('DADOS BRUTOS'!$A$3:$A$500,$B25,'DADOS BRUTOS'!CY$3:CY$500)+IF($C25="",0,SUMIF('DADOS BRUTOS'!$A$3:$A$500,$C25,'DADOS BRUTOS'!CY$3:CY$500)))</f>
        <v/>
      </c>
      <c r="FZ25" s="123">
        <f>IF(OR(FZ$4="",$B25=""),0,SUMIF('DADOS BRUTOS'!$A$3:$A$500,$B25,'DADOS BRUTOS'!CZ$3:CZ$500)+IF($C25="",0,SUMIF('DADOS BRUTOS'!$A$3:$A$500,$C25,'DADOS BRUTOS'!CZ$3:CZ$500)))</f>
        <v/>
      </c>
      <c r="GA25" s="123">
        <f>IF(OR(GA$4="",$B25=""),0,SUMIF('DADOS BRUTOS'!$A$3:$A$500,$B25,'DADOS BRUTOS'!DA$3:DA$500)+IF($C25="",0,SUMIF('DADOS BRUTOS'!$A$3:$A$500,$C25,'DADOS BRUTOS'!DA$3:DA$500)))</f>
        <v/>
      </c>
      <c r="GB25" s="123">
        <f>IF(OR(GB$4="",$B25=""),0,SUMIF('DADOS BRUTOS'!$A$3:$A$500,$B25,'DADOS BRUTOS'!DB$3:DB$500)+IF($C25="",0,SUMIF('DADOS BRUTOS'!$A$3:$A$500,$C25,'DADOS BRUTOS'!DB$3:DB$500)))</f>
        <v/>
      </c>
      <c r="GC25" s="123">
        <f>IF(OR(GC$4="",$B25=""),0,SUMIF('DADOS BRUTOS'!$A$3:$A$500,$B25,'DADOS BRUTOS'!DC$3:DC$500)+IF($C25="",0,SUMIF('DADOS BRUTOS'!$A$3:$A$500,$C25,'DADOS BRUTOS'!DC$3:DC$500)))</f>
        <v/>
      </c>
      <c r="GD25" s="123">
        <f>IF(OR(GD$4="",$B25=""),0,SUMIF('DADOS BRUTOS'!$A$3:$A$500,$B25,'DADOS BRUTOS'!DD$3:DD$500)+IF($C25="",0,SUMIF('DADOS BRUTOS'!$A$3:$A$500,$C25,'DADOS BRUTOS'!DD$3:DD$500)))</f>
        <v/>
      </c>
      <c r="GE25" s="123">
        <f>IF(OR(GE$4="",$B25=""),0,SUMIF('DADOS BRUTOS'!$A$3:$A$500,$B25,'DADOS BRUTOS'!DE$3:DE$500)+IF($C25="",0,SUMIF('DADOS BRUTOS'!$A$3:$A$500,$C25,'DADOS BRUTOS'!DE$3:DE$500)))</f>
        <v/>
      </c>
      <c r="GF25" s="123">
        <f>IF(OR(GF$4="",$B25=""),0,SUMIF('DADOS BRUTOS'!$A$3:$A$500,$B25,'DADOS BRUTOS'!DF$3:DF$500)+IF($C25="",0,SUMIF('DADOS BRUTOS'!$A$3:$A$500,$C25,'DADOS BRUTOS'!DF$3:DF$500)))</f>
        <v/>
      </c>
      <c r="GG25" s="123">
        <f>IF(OR(GG$4="",$B25=""),0,SUMIF('DADOS BRUTOS'!$A$3:$A$500,$B25,'DADOS BRUTOS'!DG$3:DG$500)+IF($C25="",0,SUMIF('DADOS BRUTOS'!$A$3:$A$500,$C25,'DADOS BRUTOS'!DG$3:DG$500)))</f>
        <v/>
      </c>
      <c r="GH25" s="123">
        <f>IF(OR(GH$4="",$B25=""),0,SUMIF('DADOS BRUTOS'!$A$3:$A$500,$B25,'DADOS BRUTOS'!DH$3:DH$500)+IF($C25="",0,SUMIF('DADOS BRUTOS'!$A$3:$A$500,$C25,'DADOS BRUTOS'!DH$3:DH$500)))</f>
        <v/>
      </c>
      <c r="GI25" s="123">
        <f>IF(OR(GI$4="",$B25=""),0,SUMIF('DADOS BRUTOS'!$A$3:$A$500,$B25,'DADOS BRUTOS'!DI$3:DI$500)+IF($C25="",0,SUMIF('DADOS BRUTOS'!$A$3:$A$500,$C25,'DADOS BRUTOS'!DI$3:DI$500)))</f>
        <v/>
      </c>
      <c r="GJ25" s="123">
        <f>IF(OR(GJ$4="",$B25=""),0,SUMIF('DADOS BRUTOS'!$A$3:$A$500,$B25,'DADOS BRUTOS'!DJ$3:DJ$500)+IF($C25="",0,SUMIF('DADOS BRUTOS'!$A$3:$A$500,$C25,'DADOS BRUTOS'!DJ$3:DJ$500)))</f>
        <v/>
      </c>
      <c r="GK25" s="123">
        <f>IF(OR(GK$4="",$B25=""),0,SUMIF('DADOS BRUTOS'!$A$3:$A$500,$B25,'DADOS BRUTOS'!DK$3:DK$500)+IF($C25="",0,SUMIF('DADOS BRUTOS'!$A$3:$A$500,$C25,'DADOS BRUTOS'!DK$3:DK$500)))</f>
        <v/>
      </c>
      <c r="GL25" s="123">
        <f>IF(OR(GL$4="",$B25=""),0,SUMIF('DADOS BRUTOS'!$A$3:$A$500,$B25,'DADOS BRUTOS'!DL$3:DL$500)+IF($C25="",0,SUMIF('DADOS BRUTOS'!$A$3:$A$500,$C25,'DADOS BRUTOS'!DL$3:DL$500)))</f>
        <v/>
      </c>
      <c r="GM25" s="123">
        <f>IF(OR(GM$4="",$B25=""),0,SUMIF('DADOS BRUTOS'!$A$3:$A$500,$B25,'DADOS BRUTOS'!DM$3:DM$500)+IF($C25="",0,SUMIF('DADOS BRUTOS'!$A$3:$A$500,$C25,'DADOS BRUTOS'!DM$3:DM$500)))</f>
        <v/>
      </c>
      <c r="GN25" s="123">
        <f>IF(OR(GN$4="",$B25=""),0,SUMIF('DADOS BRUTOS'!$A$3:$A$500,$B25,'DADOS BRUTOS'!DN$3:DN$500)+IF($C25="",0,SUMIF('DADOS BRUTOS'!$A$3:$A$500,$C25,'DADOS BRUTOS'!DN$3:DN$500)))</f>
        <v/>
      </c>
      <c r="GO25" s="123">
        <f>IF(OR(GO$4="",$B25=""),0,SUMIF('DADOS BRUTOS'!$A$3:$A$500,$B25,'DADOS BRUTOS'!DO$3:DO$500)+IF($C25="",0,SUMIF('DADOS BRUTOS'!$A$3:$A$500,$C25,'DADOS BRUTOS'!DO$3:DO$500)))</f>
        <v/>
      </c>
      <c r="GP25" s="123">
        <f>IF(OR(GP$4="",$B25=""),0,SUMIF('DADOS BRUTOS'!$A$3:$A$500,$B25,'DADOS BRUTOS'!DP$3:DP$500)+IF($C25="",0,SUMIF('DADOS BRUTOS'!$A$3:$A$500,$C25,'DADOS BRUTOS'!DP$3:DP$500)))</f>
        <v/>
      </c>
      <c r="GQ25" s="123">
        <f>IF(OR(GQ$4="",$B25=""),0,SUMIF('DADOS BRUTOS'!$A$3:$A$500,$B25,'DADOS BRUTOS'!DQ$3:DQ$500)+IF($C25="",0,SUMIF('DADOS BRUTOS'!$A$3:$A$500,$C25,'DADOS BRUTOS'!DQ$3:DQ$500)))</f>
        <v/>
      </c>
      <c r="GR25" s="123">
        <f>IF(OR(GR$4="",$B25=""),0,SUMIF('DADOS BRUTOS'!$A$3:$A$500,$B25,'DADOS BRUTOS'!DR$3:DR$500)+IF($C25="",0,SUMIF('DADOS BRUTOS'!$A$3:$A$500,$C25,'DADOS BRUTOS'!DR$3:DR$500)))</f>
        <v/>
      </c>
      <c r="GS25" s="123">
        <f>IF(OR(GS$4="",$B25=""),0,SUMIF('DADOS BRUTOS'!$A$3:$A$500,$B25,'DADOS BRUTOS'!DS$3:DS$500)+IF($C25="",0,SUMIF('DADOS BRUTOS'!$A$3:$A$500,$C25,'DADOS BRUTOS'!DS$3:DS$500)))</f>
        <v/>
      </c>
      <c r="GT25" s="123">
        <f>IF(OR(GT$4="",$B25=""),0,SUMIF('DADOS BRUTOS'!$A$3:$A$500,$B25,'DADOS BRUTOS'!DT$3:DT$500)+IF($C25="",0,SUMIF('DADOS BRUTOS'!$A$3:$A$500,$C25,'DADOS BRUTOS'!DT$3:DT$500)))</f>
        <v/>
      </c>
      <c r="GU25" s="123">
        <f>IF(OR(GU$4="",$B25=""),0,SUMIF('DADOS BRUTOS'!$A$3:$A$500,$B25,'DADOS BRUTOS'!DU$3:DU$500)+IF($C25="",0,SUMIF('DADOS BRUTOS'!$A$3:$A$500,$C25,'DADOS BRUTOS'!DU$3:DU$500)))</f>
        <v/>
      </c>
      <c r="GV25" s="123">
        <f>IF(OR(GV$4="",$B25=""),0,SUMIF('DADOS BRUTOS'!$A$3:$A$500,$B25,'DADOS BRUTOS'!DV$3:DV$500)+IF($C25="",0,SUMIF('DADOS BRUTOS'!$A$3:$A$500,$C25,'DADOS BRUTOS'!DV$3:DV$500)))</f>
        <v/>
      </c>
      <c r="GW25" s="123">
        <f>IF(OR(GW$4="",$B25=""),0,SUMIF('DADOS BRUTOS'!$A$3:$A$500,$B25,'DADOS BRUTOS'!DW$3:DW$500)+IF($C25="",0,SUMIF('DADOS BRUTOS'!$A$3:$A$500,$C25,'DADOS BRUTOS'!DW$3:DW$500)))</f>
        <v/>
      </c>
      <c r="GX25" s="123">
        <f>IF(OR(GX$4="",$B25=""),0,SUMIF('DADOS BRUTOS'!$A$3:$A$500,$B25,'DADOS BRUTOS'!DX$3:DX$500)+IF($C25="",0,SUMIF('DADOS BRUTOS'!$A$3:$A$500,$C25,'DADOS BRUTOS'!DX$3:DX$500)))</f>
        <v/>
      </c>
      <c r="GY25" s="123">
        <f>IF(OR(GY$4="",$B25=""),0,SUMIF('DADOS BRUTOS'!$A$3:$A$500,$B25,'DADOS BRUTOS'!DY$3:DY$500)+IF($C25="",0,SUMIF('DADOS BRUTOS'!$A$3:$A$500,$C25,'DADOS BRUTOS'!DY$3:DY$500)))</f>
        <v/>
      </c>
      <c r="GZ25" s="123">
        <f>IF(OR(GZ$4="",$B25=""),0,SUMIF('DADOS BRUTOS'!$A$3:$A$500,$B25,'DADOS BRUTOS'!DZ$3:DZ$500)+IF($C25="",0,SUMIF('DADOS BRUTOS'!$A$3:$A$500,$C25,'DADOS BRUTOS'!DZ$3:DZ$500)))</f>
        <v/>
      </c>
      <c r="HA25" s="123">
        <f>IF(OR(HA$4="",$B25=""),0,SUMIF('DADOS BRUTOS'!$A$3:$A$500,$B25,'DADOS BRUTOS'!EA$3:EA$500)+IF($C25="",0,SUMIF('DADOS BRUTOS'!$A$3:$A$500,$C25,'DADOS BRUTOS'!EA$3:EA$500)))</f>
        <v/>
      </c>
      <c r="HB25" s="123">
        <f>IF(OR(HB$4="",$B25=""),0,SUMIF('DADOS BRUTOS'!$A$3:$A$500,$B25,'DADOS BRUTOS'!EB$3:EB$500)+IF($C25="",0,SUMIF('DADOS BRUTOS'!$A$3:$A$500,$C25,'DADOS BRUTOS'!EB$3:EB$500)))</f>
        <v/>
      </c>
      <c r="HC25" s="123">
        <f>IF(OR(HC$4="",$B25=""),0,SUMIF('DADOS BRUTOS'!$A$3:$A$500,$B25,'DADOS BRUTOS'!EC$3:EC$500)+IF($C25="",0,SUMIF('DADOS BRUTOS'!$A$3:$A$500,$C25,'DADOS BRUTOS'!EC$3:EC$500)))</f>
        <v/>
      </c>
      <c r="HD25" s="123">
        <f>IF(OR(HD$4="",$B25=""),0,SUMIF('DADOS BRUTOS'!$A$3:$A$500,$B25,'DADOS BRUTOS'!ED$3:ED$500)+IF($C25="",0,SUMIF('DADOS BRUTOS'!$A$3:$A$500,$C25,'DADOS BRUTOS'!ED$3:ED$500)))</f>
        <v/>
      </c>
      <c r="HE25" s="123">
        <f>IF(OR(HE$4="",$B25=""),0,SUMIF('DADOS BRUTOS'!$A$3:$A$500,$B25,'DADOS BRUTOS'!EE$3:EE$500)+IF($C25="",0,SUMIF('DADOS BRUTOS'!$A$3:$A$500,$C25,'DADOS BRUTOS'!EE$3:EE$500)))</f>
        <v/>
      </c>
      <c r="HF25" s="123">
        <f>IF(OR(HF$4="",$B25=""),0,SUMIF('DADOS BRUTOS'!$A$3:$A$500,$B25,'DADOS BRUTOS'!EF$3:EF$500)+IF($C25="",0,SUMIF('DADOS BRUTOS'!$A$3:$A$500,$C25,'DADOS BRUTOS'!EF$3:EF$500)))</f>
        <v/>
      </c>
      <c r="HG25" s="123">
        <f>IF(OR(HG$4="",$B25=""),0,SUMIF('DADOS BRUTOS'!$A$3:$A$500,$B25,'DADOS BRUTOS'!EG$3:EG$500)+IF($C25="",0,SUMIF('DADOS BRUTOS'!$A$3:$A$500,$C25,'DADOS BRUTOS'!EG$3:EG$500)))</f>
        <v/>
      </c>
      <c r="HH25" s="123">
        <f>IF(OR(HH$4="",$B25=""),0,SUMIF('DADOS BRUTOS'!$A$3:$A$500,$B25,'DADOS BRUTOS'!EH$3:EH$500)+IF($C25="",0,SUMIF('DADOS BRUTOS'!$A$3:$A$500,$C25,'DADOS BRUTOS'!EH$3:EH$500)))</f>
        <v/>
      </c>
      <c r="HI25" s="123">
        <f>IF(OR(HI$4="",$B25=""),0,SUMIF('DADOS BRUTOS'!$A$3:$A$500,$B25,'DADOS BRUTOS'!EI$3:EI$500)+IF($C25="",0,SUMIF('DADOS BRUTOS'!$A$3:$A$500,$C25,'DADOS BRUTOS'!EI$3:EI$500)))</f>
        <v/>
      </c>
      <c r="HJ25" s="123">
        <f>IF(OR(HJ$4="",$B25=""),0,SUMIF('DADOS BRUTOS'!$A$3:$A$500,$B25,'DADOS BRUTOS'!EJ$3:EJ$500)+IF($C25="",0,SUMIF('DADOS BRUTOS'!$A$3:$A$500,$C25,'DADOS BRUTOS'!EJ$3:EJ$500)))</f>
        <v/>
      </c>
      <c r="HK25" s="123">
        <f>IF(OR(HK$4="",$B25=""),0,SUMIF('DADOS BRUTOS'!$A$3:$A$500,$B25,'DADOS BRUTOS'!EK$3:EK$500)+IF($C25="",0,SUMIF('DADOS BRUTOS'!$A$3:$A$500,$C25,'DADOS BRUTOS'!EK$3:EK$500)))</f>
        <v/>
      </c>
      <c r="HL25" s="123">
        <f>IF(OR(HL$4="",$B25=""),0,SUMIF('DADOS BRUTOS'!$A$3:$A$500,$B25,'DADOS BRUTOS'!EL$3:EL$500)+IF($C25="",0,SUMIF('DADOS BRUTOS'!$A$3:$A$500,$C25,'DADOS BRUTOS'!EL$3:EL$500)))</f>
        <v/>
      </c>
      <c r="HM25" s="123">
        <f>IF(OR(HM$4="",$B25=""),0,SUMIF('DADOS BRUTOS'!$A$3:$A$500,$B25,'DADOS BRUTOS'!EM$3:EM$500)+IF($C25="",0,SUMIF('DADOS BRUTOS'!$A$3:$A$500,$C25,'DADOS BRUTOS'!EM$3:EM$500)))</f>
        <v/>
      </c>
      <c r="HN25" s="123">
        <f>IF(OR(HN$4="",$B25=""),0,SUMIF('DADOS BRUTOS'!$A$3:$A$500,$B25,'DADOS BRUTOS'!EN$3:EN$500)+IF($C25="",0,SUMIF('DADOS BRUTOS'!$A$3:$A$500,$C25,'DADOS BRUTOS'!EN$3:EN$500)))</f>
        <v/>
      </c>
      <c r="HO25" s="123">
        <f>IF(OR(HO$4="",$B25=""),0,SUMIF('DADOS BRUTOS'!$A$3:$A$500,$B25,'DADOS BRUTOS'!EO$3:EO$500)+IF($C25="",0,SUMIF('DADOS BRUTOS'!$A$3:$A$500,$C25,'DADOS BRUTOS'!EO$3:EO$500)))</f>
        <v/>
      </c>
      <c r="HP25" s="123">
        <f>IF(OR(HP$4="",$B25=""),0,SUMIF('DADOS BRUTOS'!$A$3:$A$500,$B25,'DADOS BRUTOS'!EP$3:EP$500)+IF($C25="",0,SUMIF('DADOS BRUTOS'!$A$3:$A$500,$C25,'DADOS BRUTOS'!EP$3:EP$500)))</f>
        <v/>
      </c>
      <c r="HQ25" s="123">
        <f>IF(OR(HQ$4="",$B25=""),0,SUMIF('DADOS BRUTOS'!$A$3:$A$500,$B25,'DADOS BRUTOS'!EQ$3:EQ$500)+IF($C25="",0,SUMIF('DADOS BRUTOS'!$A$3:$A$500,$C25,'DADOS BRUTOS'!EQ$3:EQ$500)))</f>
        <v/>
      </c>
      <c r="HR25" s="123">
        <f>IF(OR(HR$4="",$B25=""),0,SUMIF('DADOS BRUTOS'!$A$3:$A$500,$B25,'DADOS BRUTOS'!ER$3:ER$500)+IF($C25="",0,SUMIF('DADOS BRUTOS'!$A$3:$A$500,$C25,'DADOS BRUTOS'!ER$3:ER$500)))</f>
        <v/>
      </c>
      <c r="HS25" s="123">
        <f>IF(OR(HS$4="",$B25=""),0,SUMIF('DADOS BRUTOS'!$A$3:$A$500,$B25,'DADOS BRUTOS'!ES$3:ES$500)+IF($C25="",0,SUMIF('DADOS BRUTOS'!$A$3:$A$500,$C25,'DADOS BRUTOS'!ES$3:ES$500)))</f>
        <v/>
      </c>
      <c r="HT25" s="123">
        <f>IF(OR(HT$4="",$B25=""),0,SUMIF('DADOS BRUTOS'!$A$3:$A$500,$B25,'DADOS BRUTOS'!ET$3:ET$500)+IF($C25="",0,SUMIF('DADOS BRUTOS'!$A$3:$A$500,$C25,'DADOS BRUTOS'!ET$3:ET$500)))</f>
        <v/>
      </c>
      <c r="HU25" s="123">
        <f>IF(OR(HU$4="",$B25=""),0,SUMIF('DADOS BRUTOS'!$A$3:$A$500,$B25,'DADOS BRUTOS'!EU$3:EU$500)+IF($C25="",0,SUMIF('DADOS BRUTOS'!$A$3:$A$500,$C25,'DADOS BRUTOS'!EU$3:EU$500)))</f>
        <v/>
      </c>
      <c r="HV25" s="123">
        <f>IF(OR(HV$4="",$B25=""),0,SUMIF('DADOS BRUTOS'!$A$3:$A$500,$B25,'DADOS BRUTOS'!EV$3:EV$500)+IF($C25="",0,SUMIF('DADOS BRUTOS'!$A$3:$A$500,$C25,'DADOS BRUTOS'!EV$3:EV$500)))</f>
        <v/>
      </c>
      <c r="HW25" s="123">
        <f>IF(OR(HW$4="",$B25=""),0,SUMIF('DADOS BRUTOS'!$A$3:$A$500,$B25,'DADOS BRUTOS'!EW$3:EW$500)+IF($C25="",0,SUMIF('DADOS BRUTOS'!$A$3:$A$500,$C25,'DADOS BRUTOS'!EW$3:EW$500)))</f>
        <v/>
      </c>
      <c r="HX25" s="123">
        <f>IF(OR(HX$4="",$B25=""),0,SUMIF('DADOS BRUTOS'!$A$3:$A$500,$B25,'DADOS BRUTOS'!EX$3:EX$500)+IF($C25="",0,SUMIF('DADOS BRUTOS'!$A$3:$A$500,$C25,'DADOS BRUTOS'!EX$3:EX$500)))</f>
        <v/>
      </c>
      <c r="HY25" s="123">
        <f>IF(OR(HY$4="",$B25=""),0,SUMIF('DADOS BRUTOS'!$A$3:$A$500,$B25,'DADOS BRUTOS'!EY$3:EY$500)+IF($C25="",0,SUMIF('DADOS BRUTOS'!$A$3:$A$500,$C25,'DADOS BRUTOS'!EY$3:EY$500)))</f>
        <v/>
      </c>
      <c r="HZ25" s="123">
        <f>IF(OR(HZ$4="",$B25=""),0,SUMIF('DADOS BRUTOS'!$A$3:$A$500,$B25,'DADOS BRUTOS'!EZ$3:EZ$500)+IF($C25="",0,SUMIF('DADOS BRUTOS'!$A$3:$A$500,$C25,'DADOS BRUTOS'!EZ$3:EZ$500)))</f>
        <v/>
      </c>
      <c r="IA25" s="123">
        <f>IF(OR(IA$4="",$B25=""),0,SUMIF('DADOS BRUTOS'!$A$3:$A$500,$B25,'DADOS BRUTOS'!FA$3:FA$500)+IF($C25="",0,SUMIF('DADOS BRUTOS'!$A$3:$A$500,$C25,'DADOS BRUTOS'!FA$3:FA$500)))</f>
        <v/>
      </c>
      <c r="IB25" s="123">
        <f>IF(OR(IB$4="",$B25=""),0,SUMIF('DADOS BRUTOS'!$A$3:$A$500,$B25,'DADOS BRUTOS'!FB$3:FB$500)+IF($C25="",0,SUMIF('DADOS BRUTOS'!$A$3:$A$500,$C25,'DADOS BRUTOS'!FB$3:FB$500)))</f>
        <v/>
      </c>
      <c r="IC25" s="123">
        <f>IF(OR(IC$4="",$B25=""),0,SUMIF('DADOS BRUTOS'!$A$3:$A$500,$B25,'DADOS BRUTOS'!FC$3:FC$500)+IF($C25="",0,SUMIF('DADOS BRUTOS'!$A$3:$A$500,$C25,'DADOS BRUTOS'!FC$3:FC$500)))</f>
        <v/>
      </c>
      <c r="ID25" s="123">
        <f>IF(OR(ID$4="",$B25=""),0,SUMIF('DADOS BRUTOS'!$A$3:$A$500,$B25,'DADOS BRUTOS'!FD$3:FD$500)+IF($C25="",0,SUMIF('DADOS BRUTOS'!$A$3:$A$500,$C25,'DADOS BRUTOS'!FD$3:FD$500)))</f>
        <v/>
      </c>
      <c r="IE25" s="123">
        <f>IF(OR(IE$4="",$B25=""),0,SUMIF('DADOS BRUTOS'!$A$3:$A$500,$B25,'DADOS BRUTOS'!FE$3:FE$500)+IF($C25="",0,SUMIF('DADOS BRUTOS'!$A$3:$A$500,$C25,'DADOS BRUTOS'!FE$3:FE$500)))</f>
        <v/>
      </c>
      <c r="IF25" s="123">
        <f>IF(OR(IF$4="",$B25=""),0,SUMIF('DADOS BRUTOS'!$A$3:$A$500,$B25,'DADOS BRUTOS'!FF$3:FF$500)+IF($C25="",0,SUMIF('DADOS BRUTOS'!$A$3:$A$500,$C25,'DADOS BRUTOS'!FF$3:FF$500)))</f>
        <v/>
      </c>
      <c r="IG25" s="123">
        <f>IF(OR(IG$4="",$B25=""),0,SUMIF('DADOS BRUTOS'!$A$3:$A$500,$B25,'DADOS BRUTOS'!FG$3:FG$500)+IF($C25="",0,SUMIF('DADOS BRUTOS'!$A$3:$A$500,$C25,'DADOS BRUTOS'!FG$3:FG$500)))</f>
        <v/>
      </c>
      <c r="IH25" s="123">
        <f>IF(OR(IH$4="",$B25=""),0,SUMIF('DADOS BRUTOS'!$A$3:$A$500,$B25,'DADOS BRUTOS'!FH$3:FH$500)+IF($C25="",0,SUMIF('DADOS BRUTOS'!$A$3:$A$500,$C25,'DADOS BRUTOS'!FH$3:FH$500)))</f>
        <v/>
      </c>
      <c r="II25" s="123">
        <f>IF(OR(II$4="",$B25=""),0,SUMIF('DADOS BRUTOS'!$A$3:$A$500,$B25,'DADOS BRUTOS'!FI$3:FI$500)+IF($C25="",0,SUMIF('DADOS BRUTOS'!$A$3:$A$500,$C25,'DADOS BRUTOS'!FI$3:FI$500)))</f>
        <v/>
      </c>
      <c r="IJ25" s="123">
        <f>IF(OR(IJ$4="",$B25=""),0,SUMIF('DADOS BRUTOS'!$A$3:$A$500,$B25,'DADOS BRUTOS'!FJ$3:FJ$500)+IF($C25="",0,SUMIF('DADOS BRUTOS'!$A$3:$A$500,$C25,'DADOS BRUTOS'!FJ$3:FJ$500)))</f>
        <v/>
      </c>
      <c r="IK25" s="123">
        <f>IF(OR(IK$4="",$B25=""),0,SUMIF('DADOS BRUTOS'!$A$3:$A$500,$B25,'DADOS BRUTOS'!FK$3:FK$500)+IF($C25="",0,SUMIF('DADOS BRUTOS'!$A$3:$A$500,$C25,'DADOS BRUTOS'!FK$3:FK$500)))</f>
        <v/>
      </c>
      <c r="IL25" s="123">
        <f>IF(OR(IL$4="",$B25=""),0,SUMIF('DADOS BRUTOS'!$A$3:$A$500,$B25,'DADOS BRUTOS'!FL$3:FL$500)+IF($C25="",0,SUMIF('DADOS BRUTOS'!$A$3:$A$500,$C25,'DADOS BRUTOS'!FL$3:FL$500)))</f>
        <v/>
      </c>
      <c r="IM25" s="123">
        <f>IF(OR(IM$4="",$B25=""),0,SUMIF('DADOS BRUTOS'!$A$3:$A$500,$B25,'DADOS BRUTOS'!FM$3:FM$500)+IF($C25="",0,SUMIF('DADOS BRUTOS'!$A$3:$A$500,$C25,'DADOS BRUTOS'!FM$3:FM$500)))</f>
        <v/>
      </c>
      <c r="IN25" s="123">
        <f>IF(OR(IN$4="",$B25=""),0,SUMIF('DADOS BRUTOS'!$A$3:$A$500,$B25,'DADOS BRUTOS'!FN$3:FN$500)+IF($C25="",0,SUMIF('DADOS BRUTOS'!$A$3:$A$500,$C25,'DADOS BRUTOS'!FN$3:FN$500)))</f>
        <v/>
      </c>
      <c r="IO25" s="123">
        <f>IF(OR(IO$4="",$B25=""),0,SUMIF('DADOS BRUTOS'!$A$3:$A$500,$B25,'DADOS BRUTOS'!FO$3:FO$500)+IF($C25="",0,SUMIF('DADOS BRUTOS'!$A$3:$A$500,$C25,'DADOS BRUTOS'!FO$3:FO$500)))</f>
        <v/>
      </c>
      <c r="IP25" s="123">
        <f>IF(OR(IP$4="",$B25=""),0,SUMIF('DADOS BRUTOS'!$A$3:$A$500,$B25,'DADOS BRUTOS'!FP$3:FP$500)+IF($C25="",0,SUMIF('DADOS BRUTOS'!$A$3:$A$500,$C25,'DADOS BRUTOS'!FP$3:FP$500)))</f>
        <v/>
      </c>
      <c r="IQ25" s="123">
        <f>IF(OR(IQ$4="",$B25=""),0,SUMIF('DADOS BRUTOS'!$A$3:$A$500,$B25,'DADOS BRUTOS'!FQ$3:FQ$500)+IF($C25="",0,SUMIF('DADOS BRUTOS'!$A$3:$A$500,$C25,'DADOS BRUTOS'!FQ$3:FQ$500)))</f>
        <v/>
      </c>
      <c r="IR25" s="123">
        <f>IF(OR(IR$4="",$B25=""),0,SUMIF('DADOS BRUTOS'!$A$3:$A$500,$B25,'DADOS BRUTOS'!FR$3:FR$500)+IF($C25="",0,SUMIF('DADOS BRUTOS'!$A$3:$A$500,$C25,'DADOS BRUTOS'!FR$3:FR$500)))</f>
        <v/>
      </c>
      <c r="IS25" s="123">
        <f>IF(OR(IS$4="",$B25=""),0,SUMIF('DADOS BRUTOS'!$A$3:$A$500,$B25,'DADOS BRUTOS'!FS$3:FS$500)+IF($C25="",0,SUMIF('DADOS BRUTOS'!$A$3:$A$500,$C25,'DADOS BRUTOS'!FS$3:FS$500)))</f>
        <v/>
      </c>
      <c r="IT25" s="123">
        <f>IF(OR(IT$4="",$B25=""),0,SUMIF('DADOS BRUTOS'!$A$3:$A$500,$B25,'DADOS BRUTOS'!FT$3:FT$500)+IF($C25="",0,SUMIF('DADOS BRUTOS'!$A$3:$A$500,$C25,'DADOS BRUTOS'!FT$3:FT$500)))</f>
        <v/>
      </c>
      <c r="IU25" s="123">
        <f>IF(OR(IU$4="",$B25=""),0,SUMIF('DADOS BRUTOS'!$A$3:$A$500,$B25,'DADOS BRUTOS'!FU$3:FU$500)+IF($C25="",0,SUMIF('DADOS BRUTOS'!$A$3:$A$500,$C25,'DADOS BRUTOS'!FU$3:FU$500)))</f>
        <v/>
      </c>
      <c r="IV25" s="123">
        <f>IF(OR(IV$4="",$B25=""),0,SUMIF('DADOS BRUTOS'!$A$3:$A$500,$B25,'DADOS BRUTOS'!FV$3:FV$500)+IF($C25="",0,SUMIF('DADOS BRUTOS'!$A$3:$A$500,$C25,'DADOS BRUTOS'!FV$3:FV$500)))</f>
        <v/>
      </c>
      <c r="IW25" s="123">
        <f>IF(OR(IW$4="",$B25=""),0,SUMIF('DADOS BRUTOS'!$A$3:$A$500,$B25,'DADOS BRUTOS'!FW$3:FW$500)+IF($C25="",0,SUMIF('DADOS BRUTOS'!$A$3:$A$500,$C25,'DADOS BRUTOS'!FW$3:FW$500)))</f>
        <v/>
      </c>
      <c r="IX25" s="123">
        <f>IF(OR(IX$4="",$B25=""),0,SUMIF('DADOS BRUTOS'!$A$3:$A$500,$B25,'DADOS BRUTOS'!FX$3:FX$500)+IF($C25="",0,SUMIF('DADOS BRUTOS'!$A$3:$A$500,$C25,'DADOS BRUTOS'!FX$3:FX$500)))</f>
        <v/>
      </c>
      <c r="IY25" s="123">
        <f>IF(OR(IY$4="",$B25=""),0,SUMIF('DADOS BRUTOS'!$A$3:$A$500,$B25,'DADOS BRUTOS'!FY$3:FY$500)+IF($C25="",0,SUMIF('DADOS BRUTOS'!$A$3:$A$500,$C25,'DADOS BRUTOS'!FY$3:FY$500)))</f>
        <v/>
      </c>
      <c r="IZ25" s="123">
        <f>IF(OR(IZ$4="",$B25=""),0,SUMIF('DADOS BRUTOS'!$A$3:$A$500,$B25,'DADOS BRUTOS'!FZ$3:FZ$500)+IF($C25="",0,SUMIF('DADOS BRUTOS'!$A$3:$A$500,$C25,'DADOS BRUTOS'!FZ$3:FZ$500)))</f>
        <v/>
      </c>
      <c r="JA25" s="123">
        <f>IF(OR(JA$4="",$B25=""),0,SUMIF('DADOS BRUTOS'!$A$3:$A$500,$B25,'DADOS BRUTOS'!GA$3:GA$500)+IF($C25="",0,SUMIF('DADOS BRUTOS'!$A$3:$A$500,$C25,'DADOS BRUTOS'!GA$3:GA$500)))</f>
        <v/>
      </c>
      <c r="JB25" s="123">
        <f>IF(OR(JB$4="",$B25=""),0,SUMIF('DADOS BRUTOS'!$A$3:$A$500,$B25,'DADOS BRUTOS'!GB$3:GB$500)+IF($C25="",0,SUMIF('DADOS BRUTOS'!$A$3:$A$500,$C25,'DADOS BRUTOS'!GB$3:GB$500)))</f>
        <v/>
      </c>
      <c r="JC25" s="123">
        <f>IF(OR(JC$4="",$B25=""),0,SUMIF('DADOS BRUTOS'!$A$3:$A$500,$B25,'DADOS BRUTOS'!GC$3:GC$500)+IF($C25="",0,SUMIF('DADOS BRUTOS'!$A$3:$A$500,$C25,'DADOS BRUTOS'!GC$3:GC$500)))</f>
        <v/>
      </c>
      <c r="JD25" s="123">
        <f>IF(OR(JD$4="",$B25=""),0,SUMIF('DADOS BRUTOS'!$A$3:$A$500,$B25,'DADOS BRUTOS'!GD$3:GD$500)+IF($C25="",0,SUMIF('DADOS BRUTOS'!$A$3:$A$500,$C25,'DADOS BRUTOS'!GD$3:GD$500)))</f>
        <v/>
      </c>
      <c r="JE25" s="123">
        <f>IF(OR(JE$4="",$B25=""),0,SUMIF('DADOS BRUTOS'!$A$3:$A$500,$B25,'DADOS BRUTOS'!GE$3:GE$500)+IF($C25="",0,SUMIF('DADOS BRUTOS'!$A$3:$A$500,$C25,'DADOS BRUTOS'!GE$3:GE$500)))</f>
        <v/>
      </c>
      <c r="JF25" s="123">
        <f>IF(OR(JF$4="",$B25=""),0,SUMIF('DADOS BRUTOS'!$A$3:$A$500,$B25,'DADOS BRUTOS'!GF$3:GF$500)+IF($C25="",0,SUMIF('DADOS BRUTOS'!$A$3:$A$500,$C25,'DADOS BRUTOS'!GF$3:GF$500)))</f>
        <v/>
      </c>
      <c r="JG25" s="123">
        <f>IF(OR(JG$4="",$B25=""),0,SUMIF('DADOS BRUTOS'!$A$3:$A$500,$B25,'DADOS BRUTOS'!GG$3:GG$500)+IF($C25="",0,SUMIF('DADOS BRUTOS'!$A$3:$A$500,$C25,'DADOS BRUTOS'!GG$3:GG$500)))</f>
        <v/>
      </c>
      <c r="JH25" s="123">
        <f>IF(OR(JH$4="",$B25=""),0,SUMIF('DADOS BRUTOS'!$A$3:$A$500,$B25,'DADOS BRUTOS'!GH$3:GH$500)+IF($C25="",0,SUMIF('DADOS BRUTOS'!$A$3:$A$500,$C25,'DADOS BRUTOS'!GH$3:GH$500)))</f>
        <v/>
      </c>
      <c r="JI25" s="123">
        <f>IF(OR(JI$4="",$B25=""),0,SUMIF('DADOS BRUTOS'!$A$3:$A$500,$B25,'DADOS BRUTOS'!GI$3:GI$500)+IF($C25="",0,SUMIF('DADOS BRUTOS'!$A$3:$A$500,$C25,'DADOS BRUTOS'!GI$3:GI$500)))</f>
        <v/>
      </c>
      <c r="JJ25" s="123">
        <f>IF(OR(JJ$4="",$B25=""),0,SUMIF('DADOS BRUTOS'!$A$3:$A$500,$B25,'DADOS BRUTOS'!GJ$3:GJ$500)+IF($C25="",0,SUMIF('DADOS BRUTOS'!$A$3:$A$500,$C25,'DADOS BRUTOS'!GJ$3:GJ$500)))</f>
        <v/>
      </c>
      <c r="JK25" s="123">
        <f>IF(OR(JK$4="",$B25=""),0,SUMIF('DADOS BRUTOS'!$A$3:$A$500,$B25,'DADOS BRUTOS'!GK$3:GK$500)+IF($C25="",0,SUMIF('DADOS BRUTOS'!$A$3:$A$500,$C25,'DADOS BRUTOS'!GK$3:GK$500)))</f>
        <v/>
      </c>
      <c r="JL25" s="123">
        <f>IF(OR(JL$4="",$B25=""),0,SUMIF('DADOS BRUTOS'!$A$3:$A$500,$B25,'DADOS BRUTOS'!GL$3:GL$500)+IF($C25="",0,SUMIF('DADOS BRUTOS'!$A$3:$A$500,$C25,'DADOS BRUTOS'!GL$3:GL$500)))</f>
        <v/>
      </c>
      <c r="JM25" s="123">
        <f>IF(OR(JM$4="",$B25=""),0,SUMIF('DADOS BRUTOS'!$A$3:$A$500,$B25,'DADOS BRUTOS'!GM$3:GM$500)+IF($C25="",0,SUMIF('DADOS BRUTOS'!$A$3:$A$500,$C25,'DADOS BRUTOS'!GM$3:GM$500)))</f>
        <v/>
      </c>
      <c r="JN25" s="123">
        <f>IF(OR(JN$4="",$B25=""),0,SUMIF('DADOS BRUTOS'!$A$3:$A$500,$B25,'DADOS BRUTOS'!GN$3:GN$500)+IF($C25="",0,SUMIF('DADOS BRUTOS'!$A$3:$A$500,$C25,'DADOS BRUTOS'!GN$3:GN$500)))</f>
        <v/>
      </c>
      <c r="JO25" s="123">
        <f>IF(OR(JO$4="",$B25=""),0,SUMIF('DADOS BRUTOS'!$A$3:$A$500,$B25,'DADOS BRUTOS'!GO$3:GO$500)+IF($C25="",0,SUMIF('DADOS BRUTOS'!$A$3:$A$500,$C25,'DADOS BRUTOS'!GO$3:GO$500)))</f>
        <v/>
      </c>
      <c r="JP25" s="123">
        <f>IF(OR(JP$4="",$B25=""),0,SUMIF('DADOS BRUTOS'!$A$3:$A$500,$B25,'DADOS BRUTOS'!GP$3:GP$500)+IF($C25="",0,SUMIF('DADOS BRUTOS'!$A$3:$A$500,$C25,'DADOS BRUTOS'!GP$3:GP$500)))</f>
        <v/>
      </c>
      <c r="JQ25" s="123">
        <f>IF(OR(JQ$4="",$B25=""),0,SUMIF('DADOS BRUTOS'!$A$3:$A$500,$B25,'DADOS BRUTOS'!GQ$3:GQ$500)+IF($C25="",0,SUMIF('DADOS BRUTOS'!$A$3:$A$500,$C25,'DADOS BRUTOS'!GQ$3:GQ$500)))</f>
        <v/>
      </c>
      <c r="JR25" s="123">
        <f>IF(OR(JR$4="",$B25=""),0,SUMIF('DADOS BRUTOS'!$A$3:$A$500,$B25,'DADOS BRUTOS'!GR$3:GR$500)+IF($C25="",0,SUMIF('DADOS BRUTOS'!$A$3:$A$500,$C25,'DADOS BRUTOS'!GR$3:GR$500)))</f>
        <v/>
      </c>
      <c r="JS25" s="123">
        <f>IF(OR(JS$4="",$B25=""),0,SUMIF('DADOS BRUTOS'!$A$3:$A$500,$B25,'DADOS BRUTOS'!GS$3:GS$500)+IF($C25="",0,SUMIF('DADOS BRUTOS'!$A$3:$A$500,$C25,'DADOS BRUTOS'!GS$3:GS$500)))</f>
        <v/>
      </c>
    </row>
    <row r="26">
      <c r="A26" s="60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CB26" s="123">
        <f>IF(OR(CB$4="",$B26=""),0,SUMIF('DADOS BRUTOS'!$A$3:$A$500,$B26,'DADOS BRUTOS'!B$3:B$500)+IF($C26="",0,SUMIF('DADOS BRUTOS'!$A$3:$A$500,$C26,'DADOS BRUTOS'!B$3:B$500)))</f>
        <v/>
      </c>
      <c r="CC26" s="123">
        <f>IF(OR(CC$4="",$B26=""),0,SUMIF('DADOS BRUTOS'!$A$3:$A$500,$B26,'DADOS BRUTOS'!C$3:C$500)+IF($C26="",0,SUMIF('DADOS BRUTOS'!$A$3:$A$500,$C26,'DADOS BRUTOS'!C$3:C$500)))</f>
        <v/>
      </c>
      <c r="CD26" s="123">
        <f>IF(OR(CD$4="",$B26=""),0,SUMIF('DADOS BRUTOS'!$A$3:$A$500,$B26,'DADOS BRUTOS'!D$3:D$500)+IF($C26="",0,SUMIF('DADOS BRUTOS'!$A$3:$A$500,$C26,'DADOS BRUTOS'!D$3:D$500)))</f>
        <v/>
      </c>
      <c r="CE26" s="123">
        <f>IF(OR(CE$4="",$B26=""),0,SUMIF('DADOS BRUTOS'!$A$3:$A$500,$B26,'DADOS BRUTOS'!E$3:E$500)+IF($C26="",0,SUMIF('DADOS BRUTOS'!$A$3:$A$500,$C26,'DADOS BRUTOS'!E$3:E$500)))</f>
        <v/>
      </c>
      <c r="CF26" s="123">
        <f>IF(OR(CF$4="",$B26=""),0,SUMIF('DADOS BRUTOS'!$A$3:$A$500,$B26,'DADOS BRUTOS'!F$3:F$500)+IF($C26="",0,SUMIF('DADOS BRUTOS'!$A$3:$A$500,$C26,'DADOS BRUTOS'!F$3:F$500)))</f>
        <v/>
      </c>
      <c r="CG26" s="123">
        <f>IF(OR(CG$4="",$B26=""),0,SUMIF('DADOS BRUTOS'!$A$3:$A$500,$B26,'DADOS BRUTOS'!G$3:G$500)+IF($C26="",0,SUMIF('DADOS BRUTOS'!$A$3:$A$500,$C26,'DADOS BRUTOS'!G$3:G$500)))</f>
        <v/>
      </c>
      <c r="CH26" s="123">
        <f>IF(OR(CH$4="",$B26=""),0,SUMIF('DADOS BRUTOS'!$A$3:$A$500,$B26,'DADOS BRUTOS'!H$3:H$500)+IF($C26="",0,SUMIF('DADOS BRUTOS'!$A$3:$A$500,$C26,'DADOS BRUTOS'!H$3:H$500)))</f>
        <v/>
      </c>
      <c r="CI26" s="123">
        <f>IF(OR(CI$4="",$B26=""),0,SUMIF('DADOS BRUTOS'!$A$3:$A$500,$B26,'DADOS BRUTOS'!I$3:I$500)+IF($C26="",0,SUMIF('DADOS BRUTOS'!$A$3:$A$500,$C26,'DADOS BRUTOS'!I$3:I$500)))</f>
        <v/>
      </c>
      <c r="CJ26" s="123">
        <f>IF(OR(CJ$4="",$B26=""),0,SUMIF('DADOS BRUTOS'!$A$3:$A$500,$B26,'DADOS BRUTOS'!J$3:J$500)+IF($C26="",0,SUMIF('DADOS BRUTOS'!$A$3:$A$500,$C26,'DADOS BRUTOS'!J$3:J$500)))</f>
        <v/>
      </c>
      <c r="CK26" s="123">
        <f>IF(OR(CK$4="",$B26=""),0,SUMIF('DADOS BRUTOS'!$A$3:$A$500,$B26,'DADOS BRUTOS'!K$3:K$500)+IF($C26="",0,SUMIF('DADOS BRUTOS'!$A$3:$A$500,$C26,'DADOS BRUTOS'!K$3:K$500)))</f>
        <v/>
      </c>
      <c r="CL26" s="123">
        <f>IF(OR(CL$4="",$B26=""),0,SUMIF('DADOS BRUTOS'!$A$3:$A$500,$B26,'DADOS BRUTOS'!L$3:L$500)+IF($C26="",0,SUMIF('DADOS BRUTOS'!$A$3:$A$500,$C26,'DADOS BRUTOS'!L$3:L$500)))</f>
        <v/>
      </c>
      <c r="CM26" s="123">
        <f>IF(OR(CM$4="",$B26=""),0,SUMIF('DADOS BRUTOS'!$A$3:$A$500,$B26,'DADOS BRUTOS'!M$3:M$500)+IF($C26="",0,SUMIF('DADOS BRUTOS'!$A$3:$A$500,$C26,'DADOS BRUTOS'!M$3:M$500)))</f>
        <v/>
      </c>
      <c r="CN26" s="123">
        <f>IF(OR(CN$4="",$B26=""),0,SUMIF('DADOS BRUTOS'!$A$3:$A$500,$B26,'DADOS BRUTOS'!N$3:N$500)+IF($C26="",0,SUMIF('DADOS BRUTOS'!$A$3:$A$500,$C26,'DADOS BRUTOS'!N$3:N$500)))</f>
        <v/>
      </c>
      <c r="CO26" s="123">
        <f>IF(OR(CO$4="",$B26=""),0,SUMIF('DADOS BRUTOS'!$A$3:$A$500,$B26,'DADOS BRUTOS'!O$3:O$500)+IF($C26="",0,SUMIF('DADOS BRUTOS'!$A$3:$A$500,$C26,'DADOS BRUTOS'!O$3:O$500)))</f>
        <v/>
      </c>
      <c r="CP26" s="123">
        <f>IF(OR(CP$4="",$B26=""),0,SUMIF('DADOS BRUTOS'!$A$3:$A$500,$B26,'DADOS BRUTOS'!P$3:P$500)+IF($C26="",0,SUMIF('DADOS BRUTOS'!$A$3:$A$500,$C26,'DADOS BRUTOS'!P$3:P$500)))</f>
        <v/>
      </c>
      <c r="CQ26" s="123">
        <f>IF(OR(CQ$4="",$B26=""),0,SUMIF('DADOS BRUTOS'!$A$3:$A$500,$B26,'DADOS BRUTOS'!Q$3:Q$500)+IF($C26="",0,SUMIF('DADOS BRUTOS'!$A$3:$A$500,$C26,'DADOS BRUTOS'!Q$3:Q$500)))</f>
        <v/>
      </c>
      <c r="CR26" s="123">
        <f>IF(OR(CR$4="",$B26=""),0,SUMIF('DADOS BRUTOS'!$A$3:$A$500,$B26,'DADOS BRUTOS'!R$3:R$500)+IF($C26="",0,SUMIF('DADOS BRUTOS'!$A$3:$A$500,$C26,'DADOS BRUTOS'!R$3:R$500)))</f>
        <v/>
      </c>
      <c r="CS26" s="123">
        <f>IF(OR(CS$4="",$B26=""),0,SUMIF('DADOS BRUTOS'!$A$3:$A$500,$B26,'DADOS BRUTOS'!S$3:S$500)+IF($C26="",0,SUMIF('DADOS BRUTOS'!$A$3:$A$500,$C26,'DADOS BRUTOS'!S$3:S$500)))</f>
        <v/>
      </c>
      <c r="CT26" s="123">
        <f>IF(OR(CT$4="",$B26=""),0,SUMIF('DADOS BRUTOS'!$A$3:$A$500,$B26,'DADOS BRUTOS'!T$3:T$500)+IF($C26="",0,SUMIF('DADOS BRUTOS'!$A$3:$A$500,$C26,'DADOS BRUTOS'!T$3:T$500)))</f>
        <v/>
      </c>
      <c r="CU26" s="123">
        <f>IF(OR(CU$4="",$B26=""),0,SUMIF('DADOS BRUTOS'!$A$3:$A$500,$B26,'DADOS BRUTOS'!U$3:U$500)+IF($C26="",0,SUMIF('DADOS BRUTOS'!$A$3:$A$500,$C26,'DADOS BRUTOS'!U$3:U$500)))</f>
        <v/>
      </c>
      <c r="CV26" s="123">
        <f>IF(OR(CV$4="",$B26=""),0,SUMIF('DADOS BRUTOS'!$A$3:$A$500,$B26,'DADOS BRUTOS'!V$3:V$500)+IF($C26="",0,SUMIF('DADOS BRUTOS'!$A$3:$A$500,$C26,'DADOS BRUTOS'!V$3:V$500)))</f>
        <v/>
      </c>
      <c r="CW26" s="123">
        <f>IF(OR(CW$4="",$B26=""),0,SUMIF('DADOS BRUTOS'!$A$3:$A$500,$B26,'DADOS BRUTOS'!W$3:W$500)+IF($C26="",0,SUMIF('DADOS BRUTOS'!$A$3:$A$500,$C26,'DADOS BRUTOS'!W$3:W$500)))</f>
        <v/>
      </c>
      <c r="CX26" s="123">
        <f>IF(OR(CX$4="",$B26=""),0,SUMIF('DADOS BRUTOS'!$A$3:$A$500,$B26,'DADOS BRUTOS'!X$3:X$500)+IF($C26="",0,SUMIF('DADOS BRUTOS'!$A$3:$A$500,$C26,'DADOS BRUTOS'!X$3:X$500)))</f>
        <v/>
      </c>
      <c r="CY26" s="123">
        <f>IF(OR(CY$4="",$B26=""),0,SUMIF('DADOS BRUTOS'!$A$3:$A$500,$B26,'DADOS BRUTOS'!Y$3:Y$500)+IF($C26="",0,SUMIF('DADOS BRUTOS'!$A$3:$A$500,$C26,'DADOS BRUTOS'!Y$3:Y$500)))</f>
        <v/>
      </c>
      <c r="CZ26" s="123">
        <f>IF(OR(CZ$4="",$B26=""),0,SUMIF('DADOS BRUTOS'!$A$3:$A$500,$B26,'DADOS BRUTOS'!Z$3:Z$500)+IF($C26="",0,SUMIF('DADOS BRUTOS'!$A$3:$A$500,$C26,'DADOS BRUTOS'!Z$3:Z$500)))</f>
        <v/>
      </c>
      <c r="DA26" s="123">
        <f>IF(OR(DA$4="",$B26=""),0,SUMIF('DADOS BRUTOS'!$A$3:$A$500,$B26,'DADOS BRUTOS'!AA$3:AA$500)+IF($C26="",0,SUMIF('DADOS BRUTOS'!$A$3:$A$500,$C26,'DADOS BRUTOS'!AA$3:AA$500)))</f>
        <v/>
      </c>
      <c r="DB26" s="123">
        <f>IF(OR(DB$4="",$B26=""),0,SUMIF('DADOS BRUTOS'!$A$3:$A$500,$B26,'DADOS BRUTOS'!AB$3:AB$500)+IF($C26="",0,SUMIF('DADOS BRUTOS'!$A$3:$A$500,$C26,'DADOS BRUTOS'!AB$3:AB$500)))</f>
        <v/>
      </c>
      <c r="DC26" s="123">
        <f>IF(OR(DC$4="",$B26=""),0,SUMIF('DADOS BRUTOS'!$A$3:$A$500,$B26,'DADOS BRUTOS'!AC$3:AC$500)+IF($C26="",0,SUMIF('DADOS BRUTOS'!$A$3:$A$500,$C26,'DADOS BRUTOS'!AC$3:AC$500)))</f>
        <v/>
      </c>
      <c r="DD26" s="123">
        <f>IF(OR(DD$4="",$B26=""),0,SUMIF('DADOS BRUTOS'!$A$3:$A$500,$B26,'DADOS BRUTOS'!AD$3:AD$500)+IF($C26="",0,SUMIF('DADOS BRUTOS'!$A$3:$A$500,$C26,'DADOS BRUTOS'!AD$3:AD$500)))</f>
        <v/>
      </c>
      <c r="DE26" s="123">
        <f>IF(OR(DE$4="",$B26=""),0,SUMIF('DADOS BRUTOS'!$A$3:$A$500,$B26,'DADOS BRUTOS'!AE$3:AE$500)+IF($C26="",0,SUMIF('DADOS BRUTOS'!$A$3:$A$500,$C26,'DADOS BRUTOS'!AE$3:AE$500)))</f>
        <v/>
      </c>
      <c r="DF26" s="123">
        <f>IF(OR(DF$4="",$B26=""),0,SUMIF('DADOS BRUTOS'!$A$3:$A$500,$B26,'DADOS BRUTOS'!AF$3:AF$500)+IF($C26="",0,SUMIF('DADOS BRUTOS'!$A$3:$A$500,$C26,'DADOS BRUTOS'!AF$3:AF$500)))</f>
        <v/>
      </c>
      <c r="DG26" s="123">
        <f>IF(OR(DG$4="",$B26=""),0,SUMIF('DADOS BRUTOS'!$A$3:$A$500,$B26,'DADOS BRUTOS'!AG$3:AG$500)+IF($C26="",0,SUMIF('DADOS BRUTOS'!$A$3:$A$500,$C26,'DADOS BRUTOS'!AG$3:AG$500)))</f>
        <v/>
      </c>
      <c r="DH26" s="123">
        <f>IF(OR(DH$4="",$B26=""),0,SUMIF('DADOS BRUTOS'!$A$3:$A$500,$B26,'DADOS BRUTOS'!AH$3:AH$500)+IF($C26="",0,SUMIF('DADOS BRUTOS'!$A$3:$A$500,$C26,'DADOS BRUTOS'!AH$3:AH$500)))</f>
        <v/>
      </c>
      <c r="DI26" s="123">
        <f>IF(OR(DI$4="",$B26=""),0,SUMIF('DADOS BRUTOS'!$A$3:$A$500,$B26,'DADOS BRUTOS'!AI$3:AI$500)+IF($C26="",0,SUMIF('DADOS BRUTOS'!$A$3:$A$500,$C26,'DADOS BRUTOS'!AI$3:AI$500)))</f>
        <v/>
      </c>
      <c r="DJ26" s="123">
        <f>IF(OR(DJ$4="",$B26=""),0,SUMIF('DADOS BRUTOS'!$A$3:$A$500,$B26,'DADOS BRUTOS'!AJ$3:AJ$500)+IF($C26="",0,SUMIF('DADOS BRUTOS'!$A$3:$A$500,$C26,'DADOS BRUTOS'!AJ$3:AJ$500)))</f>
        <v/>
      </c>
      <c r="DK26" s="123">
        <f>IF(OR(DK$4="",$B26=""),0,SUMIF('DADOS BRUTOS'!$A$3:$A$500,$B26,'DADOS BRUTOS'!AK$3:AK$500)+IF($C26="",0,SUMIF('DADOS BRUTOS'!$A$3:$A$500,$C26,'DADOS BRUTOS'!AK$3:AK$500)))</f>
        <v/>
      </c>
      <c r="DL26" s="123">
        <f>IF(OR(DL$4="",$B26=""),0,SUMIF('DADOS BRUTOS'!$A$3:$A$500,$B26,'DADOS BRUTOS'!AL$3:AL$500)+IF($C26="",0,SUMIF('DADOS BRUTOS'!$A$3:$A$500,$C26,'DADOS BRUTOS'!AL$3:AL$500)))</f>
        <v/>
      </c>
      <c r="DM26" s="123">
        <f>IF(OR(DM$4="",$B26=""),0,SUMIF('DADOS BRUTOS'!$A$3:$A$500,$B26,'DADOS BRUTOS'!AM$3:AM$500)+IF($C26="",0,SUMIF('DADOS BRUTOS'!$A$3:$A$500,$C26,'DADOS BRUTOS'!AM$3:AM$500)))</f>
        <v/>
      </c>
      <c r="DN26" s="123">
        <f>IF(OR(DN$4="",$B26=""),0,SUMIF('DADOS BRUTOS'!$A$3:$A$500,$B26,'DADOS BRUTOS'!AN$3:AN$500)+IF($C26="",0,SUMIF('DADOS BRUTOS'!$A$3:$A$500,$C26,'DADOS BRUTOS'!AN$3:AN$500)))</f>
        <v/>
      </c>
      <c r="DO26" s="123">
        <f>IF(OR(DO$4="",$B26=""),0,SUMIF('DADOS BRUTOS'!$A$3:$A$500,$B26,'DADOS BRUTOS'!AO$3:AO$500)+IF($C26="",0,SUMIF('DADOS BRUTOS'!$A$3:$A$500,$C26,'DADOS BRUTOS'!AO$3:AO$500)))</f>
        <v/>
      </c>
      <c r="DP26" s="123">
        <f>IF(OR(DP$4="",$B26=""),0,SUMIF('DADOS BRUTOS'!$A$3:$A$500,$B26,'DADOS BRUTOS'!AP$3:AP$500)+IF($C26="",0,SUMIF('DADOS BRUTOS'!$A$3:$A$500,$C26,'DADOS BRUTOS'!AP$3:AP$500)))</f>
        <v/>
      </c>
      <c r="DQ26" s="123">
        <f>IF(OR(DQ$4="",$B26=""),0,SUMIF('DADOS BRUTOS'!$A$3:$A$500,$B26,'DADOS BRUTOS'!AQ$3:AQ$500)+IF($C26="",0,SUMIF('DADOS BRUTOS'!$A$3:$A$500,$C26,'DADOS BRUTOS'!AQ$3:AQ$500)))</f>
        <v/>
      </c>
      <c r="DR26" s="123">
        <f>IF(OR(DR$4="",$B26=""),0,SUMIF('DADOS BRUTOS'!$A$3:$A$500,$B26,'DADOS BRUTOS'!AR$3:AR$500)+IF($C26="",0,SUMIF('DADOS BRUTOS'!$A$3:$A$500,$C26,'DADOS BRUTOS'!AR$3:AR$500)))</f>
        <v/>
      </c>
      <c r="DS26" s="123">
        <f>IF(OR(DS$4="",$B26=""),0,SUMIF('DADOS BRUTOS'!$A$3:$A$500,$B26,'DADOS BRUTOS'!AS$3:AS$500)+IF($C26="",0,SUMIF('DADOS BRUTOS'!$A$3:$A$500,$C26,'DADOS BRUTOS'!AS$3:AS$500)))</f>
        <v/>
      </c>
      <c r="DT26" s="123">
        <f>IF(OR(DT$4="",$B26=""),0,SUMIF('DADOS BRUTOS'!$A$3:$A$500,$B26,'DADOS BRUTOS'!AT$3:AT$500)+IF($C26="",0,SUMIF('DADOS BRUTOS'!$A$3:$A$500,$C26,'DADOS BRUTOS'!AT$3:AT$500)))</f>
        <v/>
      </c>
      <c r="DU26" s="123">
        <f>IF(OR(DU$4="",$B26=""),0,SUMIF('DADOS BRUTOS'!$A$3:$A$500,$B26,'DADOS BRUTOS'!AU$3:AU$500)+IF($C26="",0,SUMIF('DADOS BRUTOS'!$A$3:$A$500,$C26,'DADOS BRUTOS'!AU$3:AU$500)))</f>
        <v/>
      </c>
      <c r="DV26" s="123">
        <f>IF(OR(DV$4="",$B26=""),0,SUMIF('DADOS BRUTOS'!$A$3:$A$500,$B26,'DADOS BRUTOS'!AV$3:AV$500)+IF($C26="",0,SUMIF('DADOS BRUTOS'!$A$3:$A$500,$C26,'DADOS BRUTOS'!AV$3:AV$500)))</f>
        <v/>
      </c>
      <c r="DW26" s="123">
        <f>IF(OR(DW$4="",$B26=""),0,SUMIF('DADOS BRUTOS'!$A$3:$A$500,$B26,'DADOS BRUTOS'!AW$3:AW$500)+IF($C26="",0,SUMIF('DADOS BRUTOS'!$A$3:$A$500,$C26,'DADOS BRUTOS'!AW$3:AW$500)))</f>
        <v/>
      </c>
      <c r="DX26" s="123">
        <f>IF(OR(DX$4="",$B26=""),0,SUMIF('DADOS BRUTOS'!$A$3:$A$500,$B26,'DADOS BRUTOS'!AX$3:AX$500)+IF($C26="",0,SUMIF('DADOS BRUTOS'!$A$3:$A$500,$C26,'DADOS BRUTOS'!AX$3:AX$500)))</f>
        <v/>
      </c>
      <c r="DY26" s="123">
        <f>IF(OR(DY$4="",$B26=""),0,SUMIF('DADOS BRUTOS'!$A$3:$A$500,$B26,'DADOS BRUTOS'!AY$3:AY$500)+IF($C26="",0,SUMIF('DADOS BRUTOS'!$A$3:$A$500,$C26,'DADOS BRUTOS'!AY$3:AY$500)))</f>
        <v/>
      </c>
      <c r="DZ26" s="123">
        <f>IF(OR(DZ$4="",$B26=""),0,SUMIF('DADOS BRUTOS'!$A$3:$A$500,$B26,'DADOS BRUTOS'!AZ$3:AZ$500)+IF($C26="",0,SUMIF('DADOS BRUTOS'!$A$3:$A$500,$C26,'DADOS BRUTOS'!AZ$3:AZ$500)))</f>
        <v/>
      </c>
      <c r="EA26" s="123">
        <f>IF(OR(EA$4="",$B26=""),0,SUMIF('DADOS BRUTOS'!$A$3:$A$500,$B26,'DADOS BRUTOS'!BA$3:BA$500)+IF($C26="",0,SUMIF('DADOS BRUTOS'!$A$3:$A$500,$C26,'DADOS BRUTOS'!BA$3:BA$500)))</f>
        <v/>
      </c>
      <c r="EB26" s="123">
        <f>IF(OR(EB$4="",$B26=""),0,SUMIF('DADOS BRUTOS'!$A$3:$A$500,$B26,'DADOS BRUTOS'!BB$3:BB$500)+IF($C26="",0,SUMIF('DADOS BRUTOS'!$A$3:$A$500,$C26,'DADOS BRUTOS'!BB$3:BB$500)))</f>
        <v/>
      </c>
      <c r="EC26" s="123">
        <f>IF(OR(EC$4="",$B26=""),0,SUMIF('DADOS BRUTOS'!$A$3:$A$500,$B26,'DADOS BRUTOS'!BC$3:BC$500)+IF($C26="",0,SUMIF('DADOS BRUTOS'!$A$3:$A$500,$C26,'DADOS BRUTOS'!BC$3:BC$500)))</f>
        <v/>
      </c>
      <c r="ED26" s="123">
        <f>IF(OR(ED$4="",$B26=""),0,SUMIF('DADOS BRUTOS'!$A$3:$A$500,$B26,'DADOS BRUTOS'!BD$3:BD$500)+IF($C26="",0,SUMIF('DADOS BRUTOS'!$A$3:$A$500,$C26,'DADOS BRUTOS'!BD$3:BD$500)))</f>
        <v/>
      </c>
      <c r="EE26" s="123">
        <f>IF(OR(EE$4="",$B26=""),0,SUMIF('DADOS BRUTOS'!$A$3:$A$500,$B26,'DADOS BRUTOS'!BE$3:BE$500)+IF($C26="",0,SUMIF('DADOS BRUTOS'!$A$3:$A$500,$C26,'DADOS BRUTOS'!BE$3:BE$500)))</f>
        <v/>
      </c>
      <c r="EF26" s="123">
        <f>IF(OR(EF$4="",$B26=""),0,SUMIF('DADOS BRUTOS'!$A$3:$A$500,$B26,'DADOS BRUTOS'!BF$3:BF$500)+IF($C26="",0,SUMIF('DADOS BRUTOS'!$A$3:$A$500,$C26,'DADOS BRUTOS'!BF$3:BF$500)))</f>
        <v/>
      </c>
      <c r="EG26" s="123">
        <f>IF(OR(EG$4="",$B26=""),0,SUMIF('DADOS BRUTOS'!$A$3:$A$500,$B26,'DADOS BRUTOS'!BG$3:BG$500)+IF($C26="",0,SUMIF('DADOS BRUTOS'!$A$3:$A$500,$C26,'DADOS BRUTOS'!BG$3:BG$500)))</f>
        <v/>
      </c>
      <c r="EH26" s="123">
        <f>IF(OR(EH$4="",$B26=""),0,SUMIF('DADOS BRUTOS'!$A$3:$A$500,$B26,'DADOS BRUTOS'!BH$3:BH$500)+IF($C26="",0,SUMIF('DADOS BRUTOS'!$A$3:$A$500,$C26,'DADOS BRUTOS'!BH$3:BH$500)))</f>
        <v/>
      </c>
      <c r="EI26" s="123">
        <f>IF(OR(EI$4="",$B26=""),0,SUMIF('DADOS BRUTOS'!$A$3:$A$500,$B26,'DADOS BRUTOS'!BI$3:BI$500)+IF($C26="",0,SUMIF('DADOS BRUTOS'!$A$3:$A$500,$C26,'DADOS BRUTOS'!BI$3:BI$500)))</f>
        <v/>
      </c>
      <c r="EJ26" s="123">
        <f>IF(OR(EJ$4="",$B26=""),0,SUMIF('DADOS BRUTOS'!$A$3:$A$500,$B26,'DADOS BRUTOS'!BJ$3:BJ$500)+IF($C26="",0,SUMIF('DADOS BRUTOS'!$A$3:$A$500,$C26,'DADOS BRUTOS'!BJ$3:BJ$500)))</f>
        <v/>
      </c>
      <c r="EK26" s="123">
        <f>IF(OR(EK$4="",$B26=""),0,SUMIF('DADOS BRUTOS'!$A$3:$A$500,$B26,'DADOS BRUTOS'!BK$3:BK$500)+IF($C26="",0,SUMIF('DADOS BRUTOS'!$A$3:$A$500,$C26,'DADOS BRUTOS'!BK$3:BK$500)))</f>
        <v/>
      </c>
      <c r="EL26" s="123">
        <f>IF(OR(EL$4="",$B26=""),0,SUMIF('DADOS BRUTOS'!$A$3:$A$500,$B26,'DADOS BRUTOS'!BL$3:BL$500)+IF($C26="",0,SUMIF('DADOS BRUTOS'!$A$3:$A$500,$C26,'DADOS BRUTOS'!BL$3:BL$500)))</f>
        <v/>
      </c>
      <c r="EM26" s="123">
        <f>IF(OR(EM$4="",$B26=""),0,SUMIF('DADOS BRUTOS'!$A$3:$A$500,$B26,'DADOS BRUTOS'!BM$3:BM$500)+IF($C26="",0,SUMIF('DADOS BRUTOS'!$A$3:$A$500,$C26,'DADOS BRUTOS'!BM$3:BM$500)))</f>
        <v/>
      </c>
      <c r="EN26" s="123">
        <f>IF(OR(EN$4="",$B26=""),0,SUMIF('DADOS BRUTOS'!$A$3:$A$500,$B26,'DADOS BRUTOS'!BN$3:BN$500)+IF($C26="",0,SUMIF('DADOS BRUTOS'!$A$3:$A$500,$C26,'DADOS BRUTOS'!BN$3:BN$500)))</f>
        <v/>
      </c>
      <c r="EO26" s="123">
        <f>IF(OR(EO$4="",$B26=""),0,SUMIF('DADOS BRUTOS'!$A$3:$A$500,$B26,'DADOS BRUTOS'!BO$3:BO$500)+IF($C26="",0,SUMIF('DADOS BRUTOS'!$A$3:$A$500,$C26,'DADOS BRUTOS'!BO$3:BO$500)))</f>
        <v/>
      </c>
      <c r="EP26" s="123">
        <f>IF(OR(EP$4="",$B26=""),0,SUMIF('DADOS BRUTOS'!$A$3:$A$500,$B26,'DADOS BRUTOS'!BP$3:BP$500)+IF($C26="",0,SUMIF('DADOS BRUTOS'!$A$3:$A$500,$C26,'DADOS BRUTOS'!BP$3:BP$500)))</f>
        <v/>
      </c>
      <c r="EQ26" s="123">
        <f>IF(OR(EQ$4="",$B26=""),0,SUMIF('DADOS BRUTOS'!$A$3:$A$500,$B26,'DADOS BRUTOS'!BQ$3:BQ$500)+IF($C26="",0,SUMIF('DADOS BRUTOS'!$A$3:$A$500,$C26,'DADOS BRUTOS'!BQ$3:BQ$500)))</f>
        <v/>
      </c>
      <c r="ER26" s="123">
        <f>IF(OR(ER$4="",$B26=""),0,SUMIF('DADOS BRUTOS'!$A$3:$A$500,$B26,'DADOS BRUTOS'!BR$3:BR$500)+IF($C26="",0,SUMIF('DADOS BRUTOS'!$A$3:$A$500,$C26,'DADOS BRUTOS'!BR$3:BR$500)))</f>
        <v/>
      </c>
      <c r="ES26" s="123">
        <f>IF(OR(ES$4="",$B26=""),0,SUMIF('DADOS BRUTOS'!$A$3:$A$500,$B26,'DADOS BRUTOS'!BS$3:BS$500)+IF($C26="",0,SUMIF('DADOS BRUTOS'!$A$3:$A$500,$C26,'DADOS BRUTOS'!BS$3:BS$500)))</f>
        <v/>
      </c>
      <c r="ET26" s="123">
        <f>IF(OR(ET$4="",$B26=""),0,SUMIF('DADOS BRUTOS'!$A$3:$A$500,$B26,'DADOS BRUTOS'!BT$3:BT$500)+IF($C26="",0,SUMIF('DADOS BRUTOS'!$A$3:$A$500,$C26,'DADOS BRUTOS'!BT$3:BT$500)))</f>
        <v/>
      </c>
      <c r="EU26" s="123">
        <f>IF(OR(EU$4="",$B26=""),0,SUMIF('DADOS BRUTOS'!$A$3:$A$500,$B26,'DADOS BRUTOS'!BU$3:BU$500)+IF($C26="",0,SUMIF('DADOS BRUTOS'!$A$3:$A$500,$C26,'DADOS BRUTOS'!BU$3:BU$500)))</f>
        <v/>
      </c>
      <c r="EV26" s="123">
        <f>IF(OR(EV$4="",$B26=""),0,SUMIF('DADOS BRUTOS'!$A$3:$A$500,$B26,'DADOS BRUTOS'!BV$3:BV$500)+IF($C26="",0,SUMIF('DADOS BRUTOS'!$A$3:$A$500,$C26,'DADOS BRUTOS'!BV$3:BV$500)))</f>
        <v/>
      </c>
      <c r="EW26" s="123">
        <f>IF(OR(EW$4="",$B26=""),0,SUMIF('DADOS BRUTOS'!$A$3:$A$500,$B26,'DADOS BRUTOS'!BW$3:BW$500)+IF($C26="",0,SUMIF('DADOS BRUTOS'!$A$3:$A$500,$C26,'DADOS BRUTOS'!BW$3:BW$500)))</f>
        <v/>
      </c>
      <c r="EX26" s="123">
        <f>IF(OR(EX$4="",$B26=""),0,SUMIF('DADOS BRUTOS'!$A$3:$A$500,$B26,'DADOS BRUTOS'!BX$3:BX$500)+IF($C26="",0,SUMIF('DADOS BRUTOS'!$A$3:$A$500,$C26,'DADOS BRUTOS'!BX$3:BX$500)))</f>
        <v/>
      </c>
      <c r="EY26" s="123">
        <f>IF(OR(EY$4="",$B26=""),0,SUMIF('DADOS BRUTOS'!$A$3:$A$500,$B26,'DADOS BRUTOS'!BY$3:BY$500)+IF($C26="",0,SUMIF('DADOS BRUTOS'!$A$3:$A$500,$C26,'DADOS BRUTOS'!BY$3:BY$500)))</f>
        <v/>
      </c>
      <c r="EZ26" s="123">
        <f>IF(OR(EZ$4="",$B26=""),0,SUMIF('DADOS BRUTOS'!$A$3:$A$500,$B26,'DADOS BRUTOS'!BZ$3:BZ$500)+IF($C26="",0,SUMIF('DADOS BRUTOS'!$A$3:$A$500,$C26,'DADOS BRUTOS'!BZ$3:BZ$500)))</f>
        <v/>
      </c>
      <c r="FA26" s="123">
        <f>IF(OR(FA$4="",$B26=""),0,SUMIF('DADOS BRUTOS'!$A$3:$A$500,$B26,'DADOS BRUTOS'!CA$3:CA$500)+IF($C26="",0,SUMIF('DADOS BRUTOS'!$A$3:$A$500,$C26,'DADOS BRUTOS'!CA$3:CA$500)))</f>
        <v/>
      </c>
      <c r="FB26" s="123">
        <f>IF(OR(FB$4="",$B26=""),0,SUMIF('DADOS BRUTOS'!$A$3:$A$500,$B26,'DADOS BRUTOS'!CB$3:CB$500)+IF($C26="",0,SUMIF('DADOS BRUTOS'!$A$3:$A$500,$C26,'DADOS BRUTOS'!CB$3:CB$500)))</f>
        <v/>
      </c>
      <c r="FC26" s="123">
        <f>IF(OR(FC$4="",$B26=""),0,SUMIF('DADOS BRUTOS'!$A$3:$A$500,$B26,'DADOS BRUTOS'!CC$3:CC$500)+IF($C26="",0,SUMIF('DADOS BRUTOS'!$A$3:$A$500,$C26,'DADOS BRUTOS'!CC$3:CC$500)))</f>
        <v/>
      </c>
      <c r="FD26" s="123">
        <f>IF(OR(FD$4="",$B26=""),0,SUMIF('DADOS BRUTOS'!$A$3:$A$500,$B26,'DADOS BRUTOS'!CD$3:CD$500)+IF($C26="",0,SUMIF('DADOS BRUTOS'!$A$3:$A$500,$C26,'DADOS BRUTOS'!CD$3:CD$500)))</f>
        <v/>
      </c>
      <c r="FE26" s="123">
        <f>IF(OR(FE$4="",$B26=""),0,SUMIF('DADOS BRUTOS'!$A$3:$A$500,$B26,'DADOS BRUTOS'!CE$3:CE$500)+IF($C26="",0,SUMIF('DADOS BRUTOS'!$A$3:$A$500,$C26,'DADOS BRUTOS'!CE$3:CE$500)))</f>
        <v/>
      </c>
      <c r="FF26" s="123">
        <f>IF(OR(FF$4="",$B26=""),0,SUMIF('DADOS BRUTOS'!$A$3:$A$500,$B26,'DADOS BRUTOS'!CF$3:CF$500)+IF($C26="",0,SUMIF('DADOS BRUTOS'!$A$3:$A$500,$C26,'DADOS BRUTOS'!CF$3:CF$500)))</f>
        <v/>
      </c>
      <c r="FG26" s="123">
        <f>IF(OR(FG$4="",$B26=""),0,SUMIF('DADOS BRUTOS'!$A$3:$A$500,$B26,'DADOS BRUTOS'!CG$3:CG$500)+IF($C26="",0,SUMIF('DADOS BRUTOS'!$A$3:$A$500,$C26,'DADOS BRUTOS'!CG$3:CG$500)))</f>
        <v/>
      </c>
      <c r="FH26" s="123">
        <f>IF(OR(FH$4="",$B26=""),0,SUMIF('DADOS BRUTOS'!$A$3:$A$500,$B26,'DADOS BRUTOS'!CH$3:CH$500)+IF($C26="",0,SUMIF('DADOS BRUTOS'!$A$3:$A$500,$C26,'DADOS BRUTOS'!CH$3:CH$500)))</f>
        <v/>
      </c>
      <c r="FI26" s="123">
        <f>IF(OR(FI$4="",$B26=""),0,SUMIF('DADOS BRUTOS'!$A$3:$A$500,$B26,'DADOS BRUTOS'!CI$3:CI$500)+IF($C26="",0,SUMIF('DADOS BRUTOS'!$A$3:$A$500,$C26,'DADOS BRUTOS'!CI$3:CI$500)))</f>
        <v/>
      </c>
      <c r="FJ26" s="123">
        <f>IF(OR(FJ$4="",$B26=""),0,SUMIF('DADOS BRUTOS'!$A$3:$A$500,$B26,'DADOS BRUTOS'!CJ$3:CJ$500)+IF($C26="",0,SUMIF('DADOS BRUTOS'!$A$3:$A$500,$C26,'DADOS BRUTOS'!CJ$3:CJ$500)))</f>
        <v/>
      </c>
      <c r="FK26" s="123">
        <f>IF(OR(FK$4="",$B26=""),0,SUMIF('DADOS BRUTOS'!$A$3:$A$500,$B26,'DADOS BRUTOS'!CK$3:CK$500)+IF($C26="",0,SUMIF('DADOS BRUTOS'!$A$3:$A$500,$C26,'DADOS BRUTOS'!CK$3:CK$500)))</f>
        <v/>
      </c>
      <c r="FL26" s="123">
        <f>IF(OR(FL$4="",$B26=""),0,SUMIF('DADOS BRUTOS'!$A$3:$A$500,$B26,'DADOS BRUTOS'!CL$3:CL$500)+IF($C26="",0,SUMIF('DADOS BRUTOS'!$A$3:$A$500,$C26,'DADOS BRUTOS'!CL$3:CL$500)))</f>
        <v/>
      </c>
      <c r="FM26" s="123">
        <f>IF(OR(FM$4="",$B26=""),0,SUMIF('DADOS BRUTOS'!$A$3:$A$500,$B26,'DADOS BRUTOS'!CM$3:CM$500)+IF($C26="",0,SUMIF('DADOS BRUTOS'!$A$3:$A$500,$C26,'DADOS BRUTOS'!CM$3:CM$500)))</f>
        <v/>
      </c>
      <c r="FN26" s="123">
        <f>IF(OR(FN$4="",$B26=""),0,SUMIF('DADOS BRUTOS'!$A$3:$A$500,$B26,'DADOS BRUTOS'!CN$3:CN$500)+IF($C26="",0,SUMIF('DADOS BRUTOS'!$A$3:$A$500,$C26,'DADOS BRUTOS'!CN$3:CN$500)))</f>
        <v/>
      </c>
      <c r="FO26" s="123">
        <f>IF(OR(FO$4="",$B26=""),0,SUMIF('DADOS BRUTOS'!$A$3:$A$500,$B26,'DADOS BRUTOS'!CO$3:CO$500)+IF($C26="",0,SUMIF('DADOS BRUTOS'!$A$3:$A$500,$C26,'DADOS BRUTOS'!CO$3:CO$500)))</f>
        <v/>
      </c>
      <c r="FP26" s="123">
        <f>IF(OR(FP$4="",$B26=""),0,SUMIF('DADOS BRUTOS'!$A$3:$A$500,$B26,'DADOS BRUTOS'!CP$3:CP$500)+IF($C26="",0,SUMIF('DADOS BRUTOS'!$A$3:$A$500,$C26,'DADOS BRUTOS'!CP$3:CP$500)))</f>
        <v/>
      </c>
      <c r="FQ26" s="123">
        <f>IF(OR(FQ$4="",$B26=""),0,SUMIF('DADOS BRUTOS'!$A$3:$A$500,$B26,'DADOS BRUTOS'!CQ$3:CQ$500)+IF($C26="",0,SUMIF('DADOS BRUTOS'!$A$3:$A$500,$C26,'DADOS BRUTOS'!CQ$3:CQ$500)))</f>
        <v/>
      </c>
      <c r="FR26" s="123">
        <f>IF(OR(FR$4="",$B26=""),0,SUMIF('DADOS BRUTOS'!$A$3:$A$500,$B26,'DADOS BRUTOS'!CR$3:CR$500)+IF($C26="",0,SUMIF('DADOS BRUTOS'!$A$3:$A$500,$C26,'DADOS BRUTOS'!CR$3:CR$500)))</f>
        <v/>
      </c>
      <c r="FS26" s="123">
        <f>IF(OR(FS$4="",$B26=""),0,SUMIF('DADOS BRUTOS'!$A$3:$A$500,$B26,'DADOS BRUTOS'!CS$3:CS$500)+IF($C26="",0,SUMIF('DADOS BRUTOS'!$A$3:$A$500,$C26,'DADOS BRUTOS'!CS$3:CS$500)))</f>
        <v/>
      </c>
      <c r="FT26" s="123">
        <f>IF(OR(FT$4="",$B26=""),0,SUMIF('DADOS BRUTOS'!$A$3:$A$500,$B26,'DADOS BRUTOS'!CT$3:CT$500)+IF($C26="",0,SUMIF('DADOS BRUTOS'!$A$3:$A$500,$C26,'DADOS BRUTOS'!CT$3:CT$500)))</f>
        <v/>
      </c>
      <c r="FU26" s="123">
        <f>IF(OR(FU$4="",$B26=""),0,SUMIF('DADOS BRUTOS'!$A$3:$A$500,$B26,'DADOS BRUTOS'!CU$3:CU$500)+IF($C26="",0,SUMIF('DADOS BRUTOS'!$A$3:$A$500,$C26,'DADOS BRUTOS'!CU$3:CU$500)))</f>
        <v/>
      </c>
      <c r="FV26" s="123">
        <f>IF(OR(FV$4="",$B26=""),0,SUMIF('DADOS BRUTOS'!$A$3:$A$500,$B26,'DADOS BRUTOS'!CV$3:CV$500)+IF($C26="",0,SUMIF('DADOS BRUTOS'!$A$3:$A$500,$C26,'DADOS BRUTOS'!CV$3:CV$500)))</f>
        <v/>
      </c>
      <c r="FW26" s="123">
        <f>IF(OR(FW$4="",$B26=""),0,SUMIF('DADOS BRUTOS'!$A$3:$A$500,$B26,'DADOS BRUTOS'!CW$3:CW$500)+IF($C26="",0,SUMIF('DADOS BRUTOS'!$A$3:$A$500,$C26,'DADOS BRUTOS'!CW$3:CW$500)))</f>
        <v/>
      </c>
      <c r="FX26" s="123">
        <f>IF(OR(FX$4="",$B26=""),0,SUMIF('DADOS BRUTOS'!$A$3:$A$500,$B26,'DADOS BRUTOS'!CX$3:CX$500)+IF($C26="",0,SUMIF('DADOS BRUTOS'!$A$3:$A$500,$C26,'DADOS BRUTOS'!CX$3:CX$500)))</f>
        <v/>
      </c>
      <c r="FY26" s="123">
        <f>IF(OR(FY$4="",$B26=""),0,SUMIF('DADOS BRUTOS'!$A$3:$A$500,$B26,'DADOS BRUTOS'!CY$3:CY$500)+IF($C26="",0,SUMIF('DADOS BRUTOS'!$A$3:$A$500,$C26,'DADOS BRUTOS'!CY$3:CY$500)))</f>
        <v/>
      </c>
      <c r="FZ26" s="123">
        <f>IF(OR(FZ$4="",$B26=""),0,SUMIF('DADOS BRUTOS'!$A$3:$A$500,$B26,'DADOS BRUTOS'!CZ$3:CZ$500)+IF($C26="",0,SUMIF('DADOS BRUTOS'!$A$3:$A$500,$C26,'DADOS BRUTOS'!CZ$3:CZ$500)))</f>
        <v/>
      </c>
      <c r="GA26" s="123">
        <f>IF(OR(GA$4="",$B26=""),0,SUMIF('DADOS BRUTOS'!$A$3:$A$500,$B26,'DADOS BRUTOS'!DA$3:DA$500)+IF($C26="",0,SUMIF('DADOS BRUTOS'!$A$3:$A$500,$C26,'DADOS BRUTOS'!DA$3:DA$500)))</f>
        <v/>
      </c>
      <c r="GB26" s="123">
        <f>IF(OR(GB$4="",$B26=""),0,SUMIF('DADOS BRUTOS'!$A$3:$A$500,$B26,'DADOS BRUTOS'!DB$3:DB$500)+IF($C26="",0,SUMIF('DADOS BRUTOS'!$A$3:$A$500,$C26,'DADOS BRUTOS'!DB$3:DB$500)))</f>
        <v/>
      </c>
      <c r="GC26" s="123">
        <f>IF(OR(GC$4="",$B26=""),0,SUMIF('DADOS BRUTOS'!$A$3:$A$500,$B26,'DADOS BRUTOS'!DC$3:DC$500)+IF($C26="",0,SUMIF('DADOS BRUTOS'!$A$3:$A$500,$C26,'DADOS BRUTOS'!DC$3:DC$500)))</f>
        <v/>
      </c>
      <c r="GD26" s="123">
        <f>IF(OR(GD$4="",$B26=""),0,SUMIF('DADOS BRUTOS'!$A$3:$A$500,$B26,'DADOS BRUTOS'!DD$3:DD$500)+IF($C26="",0,SUMIF('DADOS BRUTOS'!$A$3:$A$500,$C26,'DADOS BRUTOS'!DD$3:DD$500)))</f>
        <v/>
      </c>
      <c r="GE26" s="123">
        <f>IF(OR(GE$4="",$B26=""),0,SUMIF('DADOS BRUTOS'!$A$3:$A$500,$B26,'DADOS BRUTOS'!DE$3:DE$500)+IF($C26="",0,SUMIF('DADOS BRUTOS'!$A$3:$A$500,$C26,'DADOS BRUTOS'!DE$3:DE$500)))</f>
        <v/>
      </c>
      <c r="GF26" s="123">
        <f>IF(OR(GF$4="",$B26=""),0,SUMIF('DADOS BRUTOS'!$A$3:$A$500,$B26,'DADOS BRUTOS'!DF$3:DF$500)+IF($C26="",0,SUMIF('DADOS BRUTOS'!$A$3:$A$500,$C26,'DADOS BRUTOS'!DF$3:DF$500)))</f>
        <v/>
      </c>
      <c r="GG26" s="123">
        <f>IF(OR(GG$4="",$B26=""),0,SUMIF('DADOS BRUTOS'!$A$3:$A$500,$B26,'DADOS BRUTOS'!DG$3:DG$500)+IF($C26="",0,SUMIF('DADOS BRUTOS'!$A$3:$A$500,$C26,'DADOS BRUTOS'!DG$3:DG$500)))</f>
        <v/>
      </c>
      <c r="GH26" s="123">
        <f>IF(OR(GH$4="",$B26=""),0,SUMIF('DADOS BRUTOS'!$A$3:$A$500,$B26,'DADOS BRUTOS'!DH$3:DH$500)+IF($C26="",0,SUMIF('DADOS BRUTOS'!$A$3:$A$500,$C26,'DADOS BRUTOS'!DH$3:DH$500)))</f>
        <v/>
      </c>
      <c r="GI26" s="123">
        <f>IF(OR(GI$4="",$B26=""),0,SUMIF('DADOS BRUTOS'!$A$3:$A$500,$B26,'DADOS BRUTOS'!DI$3:DI$500)+IF($C26="",0,SUMIF('DADOS BRUTOS'!$A$3:$A$500,$C26,'DADOS BRUTOS'!DI$3:DI$500)))</f>
        <v/>
      </c>
      <c r="GJ26" s="123">
        <f>IF(OR(GJ$4="",$B26=""),0,SUMIF('DADOS BRUTOS'!$A$3:$A$500,$B26,'DADOS BRUTOS'!DJ$3:DJ$500)+IF($C26="",0,SUMIF('DADOS BRUTOS'!$A$3:$A$500,$C26,'DADOS BRUTOS'!DJ$3:DJ$500)))</f>
        <v/>
      </c>
      <c r="GK26" s="123">
        <f>IF(OR(GK$4="",$B26=""),0,SUMIF('DADOS BRUTOS'!$A$3:$A$500,$B26,'DADOS BRUTOS'!DK$3:DK$500)+IF($C26="",0,SUMIF('DADOS BRUTOS'!$A$3:$A$500,$C26,'DADOS BRUTOS'!DK$3:DK$500)))</f>
        <v/>
      </c>
      <c r="GL26" s="123">
        <f>IF(OR(GL$4="",$B26=""),0,SUMIF('DADOS BRUTOS'!$A$3:$A$500,$B26,'DADOS BRUTOS'!DL$3:DL$500)+IF($C26="",0,SUMIF('DADOS BRUTOS'!$A$3:$A$500,$C26,'DADOS BRUTOS'!DL$3:DL$500)))</f>
        <v/>
      </c>
      <c r="GM26" s="123">
        <f>IF(OR(GM$4="",$B26=""),0,SUMIF('DADOS BRUTOS'!$A$3:$A$500,$B26,'DADOS BRUTOS'!DM$3:DM$500)+IF($C26="",0,SUMIF('DADOS BRUTOS'!$A$3:$A$500,$C26,'DADOS BRUTOS'!DM$3:DM$500)))</f>
        <v/>
      </c>
      <c r="GN26" s="123">
        <f>IF(OR(GN$4="",$B26=""),0,SUMIF('DADOS BRUTOS'!$A$3:$A$500,$B26,'DADOS BRUTOS'!DN$3:DN$500)+IF($C26="",0,SUMIF('DADOS BRUTOS'!$A$3:$A$500,$C26,'DADOS BRUTOS'!DN$3:DN$500)))</f>
        <v/>
      </c>
      <c r="GO26" s="123">
        <f>IF(OR(GO$4="",$B26=""),0,SUMIF('DADOS BRUTOS'!$A$3:$A$500,$B26,'DADOS BRUTOS'!DO$3:DO$500)+IF($C26="",0,SUMIF('DADOS BRUTOS'!$A$3:$A$500,$C26,'DADOS BRUTOS'!DO$3:DO$500)))</f>
        <v/>
      </c>
      <c r="GP26" s="123">
        <f>IF(OR(GP$4="",$B26=""),0,SUMIF('DADOS BRUTOS'!$A$3:$A$500,$B26,'DADOS BRUTOS'!DP$3:DP$500)+IF($C26="",0,SUMIF('DADOS BRUTOS'!$A$3:$A$500,$C26,'DADOS BRUTOS'!DP$3:DP$500)))</f>
        <v/>
      </c>
      <c r="GQ26" s="123">
        <f>IF(OR(GQ$4="",$B26=""),0,SUMIF('DADOS BRUTOS'!$A$3:$A$500,$B26,'DADOS BRUTOS'!DQ$3:DQ$500)+IF($C26="",0,SUMIF('DADOS BRUTOS'!$A$3:$A$500,$C26,'DADOS BRUTOS'!DQ$3:DQ$500)))</f>
        <v/>
      </c>
      <c r="GR26" s="123">
        <f>IF(OR(GR$4="",$B26=""),0,SUMIF('DADOS BRUTOS'!$A$3:$A$500,$B26,'DADOS BRUTOS'!DR$3:DR$500)+IF($C26="",0,SUMIF('DADOS BRUTOS'!$A$3:$A$500,$C26,'DADOS BRUTOS'!DR$3:DR$500)))</f>
        <v/>
      </c>
      <c r="GS26" s="123">
        <f>IF(OR(GS$4="",$B26=""),0,SUMIF('DADOS BRUTOS'!$A$3:$A$500,$B26,'DADOS BRUTOS'!DS$3:DS$500)+IF($C26="",0,SUMIF('DADOS BRUTOS'!$A$3:$A$500,$C26,'DADOS BRUTOS'!DS$3:DS$500)))</f>
        <v/>
      </c>
      <c r="GT26" s="123">
        <f>IF(OR(GT$4="",$B26=""),0,SUMIF('DADOS BRUTOS'!$A$3:$A$500,$B26,'DADOS BRUTOS'!DT$3:DT$500)+IF($C26="",0,SUMIF('DADOS BRUTOS'!$A$3:$A$500,$C26,'DADOS BRUTOS'!DT$3:DT$500)))</f>
        <v/>
      </c>
      <c r="GU26" s="123">
        <f>IF(OR(GU$4="",$B26=""),0,SUMIF('DADOS BRUTOS'!$A$3:$A$500,$B26,'DADOS BRUTOS'!DU$3:DU$500)+IF($C26="",0,SUMIF('DADOS BRUTOS'!$A$3:$A$500,$C26,'DADOS BRUTOS'!DU$3:DU$500)))</f>
        <v/>
      </c>
      <c r="GV26" s="123">
        <f>IF(OR(GV$4="",$B26=""),0,SUMIF('DADOS BRUTOS'!$A$3:$A$500,$B26,'DADOS BRUTOS'!DV$3:DV$500)+IF($C26="",0,SUMIF('DADOS BRUTOS'!$A$3:$A$500,$C26,'DADOS BRUTOS'!DV$3:DV$500)))</f>
        <v/>
      </c>
      <c r="GW26" s="123">
        <f>IF(OR(GW$4="",$B26=""),0,SUMIF('DADOS BRUTOS'!$A$3:$A$500,$B26,'DADOS BRUTOS'!DW$3:DW$500)+IF($C26="",0,SUMIF('DADOS BRUTOS'!$A$3:$A$500,$C26,'DADOS BRUTOS'!DW$3:DW$500)))</f>
        <v/>
      </c>
      <c r="GX26" s="123">
        <f>IF(OR(GX$4="",$B26=""),0,SUMIF('DADOS BRUTOS'!$A$3:$A$500,$B26,'DADOS BRUTOS'!DX$3:DX$500)+IF($C26="",0,SUMIF('DADOS BRUTOS'!$A$3:$A$500,$C26,'DADOS BRUTOS'!DX$3:DX$500)))</f>
        <v/>
      </c>
      <c r="GY26" s="123">
        <f>IF(OR(GY$4="",$B26=""),0,SUMIF('DADOS BRUTOS'!$A$3:$A$500,$B26,'DADOS BRUTOS'!DY$3:DY$500)+IF($C26="",0,SUMIF('DADOS BRUTOS'!$A$3:$A$500,$C26,'DADOS BRUTOS'!DY$3:DY$500)))</f>
        <v/>
      </c>
      <c r="GZ26" s="123">
        <f>IF(OR(GZ$4="",$B26=""),0,SUMIF('DADOS BRUTOS'!$A$3:$A$500,$B26,'DADOS BRUTOS'!DZ$3:DZ$500)+IF($C26="",0,SUMIF('DADOS BRUTOS'!$A$3:$A$500,$C26,'DADOS BRUTOS'!DZ$3:DZ$500)))</f>
        <v/>
      </c>
      <c r="HA26" s="123">
        <f>IF(OR(HA$4="",$B26=""),0,SUMIF('DADOS BRUTOS'!$A$3:$A$500,$B26,'DADOS BRUTOS'!EA$3:EA$500)+IF($C26="",0,SUMIF('DADOS BRUTOS'!$A$3:$A$500,$C26,'DADOS BRUTOS'!EA$3:EA$500)))</f>
        <v/>
      </c>
      <c r="HB26" s="123">
        <f>IF(OR(HB$4="",$B26=""),0,SUMIF('DADOS BRUTOS'!$A$3:$A$500,$B26,'DADOS BRUTOS'!EB$3:EB$500)+IF($C26="",0,SUMIF('DADOS BRUTOS'!$A$3:$A$500,$C26,'DADOS BRUTOS'!EB$3:EB$500)))</f>
        <v/>
      </c>
      <c r="HC26" s="123">
        <f>IF(OR(HC$4="",$B26=""),0,SUMIF('DADOS BRUTOS'!$A$3:$A$500,$B26,'DADOS BRUTOS'!EC$3:EC$500)+IF($C26="",0,SUMIF('DADOS BRUTOS'!$A$3:$A$500,$C26,'DADOS BRUTOS'!EC$3:EC$500)))</f>
        <v/>
      </c>
      <c r="HD26" s="123">
        <f>IF(OR(HD$4="",$B26=""),0,SUMIF('DADOS BRUTOS'!$A$3:$A$500,$B26,'DADOS BRUTOS'!ED$3:ED$500)+IF($C26="",0,SUMIF('DADOS BRUTOS'!$A$3:$A$500,$C26,'DADOS BRUTOS'!ED$3:ED$500)))</f>
        <v/>
      </c>
      <c r="HE26" s="123">
        <f>IF(OR(HE$4="",$B26=""),0,SUMIF('DADOS BRUTOS'!$A$3:$A$500,$B26,'DADOS BRUTOS'!EE$3:EE$500)+IF($C26="",0,SUMIF('DADOS BRUTOS'!$A$3:$A$500,$C26,'DADOS BRUTOS'!EE$3:EE$500)))</f>
        <v/>
      </c>
      <c r="HF26" s="123">
        <f>IF(OR(HF$4="",$B26=""),0,SUMIF('DADOS BRUTOS'!$A$3:$A$500,$B26,'DADOS BRUTOS'!EF$3:EF$500)+IF($C26="",0,SUMIF('DADOS BRUTOS'!$A$3:$A$500,$C26,'DADOS BRUTOS'!EF$3:EF$500)))</f>
        <v/>
      </c>
      <c r="HG26" s="123">
        <f>IF(OR(HG$4="",$B26=""),0,SUMIF('DADOS BRUTOS'!$A$3:$A$500,$B26,'DADOS BRUTOS'!EG$3:EG$500)+IF($C26="",0,SUMIF('DADOS BRUTOS'!$A$3:$A$500,$C26,'DADOS BRUTOS'!EG$3:EG$500)))</f>
        <v/>
      </c>
      <c r="HH26" s="123">
        <f>IF(OR(HH$4="",$B26=""),0,SUMIF('DADOS BRUTOS'!$A$3:$A$500,$B26,'DADOS BRUTOS'!EH$3:EH$500)+IF($C26="",0,SUMIF('DADOS BRUTOS'!$A$3:$A$500,$C26,'DADOS BRUTOS'!EH$3:EH$500)))</f>
        <v/>
      </c>
      <c r="HI26" s="123">
        <f>IF(OR(HI$4="",$B26=""),0,SUMIF('DADOS BRUTOS'!$A$3:$A$500,$B26,'DADOS BRUTOS'!EI$3:EI$500)+IF($C26="",0,SUMIF('DADOS BRUTOS'!$A$3:$A$500,$C26,'DADOS BRUTOS'!EI$3:EI$500)))</f>
        <v/>
      </c>
      <c r="HJ26" s="123">
        <f>IF(OR(HJ$4="",$B26=""),0,SUMIF('DADOS BRUTOS'!$A$3:$A$500,$B26,'DADOS BRUTOS'!EJ$3:EJ$500)+IF($C26="",0,SUMIF('DADOS BRUTOS'!$A$3:$A$500,$C26,'DADOS BRUTOS'!EJ$3:EJ$500)))</f>
        <v/>
      </c>
      <c r="HK26" s="123">
        <f>IF(OR(HK$4="",$B26=""),0,SUMIF('DADOS BRUTOS'!$A$3:$A$500,$B26,'DADOS BRUTOS'!EK$3:EK$500)+IF($C26="",0,SUMIF('DADOS BRUTOS'!$A$3:$A$500,$C26,'DADOS BRUTOS'!EK$3:EK$500)))</f>
        <v/>
      </c>
      <c r="HL26" s="123">
        <f>IF(OR(HL$4="",$B26=""),0,SUMIF('DADOS BRUTOS'!$A$3:$A$500,$B26,'DADOS BRUTOS'!EL$3:EL$500)+IF($C26="",0,SUMIF('DADOS BRUTOS'!$A$3:$A$500,$C26,'DADOS BRUTOS'!EL$3:EL$500)))</f>
        <v/>
      </c>
      <c r="HM26" s="123">
        <f>IF(OR(HM$4="",$B26=""),0,SUMIF('DADOS BRUTOS'!$A$3:$A$500,$B26,'DADOS BRUTOS'!EM$3:EM$500)+IF($C26="",0,SUMIF('DADOS BRUTOS'!$A$3:$A$500,$C26,'DADOS BRUTOS'!EM$3:EM$500)))</f>
        <v/>
      </c>
      <c r="HN26" s="123">
        <f>IF(OR(HN$4="",$B26=""),0,SUMIF('DADOS BRUTOS'!$A$3:$A$500,$B26,'DADOS BRUTOS'!EN$3:EN$500)+IF($C26="",0,SUMIF('DADOS BRUTOS'!$A$3:$A$500,$C26,'DADOS BRUTOS'!EN$3:EN$500)))</f>
        <v/>
      </c>
      <c r="HO26" s="123">
        <f>IF(OR(HO$4="",$B26=""),0,SUMIF('DADOS BRUTOS'!$A$3:$A$500,$B26,'DADOS BRUTOS'!EO$3:EO$500)+IF($C26="",0,SUMIF('DADOS BRUTOS'!$A$3:$A$500,$C26,'DADOS BRUTOS'!EO$3:EO$500)))</f>
        <v/>
      </c>
      <c r="HP26" s="123">
        <f>IF(OR(HP$4="",$B26=""),0,SUMIF('DADOS BRUTOS'!$A$3:$A$500,$B26,'DADOS BRUTOS'!EP$3:EP$500)+IF($C26="",0,SUMIF('DADOS BRUTOS'!$A$3:$A$500,$C26,'DADOS BRUTOS'!EP$3:EP$500)))</f>
        <v/>
      </c>
      <c r="HQ26" s="123">
        <f>IF(OR(HQ$4="",$B26=""),0,SUMIF('DADOS BRUTOS'!$A$3:$A$500,$B26,'DADOS BRUTOS'!EQ$3:EQ$500)+IF($C26="",0,SUMIF('DADOS BRUTOS'!$A$3:$A$500,$C26,'DADOS BRUTOS'!EQ$3:EQ$500)))</f>
        <v/>
      </c>
      <c r="HR26" s="123">
        <f>IF(OR(HR$4="",$B26=""),0,SUMIF('DADOS BRUTOS'!$A$3:$A$500,$B26,'DADOS BRUTOS'!ER$3:ER$500)+IF($C26="",0,SUMIF('DADOS BRUTOS'!$A$3:$A$500,$C26,'DADOS BRUTOS'!ER$3:ER$500)))</f>
        <v/>
      </c>
      <c r="HS26" s="123">
        <f>IF(OR(HS$4="",$B26=""),0,SUMIF('DADOS BRUTOS'!$A$3:$A$500,$B26,'DADOS BRUTOS'!ES$3:ES$500)+IF($C26="",0,SUMIF('DADOS BRUTOS'!$A$3:$A$500,$C26,'DADOS BRUTOS'!ES$3:ES$500)))</f>
        <v/>
      </c>
      <c r="HT26" s="123">
        <f>IF(OR(HT$4="",$B26=""),0,SUMIF('DADOS BRUTOS'!$A$3:$A$500,$B26,'DADOS BRUTOS'!ET$3:ET$500)+IF($C26="",0,SUMIF('DADOS BRUTOS'!$A$3:$A$500,$C26,'DADOS BRUTOS'!ET$3:ET$500)))</f>
        <v/>
      </c>
      <c r="HU26" s="123">
        <f>IF(OR(HU$4="",$B26=""),0,SUMIF('DADOS BRUTOS'!$A$3:$A$500,$B26,'DADOS BRUTOS'!EU$3:EU$500)+IF($C26="",0,SUMIF('DADOS BRUTOS'!$A$3:$A$500,$C26,'DADOS BRUTOS'!EU$3:EU$500)))</f>
        <v/>
      </c>
      <c r="HV26" s="123">
        <f>IF(OR(HV$4="",$B26=""),0,SUMIF('DADOS BRUTOS'!$A$3:$A$500,$B26,'DADOS BRUTOS'!EV$3:EV$500)+IF($C26="",0,SUMIF('DADOS BRUTOS'!$A$3:$A$500,$C26,'DADOS BRUTOS'!EV$3:EV$500)))</f>
        <v/>
      </c>
      <c r="HW26" s="123">
        <f>IF(OR(HW$4="",$B26=""),0,SUMIF('DADOS BRUTOS'!$A$3:$A$500,$B26,'DADOS BRUTOS'!EW$3:EW$500)+IF($C26="",0,SUMIF('DADOS BRUTOS'!$A$3:$A$500,$C26,'DADOS BRUTOS'!EW$3:EW$500)))</f>
        <v/>
      </c>
      <c r="HX26" s="123">
        <f>IF(OR(HX$4="",$B26=""),0,SUMIF('DADOS BRUTOS'!$A$3:$A$500,$B26,'DADOS BRUTOS'!EX$3:EX$500)+IF($C26="",0,SUMIF('DADOS BRUTOS'!$A$3:$A$500,$C26,'DADOS BRUTOS'!EX$3:EX$500)))</f>
        <v/>
      </c>
      <c r="HY26" s="123">
        <f>IF(OR(HY$4="",$B26=""),0,SUMIF('DADOS BRUTOS'!$A$3:$A$500,$B26,'DADOS BRUTOS'!EY$3:EY$500)+IF($C26="",0,SUMIF('DADOS BRUTOS'!$A$3:$A$500,$C26,'DADOS BRUTOS'!EY$3:EY$500)))</f>
        <v/>
      </c>
      <c r="HZ26" s="123">
        <f>IF(OR(HZ$4="",$B26=""),0,SUMIF('DADOS BRUTOS'!$A$3:$A$500,$B26,'DADOS BRUTOS'!EZ$3:EZ$500)+IF($C26="",0,SUMIF('DADOS BRUTOS'!$A$3:$A$500,$C26,'DADOS BRUTOS'!EZ$3:EZ$500)))</f>
        <v/>
      </c>
      <c r="IA26" s="123">
        <f>IF(OR(IA$4="",$B26=""),0,SUMIF('DADOS BRUTOS'!$A$3:$A$500,$B26,'DADOS BRUTOS'!FA$3:FA$500)+IF($C26="",0,SUMIF('DADOS BRUTOS'!$A$3:$A$500,$C26,'DADOS BRUTOS'!FA$3:FA$500)))</f>
        <v/>
      </c>
      <c r="IB26" s="123">
        <f>IF(OR(IB$4="",$B26=""),0,SUMIF('DADOS BRUTOS'!$A$3:$A$500,$B26,'DADOS BRUTOS'!FB$3:FB$500)+IF($C26="",0,SUMIF('DADOS BRUTOS'!$A$3:$A$500,$C26,'DADOS BRUTOS'!FB$3:FB$500)))</f>
        <v/>
      </c>
      <c r="IC26" s="123">
        <f>IF(OR(IC$4="",$B26=""),0,SUMIF('DADOS BRUTOS'!$A$3:$A$500,$B26,'DADOS BRUTOS'!FC$3:FC$500)+IF($C26="",0,SUMIF('DADOS BRUTOS'!$A$3:$A$500,$C26,'DADOS BRUTOS'!FC$3:FC$500)))</f>
        <v/>
      </c>
      <c r="ID26" s="123">
        <f>IF(OR(ID$4="",$B26=""),0,SUMIF('DADOS BRUTOS'!$A$3:$A$500,$B26,'DADOS BRUTOS'!FD$3:FD$500)+IF($C26="",0,SUMIF('DADOS BRUTOS'!$A$3:$A$500,$C26,'DADOS BRUTOS'!FD$3:FD$500)))</f>
        <v/>
      </c>
      <c r="IE26" s="123">
        <f>IF(OR(IE$4="",$B26=""),0,SUMIF('DADOS BRUTOS'!$A$3:$A$500,$B26,'DADOS BRUTOS'!FE$3:FE$500)+IF($C26="",0,SUMIF('DADOS BRUTOS'!$A$3:$A$500,$C26,'DADOS BRUTOS'!FE$3:FE$500)))</f>
        <v/>
      </c>
      <c r="IF26" s="123">
        <f>IF(OR(IF$4="",$B26=""),0,SUMIF('DADOS BRUTOS'!$A$3:$A$500,$B26,'DADOS BRUTOS'!FF$3:FF$500)+IF($C26="",0,SUMIF('DADOS BRUTOS'!$A$3:$A$500,$C26,'DADOS BRUTOS'!FF$3:FF$500)))</f>
        <v/>
      </c>
      <c r="IG26" s="123">
        <f>IF(OR(IG$4="",$B26=""),0,SUMIF('DADOS BRUTOS'!$A$3:$A$500,$B26,'DADOS BRUTOS'!FG$3:FG$500)+IF($C26="",0,SUMIF('DADOS BRUTOS'!$A$3:$A$500,$C26,'DADOS BRUTOS'!FG$3:FG$500)))</f>
        <v/>
      </c>
      <c r="IH26" s="123">
        <f>IF(OR(IH$4="",$B26=""),0,SUMIF('DADOS BRUTOS'!$A$3:$A$500,$B26,'DADOS BRUTOS'!FH$3:FH$500)+IF($C26="",0,SUMIF('DADOS BRUTOS'!$A$3:$A$500,$C26,'DADOS BRUTOS'!FH$3:FH$500)))</f>
        <v/>
      </c>
      <c r="II26" s="123">
        <f>IF(OR(II$4="",$B26=""),0,SUMIF('DADOS BRUTOS'!$A$3:$A$500,$B26,'DADOS BRUTOS'!FI$3:FI$500)+IF($C26="",0,SUMIF('DADOS BRUTOS'!$A$3:$A$500,$C26,'DADOS BRUTOS'!FI$3:FI$500)))</f>
        <v/>
      </c>
      <c r="IJ26" s="123">
        <f>IF(OR(IJ$4="",$B26=""),0,SUMIF('DADOS BRUTOS'!$A$3:$A$500,$B26,'DADOS BRUTOS'!FJ$3:FJ$500)+IF($C26="",0,SUMIF('DADOS BRUTOS'!$A$3:$A$500,$C26,'DADOS BRUTOS'!FJ$3:FJ$500)))</f>
        <v/>
      </c>
      <c r="IK26" s="123">
        <f>IF(OR(IK$4="",$B26=""),0,SUMIF('DADOS BRUTOS'!$A$3:$A$500,$B26,'DADOS BRUTOS'!FK$3:FK$500)+IF($C26="",0,SUMIF('DADOS BRUTOS'!$A$3:$A$500,$C26,'DADOS BRUTOS'!FK$3:FK$500)))</f>
        <v/>
      </c>
      <c r="IL26" s="123">
        <f>IF(OR(IL$4="",$B26=""),0,SUMIF('DADOS BRUTOS'!$A$3:$A$500,$B26,'DADOS BRUTOS'!FL$3:FL$500)+IF($C26="",0,SUMIF('DADOS BRUTOS'!$A$3:$A$500,$C26,'DADOS BRUTOS'!FL$3:FL$500)))</f>
        <v/>
      </c>
      <c r="IM26" s="123">
        <f>IF(OR(IM$4="",$B26=""),0,SUMIF('DADOS BRUTOS'!$A$3:$A$500,$B26,'DADOS BRUTOS'!FM$3:FM$500)+IF($C26="",0,SUMIF('DADOS BRUTOS'!$A$3:$A$500,$C26,'DADOS BRUTOS'!FM$3:FM$500)))</f>
        <v/>
      </c>
      <c r="IN26" s="123">
        <f>IF(OR(IN$4="",$B26=""),0,SUMIF('DADOS BRUTOS'!$A$3:$A$500,$B26,'DADOS BRUTOS'!FN$3:FN$500)+IF($C26="",0,SUMIF('DADOS BRUTOS'!$A$3:$A$500,$C26,'DADOS BRUTOS'!FN$3:FN$500)))</f>
        <v/>
      </c>
      <c r="IO26" s="123">
        <f>IF(OR(IO$4="",$B26=""),0,SUMIF('DADOS BRUTOS'!$A$3:$A$500,$B26,'DADOS BRUTOS'!FO$3:FO$500)+IF($C26="",0,SUMIF('DADOS BRUTOS'!$A$3:$A$500,$C26,'DADOS BRUTOS'!FO$3:FO$500)))</f>
        <v/>
      </c>
      <c r="IP26" s="123">
        <f>IF(OR(IP$4="",$B26=""),0,SUMIF('DADOS BRUTOS'!$A$3:$A$500,$B26,'DADOS BRUTOS'!FP$3:FP$500)+IF($C26="",0,SUMIF('DADOS BRUTOS'!$A$3:$A$500,$C26,'DADOS BRUTOS'!FP$3:FP$500)))</f>
        <v/>
      </c>
      <c r="IQ26" s="123">
        <f>IF(OR(IQ$4="",$B26=""),0,SUMIF('DADOS BRUTOS'!$A$3:$A$500,$B26,'DADOS BRUTOS'!FQ$3:FQ$500)+IF($C26="",0,SUMIF('DADOS BRUTOS'!$A$3:$A$500,$C26,'DADOS BRUTOS'!FQ$3:FQ$500)))</f>
        <v/>
      </c>
      <c r="IR26" s="123">
        <f>IF(OR(IR$4="",$B26=""),0,SUMIF('DADOS BRUTOS'!$A$3:$A$500,$B26,'DADOS BRUTOS'!FR$3:FR$500)+IF($C26="",0,SUMIF('DADOS BRUTOS'!$A$3:$A$500,$C26,'DADOS BRUTOS'!FR$3:FR$500)))</f>
        <v/>
      </c>
      <c r="IS26" s="123">
        <f>IF(OR(IS$4="",$B26=""),0,SUMIF('DADOS BRUTOS'!$A$3:$A$500,$B26,'DADOS BRUTOS'!FS$3:FS$500)+IF($C26="",0,SUMIF('DADOS BRUTOS'!$A$3:$A$500,$C26,'DADOS BRUTOS'!FS$3:FS$500)))</f>
        <v/>
      </c>
      <c r="IT26" s="123">
        <f>IF(OR(IT$4="",$B26=""),0,SUMIF('DADOS BRUTOS'!$A$3:$A$500,$B26,'DADOS BRUTOS'!FT$3:FT$500)+IF($C26="",0,SUMIF('DADOS BRUTOS'!$A$3:$A$500,$C26,'DADOS BRUTOS'!FT$3:FT$500)))</f>
        <v/>
      </c>
      <c r="IU26" s="123">
        <f>IF(OR(IU$4="",$B26=""),0,SUMIF('DADOS BRUTOS'!$A$3:$A$500,$B26,'DADOS BRUTOS'!FU$3:FU$500)+IF($C26="",0,SUMIF('DADOS BRUTOS'!$A$3:$A$500,$C26,'DADOS BRUTOS'!FU$3:FU$500)))</f>
        <v/>
      </c>
      <c r="IV26" s="123">
        <f>IF(OR(IV$4="",$B26=""),0,SUMIF('DADOS BRUTOS'!$A$3:$A$500,$B26,'DADOS BRUTOS'!FV$3:FV$500)+IF($C26="",0,SUMIF('DADOS BRUTOS'!$A$3:$A$500,$C26,'DADOS BRUTOS'!FV$3:FV$500)))</f>
        <v/>
      </c>
      <c r="IW26" s="123">
        <f>IF(OR(IW$4="",$B26=""),0,SUMIF('DADOS BRUTOS'!$A$3:$A$500,$B26,'DADOS BRUTOS'!FW$3:FW$500)+IF($C26="",0,SUMIF('DADOS BRUTOS'!$A$3:$A$500,$C26,'DADOS BRUTOS'!FW$3:FW$500)))</f>
        <v/>
      </c>
      <c r="IX26" s="123">
        <f>IF(OR(IX$4="",$B26=""),0,SUMIF('DADOS BRUTOS'!$A$3:$A$500,$B26,'DADOS BRUTOS'!FX$3:FX$500)+IF($C26="",0,SUMIF('DADOS BRUTOS'!$A$3:$A$500,$C26,'DADOS BRUTOS'!FX$3:FX$500)))</f>
        <v/>
      </c>
      <c r="IY26" s="123">
        <f>IF(OR(IY$4="",$B26=""),0,SUMIF('DADOS BRUTOS'!$A$3:$A$500,$B26,'DADOS BRUTOS'!FY$3:FY$500)+IF($C26="",0,SUMIF('DADOS BRUTOS'!$A$3:$A$500,$C26,'DADOS BRUTOS'!FY$3:FY$500)))</f>
        <v/>
      </c>
      <c r="IZ26" s="123">
        <f>IF(OR(IZ$4="",$B26=""),0,SUMIF('DADOS BRUTOS'!$A$3:$A$500,$B26,'DADOS BRUTOS'!FZ$3:FZ$500)+IF($C26="",0,SUMIF('DADOS BRUTOS'!$A$3:$A$500,$C26,'DADOS BRUTOS'!FZ$3:FZ$500)))</f>
        <v/>
      </c>
      <c r="JA26" s="123">
        <f>IF(OR(JA$4="",$B26=""),0,SUMIF('DADOS BRUTOS'!$A$3:$A$500,$B26,'DADOS BRUTOS'!GA$3:GA$500)+IF($C26="",0,SUMIF('DADOS BRUTOS'!$A$3:$A$500,$C26,'DADOS BRUTOS'!GA$3:GA$500)))</f>
        <v/>
      </c>
      <c r="JB26" s="123">
        <f>IF(OR(JB$4="",$B26=""),0,SUMIF('DADOS BRUTOS'!$A$3:$A$500,$B26,'DADOS BRUTOS'!GB$3:GB$500)+IF($C26="",0,SUMIF('DADOS BRUTOS'!$A$3:$A$500,$C26,'DADOS BRUTOS'!GB$3:GB$500)))</f>
        <v/>
      </c>
      <c r="JC26" s="123">
        <f>IF(OR(JC$4="",$B26=""),0,SUMIF('DADOS BRUTOS'!$A$3:$A$500,$B26,'DADOS BRUTOS'!GC$3:GC$500)+IF($C26="",0,SUMIF('DADOS BRUTOS'!$A$3:$A$500,$C26,'DADOS BRUTOS'!GC$3:GC$500)))</f>
        <v/>
      </c>
      <c r="JD26" s="123">
        <f>IF(OR(JD$4="",$B26=""),0,SUMIF('DADOS BRUTOS'!$A$3:$A$500,$B26,'DADOS BRUTOS'!GD$3:GD$500)+IF($C26="",0,SUMIF('DADOS BRUTOS'!$A$3:$A$500,$C26,'DADOS BRUTOS'!GD$3:GD$500)))</f>
        <v/>
      </c>
      <c r="JE26" s="123">
        <f>IF(OR(JE$4="",$B26=""),0,SUMIF('DADOS BRUTOS'!$A$3:$A$500,$B26,'DADOS BRUTOS'!GE$3:GE$500)+IF($C26="",0,SUMIF('DADOS BRUTOS'!$A$3:$A$500,$C26,'DADOS BRUTOS'!GE$3:GE$500)))</f>
        <v/>
      </c>
      <c r="JF26" s="123">
        <f>IF(OR(JF$4="",$B26=""),0,SUMIF('DADOS BRUTOS'!$A$3:$A$500,$B26,'DADOS BRUTOS'!GF$3:GF$500)+IF($C26="",0,SUMIF('DADOS BRUTOS'!$A$3:$A$500,$C26,'DADOS BRUTOS'!GF$3:GF$500)))</f>
        <v/>
      </c>
      <c r="JG26" s="123">
        <f>IF(OR(JG$4="",$B26=""),0,SUMIF('DADOS BRUTOS'!$A$3:$A$500,$B26,'DADOS BRUTOS'!GG$3:GG$500)+IF($C26="",0,SUMIF('DADOS BRUTOS'!$A$3:$A$500,$C26,'DADOS BRUTOS'!GG$3:GG$500)))</f>
        <v/>
      </c>
      <c r="JH26" s="123">
        <f>IF(OR(JH$4="",$B26=""),0,SUMIF('DADOS BRUTOS'!$A$3:$A$500,$B26,'DADOS BRUTOS'!GH$3:GH$500)+IF($C26="",0,SUMIF('DADOS BRUTOS'!$A$3:$A$500,$C26,'DADOS BRUTOS'!GH$3:GH$500)))</f>
        <v/>
      </c>
      <c r="JI26" s="123">
        <f>IF(OR(JI$4="",$B26=""),0,SUMIF('DADOS BRUTOS'!$A$3:$A$500,$B26,'DADOS BRUTOS'!GI$3:GI$500)+IF($C26="",0,SUMIF('DADOS BRUTOS'!$A$3:$A$500,$C26,'DADOS BRUTOS'!GI$3:GI$500)))</f>
        <v/>
      </c>
      <c r="JJ26" s="123">
        <f>IF(OR(JJ$4="",$B26=""),0,SUMIF('DADOS BRUTOS'!$A$3:$A$500,$B26,'DADOS BRUTOS'!GJ$3:GJ$500)+IF($C26="",0,SUMIF('DADOS BRUTOS'!$A$3:$A$500,$C26,'DADOS BRUTOS'!GJ$3:GJ$500)))</f>
        <v/>
      </c>
      <c r="JK26" s="123">
        <f>IF(OR(JK$4="",$B26=""),0,SUMIF('DADOS BRUTOS'!$A$3:$A$500,$B26,'DADOS BRUTOS'!GK$3:GK$500)+IF($C26="",0,SUMIF('DADOS BRUTOS'!$A$3:$A$500,$C26,'DADOS BRUTOS'!GK$3:GK$500)))</f>
        <v/>
      </c>
      <c r="JL26" s="123">
        <f>IF(OR(JL$4="",$B26=""),0,SUMIF('DADOS BRUTOS'!$A$3:$A$500,$B26,'DADOS BRUTOS'!GL$3:GL$500)+IF($C26="",0,SUMIF('DADOS BRUTOS'!$A$3:$A$500,$C26,'DADOS BRUTOS'!GL$3:GL$500)))</f>
        <v/>
      </c>
      <c r="JM26" s="123">
        <f>IF(OR(JM$4="",$B26=""),0,SUMIF('DADOS BRUTOS'!$A$3:$A$500,$B26,'DADOS BRUTOS'!GM$3:GM$500)+IF($C26="",0,SUMIF('DADOS BRUTOS'!$A$3:$A$500,$C26,'DADOS BRUTOS'!GM$3:GM$500)))</f>
        <v/>
      </c>
      <c r="JN26" s="123">
        <f>IF(OR(JN$4="",$B26=""),0,SUMIF('DADOS BRUTOS'!$A$3:$A$500,$B26,'DADOS BRUTOS'!GN$3:GN$500)+IF($C26="",0,SUMIF('DADOS BRUTOS'!$A$3:$A$500,$C26,'DADOS BRUTOS'!GN$3:GN$500)))</f>
        <v/>
      </c>
      <c r="JO26" s="123">
        <f>IF(OR(JO$4="",$B26=""),0,SUMIF('DADOS BRUTOS'!$A$3:$A$500,$B26,'DADOS BRUTOS'!GO$3:GO$500)+IF($C26="",0,SUMIF('DADOS BRUTOS'!$A$3:$A$500,$C26,'DADOS BRUTOS'!GO$3:GO$500)))</f>
        <v/>
      </c>
      <c r="JP26" s="123">
        <f>IF(OR(JP$4="",$B26=""),0,SUMIF('DADOS BRUTOS'!$A$3:$A$500,$B26,'DADOS BRUTOS'!GP$3:GP$500)+IF($C26="",0,SUMIF('DADOS BRUTOS'!$A$3:$A$500,$C26,'DADOS BRUTOS'!GP$3:GP$500)))</f>
        <v/>
      </c>
      <c r="JQ26" s="123">
        <f>IF(OR(JQ$4="",$B26=""),0,SUMIF('DADOS BRUTOS'!$A$3:$A$500,$B26,'DADOS BRUTOS'!GQ$3:GQ$500)+IF($C26="",0,SUMIF('DADOS BRUTOS'!$A$3:$A$500,$C26,'DADOS BRUTOS'!GQ$3:GQ$500)))</f>
        <v/>
      </c>
      <c r="JR26" s="123">
        <f>IF(OR(JR$4="",$B26=""),0,SUMIF('DADOS BRUTOS'!$A$3:$A$500,$B26,'DADOS BRUTOS'!GR$3:GR$500)+IF($C26="",0,SUMIF('DADOS BRUTOS'!$A$3:$A$500,$C26,'DADOS BRUTOS'!GR$3:GR$500)))</f>
        <v/>
      </c>
      <c r="JS26" s="123">
        <f>IF(OR(JS$4="",$B26=""),0,SUMIF('DADOS BRUTOS'!$A$3:$A$500,$B26,'DADOS BRUTOS'!GS$3:GS$500)+IF($C26="",0,SUMIF('DADOS BRUTOS'!$A$3:$A$500,$C26,'DADOS BRUTOS'!GS$3:GS$500)))</f>
        <v/>
      </c>
    </row>
    <row r="27">
      <c r="A27" s="60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CB27" s="123">
        <f>IF(OR(CB$4="",$B27=""),0,SUMIF('DADOS BRUTOS'!$A$3:$A$500,$B27,'DADOS BRUTOS'!B$3:B$500)+IF($C27="",0,SUMIF('DADOS BRUTOS'!$A$3:$A$500,$C27,'DADOS BRUTOS'!B$3:B$500)))</f>
        <v/>
      </c>
      <c r="CC27" s="123">
        <f>IF(OR(CC$4="",$B27=""),0,SUMIF('DADOS BRUTOS'!$A$3:$A$500,$B27,'DADOS BRUTOS'!C$3:C$500)+IF($C27="",0,SUMIF('DADOS BRUTOS'!$A$3:$A$500,$C27,'DADOS BRUTOS'!C$3:C$500)))</f>
        <v/>
      </c>
      <c r="CD27" s="123">
        <f>IF(OR(CD$4="",$B27=""),0,SUMIF('DADOS BRUTOS'!$A$3:$A$500,$B27,'DADOS BRUTOS'!D$3:D$500)+IF($C27="",0,SUMIF('DADOS BRUTOS'!$A$3:$A$500,$C27,'DADOS BRUTOS'!D$3:D$500)))</f>
        <v/>
      </c>
      <c r="CE27" s="123">
        <f>IF(OR(CE$4="",$B27=""),0,SUMIF('DADOS BRUTOS'!$A$3:$A$500,$B27,'DADOS BRUTOS'!E$3:E$500)+IF($C27="",0,SUMIF('DADOS BRUTOS'!$A$3:$A$500,$C27,'DADOS BRUTOS'!E$3:E$500)))</f>
        <v/>
      </c>
      <c r="CF27" s="123">
        <f>IF(OR(CF$4="",$B27=""),0,SUMIF('DADOS BRUTOS'!$A$3:$A$500,$B27,'DADOS BRUTOS'!F$3:F$500)+IF($C27="",0,SUMIF('DADOS BRUTOS'!$A$3:$A$500,$C27,'DADOS BRUTOS'!F$3:F$500)))</f>
        <v/>
      </c>
      <c r="CG27" s="123">
        <f>IF(OR(CG$4="",$B27=""),0,SUMIF('DADOS BRUTOS'!$A$3:$A$500,$B27,'DADOS BRUTOS'!G$3:G$500)+IF($C27="",0,SUMIF('DADOS BRUTOS'!$A$3:$A$500,$C27,'DADOS BRUTOS'!G$3:G$500)))</f>
        <v/>
      </c>
      <c r="CH27" s="123">
        <f>IF(OR(CH$4="",$B27=""),0,SUMIF('DADOS BRUTOS'!$A$3:$A$500,$B27,'DADOS BRUTOS'!H$3:H$500)+IF($C27="",0,SUMIF('DADOS BRUTOS'!$A$3:$A$500,$C27,'DADOS BRUTOS'!H$3:H$500)))</f>
        <v/>
      </c>
      <c r="CI27" s="123">
        <f>IF(OR(CI$4="",$B27=""),0,SUMIF('DADOS BRUTOS'!$A$3:$A$500,$B27,'DADOS BRUTOS'!I$3:I$500)+IF($C27="",0,SUMIF('DADOS BRUTOS'!$A$3:$A$500,$C27,'DADOS BRUTOS'!I$3:I$500)))</f>
        <v/>
      </c>
      <c r="CJ27" s="123">
        <f>IF(OR(CJ$4="",$B27=""),0,SUMIF('DADOS BRUTOS'!$A$3:$A$500,$B27,'DADOS BRUTOS'!J$3:J$500)+IF($C27="",0,SUMIF('DADOS BRUTOS'!$A$3:$A$500,$C27,'DADOS BRUTOS'!J$3:J$500)))</f>
        <v/>
      </c>
      <c r="CK27" s="123">
        <f>IF(OR(CK$4="",$B27=""),0,SUMIF('DADOS BRUTOS'!$A$3:$A$500,$B27,'DADOS BRUTOS'!K$3:K$500)+IF($C27="",0,SUMIF('DADOS BRUTOS'!$A$3:$A$500,$C27,'DADOS BRUTOS'!K$3:K$500)))</f>
        <v/>
      </c>
      <c r="CL27" s="123">
        <f>IF(OR(CL$4="",$B27=""),0,SUMIF('DADOS BRUTOS'!$A$3:$A$500,$B27,'DADOS BRUTOS'!L$3:L$500)+IF($C27="",0,SUMIF('DADOS BRUTOS'!$A$3:$A$500,$C27,'DADOS BRUTOS'!L$3:L$500)))</f>
        <v/>
      </c>
      <c r="CM27" s="123">
        <f>IF(OR(CM$4="",$B27=""),0,SUMIF('DADOS BRUTOS'!$A$3:$A$500,$B27,'DADOS BRUTOS'!M$3:M$500)+IF($C27="",0,SUMIF('DADOS BRUTOS'!$A$3:$A$500,$C27,'DADOS BRUTOS'!M$3:M$500)))</f>
        <v/>
      </c>
      <c r="CN27" s="123">
        <f>IF(OR(CN$4="",$B27=""),0,SUMIF('DADOS BRUTOS'!$A$3:$A$500,$B27,'DADOS BRUTOS'!N$3:N$500)+IF($C27="",0,SUMIF('DADOS BRUTOS'!$A$3:$A$500,$C27,'DADOS BRUTOS'!N$3:N$500)))</f>
        <v/>
      </c>
      <c r="CO27" s="123">
        <f>IF(OR(CO$4="",$B27=""),0,SUMIF('DADOS BRUTOS'!$A$3:$A$500,$B27,'DADOS BRUTOS'!O$3:O$500)+IF($C27="",0,SUMIF('DADOS BRUTOS'!$A$3:$A$500,$C27,'DADOS BRUTOS'!O$3:O$500)))</f>
        <v/>
      </c>
      <c r="CP27" s="123">
        <f>IF(OR(CP$4="",$B27=""),0,SUMIF('DADOS BRUTOS'!$A$3:$A$500,$B27,'DADOS BRUTOS'!P$3:P$500)+IF($C27="",0,SUMIF('DADOS BRUTOS'!$A$3:$A$500,$C27,'DADOS BRUTOS'!P$3:P$500)))</f>
        <v/>
      </c>
      <c r="CQ27" s="123">
        <f>IF(OR(CQ$4="",$B27=""),0,SUMIF('DADOS BRUTOS'!$A$3:$A$500,$B27,'DADOS BRUTOS'!Q$3:Q$500)+IF($C27="",0,SUMIF('DADOS BRUTOS'!$A$3:$A$500,$C27,'DADOS BRUTOS'!Q$3:Q$500)))</f>
        <v/>
      </c>
      <c r="CR27" s="123">
        <f>IF(OR(CR$4="",$B27=""),0,SUMIF('DADOS BRUTOS'!$A$3:$A$500,$B27,'DADOS BRUTOS'!R$3:R$500)+IF($C27="",0,SUMIF('DADOS BRUTOS'!$A$3:$A$500,$C27,'DADOS BRUTOS'!R$3:R$500)))</f>
        <v/>
      </c>
      <c r="CS27" s="123">
        <f>IF(OR(CS$4="",$B27=""),0,SUMIF('DADOS BRUTOS'!$A$3:$A$500,$B27,'DADOS BRUTOS'!S$3:S$500)+IF($C27="",0,SUMIF('DADOS BRUTOS'!$A$3:$A$500,$C27,'DADOS BRUTOS'!S$3:S$500)))</f>
        <v/>
      </c>
      <c r="CT27" s="123">
        <f>IF(OR(CT$4="",$B27=""),0,SUMIF('DADOS BRUTOS'!$A$3:$A$500,$B27,'DADOS BRUTOS'!T$3:T$500)+IF($C27="",0,SUMIF('DADOS BRUTOS'!$A$3:$A$500,$C27,'DADOS BRUTOS'!T$3:T$500)))</f>
        <v/>
      </c>
      <c r="CU27" s="123">
        <f>IF(OR(CU$4="",$B27=""),0,SUMIF('DADOS BRUTOS'!$A$3:$A$500,$B27,'DADOS BRUTOS'!U$3:U$500)+IF($C27="",0,SUMIF('DADOS BRUTOS'!$A$3:$A$500,$C27,'DADOS BRUTOS'!U$3:U$500)))</f>
        <v/>
      </c>
      <c r="CV27" s="123">
        <f>IF(OR(CV$4="",$B27=""),0,SUMIF('DADOS BRUTOS'!$A$3:$A$500,$B27,'DADOS BRUTOS'!V$3:V$500)+IF($C27="",0,SUMIF('DADOS BRUTOS'!$A$3:$A$500,$C27,'DADOS BRUTOS'!V$3:V$500)))</f>
        <v/>
      </c>
      <c r="CW27" s="123">
        <f>IF(OR(CW$4="",$B27=""),0,SUMIF('DADOS BRUTOS'!$A$3:$A$500,$B27,'DADOS BRUTOS'!W$3:W$500)+IF($C27="",0,SUMIF('DADOS BRUTOS'!$A$3:$A$500,$C27,'DADOS BRUTOS'!W$3:W$500)))</f>
        <v/>
      </c>
      <c r="CX27" s="123">
        <f>IF(OR(CX$4="",$B27=""),0,SUMIF('DADOS BRUTOS'!$A$3:$A$500,$B27,'DADOS BRUTOS'!X$3:X$500)+IF($C27="",0,SUMIF('DADOS BRUTOS'!$A$3:$A$500,$C27,'DADOS BRUTOS'!X$3:X$500)))</f>
        <v/>
      </c>
      <c r="CY27" s="123">
        <f>IF(OR(CY$4="",$B27=""),0,SUMIF('DADOS BRUTOS'!$A$3:$A$500,$B27,'DADOS BRUTOS'!Y$3:Y$500)+IF($C27="",0,SUMIF('DADOS BRUTOS'!$A$3:$A$500,$C27,'DADOS BRUTOS'!Y$3:Y$500)))</f>
        <v/>
      </c>
      <c r="CZ27" s="123">
        <f>IF(OR(CZ$4="",$B27=""),0,SUMIF('DADOS BRUTOS'!$A$3:$A$500,$B27,'DADOS BRUTOS'!Z$3:Z$500)+IF($C27="",0,SUMIF('DADOS BRUTOS'!$A$3:$A$500,$C27,'DADOS BRUTOS'!Z$3:Z$500)))</f>
        <v/>
      </c>
      <c r="DA27" s="123">
        <f>IF(OR(DA$4="",$B27=""),0,SUMIF('DADOS BRUTOS'!$A$3:$A$500,$B27,'DADOS BRUTOS'!AA$3:AA$500)+IF($C27="",0,SUMIF('DADOS BRUTOS'!$A$3:$A$500,$C27,'DADOS BRUTOS'!AA$3:AA$500)))</f>
        <v/>
      </c>
      <c r="DB27" s="123">
        <f>IF(OR(DB$4="",$B27=""),0,SUMIF('DADOS BRUTOS'!$A$3:$A$500,$B27,'DADOS BRUTOS'!AB$3:AB$500)+IF($C27="",0,SUMIF('DADOS BRUTOS'!$A$3:$A$500,$C27,'DADOS BRUTOS'!AB$3:AB$500)))</f>
        <v/>
      </c>
      <c r="DC27" s="123">
        <f>IF(OR(DC$4="",$B27=""),0,SUMIF('DADOS BRUTOS'!$A$3:$A$500,$B27,'DADOS BRUTOS'!AC$3:AC$500)+IF($C27="",0,SUMIF('DADOS BRUTOS'!$A$3:$A$500,$C27,'DADOS BRUTOS'!AC$3:AC$500)))</f>
        <v/>
      </c>
      <c r="DD27" s="123">
        <f>IF(OR(DD$4="",$B27=""),0,SUMIF('DADOS BRUTOS'!$A$3:$A$500,$B27,'DADOS BRUTOS'!AD$3:AD$500)+IF($C27="",0,SUMIF('DADOS BRUTOS'!$A$3:$A$500,$C27,'DADOS BRUTOS'!AD$3:AD$500)))</f>
        <v/>
      </c>
      <c r="DE27" s="123">
        <f>IF(OR(DE$4="",$B27=""),0,SUMIF('DADOS BRUTOS'!$A$3:$A$500,$B27,'DADOS BRUTOS'!AE$3:AE$500)+IF($C27="",0,SUMIF('DADOS BRUTOS'!$A$3:$A$500,$C27,'DADOS BRUTOS'!AE$3:AE$500)))</f>
        <v/>
      </c>
      <c r="DF27" s="123">
        <f>IF(OR(DF$4="",$B27=""),0,SUMIF('DADOS BRUTOS'!$A$3:$A$500,$B27,'DADOS BRUTOS'!AF$3:AF$500)+IF($C27="",0,SUMIF('DADOS BRUTOS'!$A$3:$A$500,$C27,'DADOS BRUTOS'!AF$3:AF$500)))</f>
        <v/>
      </c>
      <c r="DG27" s="123">
        <f>IF(OR(DG$4="",$B27=""),0,SUMIF('DADOS BRUTOS'!$A$3:$A$500,$B27,'DADOS BRUTOS'!AG$3:AG$500)+IF($C27="",0,SUMIF('DADOS BRUTOS'!$A$3:$A$500,$C27,'DADOS BRUTOS'!AG$3:AG$500)))</f>
        <v/>
      </c>
      <c r="DH27" s="123">
        <f>IF(OR(DH$4="",$B27=""),0,SUMIF('DADOS BRUTOS'!$A$3:$A$500,$B27,'DADOS BRUTOS'!AH$3:AH$500)+IF($C27="",0,SUMIF('DADOS BRUTOS'!$A$3:$A$500,$C27,'DADOS BRUTOS'!AH$3:AH$500)))</f>
        <v/>
      </c>
      <c r="DI27" s="123">
        <f>IF(OR(DI$4="",$B27=""),0,SUMIF('DADOS BRUTOS'!$A$3:$A$500,$B27,'DADOS BRUTOS'!AI$3:AI$500)+IF($C27="",0,SUMIF('DADOS BRUTOS'!$A$3:$A$500,$C27,'DADOS BRUTOS'!AI$3:AI$500)))</f>
        <v/>
      </c>
      <c r="DJ27" s="123">
        <f>IF(OR(DJ$4="",$B27=""),0,SUMIF('DADOS BRUTOS'!$A$3:$A$500,$B27,'DADOS BRUTOS'!AJ$3:AJ$500)+IF($C27="",0,SUMIF('DADOS BRUTOS'!$A$3:$A$500,$C27,'DADOS BRUTOS'!AJ$3:AJ$500)))</f>
        <v/>
      </c>
      <c r="DK27" s="123">
        <f>IF(OR(DK$4="",$B27=""),0,SUMIF('DADOS BRUTOS'!$A$3:$A$500,$B27,'DADOS BRUTOS'!AK$3:AK$500)+IF($C27="",0,SUMIF('DADOS BRUTOS'!$A$3:$A$500,$C27,'DADOS BRUTOS'!AK$3:AK$500)))</f>
        <v/>
      </c>
      <c r="DL27" s="123">
        <f>IF(OR(DL$4="",$B27=""),0,SUMIF('DADOS BRUTOS'!$A$3:$A$500,$B27,'DADOS BRUTOS'!AL$3:AL$500)+IF($C27="",0,SUMIF('DADOS BRUTOS'!$A$3:$A$500,$C27,'DADOS BRUTOS'!AL$3:AL$500)))</f>
        <v/>
      </c>
      <c r="DM27" s="123">
        <f>IF(OR(DM$4="",$B27=""),0,SUMIF('DADOS BRUTOS'!$A$3:$A$500,$B27,'DADOS BRUTOS'!AM$3:AM$500)+IF($C27="",0,SUMIF('DADOS BRUTOS'!$A$3:$A$500,$C27,'DADOS BRUTOS'!AM$3:AM$500)))</f>
        <v/>
      </c>
      <c r="DN27" s="123">
        <f>IF(OR(DN$4="",$B27=""),0,SUMIF('DADOS BRUTOS'!$A$3:$A$500,$B27,'DADOS BRUTOS'!AN$3:AN$500)+IF($C27="",0,SUMIF('DADOS BRUTOS'!$A$3:$A$500,$C27,'DADOS BRUTOS'!AN$3:AN$500)))</f>
        <v/>
      </c>
      <c r="DO27" s="123">
        <f>IF(OR(DO$4="",$B27=""),0,SUMIF('DADOS BRUTOS'!$A$3:$A$500,$B27,'DADOS BRUTOS'!AO$3:AO$500)+IF($C27="",0,SUMIF('DADOS BRUTOS'!$A$3:$A$500,$C27,'DADOS BRUTOS'!AO$3:AO$500)))</f>
        <v/>
      </c>
      <c r="DP27" s="123">
        <f>IF(OR(DP$4="",$B27=""),0,SUMIF('DADOS BRUTOS'!$A$3:$A$500,$B27,'DADOS BRUTOS'!AP$3:AP$500)+IF($C27="",0,SUMIF('DADOS BRUTOS'!$A$3:$A$500,$C27,'DADOS BRUTOS'!AP$3:AP$500)))</f>
        <v/>
      </c>
      <c r="DQ27" s="123">
        <f>IF(OR(DQ$4="",$B27=""),0,SUMIF('DADOS BRUTOS'!$A$3:$A$500,$B27,'DADOS BRUTOS'!AQ$3:AQ$500)+IF($C27="",0,SUMIF('DADOS BRUTOS'!$A$3:$A$500,$C27,'DADOS BRUTOS'!AQ$3:AQ$500)))</f>
        <v/>
      </c>
      <c r="DR27" s="123">
        <f>IF(OR(DR$4="",$B27=""),0,SUMIF('DADOS BRUTOS'!$A$3:$A$500,$B27,'DADOS BRUTOS'!AR$3:AR$500)+IF($C27="",0,SUMIF('DADOS BRUTOS'!$A$3:$A$500,$C27,'DADOS BRUTOS'!AR$3:AR$500)))</f>
        <v/>
      </c>
      <c r="DS27" s="123">
        <f>IF(OR(DS$4="",$B27=""),0,SUMIF('DADOS BRUTOS'!$A$3:$A$500,$B27,'DADOS BRUTOS'!AS$3:AS$500)+IF($C27="",0,SUMIF('DADOS BRUTOS'!$A$3:$A$500,$C27,'DADOS BRUTOS'!AS$3:AS$500)))</f>
        <v/>
      </c>
      <c r="DT27" s="123">
        <f>IF(OR(DT$4="",$B27=""),0,SUMIF('DADOS BRUTOS'!$A$3:$A$500,$B27,'DADOS BRUTOS'!AT$3:AT$500)+IF($C27="",0,SUMIF('DADOS BRUTOS'!$A$3:$A$500,$C27,'DADOS BRUTOS'!AT$3:AT$500)))</f>
        <v/>
      </c>
      <c r="DU27" s="123">
        <f>IF(OR(DU$4="",$B27=""),0,SUMIF('DADOS BRUTOS'!$A$3:$A$500,$B27,'DADOS BRUTOS'!AU$3:AU$500)+IF($C27="",0,SUMIF('DADOS BRUTOS'!$A$3:$A$500,$C27,'DADOS BRUTOS'!AU$3:AU$500)))</f>
        <v/>
      </c>
      <c r="DV27" s="123">
        <f>IF(OR(DV$4="",$B27=""),0,SUMIF('DADOS BRUTOS'!$A$3:$A$500,$B27,'DADOS BRUTOS'!AV$3:AV$500)+IF($C27="",0,SUMIF('DADOS BRUTOS'!$A$3:$A$500,$C27,'DADOS BRUTOS'!AV$3:AV$500)))</f>
        <v/>
      </c>
      <c r="DW27" s="123">
        <f>IF(OR(DW$4="",$B27=""),0,SUMIF('DADOS BRUTOS'!$A$3:$A$500,$B27,'DADOS BRUTOS'!AW$3:AW$500)+IF($C27="",0,SUMIF('DADOS BRUTOS'!$A$3:$A$500,$C27,'DADOS BRUTOS'!AW$3:AW$500)))</f>
        <v/>
      </c>
      <c r="DX27" s="123">
        <f>IF(OR(DX$4="",$B27=""),0,SUMIF('DADOS BRUTOS'!$A$3:$A$500,$B27,'DADOS BRUTOS'!AX$3:AX$500)+IF($C27="",0,SUMIF('DADOS BRUTOS'!$A$3:$A$500,$C27,'DADOS BRUTOS'!AX$3:AX$500)))</f>
        <v/>
      </c>
      <c r="DY27" s="123">
        <f>IF(OR(DY$4="",$B27=""),0,SUMIF('DADOS BRUTOS'!$A$3:$A$500,$B27,'DADOS BRUTOS'!AY$3:AY$500)+IF($C27="",0,SUMIF('DADOS BRUTOS'!$A$3:$A$500,$C27,'DADOS BRUTOS'!AY$3:AY$500)))</f>
        <v/>
      </c>
      <c r="DZ27" s="123">
        <f>IF(OR(DZ$4="",$B27=""),0,SUMIF('DADOS BRUTOS'!$A$3:$A$500,$B27,'DADOS BRUTOS'!AZ$3:AZ$500)+IF($C27="",0,SUMIF('DADOS BRUTOS'!$A$3:$A$500,$C27,'DADOS BRUTOS'!AZ$3:AZ$500)))</f>
        <v/>
      </c>
      <c r="EA27" s="123">
        <f>IF(OR(EA$4="",$B27=""),0,SUMIF('DADOS BRUTOS'!$A$3:$A$500,$B27,'DADOS BRUTOS'!BA$3:BA$500)+IF($C27="",0,SUMIF('DADOS BRUTOS'!$A$3:$A$500,$C27,'DADOS BRUTOS'!BA$3:BA$500)))</f>
        <v/>
      </c>
      <c r="EB27" s="123">
        <f>IF(OR(EB$4="",$B27=""),0,SUMIF('DADOS BRUTOS'!$A$3:$A$500,$B27,'DADOS BRUTOS'!BB$3:BB$500)+IF($C27="",0,SUMIF('DADOS BRUTOS'!$A$3:$A$500,$C27,'DADOS BRUTOS'!BB$3:BB$500)))</f>
        <v/>
      </c>
      <c r="EC27" s="123">
        <f>IF(OR(EC$4="",$B27=""),0,SUMIF('DADOS BRUTOS'!$A$3:$A$500,$B27,'DADOS BRUTOS'!BC$3:BC$500)+IF($C27="",0,SUMIF('DADOS BRUTOS'!$A$3:$A$500,$C27,'DADOS BRUTOS'!BC$3:BC$500)))</f>
        <v/>
      </c>
      <c r="ED27" s="123">
        <f>IF(OR(ED$4="",$B27=""),0,SUMIF('DADOS BRUTOS'!$A$3:$A$500,$B27,'DADOS BRUTOS'!BD$3:BD$500)+IF($C27="",0,SUMIF('DADOS BRUTOS'!$A$3:$A$500,$C27,'DADOS BRUTOS'!BD$3:BD$500)))</f>
        <v/>
      </c>
      <c r="EE27" s="123">
        <f>IF(OR(EE$4="",$B27=""),0,SUMIF('DADOS BRUTOS'!$A$3:$A$500,$B27,'DADOS BRUTOS'!BE$3:BE$500)+IF($C27="",0,SUMIF('DADOS BRUTOS'!$A$3:$A$500,$C27,'DADOS BRUTOS'!BE$3:BE$500)))</f>
        <v/>
      </c>
      <c r="EF27" s="123">
        <f>IF(OR(EF$4="",$B27=""),0,SUMIF('DADOS BRUTOS'!$A$3:$A$500,$B27,'DADOS BRUTOS'!BF$3:BF$500)+IF($C27="",0,SUMIF('DADOS BRUTOS'!$A$3:$A$500,$C27,'DADOS BRUTOS'!BF$3:BF$500)))</f>
        <v/>
      </c>
      <c r="EG27" s="123">
        <f>IF(OR(EG$4="",$B27=""),0,SUMIF('DADOS BRUTOS'!$A$3:$A$500,$B27,'DADOS BRUTOS'!BG$3:BG$500)+IF($C27="",0,SUMIF('DADOS BRUTOS'!$A$3:$A$500,$C27,'DADOS BRUTOS'!BG$3:BG$500)))</f>
        <v/>
      </c>
      <c r="EH27" s="123">
        <f>IF(OR(EH$4="",$B27=""),0,SUMIF('DADOS BRUTOS'!$A$3:$A$500,$B27,'DADOS BRUTOS'!BH$3:BH$500)+IF($C27="",0,SUMIF('DADOS BRUTOS'!$A$3:$A$500,$C27,'DADOS BRUTOS'!BH$3:BH$500)))</f>
        <v/>
      </c>
      <c r="EI27" s="123">
        <f>IF(OR(EI$4="",$B27=""),0,SUMIF('DADOS BRUTOS'!$A$3:$A$500,$B27,'DADOS BRUTOS'!BI$3:BI$500)+IF($C27="",0,SUMIF('DADOS BRUTOS'!$A$3:$A$500,$C27,'DADOS BRUTOS'!BI$3:BI$500)))</f>
        <v/>
      </c>
      <c r="EJ27" s="123">
        <f>IF(OR(EJ$4="",$B27=""),0,SUMIF('DADOS BRUTOS'!$A$3:$A$500,$B27,'DADOS BRUTOS'!BJ$3:BJ$500)+IF($C27="",0,SUMIF('DADOS BRUTOS'!$A$3:$A$500,$C27,'DADOS BRUTOS'!BJ$3:BJ$500)))</f>
        <v/>
      </c>
      <c r="EK27" s="123">
        <f>IF(OR(EK$4="",$B27=""),0,SUMIF('DADOS BRUTOS'!$A$3:$A$500,$B27,'DADOS BRUTOS'!BK$3:BK$500)+IF($C27="",0,SUMIF('DADOS BRUTOS'!$A$3:$A$500,$C27,'DADOS BRUTOS'!BK$3:BK$500)))</f>
        <v/>
      </c>
      <c r="EL27" s="123">
        <f>IF(OR(EL$4="",$B27=""),0,SUMIF('DADOS BRUTOS'!$A$3:$A$500,$B27,'DADOS BRUTOS'!BL$3:BL$500)+IF($C27="",0,SUMIF('DADOS BRUTOS'!$A$3:$A$500,$C27,'DADOS BRUTOS'!BL$3:BL$500)))</f>
        <v/>
      </c>
      <c r="EM27" s="123">
        <f>IF(OR(EM$4="",$B27=""),0,SUMIF('DADOS BRUTOS'!$A$3:$A$500,$B27,'DADOS BRUTOS'!BM$3:BM$500)+IF($C27="",0,SUMIF('DADOS BRUTOS'!$A$3:$A$500,$C27,'DADOS BRUTOS'!BM$3:BM$500)))</f>
        <v/>
      </c>
      <c r="EN27" s="123">
        <f>IF(OR(EN$4="",$B27=""),0,SUMIF('DADOS BRUTOS'!$A$3:$A$500,$B27,'DADOS BRUTOS'!BN$3:BN$500)+IF($C27="",0,SUMIF('DADOS BRUTOS'!$A$3:$A$500,$C27,'DADOS BRUTOS'!BN$3:BN$500)))</f>
        <v/>
      </c>
      <c r="EO27" s="123">
        <f>IF(OR(EO$4="",$B27=""),0,SUMIF('DADOS BRUTOS'!$A$3:$A$500,$B27,'DADOS BRUTOS'!BO$3:BO$500)+IF($C27="",0,SUMIF('DADOS BRUTOS'!$A$3:$A$500,$C27,'DADOS BRUTOS'!BO$3:BO$500)))</f>
        <v/>
      </c>
      <c r="EP27" s="123">
        <f>IF(OR(EP$4="",$B27=""),0,SUMIF('DADOS BRUTOS'!$A$3:$A$500,$B27,'DADOS BRUTOS'!BP$3:BP$500)+IF($C27="",0,SUMIF('DADOS BRUTOS'!$A$3:$A$500,$C27,'DADOS BRUTOS'!BP$3:BP$500)))</f>
        <v/>
      </c>
      <c r="EQ27" s="123">
        <f>IF(OR(EQ$4="",$B27=""),0,SUMIF('DADOS BRUTOS'!$A$3:$A$500,$B27,'DADOS BRUTOS'!BQ$3:BQ$500)+IF($C27="",0,SUMIF('DADOS BRUTOS'!$A$3:$A$500,$C27,'DADOS BRUTOS'!BQ$3:BQ$500)))</f>
        <v/>
      </c>
      <c r="ER27" s="123">
        <f>IF(OR(ER$4="",$B27=""),0,SUMIF('DADOS BRUTOS'!$A$3:$A$500,$B27,'DADOS BRUTOS'!BR$3:BR$500)+IF($C27="",0,SUMIF('DADOS BRUTOS'!$A$3:$A$500,$C27,'DADOS BRUTOS'!BR$3:BR$500)))</f>
        <v/>
      </c>
      <c r="ES27" s="123">
        <f>IF(OR(ES$4="",$B27=""),0,SUMIF('DADOS BRUTOS'!$A$3:$A$500,$B27,'DADOS BRUTOS'!BS$3:BS$500)+IF($C27="",0,SUMIF('DADOS BRUTOS'!$A$3:$A$500,$C27,'DADOS BRUTOS'!BS$3:BS$500)))</f>
        <v/>
      </c>
      <c r="ET27" s="123">
        <f>IF(OR(ET$4="",$B27=""),0,SUMIF('DADOS BRUTOS'!$A$3:$A$500,$B27,'DADOS BRUTOS'!BT$3:BT$500)+IF($C27="",0,SUMIF('DADOS BRUTOS'!$A$3:$A$500,$C27,'DADOS BRUTOS'!BT$3:BT$500)))</f>
        <v/>
      </c>
      <c r="EU27" s="123">
        <f>IF(OR(EU$4="",$B27=""),0,SUMIF('DADOS BRUTOS'!$A$3:$A$500,$B27,'DADOS BRUTOS'!BU$3:BU$500)+IF($C27="",0,SUMIF('DADOS BRUTOS'!$A$3:$A$500,$C27,'DADOS BRUTOS'!BU$3:BU$500)))</f>
        <v/>
      </c>
      <c r="EV27" s="123">
        <f>IF(OR(EV$4="",$B27=""),0,SUMIF('DADOS BRUTOS'!$A$3:$A$500,$B27,'DADOS BRUTOS'!BV$3:BV$500)+IF($C27="",0,SUMIF('DADOS BRUTOS'!$A$3:$A$500,$C27,'DADOS BRUTOS'!BV$3:BV$500)))</f>
        <v/>
      </c>
      <c r="EW27" s="123">
        <f>IF(OR(EW$4="",$B27=""),0,SUMIF('DADOS BRUTOS'!$A$3:$A$500,$B27,'DADOS BRUTOS'!BW$3:BW$500)+IF($C27="",0,SUMIF('DADOS BRUTOS'!$A$3:$A$500,$C27,'DADOS BRUTOS'!BW$3:BW$500)))</f>
        <v/>
      </c>
      <c r="EX27" s="123">
        <f>IF(OR(EX$4="",$B27=""),0,SUMIF('DADOS BRUTOS'!$A$3:$A$500,$B27,'DADOS BRUTOS'!BX$3:BX$500)+IF($C27="",0,SUMIF('DADOS BRUTOS'!$A$3:$A$500,$C27,'DADOS BRUTOS'!BX$3:BX$500)))</f>
        <v/>
      </c>
      <c r="EY27" s="123">
        <f>IF(OR(EY$4="",$B27=""),0,SUMIF('DADOS BRUTOS'!$A$3:$A$500,$B27,'DADOS BRUTOS'!BY$3:BY$500)+IF($C27="",0,SUMIF('DADOS BRUTOS'!$A$3:$A$500,$C27,'DADOS BRUTOS'!BY$3:BY$500)))</f>
        <v/>
      </c>
      <c r="EZ27" s="123">
        <f>IF(OR(EZ$4="",$B27=""),0,SUMIF('DADOS BRUTOS'!$A$3:$A$500,$B27,'DADOS BRUTOS'!BZ$3:BZ$500)+IF($C27="",0,SUMIF('DADOS BRUTOS'!$A$3:$A$500,$C27,'DADOS BRUTOS'!BZ$3:BZ$500)))</f>
        <v/>
      </c>
      <c r="FA27" s="123">
        <f>IF(OR(FA$4="",$B27=""),0,SUMIF('DADOS BRUTOS'!$A$3:$A$500,$B27,'DADOS BRUTOS'!CA$3:CA$500)+IF($C27="",0,SUMIF('DADOS BRUTOS'!$A$3:$A$500,$C27,'DADOS BRUTOS'!CA$3:CA$500)))</f>
        <v/>
      </c>
      <c r="FB27" s="123">
        <f>IF(OR(FB$4="",$B27=""),0,SUMIF('DADOS BRUTOS'!$A$3:$A$500,$B27,'DADOS BRUTOS'!CB$3:CB$500)+IF($C27="",0,SUMIF('DADOS BRUTOS'!$A$3:$A$500,$C27,'DADOS BRUTOS'!CB$3:CB$500)))</f>
        <v/>
      </c>
      <c r="FC27" s="123">
        <f>IF(OR(FC$4="",$B27=""),0,SUMIF('DADOS BRUTOS'!$A$3:$A$500,$B27,'DADOS BRUTOS'!CC$3:CC$500)+IF($C27="",0,SUMIF('DADOS BRUTOS'!$A$3:$A$500,$C27,'DADOS BRUTOS'!CC$3:CC$500)))</f>
        <v/>
      </c>
      <c r="FD27" s="123">
        <f>IF(OR(FD$4="",$B27=""),0,SUMIF('DADOS BRUTOS'!$A$3:$A$500,$B27,'DADOS BRUTOS'!CD$3:CD$500)+IF($C27="",0,SUMIF('DADOS BRUTOS'!$A$3:$A$500,$C27,'DADOS BRUTOS'!CD$3:CD$500)))</f>
        <v/>
      </c>
      <c r="FE27" s="123">
        <f>IF(OR(FE$4="",$B27=""),0,SUMIF('DADOS BRUTOS'!$A$3:$A$500,$B27,'DADOS BRUTOS'!CE$3:CE$500)+IF($C27="",0,SUMIF('DADOS BRUTOS'!$A$3:$A$500,$C27,'DADOS BRUTOS'!CE$3:CE$500)))</f>
        <v/>
      </c>
      <c r="FF27" s="123">
        <f>IF(OR(FF$4="",$B27=""),0,SUMIF('DADOS BRUTOS'!$A$3:$A$500,$B27,'DADOS BRUTOS'!CF$3:CF$500)+IF($C27="",0,SUMIF('DADOS BRUTOS'!$A$3:$A$500,$C27,'DADOS BRUTOS'!CF$3:CF$500)))</f>
        <v/>
      </c>
      <c r="FG27" s="123">
        <f>IF(OR(FG$4="",$B27=""),0,SUMIF('DADOS BRUTOS'!$A$3:$A$500,$B27,'DADOS BRUTOS'!CG$3:CG$500)+IF($C27="",0,SUMIF('DADOS BRUTOS'!$A$3:$A$500,$C27,'DADOS BRUTOS'!CG$3:CG$500)))</f>
        <v/>
      </c>
      <c r="FH27" s="123">
        <f>IF(OR(FH$4="",$B27=""),0,SUMIF('DADOS BRUTOS'!$A$3:$A$500,$B27,'DADOS BRUTOS'!CH$3:CH$500)+IF($C27="",0,SUMIF('DADOS BRUTOS'!$A$3:$A$500,$C27,'DADOS BRUTOS'!CH$3:CH$500)))</f>
        <v/>
      </c>
      <c r="FI27" s="123">
        <f>IF(OR(FI$4="",$B27=""),0,SUMIF('DADOS BRUTOS'!$A$3:$A$500,$B27,'DADOS BRUTOS'!CI$3:CI$500)+IF($C27="",0,SUMIF('DADOS BRUTOS'!$A$3:$A$500,$C27,'DADOS BRUTOS'!CI$3:CI$500)))</f>
        <v/>
      </c>
      <c r="FJ27" s="123">
        <f>IF(OR(FJ$4="",$B27=""),0,SUMIF('DADOS BRUTOS'!$A$3:$A$500,$B27,'DADOS BRUTOS'!CJ$3:CJ$500)+IF($C27="",0,SUMIF('DADOS BRUTOS'!$A$3:$A$500,$C27,'DADOS BRUTOS'!CJ$3:CJ$500)))</f>
        <v/>
      </c>
      <c r="FK27" s="123">
        <f>IF(OR(FK$4="",$B27=""),0,SUMIF('DADOS BRUTOS'!$A$3:$A$500,$B27,'DADOS BRUTOS'!CK$3:CK$500)+IF($C27="",0,SUMIF('DADOS BRUTOS'!$A$3:$A$500,$C27,'DADOS BRUTOS'!CK$3:CK$500)))</f>
        <v/>
      </c>
      <c r="FL27" s="123">
        <f>IF(OR(FL$4="",$B27=""),0,SUMIF('DADOS BRUTOS'!$A$3:$A$500,$B27,'DADOS BRUTOS'!CL$3:CL$500)+IF($C27="",0,SUMIF('DADOS BRUTOS'!$A$3:$A$500,$C27,'DADOS BRUTOS'!CL$3:CL$500)))</f>
        <v/>
      </c>
      <c r="FM27" s="123">
        <f>IF(OR(FM$4="",$B27=""),0,SUMIF('DADOS BRUTOS'!$A$3:$A$500,$B27,'DADOS BRUTOS'!CM$3:CM$500)+IF($C27="",0,SUMIF('DADOS BRUTOS'!$A$3:$A$500,$C27,'DADOS BRUTOS'!CM$3:CM$500)))</f>
        <v/>
      </c>
      <c r="FN27" s="123">
        <f>IF(OR(FN$4="",$B27=""),0,SUMIF('DADOS BRUTOS'!$A$3:$A$500,$B27,'DADOS BRUTOS'!CN$3:CN$500)+IF($C27="",0,SUMIF('DADOS BRUTOS'!$A$3:$A$500,$C27,'DADOS BRUTOS'!CN$3:CN$500)))</f>
        <v/>
      </c>
      <c r="FO27" s="123">
        <f>IF(OR(FO$4="",$B27=""),0,SUMIF('DADOS BRUTOS'!$A$3:$A$500,$B27,'DADOS BRUTOS'!CO$3:CO$500)+IF($C27="",0,SUMIF('DADOS BRUTOS'!$A$3:$A$500,$C27,'DADOS BRUTOS'!CO$3:CO$500)))</f>
        <v/>
      </c>
      <c r="FP27" s="123">
        <f>IF(OR(FP$4="",$B27=""),0,SUMIF('DADOS BRUTOS'!$A$3:$A$500,$B27,'DADOS BRUTOS'!CP$3:CP$500)+IF($C27="",0,SUMIF('DADOS BRUTOS'!$A$3:$A$500,$C27,'DADOS BRUTOS'!CP$3:CP$500)))</f>
        <v/>
      </c>
      <c r="FQ27" s="123">
        <f>IF(OR(FQ$4="",$B27=""),0,SUMIF('DADOS BRUTOS'!$A$3:$A$500,$B27,'DADOS BRUTOS'!CQ$3:CQ$500)+IF($C27="",0,SUMIF('DADOS BRUTOS'!$A$3:$A$500,$C27,'DADOS BRUTOS'!CQ$3:CQ$500)))</f>
        <v/>
      </c>
      <c r="FR27" s="123">
        <f>IF(OR(FR$4="",$B27=""),0,SUMIF('DADOS BRUTOS'!$A$3:$A$500,$B27,'DADOS BRUTOS'!CR$3:CR$500)+IF($C27="",0,SUMIF('DADOS BRUTOS'!$A$3:$A$500,$C27,'DADOS BRUTOS'!CR$3:CR$500)))</f>
        <v/>
      </c>
      <c r="FS27" s="123">
        <f>IF(OR(FS$4="",$B27=""),0,SUMIF('DADOS BRUTOS'!$A$3:$A$500,$B27,'DADOS BRUTOS'!CS$3:CS$500)+IF($C27="",0,SUMIF('DADOS BRUTOS'!$A$3:$A$500,$C27,'DADOS BRUTOS'!CS$3:CS$500)))</f>
        <v/>
      </c>
      <c r="FT27" s="123">
        <f>IF(OR(FT$4="",$B27=""),0,SUMIF('DADOS BRUTOS'!$A$3:$A$500,$B27,'DADOS BRUTOS'!CT$3:CT$500)+IF($C27="",0,SUMIF('DADOS BRUTOS'!$A$3:$A$500,$C27,'DADOS BRUTOS'!CT$3:CT$500)))</f>
        <v/>
      </c>
      <c r="FU27" s="123">
        <f>IF(OR(FU$4="",$B27=""),0,SUMIF('DADOS BRUTOS'!$A$3:$A$500,$B27,'DADOS BRUTOS'!CU$3:CU$500)+IF($C27="",0,SUMIF('DADOS BRUTOS'!$A$3:$A$500,$C27,'DADOS BRUTOS'!CU$3:CU$500)))</f>
        <v/>
      </c>
      <c r="FV27" s="123">
        <f>IF(OR(FV$4="",$B27=""),0,SUMIF('DADOS BRUTOS'!$A$3:$A$500,$B27,'DADOS BRUTOS'!CV$3:CV$500)+IF($C27="",0,SUMIF('DADOS BRUTOS'!$A$3:$A$500,$C27,'DADOS BRUTOS'!CV$3:CV$500)))</f>
        <v/>
      </c>
      <c r="FW27" s="123">
        <f>IF(OR(FW$4="",$B27=""),0,SUMIF('DADOS BRUTOS'!$A$3:$A$500,$B27,'DADOS BRUTOS'!CW$3:CW$500)+IF($C27="",0,SUMIF('DADOS BRUTOS'!$A$3:$A$500,$C27,'DADOS BRUTOS'!CW$3:CW$500)))</f>
        <v/>
      </c>
      <c r="FX27" s="123">
        <f>IF(OR(FX$4="",$B27=""),0,SUMIF('DADOS BRUTOS'!$A$3:$A$500,$B27,'DADOS BRUTOS'!CX$3:CX$500)+IF($C27="",0,SUMIF('DADOS BRUTOS'!$A$3:$A$500,$C27,'DADOS BRUTOS'!CX$3:CX$500)))</f>
        <v/>
      </c>
      <c r="FY27" s="123">
        <f>IF(OR(FY$4="",$B27=""),0,SUMIF('DADOS BRUTOS'!$A$3:$A$500,$B27,'DADOS BRUTOS'!CY$3:CY$500)+IF($C27="",0,SUMIF('DADOS BRUTOS'!$A$3:$A$500,$C27,'DADOS BRUTOS'!CY$3:CY$500)))</f>
        <v/>
      </c>
      <c r="FZ27" s="123">
        <f>IF(OR(FZ$4="",$B27=""),0,SUMIF('DADOS BRUTOS'!$A$3:$A$500,$B27,'DADOS BRUTOS'!CZ$3:CZ$500)+IF($C27="",0,SUMIF('DADOS BRUTOS'!$A$3:$A$500,$C27,'DADOS BRUTOS'!CZ$3:CZ$500)))</f>
        <v/>
      </c>
      <c r="GA27" s="123">
        <f>IF(OR(GA$4="",$B27=""),0,SUMIF('DADOS BRUTOS'!$A$3:$A$500,$B27,'DADOS BRUTOS'!DA$3:DA$500)+IF($C27="",0,SUMIF('DADOS BRUTOS'!$A$3:$A$500,$C27,'DADOS BRUTOS'!DA$3:DA$500)))</f>
        <v/>
      </c>
      <c r="GB27" s="123">
        <f>IF(OR(GB$4="",$B27=""),0,SUMIF('DADOS BRUTOS'!$A$3:$A$500,$B27,'DADOS BRUTOS'!DB$3:DB$500)+IF($C27="",0,SUMIF('DADOS BRUTOS'!$A$3:$A$500,$C27,'DADOS BRUTOS'!DB$3:DB$500)))</f>
        <v/>
      </c>
      <c r="GC27" s="123">
        <f>IF(OR(GC$4="",$B27=""),0,SUMIF('DADOS BRUTOS'!$A$3:$A$500,$B27,'DADOS BRUTOS'!DC$3:DC$500)+IF($C27="",0,SUMIF('DADOS BRUTOS'!$A$3:$A$500,$C27,'DADOS BRUTOS'!DC$3:DC$500)))</f>
        <v/>
      </c>
      <c r="GD27" s="123">
        <f>IF(OR(GD$4="",$B27=""),0,SUMIF('DADOS BRUTOS'!$A$3:$A$500,$B27,'DADOS BRUTOS'!DD$3:DD$500)+IF($C27="",0,SUMIF('DADOS BRUTOS'!$A$3:$A$500,$C27,'DADOS BRUTOS'!DD$3:DD$500)))</f>
        <v/>
      </c>
      <c r="GE27" s="123">
        <f>IF(OR(GE$4="",$B27=""),0,SUMIF('DADOS BRUTOS'!$A$3:$A$500,$B27,'DADOS BRUTOS'!DE$3:DE$500)+IF($C27="",0,SUMIF('DADOS BRUTOS'!$A$3:$A$500,$C27,'DADOS BRUTOS'!DE$3:DE$500)))</f>
        <v/>
      </c>
      <c r="GF27" s="123">
        <f>IF(OR(GF$4="",$B27=""),0,SUMIF('DADOS BRUTOS'!$A$3:$A$500,$B27,'DADOS BRUTOS'!DF$3:DF$500)+IF($C27="",0,SUMIF('DADOS BRUTOS'!$A$3:$A$500,$C27,'DADOS BRUTOS'!DF$3:DF$500)))</f>
        <v/>
      </c>
      <c r="GG27" s="123">
        <f>IF(OR(GG$4="",$B27=""),0,SUMIF('DADOS BRUTOS'!$A$3:$A$500,$B27,'DADOS BRUTOS'!DG$3:DG$500)+IF($C27="",0,SUMIF('DADOS BRUTOS'!$A$3:$A$500,$C27,'DADOS BRUTOS'!DG$3:DG$500)))</f>
        <v/>
      </c>
      <c r="GH27" s="123">
        <f>IF(OR(GH$4="",$B27=""),0,SUMIF('DADOS BRUTOS'!$A$3:$A$500,$B27,'DADOS BRUTOS'!DH$3:DH$500)+IF($C27="",0,SUMIF('DADOS BRUTOS'!$A$3:$A$500,$C27,'DADOS BRUTOS'!DH$3:DH$500)))</f>
        <v/>
      </c>
      <c r="GI27" s="123">
        <f>IF(OR(GI$4="",$B27=""),0,SUMIF('DADOS BRUTOS'!$A$3:$A$500,$B27,'DADOS BRUTOS'!DI$3:DI$500)+IF($C27="",0,SUMIF('DADOS BRUTOS'!$A$3:$A$500,$C27,'DADOS BRUTOS'!DI$3:DI$500)))</f>
        <v/>
      </c>
      <c r="GJ27" s="123">
        <f>IF(OR(GJ$4="",$B27=""),0,SUMIF('DADOS BRUTOS'!$A$3:$A$500,$B27,'DADOS BRUTOS'!DJ$3:DJ$500)+IF($C27="",0,SUMIF('DADOS BRUTOS'!$A$3:$A$500,$C27,'DADOS BRUTOS'!DJ$3:DJ$500)))</f>
        <v/>
      </c>
      <c r="GK27" s="123">
        <f>IF(OR(GK$4="",$B27=""),0,SUMIF('DADOS BRUTOS'!$A$3:$A$500,$B27,'DADOS BRUTOS'!DK$3:DK$500)+IF($C27="",0,SUMIF('DADOS BRUTOS'!$A$3:$A$500,$C27,'DADOS BRUTOS'!DK$3:DK$500)))</f>
        <v/>
      </c>
      <c r="GL27" s="123">
        <f>IF(OR(GL$4="",$B27=""),0,SUMIF('DADOS BRUTOS'!$A$3:$A$500,$B27,'DADOS BRUTOS'!DL$3:DL$500)+IF($C27="",0,SUMIF('DADOS BRUTOS'!$A$3:$A$500,$C27,'DADOS BRUTOS'!DL$3:DL$500)))</f>
        <v/>
      </c>
      <c r="GM27" s="123">
        <f>IF(OR(GM$4="",$B27=""),0,SUMIF('DADOS BRUTOS'!$A$3:$A$500,$B27,'DADOS BRUTOS'!DM$3:DM$500)+IF($C27="",0,SUMIF('DADOS BRUTOS'!$A$3:$A$500,$C27,'DADOS BRUTOS'!DM$3:DM$500)))</f>
        <v/>
      </c>
      <c r="GN27" s="123">
        <f>IF(OR(GN$4="",$B27=""),0,SUMIF('DADOS BRUTOS'!$A$3:$A$500,$B27,'DADOS BRUTOS'!DN$3:DN$500)+IF($C27="",0,SUMIF('DADOS BRUTOS'!$A$3:$A$500,$C27,'DADOS BRUTOS'!DN$3:DN$500)))</f>
        <v/>
      </c>
      <c r="GO27" s="123">
        <f>IF(OR(GO$4="",$B27=""),0,SUMIF('DADOS BRUTOS'!$A$3:$A$500,$B27,'DADOS BRUTOS'!DO$3:DO$500)+IF($C27="",0,SUMIF('DADOS BRUTOS'!$A$3:$A$500,$C27,'DADOS BRUTOS'!DO$3:DO$500)))</f>
        <v/>
      </c>
      <c r="GP27" s="123">
        <f>IF(OR(GP$4="",$B27=""),0,SUMIF('DADOS BRUTOS'!$A$3:$A$500,$B27,'DADOS BRUTOS'!DP$3:DP$500)+IF($C27="",0,SUMIF('DADOS BRUTOS'!$A$3:$A$500,$C27,'DADOS BRUTOS'!DP$3:DP$500)))</f>
        <v/>
      </c>
      <c r="GQ27" s="123">
        <f>IF(OR(GQ$4="",$B27=""),0,SUMIF('DADOS BRUTOS'!$A$3:$A$500,$B27,'DADOS BRUTOS'!DQ$3:DQ$500)+IF($C27="",0,SUMIF('DADOS BRUTOS'!$A$3:$A$500,$C27,'DADOS BRUTOS'!DQ$3:DQ$500)))</f>
        <v/>
      </c>
      <c r="GR27" s="123">
        <f>IF(OR(GR$4="",$B27=""),0,SUMIF('DADOS BRUTOS'!$A$3:$A$500,$B27,'DADOS BRUTOS'!DR$3:DR$500)+IF($C27="",0,SUMIF('DADOS BRUTOS'!$A$3:$A$500,$C27,'DADOS BRUTOS'!DR$3:DR$500)))</f>
        <v/>
      </c>
      <c r="GS27" s="123">
        <f>IF(OR(GS$4="",$B27=""),0,SUMIF('DADOS BRUTOS'!$A$3:$A$500,$B27,'DADOS BRUTOS'!DS$3:DS$500)+IF($C27="",0,SUMIF('DADOS BRUTOS'!$A$3:$A$500,$C27,'DADOS BRUTOS'!DS$3:DS$500)))</f>
        <v/>
      </c>
      <c r="GT27" s="123">
        <f>IF(OR(GT$4="",$B27=""),0,SUMIF('DADOS BRUTOS'!$A$3:$A$500,$B27,'DADOS BRUTOS'!DT$3:DT$500)+IF($C27="",0,SUMIF('DADOS BRUTOS'!$A$3:$A$500,$C27,'DADOS BRUTOS'!DT$3:DT$500)))</f>
        <v/>
      </c>
      <c r="GU27" s="123">
        <f>IF(OR(GU$4="",$B27=""),0,SUMIF('DADOS BRUTOS'!$A$3:$A$500,$B27,'DADOS BRUTOS'!DU$3:DU$500)+IF($C27="",0,SUMIF('DADOS BRUTOS'!$A$3:$A$500,$C27,'DADOS BRUTOS'!DU$3:DU$500)))</f>
        <v/>
      </c>
      <c r="GV27" s="123">
        <f>IF(OR(GV$4="",$B27=""),0,SUMIF('DADOS BRUTOS'!$A$3:$A$500,$B27,'DADOS BRUTOS'!DV$3:DV$500)+IF($C27="",0,SUMIF('DADOS BRUTOS'!$A$3:$A$500,$C27,'DADOS BRUTOS'!DV$3:DV$500)))</f>
        <v/>
      </c>
      <c r="GW27" s="123">
        <f>IF(OR(GW$4="",$B27=""),0,SUMIF('DADOS BRUTOS'!$A$3:$A$500,$B27,'DADOS BRUTOS'!DW$3:DW$500)+IF($C27="",0,SUMIF('DADOS BRUTOS'!$A$3:$A$500,$C27,'DADOS BRUTOS'!DW$3:DW$500)))</f>
        <v/>
      </c>
      <c r="GX27" s="123">
        <f>IF(OR(GX$4="",$B27=""),0,SUMIF('DADOS BRUTOS'!$A$3:$A$500,$B27,'DADOS BRUTOS'!DX$3:DX$500)+IF($C27="",0,SUMIF('DADOS BRUTOS'!$A$3:$A$500,$C27,'DADOS BRUTOS'!DX$3:DX$500)))</f>
        <v/>
      </c>
      <c r="GY27" s="123">
        <f>IF(OR(GY$4="",$B27=""),0,SUMIF('DADOS BRUTOS'!$A$3:$A$500,$B27,'DADOS BRUTOS'!DY$3:DY$500)+IF($C27="",0,SUMIF('DADOS BRUTOS'!$A$3:$A$500,$C27,'DADOS BRUTOS'!DY$3:DY$500)))</f>
        <v/>
      </c>
      <c r="GZ27" s="123">
        <f>IF(OR(GZ$4="",$B27=""),0,SUMIF('DADOS BRUTOS'!$A$3:$A$500,$B27,'DADOS BRUTOS'!DZ$3:DZ$500)+IF($C27="",0,SUMIF('DADOS BRUTOS'!$A$3:$A$500,$C27,'DADOS BRUTOS'!DZ$3:DZ$500)))</f>
        <v/>
      </c>
      <c r="HA27" s="123">
        <f>IF(OR(HA$4="",$B27=""),0,SUMIF('DADOS BRUTOS'!$A$3:$A$500,$B27,'DADOS BRUTOS'!EA$3:EA$500)+IF($C27="",0,SUMIF('DADOS BRUTOS'!$A$3:$A$500,$C27,'DADOS BRUTOS'!EA$3:EA$500)))</f>
        <v/>
      </c>
      <c r="HB27" s="123">
        <f>IF(OR(HB$4="",$B27=""),0,SUMIF('DADOS BRUTOS'!$A$3:$A$500,$B27,'DADOS BRUTOS'!EB$3:EB$500)+IF($C27="",0,SUMIF('DADOS BRUTOS'!$A$3:$A$500,$C27,'DADOS BRUTOS'!EB$3:EB$500)))</f>
        <v/>
      </c>
      <c r="HC27" s="123">
        <f>IF(OR(HC$4="",$B27=""),0,SUMIF('DADOS BRUTOS'!$A$3:$A$500,$B27,'DADOS BRUTOS'!EC$3:EC$500)+IF($C27="",0,SUMIF('DADOS BRUTOS'!$A$3:$A$500,$C27,'DADOS BRUTOS'!EC$3:EC$500)))</f>
        <v/>
      </c>
      <c r="HD27" s="123">
        <f>IF(OR(HD$4="",$B27=""),0,SUMIF('DADOS BRUTOS'!$A$3:$A$500,$B27,'DADOS BRUTOS'!ED$3:ED$500)+IF($C27="",0,SUMIF('DADOS BRUTOS'!$A$3:$A$500,$C27,'DADOS BRUTOS'!ED$3:ED$500)))</f>
        <v/>
      </c>
      <c r="HE27" s="123">
        <f>IF(OR(HE$4="",$B27=""),0,SUMIF('DADOS BRUTOS'!$A$3:$A$500,$B27,'DADOS BRUTOS'!EE$3:EE$500)+IF($C27="",0,SUMIF('DADOS BRUTOS'!$A$3:$A$500,$C27,'DADOS BRUTOS'!EE$3:EE$500)))</f>
        <v/>
      </c>
      <c r="HF27" s="123">
        <f>IF(OR(HF$4="",$B27=""),0,SUMIF('DADOS BRUTOS'!$A$3:$A$500,$B27,'DADOS BRUTOS'!EF$3:EF$500)+IF($C27="",0,SUMIF('DADOS BRUTOS'!$A$3:$A$500,$C27,'DADOS BRUTOS'!EF$3:EF$500)))</f>
        <v/>
      </c>
      <c r="HG27" s="123">
        <f>IF(OR(HG$4="",$B27=""),0,SUMIF('DADOS BRUTOS'!$A$3:$A$500,$B27,'DADOS BRUTOS'!EG$3:EG$500)+IF($C27="",0,SUMIF('DADOS BRUTOS'!$A$3:$A$500,$C27,'DADOS BRUTOS'!EG$3:EG$500)))</f>
        <v/>
      </c>
      <c r="HH27" s="123">
        <f>IF(OR(HH$4="",$B27=""),0,SUMIF('DADOS BRUTOS'!$A$3:$A$500,$B27,'DADOS BRUTOS'!EH$3:EH$500)+IF($C27="",0,SUMIF('DADOS BRUTOS'!$A$3:$A$500,$C27,'DADOS BRUTOS'!EH$3:EH$500)))</f>
        <v/>
      </c>
      <c r="HI27" s="123">
        <f>IF(OR(HI$4="",$B27=""),0,SUMIF('DADOS BRUTOS'!$A$3:$A$500,$B27,'DADOS BRUTOS'!EI$3:EI$500)+IF($C27="",0,SUMIF('DADOS BRUTOS'!$A$3:$A$500,$C27,'DADOS BRUTOS'!EI$3:EI$500)))</f>
        <v/>
      </c>
      <c r="HJ27" s="123">
        <f>IF(OR(HJ$4="",$B27=""),0,SUMIF('DADOS BRUTOS'!$A$3:$A$500,$B27,'DADOS BRUTOS'!EJ$3:EJ$500)+IF($C27="",0,SUMIF('DADOS BRUTOS'!$A$3:$A$500,$C27,'DADOS BRUTOS'!EJ$3:EJ$500)))</f>
        <v/>
      </c>
      <c r="HK27" s="123">
        <f>IF(OR(HK$4="",$B27=""),0,SUMIF('DADOS BRUTOS'!$A$3:$A$500,$B27,'DADOS BRUTOS'!EK$3:EK$500)+IF($C27="",0,SUMIF('DADOS BRUTOS'!$A$3:$A$500,$C27,'DADOS BRUTOS'!EK$3:EK$500)))</f>
        <v/>
      </c>
      <c r="HL27" s="123">
        <f>IF(OR(HL$4="",$B27=""),0,SUMIF('DADOS BRUTOS'!$A$3:$A$500,$B27,'DADOS BRUTOS'!EL$3:EL$500)+IF($C27="",0,SUMIF('DADOS BRUTOS'!$A$3:$A$500,$C27,'DADOS BRUTOS'!EL$3:EL$500)))</f>
        <v/>
      </c>
      <c r="HM27" s="123">
        <f>IF(OR(HM$4="",$B27=""),0,SUMIF('DADOS BRUTOS'!$A$3:$A$500,$B27,'DADOS BRUTOS'!EM$3:EM$500)+IF($C27="",0,SUMIF('DADOS BRUTOS'!$A$3:$A$500,$C27,'DADOS BRUTOS'!EM$3:EM$500)))</f>
        <v/>
      </c>
      <c r="HN27" s="123">
        <f>IF(OR(HN$4="",$B27=""),0,SUMIF('DADOS BRUTOS'!$A$3:$A$500,$B27,'DADOS BRUTOS'!EN$3:EN$500)+IF($C27="",0,SUMIF('DADOS BRUTOS'!$A$3:$A$500,$C27,'DADOS BRUTOS'!EN$3:EN$500)))</f>
        <v/>
      </c>
      <c r="HO27" s="123">
        <f>IF(OR(HO$4="",$B27=""),0,SUMIF('DADOS BRUTOS'!$A$3:$A$500,$B27,'DADOS BRUTOS'!EO$3:EO$500)+IF($C27="",0,SUMIF('DADOS BRUTOS'!$A$3:$A$500,$C27,'DADOS BRUTOS'!EO$3:EO$500)))</f>
        <v/>
      </c>
      <c r="HP27" s="123">
        <f>IF(OR(HP$4="",$B27=""),0,SUMIF('DADOS BRUTOS'!$A$3:$A$500,$B27,'DADOS BRUTOS'!EP$3:EP$500)+IF($C27="",0,SUMIF('DADOS BRUTOS'!$A$3:$A$500,$C27,'DADOS BRUTOS'!EP$3:EP$500)))</f>
        <v/>
      </c>
      <c r="HQ27" s="123">
        <f>IF(OR(HQ$4="",$B27=""),0,SUMIF('DADOS BRUTOS'!$A$3:$A$500,$B27,'DADOS BRUTOS'!EQ$3:EQ$500)+IF($C27="",0,SUMIF('DADOS BRUTOS'!$A$3:$A$500,$C27,'DADOS BRUTOS'!EQ$3:EQ$500)))</f>
        <v/>
      </c>
      <c r="HR27" s="123">
        <f>IF(OR(HR$4="",$B27=""),0,SUMIF('DADOS BRUTOS'!$A$3:$A$500,$B27,'DADOS BRUTOS'!ER$3:ER$500)+IF($C27="",0,SUMIF('DADOS BRUTOS'!$A$3:$A$500,$C27,'DADOS BRUTOS'!ER$3:ER$500)))</f>
        <v/>
      </c>
      <c r="HS27" s="123">
        <f>IF(OR(HS$4="",$B27=""),0,SUMIF('DADOS BRUTOS'!$A$3:$A$500,$B27,'DADOS BRUTOS'!ES$3:ES$500)+IF($C27="",0,SUMIF('DADOS BRUTOS'!$A$3:$A$500,$C27,'DADOS BRUTOS'!ES$3:ES$500)))</f>
        <v/>
      </c>
      <c r="HT27" s="123">
        <f>IF(OR(HT$4="",$B27=""),0,SUMIF('DADOS BRUTOS'!$A$3:$A$500,$B27,'DADOS BRUTOS'!ET$3:ET$500)+IF($C27="",0,SUMIF('DADOS BRUTOS'!$A$3:$A$500,$C27,'DADOS BRUTOS'!ET$3:ET$500)))</f>
        <v/>
      </c>
      <c r="HU27" s="123">
        <f>IF(OR(HU$4="",$B27=""),0,SUMIF('DADOS BRUTOS'!$A$3:$A$500,$B27,'DADOS BRUTOS'!EU$3:EU$500)+IF($C27="",0,SUMIF('DADOS BRUTOS'!$A$3:$A$500,$C27,'DADOS BRUTOS'!EU$3:EU$500)))</f>
        <v/>
      </c>
      <c r="HV27" s="123">
        <f>IF(OR(HV$4="",$B27=""),0,SUMIF('DADOS BRUTOS'!$A$3:$A$500,$B27,'DADOS BRUTOS'!EV$3:EV$500)+IF($C27="",0,SUMIF('DADOS BRUTOS'!$A$3:$A$500,$C27,'DADOS BRUTOS'!EV$3:EV$500)))</f>
        <v/>
      </c>
      <c r="HW27" s="123">
        <f>IF(OR(HW$4="",$B27=""),0,SUMIF('DADOS BRUTOS'!$A$3:$A$500,$B27,'DADOS BRUTOS'!EW$3:EW$500)+IF($C27="",0,SUMIF('DADOS BRUTOS'!$A$3:$A$500,$C27,'DADOS BRUTOS'!EW$3:EW$500)))</f>
        <v/>
      </c>
      <c r="HX27" s="123">
        <f>IF(OR(HX$4="",$B27=""),0,SUMIF('DADOS BRUTOS'!$A$3:$A$500,$B27,'DADOS BRUTOS'!EX$3:EX$500)+IF($C27="",0,SUMIF('DADOS BRUTOS'!$A$3:$A$500,$C27,'DADOS BRUTOS'!EX$3:EX$500)))</f>
        <v/>
      </c>
      <c r="HY27" s="123">
        <f>IF(OR(HY$4="",$B27=""),0,SUMIF('DADOS BRUTOS'!$A$3:$A$500,$B27,'DADOS BRUTOS'!EY$3:EY$500)+IF($C27="",0,SUMIF('DADOS BRUTOS'!$A$3:$A$500,$C27,'DADOS BRUTOS'!EY$3:EY$500)))</f>
        <v/>
      </c>
      <c r="HZ27" s="123">
        <f>IF(OR(HZ$4="",$B27=""),0,SUMIF('DADOS BRUTOS'!$A$3:$A$500,$B27,'DADOS BRUTOS'!EZ$3:EZ$500)+IF($C27="",0,SUMIF('DADOS BRUTOS'!$A$3:$A$500,$C27,'DADOS BRUTOS'!EZ$3:EZ$500)))</f>
        <v/>
      </c>
      <c r="IA27" s="123">
        <f>IF(OR(IA$4="",$B27=""),0,SUMIF('DADOS BRUTOS'!$A$3:$A$500,$B27,'DADOS BRUTOS'!FA$3:FA$500)+IF($C27="",0,SUMIF('DADOS BRUTOS'!$A$3:$A$500,$C27,'DADOS BRUTOS'!FA$3:FA$500)))</f>
        <v/>
      </c>
      <c r="IB27" s="123">
        <f>IF(OR(IB$4="",$B27=""),0,SUMIF('DADOS BRUTOS'!$A$3:$A$500,$B27,'DADOS BRUTOS'!FB$3:FB$500)+IF($C27="",0,SUMIF('DADOS BRUTOS'!$A$3:$A$500,$C27,'DADOS BRUTOS'!FB$3:FB$500)))</f>
        <v/>
      </c>
      <c r="IC27" s="123">
        <f>IF(OR(IC$4="",$B27=""),0,SUMIF('DADOS BRUTOS'!$A$3:$A$500,$B27,'DADOS BRUTOS'!FC$3:FC$500)+IF($C27="",0,SUMIF('DADOS BRUTOS'!$A$3:$A$500,$C27,'DADOS BRUTOS'!FC$3:FC$500)))</f>
        <v/>
      </c>
      <c r="ID27" s="123">
        <f>IF(OR(ID$4="",$B27=""),0,SUMIF('DADOS BRUTOS'!$A$3:$A$500,$B27,'DADOS BRUTOS'!FD$3:FD$500)+IF($C27="",0,SUMIF('DADOS BRUTOS'!$A$3:$A$500,$C27,'DADOS BRUTOS'!FD$3:FD$500)))</f>
        <v/>
      </c>
      <c r="IE27" s="123">
        <f>IF(OR(IE$4="",$B27=""),0,SUMIF('DADOS BRUTOS'!$A$3:$A$500,$B27,'DADOS BRUTOS'!FE$3:FE$500)+IF($C27="",0,SUMIF('DADOS BRUTOS'!$A$3:$A$500,$C27,'DADOS BRUTOS'!FE$3:FE$500)))</f>
        <v/>
      </c>
      <c r="IF27" s="123">
        <f>IF(OR(IF$4="",$B27=""),0,SUMIF('DADOS BRUTOS'!$A$3:$A$500,$B27,'DADOS BRUTOS'!FF$3:FF$500)+IF($C27="",0,SUMIF('DADOS BRUTOS'!$A$3:$A$500,$C27,'DADOS BRUTOS'!FF$3:FF$500)))</f>
        <v/>
      </c>
      <c r="IG27" s="123">
        <f>IF(OR(IG$4="",$B27=""),0,SUMIF('DADOS BRUTOS'!$A$3:$A$500,$B27,'DADOS BRUTOS'!FG$3:FG$500)+IF($C27="",0,SUMIF('DADOS BRUTOS'!$A$3:$A$500,$C27,'DADOS BRUTOS'!FG$3:FG$500)))</f>
        <v/>
      </c>
      <c r="IH27" s="123">
        <f>IF(OR(IH$4="",$B27=""),0,SUMIF('DADOS BRUTOS'!$A$3:$A$500,$B27,'DADOS BRUTOS'!FH$3:FH$500)+IF($C27="",0,SUMIF('DADOS BRUTOS'!$A$3:$A$500,$C27,'DADOS BRUTOS'!FH$3:FH$500)))</f>
        <v/>
      </c>
      <c r="II27" s="123">
        <f>IF(OR(II$4="",$B27=""),0,SUMIF('DADOS BRUTOS'!$A$3:$A$500,$B27,'DADOS BRUTOS'!FI$3:FI$500)+IF($C27="",0,SUMIF('DADOS BRUTOS'!$A$3:$A$500,$C27,'DADOS BRUTOS'!FI$3:FI$500)))</f>
        <v/>
      </c>
      <c r="IJ27" s="123">
        <f>IF(OR(IJ$4="",$B27=""),0,SUMIF('DADOS BRUTOS'!$A$3:$A$500,$B27,'DADOS BRUTOS'!FJ$3:FJ$500)+IF($C27="",0,SUMIF('DADOS BRUTOS'!$A$3:$A$500,$C27,'DADOS BRUTOS'!FJ$3:FJ$500)))</f>
        <v/>
      </c>
      <c r="IK27" s="123">
        <f>IF(OR(IK$4="",$B27=""),0,SUMIF('DADOS BRUTOS'!$A$3:$A$500,$B27,'DADOS BRUTOS'!FK$3:FK$500)+IF($C27="",0,SUMIF('DADOS BRUTOS'!$A$3:$A$500,$C27,'DADOS BRUTOS'!FK$3:FK$500)))</f>
        <v/>
      </c>
      <c r="IL27" s="123">
        <f>IF(OR(IL$4="",$B27=""),0,SUMIF('DADOS BRUTOS'!$A$3:$A$500,$B27,'DADOS BRUTOS'!FL$3:FL$500)+IF($C27="",0,SUMIF('DADOS BRUTOS'!$A$3:$A$500,$C27,'DADOS BRUTOS'!FL$3:FL$500)))</f>
        <v/>
      </c>
      <c r="IM27" s="123">
        <f>IF(OR(IM$4="",$B27=""),0,SUMIF('DADOS BRUTOS'!$A$3:$A$500,$B27,'DADOS BRUTOS'!FM$3:FM$500)+IF($C27="",0,SUMIF('DADOS BRUTOS'!$A$3:$A$500,$C27,'DADOS BRUTOS'!FM$3:FM$500)))</f>
        <v/>
      </c>
      <c r="IN27" s="123">
        <f>IF(OR(IN$4="",$B27=""),0,SUMIF('DADOS BRUTOS'!$A$3:$A$500,$B27,'DADOS BRUTOS'!FN$3:FN$500)+IF($C27="",0,SUMIF('DADOS BRUTOS'!$A$3:$A$500,$C27,'DADOS BRUTOS'!FN$3:FN$500)))</f>
        <v/>
      </c>
      <c r="IO27" s="123">
        <f>IF(OR(IO$4="",$B27=""),0,SUMIF('DADOS BRUTOS'!$A$3:$A$500,$B27,'DADOS BRUTOS'!FO$3:FO$500)+IF($C27="",0,SUMIF('DADOS BRUTOS'!$A$3:$A$500,$C27,'DADOS BRUTOS'!FO$3:FO$500)))</f>
        <v/>
      </c>
      <c r="IP27" s="123">
        <f>IF(OR(IP$4="",$B27=""),0,SUMIF('DADOS BRUTOS'!$A$3:$A$500,$B27,'DADOS BRUTOS'!FP$3:FP$500)+IF($C27="",0,SUMIF('DADOS BRUTOS'!$A$3:$A$500,$C27,'DADOS BRUTOS'!FP$3:FP$500)))</f>
        <v/>
      </c>
      <c r="IQ27" s="123">
        <f>IF(OR(IQ$4="",$B27=""),0,SUMIF('DADOS BRUTOS'!$A$3:$A$500,$B27,'DADOS BRUTOS'!FQ$3:FQ$500)+IF($C27="",0,SUMIF('DADOS BRUTOS'!$A$3:$A$500,$C27,'DADOS BRUTOS'!FQ$3:FQ$500)))</f>
        <v/>
      </c>
      <c r="IR27" s="123">
        <f>IF(OR(IR$4="",$B27=""),0,SUMIF('DADOS BRUTOS'!$A$3:$A$500,$B27,'DADOS BRUTOS'!FR$3:FR$500)+IF($C27="",0,SUMIF('DADOS BRUTOS'!$A$3:$A$500,$C27,'DADOS BRUTOS'!FR$3:FR$500)))</f>
        <v/>
      </c>
      <c r="IS27" s="123">
        <f>IF(OR(IS$4="",$B27=""),0,SUMIF('DADOS BRUTOS'!$A$3:$A$500,$B27,'DADOS BRUTOS'!FS$3:FS$500)+IF($C27="",0,SUMIF('DADOS BRUTOS'!$A$3:$A$500,$C27,'DADOS BRUTOS'!FS$3:FS$500)))</f>
        <v/>
      </c>
      <c r="IT27" s="123">
        <f>IF(OR(IT$4="",$B27=""),0,SUMIF('DADOS BRUTOS'!$A$3:$A$500,$B27,'DADOS BRUTOS'!FT$3:FT$500)+IF($C27="",0,SUMIF('DADOS BRUTOS'!$A$3:$A$500,$C27,'DADOS BRUTOS'!FT$3:FT$500)))</f>
        <v/>
      </c>
      <c r="IU27" s="123">
        <f>IF(OR(IU$4="",$B27=""),0,SUMIF('DADOS BRUTOS'!$A$3:$A$500,$B27,'DADOS BRUTOS'!FU$3:FU$500)+IF($C27="",0,SUMIF('DADOS BRUTOS'!$A$3:$A$500,$C27,'DADOS BRUTOS'!FU$3:FU$500)))</f>
        <v/>
      </c>
      <c r="IV27" s="123">
        <f>IF(OR(IV$4="",$B27=""),0,SUMIF('DADOS BRUTOS'!$A$3:$A$500,$B27,'DADOS BRUTOS'!FV$3:FV$500)+IF($C27="",0,SUMIF('DADOS BRUTOS'!$A$3:$A$500,$C27,'DADOS BRUTOS'!FV$3:FV$500)))</f>
        <v/>
      </c>
      <c r="IW27" s="123">
        <f>IF(OR(IW$4="",$B27=""),0,SUMIF('DADOS BRUTOS'!$A$3:$A$500,$B27,'DADOS BRUTOS'!FW$3:FW$500)+IF($C27="",0,SUMIF('DADOS BRUTOS'!$A$3:$A$500,$C27,'DADOS BRUTOS'!FW$3:FW$500)))</f>
        <v/>
      </c>
      <c r="IX27" s="123">
        <f>IF(OR(IX$4="",$B27=""),0,SUMIF('DADOS BRUTOS'!$A$3:$A$500,$B27,'DADOS BRUTOS'!FX$3:FX$500)+IF($C27="",0,SUMIF('DADOS BRUTOS'!$A$3:$A$500,$C27,'DADOS BRUTOS'!FX$3:FX$500)))</f>
        <v/>
      </c>
      <c r="IY27" s="123">
        <f>IF(OR(IY$4="",$B27=""),0,SUMIF('DADOS BRUTOS'!$A$3:$A$500,$B27,'DADOS BRUTOS'!FY$3:FY$500)+IF($C27="",0,SUMIF('DADOS BRUTOS'!$A$3:$A$500,$C27,'DADOS BRUTOS'!FY$3:FY$500)))</f>
        <v/>
      </c>
      <c r="IZ27" s="123">
        <f>IF(OR(IZ$4="",$B27=""),0,SUMIF('DADOS BRUTOS'!$A$3:$A$500,$B27,'DADOS BRUTOS'!FZ$3:FZ$500)+IF($C27="",0,SUMIF('DADOS BRUTOS'!$A$3:$A$500,$C27,'DADOS BRUTOS'!FZ$3:FZ$500)))</f>
        <v/>
      </c>
      <c r="JA27" s="123">
        <f>IF(OR(JA$4="",$B27=""),0,SUMIF('DADOS BRUTOS'!$A$3:$A$500,$B27,'DADOS BRUTOS'!GA$3:GA$500)+IF($C27="",0,SUMIF('DADOS BRUTOS'!$A$3:$A$500,$C27,'DADOS BRUTOS'!GA$3:GA$500)))</f>
        <v/>
      </c>
      <c r="JB27" s="123">
        <f>IF(OR(JB$4="",$B27=""),0,SUMIF('DADOS BRUTOS'!$A$3:$A$500,$B27,'DADOS BRUTOS'!GB$3:GB$500)+IF($C27="",0,SUMIF('DADOS BRUTOS'!$A$3:$A$500,$C27,'DADOS BRUTOS'!GB$3:GB$500)))</f>
        <v/>
      </c>
      <c r="JC27" s="123">
        <f>IF(OR(JC$4="",$B27=""),0,SUMIF('DADOS BRUTOS'!$A$3:$A$500,$B27,'DADOS BRUTOS'!GC$3:GC$500)+IF($C27="",0,SUMIF('DADOS BRUTOS'!$A$3:$A$500,$C27,'DADOS BRUTOS'!GC$3:GC$500)))</f>
        <v/>
      </c>
      <c r="JD27" s="123">
        <f>IF(OR(JD$4="",$B27=""),0,SUMIF('DADOS BRUTOS'!$A$3:$A$500,$B27,'DADOS BRUTOS'!GD$3:GD$500)+IF($C27="",0,SUMIF('DADOS BRUTOS'!$A$3:$A$500,$C27,'DADOS BRUTOS'!GD$3:GD$500)))</f>
        <v/>
      </c>
      <c r="JE27" s="123">
        <f>IF(OR(JE$4="",$B27=""),0,SUMIF('DADOS BRUTOS'!$A$3:$A$500,$B27,'DADOS BRUTOS'!GE$3:GE$500)+IF($C27="",0,SUMIF('DADOS BRUTOS'!$A$3:$A$500,$C27,'DADOS BRUTOS'!GE$3:GE$500)))</f>
        <v/>
      </c>
      <c r="JF27" s="123">
        <f>IF(OR(JF$4="",$B27=""),0,SUMIF('DADOS BRUTOS'!$A$3:$A$500,$B27,'DADOS BRUTOS'!GF$3:GF$500)+IF($C27="",0,SUMIF('DADOS BRUTOS'!$A$3:$A$500,$C27,'DADOS BRUTOS'!GF$3:GF$500)))</f>
        <v/>
      </c>
      <c r="JG27" s="123">
        <f>IF(OR(JG$4="",$B27=""),0,SUMIF('DADOS BRUTOS'!$A$3:$A$500,$B27,'DADOS BRUTOS'!GG$3:GG$500)+IF($C27="",0,SUMIF('DADOS BRUTOS'!$A$3:$A$500,$C27,'DADOS BRUTOS'!GG$3:GG$500)))</f>
        <v/>
      </c>
      <c r="JH27" s="123">
        <f>IF(OR(JH$4="",$B27=""),0,SUMIF('DADOS BRUTOS'!$A$3:$A$500,$B27,'DADOS BRUTOS'!GH$3:GH$500)+IF($C27="",0,SUMIF('DADOS BRUTOS'!$A$3:$A$500,$C27,'DADOS BRUTOS'!GH$3:GH$500)))</f>
        <v/>
      </c>
      <c r="JI27" s="123">
        <f>IF(OR(JI$4="",$B27=""),0,SUMIF('DADOS BRUTOS'!$A$3:$A$500,$B27,'DADOS BRUTOS'!GI$3:GI$500)+IF($C27="",0,SUMIF('DADOS BRUTOS'!$A$3:$A$500,$C27,'DADOS BRUTOS'!GI$3:GI$500)))</f>
        <v/>
      </c>
      <c r="JJ27" s="123">
        <f>IF(OR(JJ$4="",$B27=""),0,SUMIF('DADOS BRUTOS'!$A$3:$A$500,$B27,'DADOS BRUTOS'!GJ$3:GJ$500)+IF($C27="",0,SUMIF('DADOS BRUTOS'!$A$3:$A$500,$C27,'DADOS BRUTOS'!GJ$3:GJ$500)))</f>
        <v/>
      </c>
      <c r="JK27" s="123">
        <f>IF(OR(JK$4="",$B27=""),0,SUMIF('DADOS BRUTOS'!$A$3:$A$500,$B27,'DADOS BRUTOS'!GK$3:GK$500)+IF($C27="",0,SUMIF('DADOS BRUTOS'!$A$3:$A$500,$C27,'DADOS BRUTOS'!GK$3:GK$500)))</f>
        <v/>
      </c>
      <c r="JL27" s="123">
        <f>IF(OR(JL$4="",$B27=""),0,SUMIF('DADOS BRUTOS'!$A$3:$A$500,$B27,'DADOS BRUTOS'!GL$3:GL$500)+IF($C27="",0,SUMIF('DADOS BRUTOS'!$A$3:$A$500,$C27,'DADOS BRUTOS'!GL$3:GL$500)))</f>
        <v/>
      </c>
      <c r="JM27" s="123">
        <f>IF(OR(JM$4="",$B27=""),0,SUMIF('DADOS BRUTOS'!$A$3:$A$500,$B27,'DADOS BRUTOS'!GM$3:GM$500)+IF($C27="",0,SUMIF('DADOS BRUTOS'!$A$3:$A$500,$C27,'DADOS BRUTOS'!GM$3:GM$500)))</f>
        <v/>
      </c>
      <c r="JN27" s="123">
        <f>IF(OR(JN$4="",$B27=""),0,SUMIF('DADOS BRUTOS'!$A$3:$A$500,$B27,'DADOS BRUTOS'!GN$3:GN$500)+IF($C27="",0,SUMIF('DADOS BRUTOS'!$A$3:$A$500,$C27,'DADOS BRUTOS'!GN$3:GN$500)))</f>
        <v/>
      </c>
      <c r="JO27" s="123">
        <f>IF(OR(JO$4="",$B27=""),0,SUMIF('DADOS BRUTOS'!$A$3:$A$500,$B27,'DADOS BRUTOS'!GO$3:GO$500)+IF($C27="",0,SUMIF('DADOS BRUTOS'!$A$3:$A$500,$C27,'DADOS BRUTOS'!GO$3:GO$500)))</f>
        <v/>
      </c>
      <c r="JP27" s="123">
        <f>IF(OR(JP$4="",$B27=""),0,SUMIF('DADOS BRUTOS'!$A$3:$A$500,$B27,'DADOS BRUTOS'!GP$3:GP$500)+IF($C27="",0,SUMIF('DADOS BRUTOS'!$A$3:$A$500,$C27,'DADOS BRUTOS'!GP$3:GP$500)))</f>
        <v/>
      </c>
      <c r="JQ27" s="123">
        <f>IF(OR(JQ$4="",$B27=""),0,SUMIF('DADOS BRUTOS'!$A$3:$A$500,$B27,'DADOS BRUTOS'!GQ$3:GQ$500)+IF($C27="",0,SUMIF('DADOS BRUTOS'!$A$3:$A$500,$C27,'DADOS BRUTOS'!GQ$3:GQ$500)))</f>
        <v/>
      </c>
      <c r="JR27" s="123">
        <f>IF(OR(JR$4="",$B27=""),0,SUMIF('DADOS BRUTOS'!$A$3:$A$500,$B27,'DADOS BRUTOS'!GR$3:GR$500)+IF($C27="",0,SUMIF('DADOS BRUTOS'!$A$3:$A$500,$C27,'DADOS BRUTOS'!GR$3:GR$500)))</f>
        <v/>
      </c>
      <c r="JS27" s="123">
        <f>IF(OR(JS$4="",$B27=""),0,SUMIF('DADOS BRUTOS'!$A$3:$A$500,$B27,'DADOS BRUTOS'!GS$3:GS$500)+IF($C27="",0,SUMIF('DADOS BRUTOS'!$A$3:$A$500,$C27,'DADOS BRUTOS'!GS$3:GS$500)))</f>
        <v/>
      </c>
    </row>
    <row r="28">
      <c r="A28" s="60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CB28" s="123">
        <f>IF(OR(CB$4="",$B28=""),0,SUMIF('DADOS BRUTOS'!$A$3:$A$500,$B28,'DADOS BRUTOS'!B$3:B$500)+IF($C28="",0,SUMIF('DADOS BRUTOS'!$A$3:$A$500,$C28,'DADOS BRUTOS'!B$3:B$500)))</f>
        <v/>
      </c>
      <c r="CC28" s="123">
        <f>IF(OR(CC$4="",$B28=""),0,SUMIF('DADOS BRUTOS'!$A$3:$A$500,$B28,'DADOS BRUTOS'!C$3:C$500)+IF($C28="",0,SUMIF('DADOS BRUTOS'!$A$3:$A$500,$C28,'DADOS BRUTOS'!C$3:C$500)))</f>
        <v/>
      </c>
      <c r="CD28" s="123">
        <f>IF(OR(CD$4="",$B28=""),0,SUMIF('DADOS BRUTOS'!$A$3:$A$500,$B28,'DADOS BRUTOS'!D$3:D$500)+IF($C28="",0,SUMIF('DADOS BRUTOS'!$A$3:$A$500,$C28,'DADOS BRUTOS'!D$3:D$500)))</f>
        <v/>
      </c>
      <c r="CE28" s="123">
        <f>IF(OR(CE$4="",$B28=""),0,SUMIF('DADOS BRUTOS'!$A$3:$A$500,$B28,'DADOS BRUTOS'!E$3:E$500)+IF($C28="",0,SUMIF('DADOS BRUTOS'!$A$3:$A$500,$C28,'DADOS BRUTOS'!E$3:E$500)))</f>
        <v/>
      </c>
      <c r="CF28" s="123">
        <f>IF(OR(CF$4="",$B28=""),0,SUMIF('DADOS BRUTOS'!$A$3:$A$500,$B28,'DADOS BRUTOS'!F$3:F$500)+IF($C28="",0,SUMIF('DADOS BRUTOS'!$A$3:$A$500,$C28,'DADOS BRUTOS'!F$3:F$500)))</f>
        <v/>
      </c>
      <c r="CG28" s="123">
        <f>IF(OR(CG$4="",$B28=""),0,SUMIF('DADOS BRUTOS'!$A$3:$A$500,$B28,'DADOS BRUTOS'!G$3:G$500)+IF($C28="",0,SUMIF('DADOS BRUTOS'!$A$3:$A$500,$C28,'DADOS BRUTOS'!G$3:G$500)))</f>
        <v/>
      </c>
      <c r="CH28" s="123">
        <f>IF(OR(CH$4="",$B28=""),0,SUMIF('DADOS BRUTOS'!$A$3:$A$500,$B28,'DADOS BRUTOS'!H$3:H$500)+IF($C28="",0,SUMIF('DADOS BRUTOS'!$A$3:$A$500,$C28,'DADOS BRUTOS'!H$3:H$500)))</f>
        <v/>
      </c>
      <c r="CI28" s="123">
        <f>IF(OR(CI$4="",$B28=""),0,SUMIF('DADOS BRUTOS'!$A$3:$A$500,$B28,'DADOS BRUTOS'!I$3:I$500)+IF($C28="",0,SUMIF('DADOS BRUTOS'!$A$3:$A$500,$C28,'DADOS BRUTOS'!I$3:I$500)))</f>
        <v/>
      </c>
      <c r="CJ28" s="123">
        <f>IF(OR(CJ$4="",$B28=""),0,SUMIF('DADOS BRUTOS'!$A$3:$A$500,$B28,'DADOS BRUTOS'!J$3:J$500)+IF($C28="",0,SUMIF('DADOS BRUTOS'!$A$3:$A$500,$C28,'DADOS BRUTOS'!J$3:J$500)))</f>
        <v/>
      </c>
      <c r="CK28" s="123">
        <f>IF(OR(CK$4="",$B28=""),0,SUMIF('DADOS BRUTOS'!$A$3:$A$500,$B28,'DADOS BRUTOS'!K$3:K$500)+IF($C28="",0,SUMIF('DADOS BRUTOS'!$A$3:$A$500,$C28,'DADOS BRUTOS'!K$3:K$500)))</f>
        <v/>
      </c>
      <c r="CL28" s="123">
        <f>IF(OR(CL$4="",$B28=""),0,SUMIF('DADOS BRUTOS'!$A$3:$A$500,$B28,'DADOS BRUTOS'!L$3:L$500)+IF($C28="",0,SUMIF('DADOS BRUTOS'!$A$3:$A$500,$C28,'DADOS BRUTOS'!L$3:L$500)))</f>
        <v/>
      </c>
      <c r="CM28" s="123">
        <f>IF(OR(CM$4="",$B28=""),0,SUMIF('DADOS BRUTOS'!$A$3:$A$500,$B28,'DADOS BRUTOS'!M$3:M$500)+IF($C28="",0,SUMIF('DADOS BRUTOS'!$A$3:$A$500,$C28,'DADOS BRUTOS'!M$3:M$500)))</f>
        <v/>
      </c>
      <c r="CN28" s="123">
        <f>IF(OR(CN$4="",$B28=""),0,SUMIF('DADOS BRUTOS'!$A$3:$A$500,$B28,'DADOS BRUTOS'!N$3:N$500)+IF($C28="",0,SUMIF('DADOS BRUTOS'!$A$3:$A$500,$C28,'DADOS BRUTOS'!N$3:N$500)))</f>
        <v/>
      </c>
      <c r="CO28" s="123">
        <f>IF(OR(CO$4="",$B28=""),0,SUMIF('DADOS BRUTOS'!$A$3:$A$500,$B28,'DADOS BRUTOS'!O$3:O$500)+IF($C28="",0,SUMIF('DADOS BRUTOS'!$A$3:$A$500,$C28,'DADOS BRUTOS'!O$3:O$500)))</f>
        <v/>
      </c>
      <c r="CP28" s="123">
        <f>IF(OR(CP$4="",$B28=""),0,SUMIF('DADOS BRUTOS'!$A$3:$A$500,$B28,'DADOS BRUTOS'!P$3:P$500)+IF($C28="",0,SUMIF('DADOS BRUTOS'!$A$3:$A$500,$C28,'DADOS BRUTOS'!P$3:P$500)))</f>
        <v/>
      </c>
      <c r="CQ28" s="123">
        <f>IF(OR(CQ$4="",$B28=""),0,SUMIF('DADOS BRUTOS'!$A$3:$A$500,$B28,'DADOS BRUTOS'!Q$3:Q$500)+IF($C28="",0,SUMIF('DADOS BRUTOS'!$A$3:$A$500,$C28,'DADOS BRUTOS'!Q$3:Q$500)))</f>
        <v/>
      </c>
      <c r="CR28" s="123">
        <f>IF(OR(CR$4="",$B28=""),0,SUMIF('DADOS BRUTOS'!$A$3:$A$500,$B28,'DADOS BRUTOS'!R$3:R$500)+IF($C28="",0,SUMIF('DADOS BRUTOS'!$A$3:$A$500,$C28,'DADOS BRUTOS'!R$3:R$500)))</f>
        <v/>
      </c>
      <c r="CS28" s="123">
        <f>IF(OR(CS$4="",$B28=""),0,SUMIF('DADOS BRUTOS'!$A$3:$A$500,$B28,'DADOS BRUTOS'!S$3:S$500)+IF($C28="",0,SUMIF('DADOS BRUTOS'!$A$3:$A$500,$C28,'DADOS BRUTOS'!S$3:S$500)))</f>
        <v/>
      </c>
      <c r="CT28" s="123">
        <f>IF(OR(CT$4="",$B28=""),0,SUMIF('DADOS BRUTOS'!$A$3:$A$500,$B28,'DADOS BRUTOS'!T$3:T$500)+IF($C28="",0,SUMIF('DADOS BRUTOS'!$A$3:$A$500,$C28,'DADOS BRUTOS'!T$3:T$500)))</f>
        <v/>
      </c>
      <c r="CU28" s="123">
        <f>IF(OR(CU$4="",$B28=""),0,SUMIF('DADOS BRUTOS'!$A$3:$A$500,$B28,'DADOS BRUTOS'!U$3:U$500)+IF($C28="",0,SUMIF('DADOS BRUTOS'!$A$3:$A$500,$C28,'DADOS BRUTOS'!U$3:U$500)))</f>
        <v/>
      </c>
      <c r="CV28" s="123">
        <f>IF(OR(CV$4="",$B28=""),0,SUMIF('DADOS BRUTOS'!$A$3:$A$500,$B28,'DADOS BRUTOS'!V$3:V$500)+IF($C28="",0,SUMIF('DADOS BRUTOS'!$A$3:$A$500,$C28,'DADOS BRUTOS'!V$3:V$500)))</f>
        <v/>
      </c>
      <c r="CW28" s="123">
        <f>IF(OR(CW$4="",$B28=""),0,SUMIF('DADOS BRUTOS'!$A$3:$A$500,$B28,'DADOS BRUTOS'!W$3:W$500)+IF($C28="",0,SUMIF('DADOS BRUTOS'!$A$3:$A$500,$C28,'DADOS BRUTOS'!W$3:W$500)))</f>
        <v/>
      </c>
      <c r="CX28" s="123">
        <f>IF(OR(CX$4="",$B28=""),0,SUMIF('DADOS BRUTOS'!$A$3:$A$500,$B28,'DADOS BRUTOS'!X$3:X$500)+IF($C28="",0,SUMIF('DADOS BRUTOS'!$A$3:$A$500,$C28,'DADOS BRUTOS'!X$3:X$500)))</f>
        <v/>
      </c>
      <c r="CY28" s="123">
        <f>IF(OR(CY$4="",$B28=""),0,SUMIF('DADOS BRUTOS'!$A$3:$A$500,$B28,'DADOS BRUTOS'!Y$3:Y$500)+IF($C28="",0,SUMIF('DADOS BRUTOS'!$A$3:$A$500,$C28,'DADOS BRUTOS'!Y$3:Y$500)))</f>
        <v/>
      </c>
      <c r="CZ28" s="123">
        <f>IF(OR(CZ$4="",$B28=""),0,SUMIF('DADOS BRUTOS'!$A$3:$A$500,$B28,'DADOS BRUTOS'!Z$3:Z$500)+IF($C28="",0,SUMIF('DADOS BRUTOS'!$A$3:$A$500,$C28,'DADOS BRUTOS'!Z$3:Z$500)))</f>
        <v/>
      </c>
      <c r="DA28" s="123">
        <f>IF(OR(DA$4="",$B28=""),0,SUMIF('DADOS BRUTOS'!$A$3:$A$500,$B28,'DADOS BRUTOS'!AA$3:AA$500)+IF($C28="",0,SUMIF('DADOS BRUTOS'!$A$3:$A$500,$C28,'DADOS BRUTOS'!AA$3:AA$500)))</f>
        <v/>
      </c>
      <c r="DB28" s="123">
        <f>IF(OR(DB$4="",$B28=""),0,SUMIF('DADOS BRUTOS'!$A$3:$A$500,$B28,'DADOS BRUTOS'!AB$3:AB$500)+IF($C28="",0,SUMIF('DADOS BRUTOS'!$A$3:$A$500,$C28,'DADOS BRUTOS'!AB$3:AB$500)))</f>
        <v/>
      </c>
      <c r="DC28" s="123">
        <f>IF(OR(DC$4="",$B28=""),0,SUMIF('DADOS BRUTOS'!$A$3:$A$500,$B28,'DADOS BRUTOS'!AC$3:AC$500)+IF($C28="",0,SUMIF('DADOS BRUTOS'!$A$3:$A$500,$C28,'DADOS BRUTOS'!AC$3:AC$500)))</f>
        <v/>
      </c>
      <c r="DD28" s="123">
        <f>IF(OR(DD$4="",$B28=""),0,SUMIF('DADOS BRUTOS'!$A$3:$A$500,$B28,'DADOS BRUTOS'!AD$3:AD$500)+IF($C28="",0,SUMIF('DADOS BRUTOS'!$A$3:$A$500,$C28,'DADOS BRUTOS'!AD$3:AD$500)))</f>
        <v/>
      </c>
      <c r="DE28" s="123">
        <f>IF(OR(DE$4="",$B28=""),0,SUMIF('DADOS BRUTOS'!$A$3:$A$500,$B28,'DADOS BRUTOS'!AE$3:AE$500)+IF($C28="",0,SUMIF('DADOS BRUTOS'!$A$3:$A$500,$C28,'DADOS BRUTOS'!AE$3:AE$500)))</f>
        <v/>
      </c>
      <c r="DF28" s="123">
        <f>IF(OR(DF$4="",$B28=""),0,SUMIF('DADOS BRUTOS'!$A$3:$A$500,$B28,'DADOS BRUTOS'!AF$3:AF$500)+IF($C28="",0,SUMIF('DADOS BRUTOS'!$A$3:$A$500,$C28,'DADOS BRUTOS'!AF$3:AF$500)))</f>
        <v/>
      </c>
      <c r="DG28" s="123">
        <f>IF(OR(DG$4="",$B28=""),0,SUMIF('DADOS BRUTOS'!$A$3:$A$500,$B28,'DADOS BRUTOS'!AG$3:AG$500)+IF($C28="",0,SUMIF('DADOS BRUTOS'!$A$3:$A$500,$C28,'DADOS BRUTOS'!AG$3:AG$500)))</f>
        <v/>
      </c>
      <c r="DH28" s="123">
        <f>IF(OR(DH$4="",$B28=""),0,SUMIF('DADOS BRUTOS'!$A$3:$A$500,$B28,'DADOS BRUTOS'!AH$3:AH$500)+IF($C28="",0,SUMIF('DADOS BRUTOS'!$A$3:$A$500,$C28,'DADOS BRUTOS'!AH$3:AH$500)))</f>
        <v/>
      </c>
      <c r="DI28" s="123">
        <f>IF(OR(DI$4="",$B28=""),0,SUMIF('DADOS BRUTOS'!$A$3:$A$500,$B28,'DADOS BRUTOS'!AI$3:AI$500)+IF($C28="",0,SUMIF('DADOS BRUTOS'!$A$3:$A$500,$C28,'DADOS BRUTOS'!AI$3:AI$500)))</f>
        <v/>
      </c>
      <c r="DJ28" s="123">
        <f>IF(OR(DJ$4="",$B28=""),0,SUMIF('DADOS BRUTOS'!$A$3:$A$500,$B28,'DADOS BRUTOS'!AJ$3:AJ$500)+IF($C28="",0,SUMIF('DADOS BRUTOS'!$A$3:$A$500,$C28,'DADOS BRUTOS'!AJ$3:AJ$500)))</f>
        <v/>
      </c>
      <c r="DK28" s="123">
        <f>IF(OR(DK$4="",$B28=""),0,SUMIF('DADOS BRUTOS'!$A$3:$A$500,$B28,'DADOS BRUTOS'!AK$3:AK$500)+IF($C28="",0,SUMIF('DADOS BRUTOS'!$A$3:$A$500,$C28,'DADOS BRUTOS'!AK$3:AK$500)))</f>
        <v/>
      </c>
      <c r="DL28" s="123">
        <f>IF(OR(DL$4="",$B28=""),0,SUMIF('DADOS BRUTOS'!$A$3:$A$500,$B28,'DADOS BRUTOS'!AL$3:AL$500)+IF($C28="",0,SUMIF('DADOS BRUTOS'!$A$3:$A$500,$C28,'DADOS BRUTOS'!AL$3:AL$500)))</f>
        <v/>
      </c>
      <c r="DM28" s="123">
        <f>IF(OR(DM$4="",$B28=""),0,SUMIF('DADOS BRUTOS'!$A$3:$A$500,$B28,'DADOS BRUTOS'!AM$3:AM$500)+IF($C28="",0,SUMIF('DADOS BRUTOS'!$A$3:$A$500,$C28,'DADOS BRUTOS'!AM$3:AM$500)))</f>
        <v/>
      </c>
      <c r="DN28" s="123">
        <f>IF(OR(DN$4="",$B28=""),0,SUMIF('DADOS BRUTOS'!$A$3:$A$500,$B28,'DADOS BRUTOS'!AN$3:AN$500)+IF($C28="",0,SUMIF('DADOS BRUTOS'!$A$3:$A$500,$C28,'DADOS BRUTOS'!AN$3:AN$500)))</f>
        <v/>
      </c>
      <c r="DO28" s="123">
        <f>IF(OR(DO$4="",$B28=""),0,SUMIF('DADOS BRUTOS'!$A$3:$A$500,$B28,'DADOS BRUTOS'!AO$3:AO$500)+IF($C28="",0,SUMIF('DADOS BRUTOS'!$A$3:$A$500,$C28,'DADOS BRUTOS'!AO$3:AO$500)))</f>
        <v/>
      </c>
      <c r="DP28" s="123">
        <f>IF(OR(DP$4="",$B28=""),0,SUMIF('DADOS BRUTOS'!$A$3:$A$500,$B28,'DADOS BRUTOS'!AP$3:AP$500)+IF($C28="",0,SUMIF('DADOS BRUTOS'!$A$3:$A$500,$C28,'DADOS BRUTOS'!AP$3:AP$500)))</f>
        <v/>
      </c>
      <c r="DQ28" s="123">
        <f>IF(OR(DQ$4="",$B28=""),0,SUMIF('DADOS BRUTOS'!$A$3:$A$500,$B28,'DADOS BRUTOS'!AQ$3:AQ$500)+IF($C28="",0,SUMIF('DADOS BRUTOS'!$A$3:$A$500,$C28,'DADOS BRUTOS'!AQ$3:AQ$500)))</f>
        <v/>
      </c>
      <c r="DR28" s="123">
        <f>IF(OR(DR$4="",$B28=""),0,SUMIF('DADOS BRUTOS'!$A$3:$A$500,$B28,'DADOS BRUTOS'!AR$3:AR$500)+IF($C28="",0,SUMIF('DADOS BRUTOS'!$A$3:$A$500,$C28,'DADOS BRUTOS'!AR$3:AR$500)))</f>
        <v/>
      </c>
      <c r="DS28" s="123">
        <f>IF(OR(DS$4="",$B28=""),0,SUMIF('DADOS BRUTOS'!$A$3:$A$500,$B28,'DADOS BRUTOS'!AS$3:AS$500)+IF($C28="",0,SUMIF('DADOS BRUTOS'!$A$3:$A$500,$C28,'DADOS BRUTOS'!AS$3:AS$500)))</f>
        <v/>
      </c>
      <c r="DT28" s="123">
        <f>IF(OR(DT$4="",$B28=""),0,SUMIF('DADOS BRUTOS'!$A$3:$A$500,$B28,'DADOS BRUTOS'!AT$3:AT$500)+IF($C28="",0,SUMIF('DADOS BRUTOS'!$A$3:$A$500,$C28,'DADOS BRUTOS'!AT$3:AT$500)))</f>
        <v/>
      </c>
      <c r="DU28" s="123">
        <f>IF(OR(DU$4="",$B28=""),0,SUMIF('DADOS BRUTOS'!$A$3:$A$500,$B28,'DADOS BRUTOS'!AU$3:AU$500)+IF($C28="",0,SUMIF('DADOS BRUTOS'!$A$3:$A$500,$C28,'DADOS BRUTOS'!AU$3:AU$500)))</f>
        <v/>
      </c>
      <c r="DV28" s="123">
        <f>IF(OR(DV$4="",$B28=""),0,SUMIF('DADOS BRUTOS'!$A$3:$A$500,$B28,'DADOS BRUTOS'!AV$3:AV$500)+IF($C28="",0,SUMIF('DADOS BRUTOS'!$A$3:$A$500,$C28,'DADOS BRUTOS'!AV$3:AV$500)))</f>
        <v/>
      </c>
      <c r="DW28" s="123">
        <f>IF(OR(DW$4="",$B28=""),0,SUMIF('DADOS BRUTOS'!$A$3:$A$500,$B28,'DADOS BRUTOS'!AW$3:AW$500)+IF($C28="",0,SUMIF('DADOS BRUTOS'!$A$3:$A$500,$C28,'DADOS BRUTOS'!AW$3:AW$500)))</f>
        <v/>
      </c>
      <c r="DX28" s="123">
        <f>IF(OR(DX$4="",$B28=""),0,SUMIF('DADOS BRUTOS'!$A$3:$A$500,$B28,'DADOS BRUTOS'!AX$3:AX$500)+IF($C28="",0,SUMIF('DADOS BRUTOS'!$A$3:$A$500,$C28,'DADOS BRUTOS'!AX$3:AX$500)))</f>
        <v/>
      </c>
      <c r="DY28" s="123">
        <f>IF(OR(DY$4="",$B28=""),0,SUMIF('DADOS BRUTOS'!$A$3:$A$500,$B28,'DADOS BRUTOS'!AY$3:AY$500)+IF($C28="",0,SUMIF('DADOS BRUTOS'!$A$3:$A$500,$C28,'DADOS BRUTOS'!AY$3:AY$500)))</f>
        <v/>
      </c>
      <c r="DZ28" s="123">
        <f>IF(OR(DZ$4="",$B28=""),0,SUMIF('DADOS BRUTOS'!$A$3:$A$500,$B28,'DADOS BRUTOS'!AZ$3:AZ$500)+IF($C28="",0,SUMIF('DADOS BRUTOS'!$A$3:$A$500,$C28,'DADOS BRUTOS'!AZ$3:AZ$500)))</f>
        <v/>
      </c>
      <c r="EA28" s="123">
        <f>IF(OR(EA$4="",$B28=""),0,SUMIF('DADOS BRUTOS'!$A$3:$A$500,$B28,'DADOS BRUTOS'!BA$3:BA$500)+IF($C28="",0,SUMIF('DADOS BRUTOS'!$A$3:$A$500,$C28,'DADOS BRUTOS'!BA$3:BA$500)))</f>
        <v/>
      </c>
      <c r="EB28" s="123">
        <f>IF(OR(EB$4="",$B28=""),0,SUMIF('DADOS BRUTOS'!$A$3:$A$500,$B28,'DADOS BRUTOS'!BB$3:BB$500)+IF($C28="",0,SUMIF('DADOS BRUTOS'!$A$3:$A$500,$C28,'DADOS BRUTOS'!BB$3:BB$500)))</f>
        <v/>
      </c>
      <c r="EC28" s="123">
        <f>IF(OR(EC$4="",$B28=""),0,SUMIF('DADOS BRUTOS'!$A$3:$A$500,$B28,'DADOS BRUTOS'!BC$3:BC$500)+IF($C28="",0,SUMIF('DADOS BRUTOS'!$A$3:$A$500,$C28,'DADOS BRUTOS'!BC$3:BC$500)))</f>
        <v/>
      </c>
      <c r="ED28" s="123">
        <f>IF(OR(ED$4="",$B28=""),0,SUMIF('DADOS BRUTOS'!$A$3:$A$500,$B28,'DADOS BRUTOS'!BD$3:BD$500)+IF($C28="",0,SUMIF('DADOS BRUTOS'!$A$3:$A$500,$C28,'DADOS BRUTOS'!BD$3:BD$500)))</f>
        <v/>
      </c>
      <c r="EE28" s="123">
        <f>IF(OR(EE$4="",$B28=""),0,SUMIF('DADOS BRUTOS'!$A$3:$A$500,$B28,'DADOS BRUTOS'!BE$3:BE$500)+IF($C28="",0,SUMIF('DADOS BRUTOS'!$A$3:$A$500,$C28,'DADOS BRUTOS'!BE$3:BE$500)))</f>
        <v/>
      </c>
      <c r="EF28" s="123">
        <f>IF(OR(EF$4="",$B28=""),0,SUMIF('DADOS BRUTOS'!$A$3:$A$500,$B28,'DADOS BRUTOS'!BF$3:BF$500)+IF($C28="",0,SUMIF('DADOS BRUTOS'!$A$3:$A$500,$C28,'DADOS BRUTOS'!BF$3:BF$500)))</f>
        <v/>
      </c>
      <c r="EG28" s="123">
        <f>IF(OR(EG$4="",$B28=""),0,SUMIF('DADOS BRUTOS'!$A$3:$A$500,$B28,'DADOS BRUTOS'!BG$3:BG$500)+IF($C28="",0,SUMIF('DADOS BRUTOS'!$A$3:$A$500,$C28,'DADOS BRUTOS'!BG$3:BG$500)))</f>
        <v/>
      </c>
      <c r="EH28" s="123">
        <f>IF(OR(EH$4="",$B28=""),0,SUMIF('DADOS BRUTOS'!$A$3:$A$500,$B28,'DADOS BRUTOS'!BH$3:BH$500)+IF($C28="",0,SUMIF('DADOS BRUTOS'!$A$3:$A$500,$C28,'DADOS BRUTOS'!BH$3:BH$500)))</f>
        <v/>
      </c>
      <c r="EI28" s="123">
        <f>IF(OR(EI$4="",$B28=""),0,SUMIF('DADOS BRUTOS'!$A$3:$A$500,$B28,'DADOS BRUTOS'!BI$3:BI$500)+IF($C28="",0,SUMIF('DADOS BRUTOS'!$A$3:$A$500,$C28,'DADOS BRUTOS'!BI$3:BI$500)))</f>
        <v/>
      </c>
      <c r="EJ28" s="123">
        <f>IF(OR(EJ$4="",$B28=""),0,SUMIF('DADOS BRUTOS'!$A$3:$A$500,$B28,'DADOS BRUTOS'!BJ$3:BJ$500)+IF($C28="",0,SUMIF('DADOS BRUTOS'!$A$3:$A$500,$C28,'DADOS BRUTOS'!BJ$3:BJ$500)))</f>
        <v/>
      </c>
      <c r="EK28" s="123">
        <f>IF(OR(EK$4="",$B28=""),0,SUMIF('DADOS BRUTOS'!$A$3:$A$500,$B28,'DADOS BRUTOS'!BK$3:BK$500)+IF($C28="",0,SUMIF('DADOS BRUTOS'!$A$3:$A$500,$C28,'DADOS BRUTOS'!BK$3:BK$500)))</f>
        <v/>
      </c>
      <c r="EL28" s="123">
        <f>IF(OR(EL$4="",$B28=""),0,SUMIF('DADOS BRUTOS'!$A$3:$A$500,$B28,'DADOS BRUTOS'!BL$3:BL$500)+IF($C28="",0,SUMIF('DADOS BRUTOS'!$A$3:$A$500,$C28,'DADOS BRUTOS'!BL$3:BL$500)))</f>
        <v/>
      </c>
      <c r="EM28" s="123">
        <f>IF(OR(EM$4="",$B28=""),0,SUMIF('DADOS BRUTOS'!$A$3:$A$500,$B28,'DADOS BRUTOS'!BM$3:BM$500)+IF($C28="",0,SUMIF('DADOS BRUTOS'!$A$3:$A$500,$C28,'DADOS BRUTOS'!BM$3:BM$500)))</f>
        <v/>
      </c>
      <c r="EN28" s="123">
        <f>IF(OR(EN$4="",$B28=""),0,SUMIF('DADOS BRUTOS'!$A$3:$A$500,$B28,'DADOS BRUTOS'!BN$3:BN$500)+IF($C28="",0,SUMIF('DADOS BRUTOS'!$A$3:$A$500,$C28,'DADOS BRUTOS'!BN$3:BN$500)))</f>
        <v/>
      </c>
      <c r="EO28" s="123">
        <f>IF(OR(EO$4="",$B28=""),0,SUMIF('DADOS BRUTOS'!$A$3:$A$500,$B28,'DADOS BRUTOS'!BO$3:BO$500)+IF($C28="",0,SUMIF('DADOS BRUTOS'!$A$3:$A$500,$C28,'DADOS BRUTOS'!BO$3:BO$500)))</f>
        <v/>
      </c>
      <c r="EP28" s="123">
        <f>IF(OR(EP$4="",$B28=""),0,SUMIF('DADOS BRUTOS'!$A$3:$A$500,$B28,'DADOS BRUTOS'!BP$3:BP$500)+IF($C28="",0,SUMIF('DADOS BRUTOS'!$A$3:$A$500,$C28,'DADOS BRUTOS'!BP$3:BP$500)))</f>
        <v/>
      </c>
      <c r="EQ28" s="123">
        <f>IF(OR(EQ$4="",$B28=""),0,SUMIF('DADOS BRUTOS'!$A$3:$A$500,$B28,'DADOS BRUTOS'!BQ$3:BQ$500)+IF($C28="",0,SUMIF('DADOS BRUTOS'!$A$3:$A$500,$C28,'DADOS BRUTOS'!BQ$3:BQ$500)))</f>
        <v/>
      </c>
      <c r="ER28" s="123">
        <f>IF(OR(ER$4="",$B28=""),0,SUMIF('DADOS BRUTOS'!$A$3:$A$500,$B28,'DADOS BRUTOS'!BR$3:BR$500)+IF($C28="",0,SUMIF('DADOS BRUTOS'!$A$3:$A$500,$C28,'DADOS BRUTOS'!BR$3:BR$500)))</f>
        <v/>
      </c>
      <c r="ES28" s="123">
        <f>IF(OR(ES$4="",$B28=""),0,SUMIF('DADOS BRUTOS'!$A$3:$A$500,$B28,'DADOS BRUTOS'!BS$3:BS$500)+IF($C28="",0,SUMIF('DADOS BRUTOS'!$A$3:$A$500,$C28,'DADOS BRUTOS'!BS$3:BS$500)))</f>
        <v/>
      </c>
      <c r="ET28" s="123">
        <f>IF(OR(ET$4="",$B28=""),0,SUMIF('DADOS BRUTOS'!$A$3:$A$500,$B28,'DADOS BRUTOS'!BT$3:BT$500)+IF($C28="",0,SUMIF('DADOS BRUTOS'!$A$3:$A$500,$C28,'DADOS BRUTOS'!BT$3:BT$500)))</f>
        <v/>
      </c>
      <c r="EU28" s="123">
        <f>IF(OR(EU$4="",$B28=""),0,SUMIF('DADOS BRUTOS'!$A$3:$A$500,$B28,'DADOS BRUTOS'!BU$3:BU$500)+IF($C28="",0,SUMIF('DADOS BRUTOS'!$A$3:$A$500,$C28,'DADOS BRUTOS'!BU$3:BU$500)))</f>
        <v/>
      </c>
      <c r="EV28" s="123">
        <f>IF(OR(EV$4="",$B28=""),0,SUMIF('DADOS BRUTOS'!$A$3:$A$500,$B28,'DADOS BRUTOS'!BV$3:BV$500)+IF($C28="",0,SUMIF('DADOS BRUTOS'!$A$3:$A$500,$C28,'DADOS BRUTOS'!BV$3:BV$500)))</f>
        <v/>
      </c>
      <c r="EW28" s="123">
        <f>IF(OR(EW$4="",$B28=""),0,SUMIF('DADOS BRUTOS'!$A$3:$A$500,$B28,'DADOS BRUTOS'!BW$3:BW$500)+IF($C28="",0,SUMIF('DADOS BRUTOS'!$A$3:$A$500,$C28,'DADOS BRUTOS'!BW$3:BW$500)))</f>
        <v/>
      </c>
      <c r="EX28" s="123">
        <f>IF(OR(EX$4="",$B28=""),0,SUMIF('DADOS BRUTOS'!$A$3:$A$500,$B28,'DADOS BRUTOS'!BX$3:BX$500)+IF($C28="",0,SUMIF('DADOS BRUTOS'!$A$3:$A$500,$C28,'DADOS BRUTOS'!BX$3:BX$500)))</f>
        <v/>
      </c>
      <c r="EY28" s="123">
        <f>IF(OR(EY$4="",$B28=""),0,SUMIF('DADOS BRUTOS'!$A$3:$A$500,$B28,'DADOS BRUTOS'!BY$3:BY$500)+IF($C28="",0,SUMIF('DADOS BRUTOS'!$A$3:$A$500,$C28,'DADOS BRUTOS'!BY$3:BY$500)))</f>
        <v/>
      </c>
      <c r="EZ28" s="123">
        <f>IF(OR(EZ$4="",$B28=""),0,SUMIF('DADOS BRUTOS'!$A$3:$A$500,$B28,'DADOS BRUTOS'!BZ$3:BZ$500)+IF($C28="",0,SUMIF('DADOS BRUTOS'!$A$3:$A$500,$C28,'DADOS BRUTOS'!BZ$3:BZ$500)))</f>
        <v/>
      </c>
      <c r="FA28" s="123">
        <f>IF(OR(FA$4="",$B28=""),0,SUMIF('DADOS BRUTOS'!$A$3:$A$500,$B28,'DADOS BRUTOS'!CA$3:CA$500)+IF($C28="",0,SUMIF('DADOS BRUTOS'!$A$3:$A$500,$C28,'DADOS BRUTOS'!CA$3:CA$500)))</f>
        <v/>
      </c>
      <c r="FB28" s="123">
        <f>IF(OR(FB$4="",$B28=""),0,SUMIF('DADOS BRUTOS'!$A$3:$A$500,$B28,'DADOS BRUTOS'!CB$3:CB$500)+IF($C28="",0,SUMIF('DADOS BRUTOS'!$A$3:$A$500,$C28,'DADOS BRUTOS'!CB$3:CB$500)))</f>
        <v/>
      </c>
      <c r="FC28" s="123">
        <f>IF(OR(FC$4="",$B28=""),0,SUMIF('DADOS BRUTOS'!$A$3:$A$500,$B28,'DADOS BRUTOS'!CC$3:CC$500)+IF($C28="",0,SUMIF('DADOS BRUTOS'!$A$3:$A$500,$C28,'DADOS BRUTOS'!CC$3:CC$500)))</f>
        <v/>
      </c>
      <c r="FD28" s="123">
        <f>IF(OR(FD$4="",$B28=""),0,SUMIF('DADOS BRUTOS'!$A$3:$A$500,$B28,'DADOS BRUTOS'!CD$3:CD$500)+IF($C28="",0,SUMIF('DADOS BRUTOS'!$A$3:$A$500,$C28,'DADOS BRUTOS'!CD$3:CD$500)))</f>
        <v/>
      </c>
      <c r="FE28" s="123">
        <f>IF(OR(FE$4="",$B28=""),0,SUMIF('DADOS BRUTOS'!$A$3:$A$500,$B28,'DADOS BRUTOS'!CE$3:CE$500)+IF($C28="",0,SUMIF('DADOS BRUTOS'!$A$3:$A$500,$C28,'DADOS BRUTOS'!CE$3:CE$500)))</f>
        <v/>
      </c>
      <c r="FF28" s="123">
        <f>IF(OR(FF$4="",$B28=""),0,SUMIF('DADOS BRUTOS'!$A$3:$A$500,$B28,'DADOS BRUTOS'!CF$3:CF$500)+IF($C28="",0,SUMIF('DADOS BRUTOS'!$A$3:$A$500,$C28,'DADOS BRUTOS'!CF$3:CF$500)))</f>
        <v/>
      </c>
      <c r="FG28" s="123">
        <f>IF(OR(FG$4="",$B28=""),0,SUMIF('DADOS BRUTOS'!$A$3:$A$500,$B28,'DADOS BRUTOS'!CG$3:CG$500)+IF($C28="",0,SUMIF('DADOS BRUTOS'!$A$3:$A$500,$C28,'DADOS BRUTOS'!CG$3:CG$500)))</f>
        <v/>
      </c>
      <c r="FH28" s="123">
        <f>IF(OR(FH$4="",$B28=""),0,SUMIF('DADOS BRUTOS'!$A$3:$A$500,$B28,'DADOS BRUTOS'!CH$3:CH$500)+IF($C28="",0,SUMIF('DADOS BRUTOS'!$A$3:$A$500,$C28,'DADOS BRUTOS'!CH$3:CH$500)))</f>
        <v/>
      </c>
      <c r="FI28" s="123">
        <f>IF(OR(FI$4="",$B28=""),0,SUMIF('DADOS BRUTOS'!$A$3:$A$500,$B28,'DADOS BRUTOS'!CI$3:CI$500)+IF($C28="",0,SUMIF('DADOS BRUTOS'!$A$3:$A$500,$C28,'DADOS BRUTOS'!CI$3:CI$500)))</f>
        <v/>
      </c>
      <c r="FJ28" s="123">
        <f>IF(OR(FJ$4="",$B28=""),0,SUMIF('DADOS BRUTOS'!$A$3:$A$500,$B28,'DADOS BRUTOS'!CJ$3:CJ$500)+IF($C28="",0,SUMIF('DADOS BRUTOS'!$A$3:$A$500,$C28,'DADOS BRUTOS'!CJ$3:CJ$500)))</f>
        <v/>
      </c>
      <c r="FK28" s="123">
        <f>IF(OR(FK$4="",$B28=""),0,SUMIF('DADOS BRUTOS'!$A$3:$A$500,$B28,'DADOS BRUTOS'!CK$3:CK$500)+IF($C28="",0,SUMIF('DADOS BRUTOS'!$A$3:$A$500,$C28,'DADOS BRUTOS'!CK$3:CK$500)))</f>
        <v/>
      </c>
      <c r="FL28" s="123">
        <f>IF(OR(FL$4="",$B28=""),0,SUMIF('DADOS BRUTOS'!$A$3:$A$500,$B28,'DADOS BRUTOS'!CL$3:CL$500)+IF($C28="",0,SUMIF('DADOS BRUTOS'!$A$3:$A$500,$C28,'DADOS BRUTOS'!CL$3:CL$500)))</f>
        <v/>
      </c>
      <c r="FM28" s="123">
        <f>IF(OR(FM$4="",$B28=""),0,SUMIF('DADOS BRUTOS'!$A$3:$A$500,$B28,'DADOS BRUTOS'!CM$3:CM$500)+IF($C28="",0,SUMIF('DADOS BRUTOS'!$A$3:$A$500,$C28,'DADOS BRUTOS'!CM$3:CM$500)))</f>
        <v/>
      </c>
      <c r="FN28" s="123">
        <f>IF(OR(FN$4="",$B28=""),0,SUMIF('DADOS BRUTOS'!$A$3:$A$500,$B28,'DADOS BRUTOS'!CN$3:CN$500)+IF($C28="",0,SUMIF('DADOS BRUTOS'!$A$3:$A$500,$C28,'DADOS BRUTOS'!CN$3:CN$500)))</f>
        <v/>
      </c>
      <c r="FO28" s="123">
        <f>IF(OR(FO$4="",$B28=""),0,SUMIF('DADOS BRUTOS'!$A$3:$A$500,$B28,'DADOS BRUTOS'!CO$3:CO$500)+IF($C28="",0,SUMIF('DADOS BRUTOS'!$A$3:$A$500,$C28,'DADOS BRUTOS'!CO$3:CO$500)))</f>
        <v/>
      </c>
      <c r="FP28" s="123">
        <f>IF(OR(FP$4="",$B28=""),0,SUMIF('DADOS BRUTOS'!$A$3:$A$500,$B28,'DADOS BRUTOS'!CP$3:CP$500)+IF($C28="",0,SUMIF('DADOS BRUTOS'!$A$3:$A$500,$C28,'DADOS BRUTOS'!CP$3:CP$500)))</f>
        <v/>
      </c>
      <c r="FQ28" s="123">
        <f>IF(OR(FQ$4="",$B28=""),0,SUMIF('DADOS BRUTOS'!$A$3:$A$500,$B28,'DADOS BRUTOS'!CQ$3:CQ$500)+IF($C28="",0,SUMIF('DADOS BRUTOS'!$A$3:$A$500,$C28,'DADOS BRUTOS'!CQ$3:CQ$500)))</f>
        <v/>
      </c>
      <c r="FR28" s="123">
        <f>IF(OR(FR$4="",$B28=""),0,SUMIF('DADOS BRUTOS'!$A$3:$A$500,$B28,'DADOS BRUTOS'!CR$3:CR$500)+IF($C28="",0,SUMIF('DADOS BRUTOS'!$A$3:$A$500,$C28,'DADOS BRUTOS'!CR$3:CR$500)))</f>
        <v/>
      </c>
      <c r="FS28" s="123">
        <f>IF(OR(FS$4="",$B28=""),0,SUMIF('DADOS BRUTOS'!$A$3:$A$500,$B28,'DADOS BRUTOS'!CS$3:CS$500)+IF($C28="",0,SUMIF('DADOS BRUTOS'!$A$3:$A$500,$C28,'DADOS BRUTOS'!CS$3:CS$500)))</f>
        <v/>
      </c>
      <c r="FT28" s="123">
        <f>IF(OR(FT$4="",$B28=""),0,SUMIF('DADOS BRUTOS'!$A$3:$A$500,$B28,'DADOS BRUTOS'!CT$3:CT$500)+IF($C28="",0,SUMIF('DADOS BRUTOS'!$A$3:$A$500,$C28,'DADOS BRUTOS'!CT$3:CT$500)))</f>
        <v/>
      </c>
      <c r="FU28" s="123">
        <f>IF(OR(FU$4="",$B28=""),0,SUMIF('DADOS BRUTOS'!$A$3:$A$500,$B28,'DADOS BRUTOS'!CU$3:CU$500)+IF($C28="",0,SUMIF('DADOS BRUTOS'!$A$3:$A$500,$C28,'DADOS BRUTOS'!CU$3:CU$500)))</f>
        <v/>
      </c>
      <c r="FV28" s="123">
        <f>IF(OR(FV$4="",$B28=""),0,SUMIF('DADOS BRUTOS'!$A$3:$A$500,$B28,'DADOS BRUTOS'!CV$3:CV$500)+IF($C28="",0,SUMIF('DADOS BRUTOS'!$A$3:$A$500,$C28,'DADOS BRUTOS'!CV$3:CV$500)))</f>
        <v/>
      </c>
      <c r="FW28" s="123">
        <f>IF(OR(FW$4="",$B28=""),0,SUMIF('DADOS BRUTOS'!$A$3:$A$500,$B28,'DADOS BRUTOS'!CW$3:CW$500)+IF($C28="",0,SUMIF('DADOS BRUTOS'!$A$3:$A$500,$C28,'DADOS BRUTOS'!CW$3:CW$500)))</f>
        <v/>
      </c>
      <c r="FX28" s="123">
        <f>IF(OR(FX$4="",$B28=""),0,SUMIF('DADOS BRUTOS'!$A$3:$A$500,$B28,'DADOS BRUTOS'!CX$3:CX$500)+IF($C28="",0,SUMIF('DADOS BRUTOS'!$A$3:$A$500,$C28,'DADOS BRUTOS'!CX$3:CX$500)))</f>
        <v/>
      </c>
      <c r="FY28" s="123">
        <f>IF(OR(FY$4="",$B28=""),0,SUMIF('DADOS BRUTOS'!$A$3:$A$500,$B28,'DADOS BRUTOS'!CY$3:CY$500)+IF($C28="",0,SUMIF('DADOS BRUTOS'!$A$3:$A$500,$C28,'DADOS BRUTOS'!CY$3:CY$500)))</f>
        <v/>
      </c>
      <c r="FZ28" s="123">
        <f>IF(OR(FZ$4="",$B28=""),0,SUMIF('DADOS BRUTOS'!$A$3:$A$500,$B28,'DADOS BRUTOS'!CZ$3:CZ$500)+IF($C28="",0,SUMIF('DADOS BRUTOS'!$A$3:$A$500,$C28,'DADOS BRUTOS'!CZ$3:CZ$500)))</f>
        <v/>
      </c>
      <c r="GA28" s="123">
        <f>IF(OR(GA$4="",$B28=""),0,SUMIF('DADOS BRUTOS'!$A$3:$A$500,$B28,'DADOS BRUTOS'!DA$3:DA$500)+IF($C28="",0,SUMIF('DADOS BRUTOS'!$A$3:$A$500,$C28,'DADOS BRUTOS'!DA$3:DA$500)))</f>
        <v/>
      </c>
      <c r="GB28" s="123">
        <f>IF(OR(GB$4="",$B28=""),0,SUMIF('DADOS BRUTOS'!$A$3:$A$500,$B28,'DADOS BRUTOS'!DB$3:DB$500)+IF($C28="",0,SUMIF('DADOS BRUTOS'!$A$3:$A$500,$C28,'DADOS BRUTOS'!DB$3:DB$500)))</f>
        <v/>
      </c>
      <c r="GC28" s="123">
        <f>IF(OR(GC$4="",$B28=""),0,SUMIF('DADOS BRUTOS'!$A$3:$A$500,$B28,'DADOS BRUTOS'!DC$3:DC$500)+IF($C28="",0,SUMIF('DADOS BRUTOS'!$A$3:$A$500,$C28,'DADOS BRUTOS'!DC$3:DC$500)))</f>
        <v/>
      </c>
      <c r="GD28" s="123">
        <f>IF(OR(GD$4="",$B28=""),0,SUMIF('DADOS BRUTOS'!$A$3:$A$500,$B28,'DADOS BRUTOS'!DD$3:DD$500)+IF($C28="",0,SUMIF('DADOS BRUTOS'!$A$3:$A$500,$C28,'DADOS BRUTOS'!DD$3:DD$500)))</f>
        <v/>
      </c>
      <c r="GE28" s="123">
        <f>IF(OR(GE$4="",$B28=""),0,SUMIF('DADOS BRUTOS'!$A$3:$A$500,$B28,'DADOS BRUTOS'!DE$3:DE$500)+IF($C28="",0,SUMIF('DADOS BRUTOS'!$A$3:$A$500,$C28,'DADOS BRUTOS'!DE$3:DE$500)))</f>
        <v/>
      </c>
      <c r="GF28" s="123">
        <f>IF(OR(GF$4="",$B28=""),0,SUMIF('DADOS BRUTOS'!$A$3:$A$500,$B28,'DADOS BRUTOS'!DF$3:DF$500)+IF($C28="",0,SUMIF('DADOS BRUTOS'!$A$3:$A$500,$C28,'DADOS BRUTOS'!DF$3:DF$500)))</f>
        <v/>
      </c>
      <c r="GG28" s="123">
        <f>IF(OR(GG$4="",$B28=""),0,SUMIF('DADOS BRUTOS'!$A$3:$A$500,$B28,'DADOS BRUTOS'!DG$3:DG$500)+IF($C28="",0,SUMIF('DADOS BRUTOS'!$A$3:$A$500,$C28,'DADOS BRUTOS'!DG$3:DG$500)))</f>
        <v/>
      </c>
      <c r="GH28" s="123">
        <f>IF(OR(GH$4="",$B28=""),0,SUMIF('DADOS BRUTOS'!$A$3:$A$500,$B28,'DADOS BRUTOS'!DH$3:DH$500)+IF($C28="",0,SUMIF('DADOS BRUTOS'!$A$3:$A$500,$C28,'DADOS BRUTOS'!DH$3:DH$500)))</f>
        <v/>
      </c>
      <c r="GI28" s="123">
        <f>IF(OR(GI$4="",$B28=""),0,SUMIF('DADOS BRUTOS'!$A$3:$A$500,$B28,'DADOS BRUTOS'!DI$3:DI$500)+IF($C28="",0,SUMIF('DADOS BRUTOS'!$A$3:$A$500,$C28,'DADOS BRUTOS'!DI$3:DI$500)))</f>
        <v/>
      </c>
      <c r="GJ28" s="123">
        <f>IF(OR(GJ$4="",$B28=""),0,SUMIF('DADOS BRUTOS'!$A$3:$A$500,$B28,'DADOS BRUTOS'!DJ$3:DJ$500)+IF($C28="",0,SUMIF('DADOS BRUTOS'!$A$3:$A$500,$C28,'DADOS BRUTOS'!DJ$3:DJ$500)))</f>
        <v/>
      </c>
      <c r="GK28" s="123">
        <f>IF(OR(GK$4="",$B28=""),0,SUMIF('DADOS BRUTOS'!$A$3:$A$500,$B28,'DADOS BRUTOS'!DK$3:DK$500)+IF($C28="",0,SUMIF('DADOS BRUTOS'!$A$3:$A$500,$C28,'DADOS BRUTOS'!DK$3:DK$500)))</f>
        <v/>
      </c>
      <c r="GL28" s="123">
        <f>IF(OR(GL$4="",$B28=""),0,SUMIF('DADOS BRUTOS'!$A$3:$A$500,$B28,'DADOS BRUTOS'!DL$3:DL$500)+IF($C28="",0,SUMIF('DADOS BRUTOS'!$A$3:$A$500,$C28,'DADOS BRUTOS'!DL$3:DL$500)))</f>
        <v/>
      </c>
      <c r="GM28" s="123">
        <f>IF(OR(GM$4="",$B28=""),0,SUMIF('DADOS BRUTOS'!$A$3:$A$500,$B28,'DADOS BRUTOS'!DM$3:DM$500)+IF($C28="",0,SUMIF('DADOS BRUTOS'!$A$3:$A$500,$C28,'DADOS BRUTOS'!DM$3:DM$500)))</f>
        <v/>
      </c>
      <c r="GN28" s="123">
        <f>IF(OR(GN$4="",$B28=""),0,SUMIF('DADOS BRUTOS'!$A$3:$A$500,$B28,'DADOS BRUTOS'!DN$3:DN$500)+IF($C28="",0,SUMIF('DADOS BRUTOS'!$A$3:$A$500,$C28,'DADOS BRUTOS'!DN$3:DN$500)))</f>
        <v/>
      </c>
      <c r="GO28" s="123">
        <f>IF(OR(GO$4="",$B28=""),0,SUMIF('DADOS BRUTOS'!$A$3:$A$500,$B28,'DADOS BRUTOS'!DO$3:DO$500)+IF($C28="",0,SUMIF('DADOS BRUTOS'!$A$3:$A$500,$C28,'DADOS BRUTOS'!DO$3:DO$500)))</f>
        <v/>
      </c>
      <c r="GP28" s="123">
        <f>IF(OR(GP$4="",$B28=""),0,SUMIF('DADOS BRUTOS'!$A$3:$A$500,$B28,'DADOS BRUTOS'!DP$3:DP$500)+IF($C28="",0,SUMIF('DADOS BRUTOS'!$A$3:$A$500,$C28,'DADOS BRUTOS'!DP$3:DP$500)))</f>
        <v/>
      </c>
      <c r="GQ28" s="123">
        <f>IF(OR(GQ$4="",$B28=""),0,SUMIF('DADOS BRUTOS'!$A$3:$A$500,$B28,'DADOS BRUTOS'!DQ$3:DQ$500)+IF($C28="",0,SUMIF('DADOS BRUTOS'!$A$3:$A$500,$C28,'DADOS BRUTOS'!DQ$3:DQ$500)))</f>
        <v/>
      </c>
      <c r="GR28" s="123">
        <f>IF(OR(GR$4="",$B28=""),0,SUMIF('DADOS BRUTOS'!$A$3:$A$500,$B28,'DADOS BRUTOS'!DR$3:DR$500)+IF($C28="",0,SUMIF('DADOS BRUTOS'!$A$3:$A$500,$C28,'DADOS BRUTOS'!DR$3:DR$500)))</f>
        <v/>
      </c>
      <c r="GS28" s="123">
        <f>IF(OR(GS$4="",$B28=""),0,SUMIF('DADOS BRUTOS'!$A$3:$A$500,$B28,'DADOS BRUTOS'!DS$3:DS$500)+IF($C28="",0,SUMIF('DADOS BRUTOS'!$A$3:$A$500,$C28,'DADOS BRUTOS'!DS$3:DS$500)))</f>
        <v/>
      </c>
      <c r="GT28" s="123">
        <f>IF(OR(GT$4="",$B28=""),0,SUMIF('DADOS BRUTOS'!$A$3:$A$500,$B28,'DADOS BRUTOS'!DT$3:DT$500)+IF($C28="",0,SUMIF('DADOS BRUTOS'!$A$3:$A$500,$C28,'DADOS BRUTOS'!DT$3:DT$500)))</f>
        <v/>
      </c>
      <c r="GU28" s="123">
        <f>IF(OR(GU$4="",$B28=""),0,SUMIF('DADOS BRUTOS'!$A$3:$A$500,$B28,'DADOS BRUTOS'!DU$3:DU$500)+IF($C28="",0,SUMIF('DADOS BRUTOS'!$A$3:$A$500,$C28,'DADOS BRUTOS'!DU$3:DU$500)))</f>
        <v/>
      </c>
      <c r="GV28" s="123">
        <f>IF(OR(GV$4="",$B28=""),0,SUMIF('DADOS BRUTOS'!$A$3:$A$500,$B28,'DADOS BRUTOS'!DV$3:DV$500)+IF($C28="",0,SUMIF('DADOS BRUTOS'!$A$3:$A$500,$C28,'DADOS BRUTOS'!DV$3:DV$500)))</f>
        <v/>
      </c>
      <c r="GW28" s="123">
        <f>IF(OR(GW$4="",$B28=""),0,SUMIF('DADOS BRUTOS'!$A$3:$A$500,$B28,'DADOS BRUTOS'!DW$3:DW$500)+IF($C28="",0,SUMIF('DADOS BRUTOS'!$A$3:$A$500,$C28,'DADOS BRUTOS'!DW$3:DW$500)))</f>
        <v/>
      </c>
      <c r="GX28" s="123">
        <f>IF(OR(GX$4="",$B28=""),0,SUMIF('DADOS BRUTOS'!$A$3:$A$500,$B28,'DADOS BRUTOS'!DX$3:DX$500)+IF($C28="",0,SUMIF('DADOS BRUTOS'!$A$3:$A$500,$C28,'DADOS BRUTOS'!DX$3:DX$500)))</f>
        <v/>
      </c>
      <c r="GY28" s="123">
        <f>IF(OR(GY$4="",$B28=""),0,SUMIF('DADOS BRUTOS'!$A$3:$A$500,$B28,'DADOS BRUTOS'!DY$3:DY$500)+IF($C28="",0,SUMIF('DADOS BRUTOS'!$A$3:$A$500,$C28,'DADOS BRUTOS'!DY$3:DY$500)))</f>
        <v/>
      </c>
      <c r="GZ28" s="123">
        <f>IF(OR(GZ$4="",$B28=""),0,SUMIF('DADOS BRUTOS'!$A$3:$A$500,$B28,'DADOS BRUTOS'!DZ$3:DZ$500)+IF($C28="",0,SUMIF('DADOS BRUTOS'!$A$3:$A$500,$C28,'DADOS BRUTOS'!DZ$3:DZ$500)))</f>
        <v/>
      </c>
      <c r="HA28" s="123">
        <f>IF(OR(HA$4="",$B28=""),0,SUMIF('DADOS BRUTOS'!$A$3:$A$500,$B28,'DADOS BRUTOS'!EA$3:EA$500)+IF($C28="",0,SUMIF('DADOS BRUTOS'!$A$3:$A$500,$C28,'DADOS BRUTOS'!EA$3:EA$500)))</f>
        <v/>
      </c>
      <c r="HB28" s="123">
        <f>IF(OR(HB$4="",$B28=""),0,SUMIF('DADOS BRUTOS'!$A$3:$A$500,$B28,'DADOS BRUTOS'!EB$3:EB$500)+IF($C28="",0,SUMIF('DADOS BRUTOS'!$A$3:$A$500,$C28,'DADOS BRUTOS'!EB$3:EB$500)))</f>
        <v/>
      </c>
      <c r="HC28" s="123">
        <f>IF(OR(HC$4="",$B28=""),0,SUMIF('DADOS BRUTOS'!$A$3:$A$500,$B28,'DADOS BRUTOS'!EC$3:EC$500)+IF($C28="",0,SUMIF('DADOS BRUTOS'!$A$3:$A$500,$C28,'DADOS BRUTOS'!EC$3:EC$500)))</f>
        <v/>
      </c>
      <c r="HD28" s="123">
        <f>IF(OR(HD$4="",$B28=""),0,SUMIF('DADOS BRUTOS'!$A$3:$A$500,$B28,'DADOS BRUTOS'!ED$3:ED$500)+IF($C28="",0,SUMIF('DADOS BRUTOS'!$A$3:$A$500,$C28,'DADOS BRUTOS'!ED$3:ED$500)))</f>
        <v/>
      </c>
      <c r="HE28" s="123">
        <f>IF(OR(HE$4="",$B28=""),0,SUMIF('DADOS BRUTOS'!$A$3:$A$500,$B28,'DADOS BRUTOS'!EE$3:EE$500)+IF($C28="",0,SUMIF('DADOS BRUTOS'!$A$3:$A$500,$C28,'DADOS BRUTOS'!EE$3:EE$500)))</f>
        <v/>
      </c>
      <c r="HF28" s="123">
        <f>IF(OR(HF$4="",$B28=""),0,SUMIF('DADOS BRUTOS'!$A$3:$A$500,$B28,'DADOS BRUTOS'!EF$3:EF$500)+IF($C28="",0,SUMIF('DADOS BRUTOS'!$A$3:$A$500,$C28,'DADOS BRUTOS'!EF$3:EF$500)))</f>
        <v/>
      </c>
      <c r="HG28" s="123">
        <f>IF(OR(HG$4="",$B28=""),0,SUMIF('DADOS BRUTOS'!$A$3:$A$500,$B28,'DADOS BRUTOS'!EG$3:EG$500)+IF($C28="",0,SUMIF('DADOS BRUTOS'!$A$3:$A$500,$C28,'DADOS BRUTOS'!EG$3:EG$500)))</f>
        <v/>
      </c>
      <c r="HH28" s="123">
        <f>IF(OR(HH$4="",$B28=""),0,SUMIF('DADOS BRUTOS'!$A$3:$A$500,$B28,'DADOS BRUTOS'!EH$3:EH$500)+IF($C28="",0,SUMIF('DADOS BRUTOS'!$A$3:$A$500,$C28,'DADOS BRUTOS'!EH$3:EH$500)))</f>
        <v/>
      </c>
      <c r="HI28" s="123">
        <f>IF(OR(HI$4="",$B28=""),0,SUMIF('DADOS BRUTOS'!$A$3:$A$500,$B28,'DADOS BRUTOS'!EI$3:EI$500)+IF($C28="",0,SUMIF('DADOS BRUTOS'!$A$3:$A$500,$C28,'DADOS BRUTOS'!EI$3:EI$500)))</f>
        <v/>
      </c>
      <c r="HJ28" s="123">
        <f>IF(OR(HJ$4="",$B28=""),0,SUMIF('DADOS BRUTOS'!$A$3:$A$500,$B28,'DADOS BRUTOS'!EJ$3:EJ$500)+IF($C28="",0,SUMIF('DADOS BRUTOS'!$A$3:$A$500,$C28,'DADOS BRUTOS'!EJ$3:EJ$500)))</f>
        <v/>
      </c>
      <c r="HK28" s="123">
        <f>IF(OR(HK$4="",$B28=""),0,SUMIF('DADOS BRUTOS'!$A$3:$A$500,$B28,'DADOS BRUTOS'!EK$3:EK$500)+IF($C28="",0,SUMIF('DADOS BRUTOS'!$A$3:$A$500,$C28,'DADOS BRUTOS'!EK$3:EK$500)))</f>
        <v/>
      </c>
      <c r="HL28" s="123">
        <f>IF(OR(HL$4="",$B28=""),0,SUMIF('DADOS BRUTOS'!$A$3:$A$500,$B28,'DADOS BRUTOS'!EL$3:EL$500)+IF($C28="",0,SUMIF('DADOS BRUTOS'!$A$3:$A$500,$C28,'DADOS BRUTOS'!EL$3:EL$500)))</f>
        <v/>
      </c>
      <c r="HM28" s="123">
        <f>IF(OR(HM$4="",$B28=""),0,SUMIF('DADOS BRUTOS'!$A$3:$A$500,$B28,'DADOS BRUTOS'!EM$3:EM$500)+IF($C28="",0,SUMIF('DADOS BRUTOS'!$A$3:$A$500,$C28,'DADOS BRUTOS'!EM$3:EM$500)))</f>
        <v/>
      </c>
      <c r="HN28" s="123">
        <f>IF(OR(HN$4="",$B28=""),0,SUMIF('DADOS BRUTOS'!$A$3:$A$500,$B28,'DADOS BRUTOS'!EN$3:EN$500)+IF($C28="",0,SUMIF('DADOS BRUTOS'!$A$3:$A$500,$C28,'DADOS BRUTOS'!EN$3:EN$500)))</f>
        <v/>
      </c>
      <c r="HO28" s="123">
        <f>IF(OR(HO$4="",$B28=""),0,SUMIF('DADOS BRUTOS'!$A$3:$A$500,$B28,'DADOS BRUTOS'!EO$3:EO$500)+IF($C28="",0,SUMIF('DADOS BRUTOS'!$A$3:$A$500,$C28,'DADOS BRUTOS'!EO$3:EO$500)))</f>
        <v/>
      </c>
      <c r="HP28" s="123">
        <f>IF(OR(HP$4="",$B28=""),0,SUMIF('DADOS BRUTOS'!$A$3:$A$500,$B28,'DADOS BRUTOS'!EP$3:EP$500)+IF($C28="",0,SUMIF('DADOS BRUTOS'!$A$3:$A$500,$C28,'DADOS BRUTOS'!EP$3:EP$500)))</f>
        <v/>
      </c>
      <c r="HQ28" s="123">
        <f>IF(OR(HQ$4="",$B28=""),0,SUMIF('DADOS BRUTOS'!$A$3:$A$500,$B28,'DADOS BRUTOS'!EQ$3:EQ$500)+IF($C28="",0,SUMIF('DADOS BRUTOS'!$A$3:$A$500,$C28,'DADOS BRUTOS'!EQ$3:EQ$500)))</f>
        <v/>
      </c>
      <c r="HR28" s="123">
        <f>IF(OR(HR$4="",$B28=""),0,SUMIF('DADOS BRUTOS'!$A$3:$A$500,$B28,'DADOS BRUTOS'!ER$3:ER$500)+IF($C28="",0,SUMIF('DADOS BRUTOS'!$A$3:$A$500,$C28,'DADOS BRUTOS'!ER$3:ER$500)))</f>
        <v/>
      </c>
      <c r="HS28" s="123">
        <f>IF(OR(HS$4="",$B28=""),0,SUMIF('DADOS BRUTOS'!$A$3:$A$500,$B28,'DADOS BRUTOS'!ES$3:ES$500)+IF($C28="",0,SUMIF('DADOS BRUTOS'!$A$3:$A$500,$C28,'DADOS BRUTOS'!ES$3:ES$500)))</f>
        <v/>
      </c>
      <c r="HT28" s="123">
        <f>IF(OR(HT$4="",$B28=""),0,SUMIF('DADOS BRUTOS'!$A$3:$A$500,$B28,'DADOS BRUTOS'!ET$3:ET$500)+IF($C28="",0,SUMIF('DADOS BRUTOS'!$A$3:$A$500,$C28,'DADOS BRUTOS'!ET$3:ET$500)))</f>
        <v/>
      </c>
      <c r="HU28" s="123">
        <f>IF(OR(HU$4="",$B28=""),0,SUMIF('DADOS BRUTOS'!$A$3:$A$500,$B28,'DADOS BRUTOS'!EU$3:EU$500)+IF($C28="",0,SUMIF('DADOS BRUTOS'!$A$3:$A$500,$C28,'DADOS BRUTOS'!EU$3:EU$500)))</f>
        <v/>
      </c>
      <c r="HV28" s="123">
        <f>IF(OR(HV$4="",$B28=""),0,SUMIF('DADOS BRUTOS'!$A$3:$A$500,$B28,'DADOS BRUTOS'!EV$3:EV$500)+IF($C28="",0,SUMIF('DADOS BRUTOS'!$A$3:$A$500,$C28,'DADOS BRUTOS'!EV$3:EV$500)))</f>
        <v/>
      </c>
      <c r="HW28" s="123">
        <f>IF(OR(HW$4="",$B28=""),0,SUMIF('DADOS BRUTOS'!$A$3:$A$500,$B28,'DADOS BRUTOS'!EW$3:EW$500)+IF($C28="",0,SUMIF('DADOS BRUTOS'!$A$3:$A$500,$C28,'DADOS BRUTOS'!EW$3:EW$500)))</f>
        <v/>
      </c>
      <c r="HX28" s="123">
        <f>IF(OR(HX$4="",$B28=""),0,SUMIF('DADOS BRUTOS'!$A$3:$A$500,$B28,'DADOS BRUTOS'!EX$3:EX$500)+IF($C28="",0,SUMIF('DADOS BRUTOS'!$A$3:$A$500,$C28,'DADOS BRUTOS'!EX$3:EX$500)))</f>
        <v/>
      </c>
      <c r="HY28" s="123">
        <f>IF(OR(HY$4="",$B28=""),0,SUMIF('DADOS BRUTOS'!$A$3:$A$500,$B28,'DADOS BRUTOS'!EY$3:EY$500)+IF($C28="",0,SUMIF('DADOS BRUTOS'!$A$3:$A$500,$C28,'DADOS BRUTOS'!EY$3:EY$500)))</f>
        <v/>
      </c>
      <c r="HZ28" s="123">
        <f>IF(OR(HZ$4="",$B28=""),0,SUMIF('DADOS BRUTOS'!$A$3:$A$500,$B28,'DADOS BRUTOS'!EZ$3:EZ$500)+IF($C28="",0,SUMIF('DADOS BRUTOS'!$A$3:$A$500,$C28,'DADOS BRUTOS'!EZ$3:EZ$500)))</f>
        <v/>
      </c>
      <c r="IA28" s="123">
        <f>IF(OR(IA$4="",$B28=""),0,SUMIF('DADOS BRUTOS'!$A$3:$A$500,$B28,'DADOS BRUTOS'!FA$3:FA$500)+IF($C28="",0,SUMIF('DADOS BRUTOS'!$A$3:$A$500,$C28,'DADOS BRUTOS'!FA$3:FA$500)))</f>
        <v/>
      </c>
      <c r="IB28" s="123">
        <f>IF(OR(IB$4="",$B28=""),0,SUMIF('DADOS BRUTOS'!$A$3:$A$500,$B28,'DADOS BRUTOS'!FB$3:FB$500)+IF($C28="",0,SUMIF('DADOS BRUTOS'!$A$3:$A$500,$C28,'DADOS BRUTOS'!FB$3:FB$500)))</f>
        <v/>
      </c>
      <c r="IC28" s="123">
        <f>IF(OR(IC$4="",$B28=""),0,SUMIF('DADOS BRUTOS'!$A$3:$A$500,$B28,'DADOS BRUTOS'!FC$3:FC$500)+IF($C28="",0,SUMIF('DADOS BRUTOS'!$A$3:$A$500,$C28,'DADOS BRUTOS'!FC$3:FC$500)))</f>
        <v/>
      </c>
      <c r="ID28" s="123">
        <f>IF(OR(ID$4="",$B28=""),0,SUMIF('DADOS BRUTOS'!$A$3:$A$500,$B28,'DADOS BRUTOS'!FD$3:FD$500)+IF($C28="",0,SUMIF('DADOS BRUTOS'!$A$3:$A$500,$C28,'DADOS BRUTOS'!FD$3:FD$500)))</f>
        <v/>
      </c>
      <c r="IE28" s="123">
        <f>IF(OR(IE$4="",$B28=""),0,SUMIF('DADOS BRUTOS'!$A$3:$A$500,$B28,'DADOS BRUTOS'!FE$3:FE$500)+IF($C28="",0,SUMIF('DADOS BRUTOS'!$A$3:$A$500,$C28,'DADOS BRUTOS'!FE$3:FE$500)))</f>
        <v/>
      </c>
      <c r="IF28" s="123">
        <f>IF(OR(IF$4="",$B28=""),0,SUMIF('DADOS BRUTOS'!$A$3:$A$500,$B28,'DADOS BRUTOS'!FF$3:FF$500)+IF($C28="",0,SUMIF('DADOS BRUTOS'!$A$3:$A$500,$C28,'DADOS BRUTOS'!FF$3:FF$500)))</f>
        <v/>
      </c>
      <c r="IG28" s="123">
        <f>IF(OR(IG$4="",$B28=""),0,SUMIF('DADOS BRUTOS'!$A$3:$A$500,$B28,'DADOS BRUTOS'!FG$3:FG$500)+IF($C28="",0,SUMIF('DADOS BRUTOS'!$A$3:$A$500,$C28,'DADOS BRUTOS'!FG$3:FG$500)))</f>
        <v/>
      </c>
      <c r="IH28" s="123">
        <f>IF(OR(IH$4="",$B28=""),0,SUMIF('DADOS BRUTOS'!$A$3:$A$500,$B28,'DADOS BRUTOS'!FH$3:FH$500)+IF($C28="",0,SUMIF('DADOS BRUTOS'!$A$3:$A$500,$C28,'DADOS BRUTOS'!FH$3:FH$500)))</f>
        <v/>
      </c>
      <c r="II28" s="123">
        <f>IF(OR(II$4="",$B28=""),0,SUMIF('DADOS BRUTOS'!$A$3:$A$500,$B28,'DADOS BRUTOS'!FI$3:FI$500)+IF($C28="",0,SUMIF('DADOS BRUTOS'!$A$3:$A$500,$C28,'DADOS BRUTOS'!FI$3:FI$500)))</f>
        <v/>
      </c>
      <c r="IJ28" s="123">
        <f>IF(OR(IJ$4="",$B28=""),0,SUMIF('DADOS BRUTOS'!$A$3:$A$500,$B28,'DADOS BRUTOS'!FJ$3:FJ$500)+IF($C28="",0,SUMIF('DADOS BRUTOS'!$A$3:$A$500,$C28,'DADOS BRUTOS'!FJ$3:FJ$500)))</f>
        <v/>
      </c>
      <c r="IK28" s="123">
        <f>IF(OR(IK$4="",$B28=""),0,SUMIF('DADOS BRUTOS'!$A$3:$A$500,$B28,'DADOS BRUTOS'!FK$3:FK$500)+IF($C28="",0,SUMIF('DADOS BRUTOS'!$A$3:$A$500,$C28,'DADOS BRUTOS'!FK$3:FK$500)))</f>
        <v/>
      </c>
      <c r="IL28" s="123">
        <f>IF(OR(IL$4="",$B28=""),0,SUMIF('DADOS BRUTOS'!$A$3:$A$500,$B28,'DADOS BRUTOS'!FL$3:FL$500)+IF($C28="",0,SUMIF('DADOS BRUTOS'!$A$3:$A$500,$C28,'DADOS BRUTOS'!FL$3:FL$500)))</f>
        <v/>
      </c>
      <c r="IM28" s="123">
        <f>IF(OR(IM$4="",$B28=""),0,SUMIF('DADOS BRUTOS'!$A$3:$A$500,$B28,'DADOS BRUTOS'!FM$3:FM$500)+IF($C28="",0,SUMIF('DADOS BRUTOS'!$A$3:$A$500,$C28,'DADOS BRUTOS'!FM$3:FM$500)))</f>
        <v/>
      </c>
      <c r="IN28" s="123">
        <f>IF(OR(IN$4="",$B28=""),0,SUMIF('DADOS BRUTOS'!$A$3:$A$500,$B28,'DADOS BRUTOS'!FN$3:FN$500)+IF($C28="",0,SUMIF('DADOS BRUTOS'!$A$3:$A$500,$C28,'DADOS BRUTOS'!FN$3:FN$500)))</f>
        <v/>
      </c>
      <c r="IO28" s="123">
        <f>IF(OR(IO$4="",$B28=""),0,SUMIF('DADOS BRUTOS'!$A$3:$A$500,$B28,'DADOS BRUTOS'!FO$3:FO$500)+IF($C28="",0,SUMIF('DADOS BRUTOS'!$A$3:$A$500,$C28,'DADOS BRUTOS'!FO$3:FO$500)))</f>
        <v/>
      </c>
      <c r="IP28" s="123">
        <f>IF(OR(IP$4="",$B28=""),0,SUMIF('DADOS BRUTOS'!$A$3:$A$500,$B28,'DADOS BRUTOS'!FP$3:FP$500)+IF($C28="",0,SUMIF('DADOS BRUTOS'!$A$3:$A$500,$C28,'DADOS BRUTOS'!FP$3:FP$500)))</f>
        <v/>
      </c>
      <c r="IQ28" s="123">
        <f>IF(OR(IQ$4="",$B28=""),0,SUMIF('DADOS BRUTOS'!$A$3:$A$500,$B28,'DADOS BRUTOS'!FQ$3:FQ$500)+IF($C28="",0,SUMIF('DADOS BRUTOS'!$A$3:$A$500,$C28,'DADOS BRUTOS'!FQ$3:FQ$500)))</f>
        <v/>
      </c>
      <c r="IR28" s="123">
        <f>IF(OR(IR$4="",$B28=""),0,SUMIF('DADOS BRUTOS'!$A$3:$A$500,$B28,'DADOS BRUTOS'!FR$3:FR$500)+IF($C28="",0,SUMIF('DADOS BRUTOS'!$A$3:$A$500,$C28,'DADOS BRUTOS'!FR$3:FR$500)))</f>
        <v/>
      </c>
      <c r="IS28" s="123">
        <f>IF(OR(IS$4="",$B28=""),0,SUMIF('DADOS BRUTOS'!$A$3:$A$500,$B28,'DADOS BRUTOS'!FS$3:FS$500)+IF($C28="",0,SUMIF('DADOS BRUTOS'!$A$3:$A$500,$C28,'DADOS BRUTOS'!FS$3:FS$500)))</f>
        <v/>
      </c>
      <c r="IT28" s="123">
        <f>IF(OR(IT$4="",$B28=""),0,SUMIF('DADOS BRUTOS'!$A$3:$A$500,$B28,'DADOS BRUTOS'!FT$3:FT$500)+IF($C28="",0,SUMIF('DADOS BRUTOS'!$A$3:$A$500,$C28,'DADOS BRUTOS'!FT$3:FT$500)))</f>
        <v/>
      </c>
      <c r="IU28" s="123">
        <f>IF(OR(IU$4="",$B28=""),0,SUMIF('DADOS BRUTOS'!$A$3:$A$500,$B28,'DADOS BRUTOS'!FU$3:FU$500)+IF($C28="",0,SUMIF('DADOS BRUTOS'!$A$3:$A$500,$C28,'DADOS BRUTOS'!FU$3:FU$500)))</f>
        <v/>
      </c>
      <c r="IV28" s="123">
        <f>IF(OR(IV$4="",$B28=""),0,SUMIF('DADOS BRUTOS'!$A$3:$A$500,$B28,'DADOS BRUTOS'!FV$3:FV$500)+IF($C28="",0,SUMIF('DADOS BRUTOS'!$A$3:$A$500,$C28,'DADOS BRUTOS'!FV$3:FV$500)))</f>
        <v/>
      </c>
      <c r="IW28" s="123">
        <f>IF(OR(IW$4="",$B28=""),0,SUMIF('DADOS BRUTOS'!$A$3:$A$500,$B28,'DADOS BRUTOS'!FW$3:FW$500)+IF($C28="",0,SUMIF('DADOS BRUTOS'!$A$3:$A$500,$C28,'DADOS BRUTOS'!FW$3:FW$500)))</f>
        <v/>
      </c>
      <c r="IX28" s="123">
        <f>IF(OR(IX$4="",$B28=""),0,SUMIF('DADOS BRUTOS'!$A$3:$A$500,$B28,'DADOS BRUTOS'!FX$3:FX$500)+IF($C28="",0,SUMIF('DADOS BRUTOS'!$A$3:$A$500,$C28,'DADOS BRUTOS'!FX$3:FX$500)))</f>
        <v/>
      </c>
      <c r="IY28" s="123">
        <f>IF(OR(IY$4="",$B28=""),0,SUMIF('DADOS BRUTOS'!$A$3:$A$500,$B28,'DADOS BRUTOS'!FY$3:FY$500)+IF($C28="",0,SUMIF('DADOS BRUTOS'!$A$3:$A$500,$C28,'DADOS BRUTOS'!FY$3:FY$500)))</f>
        <v/>
      </c>
      <c r="IZ28" s="123">
        <f>IF(OR(IZ$4="",$B28=""),0,SUMIF('DADOS BRUTOS'!$A$3:$A$500,$B28,'DADOS BRUTOS'!FZ$3:FZ$500)+IF($C28="",0,SUMIF('DADOS BRUTOS'!$A$3:$A$500,$C28,'DADOS BRUTOS'!FZ$3:FZ$500)))</f>
        <v/>
      </c>
      <c r="JA28" s="123">
        <f>IF(OR(JA$4="",$B28=""),0,SUMIF('DADOS BRUTOS'!$A$3:$A$500,$B28,'DADOS BRUTOS'!GA$3:GA$500)+IF($C28="",0,SUMIF('DADOS BRUTOS'!$A$3:$A$500,$C28,'DADOS BRUTOS'!GA$3:GA$500)))</f>
        <v/>
      </c>
      <c r="JB28" s="123">
        <f>IF(OR(JB$4="",$B28=""),0,SUMIF('DADOS BRUTOS'!$A$3:$A$500,$B28,'DADOS BRUTOS'!GB$3:GB$500)+IF($C28="",0,SUMIF('DADOS BRUTOS'!$A$3:$A$500,$C28,'DADOS BRUTOS'!GB$3:GB$500)))</f>
        <v/>
      </c>
      <c r="JC28" s="123">
        <f>IF(OR(JC$4="",$B28=""),0,SUMIF('DADOS BRUTOS'!$A$3:$A$500,$B28,'DADOS BRUTOS'!GC$3:GC$500)+IF($C28="",0,SUMIF('DADOS BRUTOS'!$A$3:$A$500,$C28,'DADOS BRUTOS'!GC$3:GC$500)))</f>
        <v/>
      </c>
      <c r="JD28" s="123">
        <f>IF(OR(JD$4="",$B28=""),0,SUMIF('DADOS BRUTOS'!$A$3:$A$500,$B28,'DADOS BRUTOS'!GD$3:GD$500)+IF($C28="",0,SUMIF('DADOS BRUTOS'!$A$3:$A$500,$C28,'DADOS BRUTOS'!GD$3:GD$500)))</f>
        <v/>
      </c>
      <c r="JE28" s="123">
        <f>IF(OR(JE$4="",$B28=""),0,SUMIF('DADOS BRUTOS'!$A$3:$A$500,$B28,'DADOS BRUTOS'!GE$3:GE$500)+IF($C28="",0,SUMIF('DADOS BRUTOS'!$A$3:$A$500,$C28,'DADOS BRUTOS'!GE$3:GE$500)))</f>
        <v/>
      </c>
      <c r="JF28" s="123">
        <f>IF(OR(JF$4="",$B28=""),0,SUMIF('DADOS BRUTOS'!$A$3:$A$500,$B28,'DADOS BRUTOS'!GF$3:GF$500)+IF($C28="",0,SUMIF('DADOS BRUTOS'!$A$3:$A$500,$C28,'DADOS BRUTOS'!GF$3:GF$500)))</f>
        <v/>
      </c>
      <c r="JG28" s="123">
        <f>IF(OR(JG$4="",$B28=""),0,SUMIF('DADOS BRUTOS'!$A$3:$A$500,$B28,'DADOS BRUTOS'!GG$3:GG$500)+IF($C28="",0,SUMIF('DADOS BRUTOS'!$A$3:$A$500,$C28,'DADOS BRUTOS'!GG$3:GG$500)))</f>
        <v/>
      </c>
      <c r="JH28" s="123">
        <f>IF(OR(JH$4="",$B28=""),0,SUMIF('DADOS BRUTOS'!$A$3:$A$500,$B28,'DADOS BRUTOS'!GH$3:GH$500)+IF($C28="",0,SUMIF('DADOS BRUTOS'!$A$3:$A$500,$C28,'DADOS BRUTOS'!GH$3:GH$500)))</f>
        <v/>
      </c>
      <c r="JI28" s="123">
        <f>IF(OR(JI$4="",$B28=""),0,SUMIF('DADOS BRUTOS'!$A$3:$A$500,$B28,'DADOS BRUTOS'!GI$3:GI$500)+IF($C28="",0,SUMIF('DADOS BRUTOS'!$A$3:$A$500,$C28,'DADOS BRUTOS'!GI$3:GI$500)))</f>
        <v/>
      </c>
      <c r="JJ28" s="123">
        <f>IF(OR(JJ$4="",$B28=""),0,SUMIF('DADOS BRUTOS'!$A$3:$A$500,$B28,'DADOS BRUTOS'!GJ$3:GJ$500)+IF($C28="",0,SUMIF('DADOS BRUTOS'!$A$3:$A$500,$C28,'DADOS BRUTOS'!GJ$3:GJ$500)))</f>
        <v/>
      </c>
      <c r="JK28" s="123">
        <f>IF(OR(JK$4="",$B28=""),0,SUMIF('DADOS BRUTOS'!$A$3:$A$500,$B28,'DADOS BRUTOS'!GK$3:GK$500)+IF($C28="",0,SUMIF('DADOS BRUTOS'!$A$3:$A$500,$C28,'DADOS BRUTOS'!GK$3:GK$500)))</f>
        <v/>
      </c>
      <c r="JL28" s="123">
        <f>IF(OR(JL$4="",$B28=""),0,SUMIF('DADOS BRUTOS'!$A$3:$A$500,$B28,'DADOS BRUTOS'!GL$3:GL$500)+IF($C28="",0,SUMIF('DADOS BRUTOS'!$A$3:$A$500,$C28,'DADOS BRUTOS'!GL$3:GL$500)))</f>
        <v/>
      </c>
      <c r="JM28" s="123">
        <f>IF(OR(JM$4="",$B28=""),0,SUMIF('DADOS BRUTOS'!$A$3:$A$500,$B28,'DADOS BRUTOS'!GM$3:GM$500)+IF($C28="",0,SUMIF('DADOS BRUTOS'!$A$3:$A$500,$C28,'DADOS BRUTOS'!GM$3:GM$500)))</f>
        <v/>
      </c>
      <c r="JN28" s="123">
        <f>IF(OR(JN$4="",$B28=""),0,SUMIF('DADOS BRUTOS'!$A$3:$A$500,$B28,'DADOS BRUTOS'!GN$3:GN$500)+IF($C28="",0,SUMIF('DADOS BRUTOS'!$A$3:$A$500,$C28,'DADOS BRUTOS'!GN$3:GN$500)))</f>
        <v/>
      </c>
      <c r="JO28" s="123">
        <f>IF(OR(JO$4="",$B28=""),0,SUMIF('DADOS BRUTOS'!$A$3:$A$500,$B28,'DADOS BRUTOS'!GO$3:GO$500)+IF($C28="",0,SUMIF('DADOS BRUTOS'!$A$3:$A$500,$C28,'DADOS BRUTOS'!GO$3:GO$500)))</f>
        <v/>
      </c>
      <c r="JP28" s="123">
        <f>IF(OR(JP$4="",$B28=""),0,SUMIF('DADOS BRUTOS'!$A$3:$A$500,$B28,'DADOS BRUTOS'!GP$3:GP$500)+IF($C28="",0,SUMIF('DADOS BRUTOS'!$A$3:$A$500,$C28,'DADOS BRUTOS'!GP$3:GP$500)))</f>
        <v/>
      </c>
      <c r="JQ28" s="123">
        <f>IF(OR(JQ$4="",$B28=""),0,SUMIF('DADOS BRUTOS'!$A$3:$A$500,$B28,'DADOS BRUTOS'!GQ$3:GQ$500)+IF($C28="",0,SUMIF('DADOS BRUTOS'!$A$3:$A$500,$C28,'DADOS BRUTOS'!GQ$3:GQ$500)))</f>
        <v/>
      </c>
      <c r="JR28" s="123">
        <f>IF(OR(JR$4="",$B28=""),0,SUMIF('DADOS BRUTOS'!$A$3:$A$500,$B28,'DADOS BRUTOS'!GR$3:GR$500)+IF($C28="",0,SUMIF('DADOS BRUTOS'!$A$3:$A$500,$C28,'DADOS BRUTOS'!GR$3:GR$500)))</f>
        <v/>
      </c>
      <c r="JS28" s="123">
        <f>IF(OR(JS$4="",$B28=""),0,SUMIF('DADOS BRUTOS'!$A$3:$A$500,$B28,'DADOS BRUTOS'!GS$3:GS$500)+IF($C28="",0,SUMIF('DADOS BRUTOS'!$A$3:$A$500,$C28,'DADOS BRUTOS'!GS$3:GS$500)))</f>
        <v/>
      </c>
    </row>
    <row r="29">
      <c r="A29" s="60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CB29" s="123">
        <f>IF(OR(CB$4="",$B29=""),0,SUMIF('DADOS BRUTOS'!$A$3:$A$500,$B29,'DADOS BRUTOS'!B$3:B$500)+IF($C29="",0,SUMIF('DADOS BRUTOS'!$A$3:$A$500,$C29,'DADOS BRUTOS'!B$3:B$500)))</f>
        <v/>
      </c>
      <c r="CC29" s="123">
        <f>IF(OR(CC$4="",$B29=""),0,SUMIF('DADOS BRUTOS'!$A$3:$A$500,$B29,'DADOS BRUTOS'!C$3:C$500)+IF($C29="",0,SUMIF('DADOS BRUTOS'!$A$3:$A$500,$C29,'DADOS BRUTOS'!C$3:C$500)))</f>
        <v/>
      </c>
      <c r="CD29" s="123">
        <f>IF(OR(CD$4="",$B29=""),0,SUMIF('DADOS BRUTOS'!$A$3:$A$500,$B29,'DADOS BRUTOS'!D$3:D$500)+IF($C29="",0,SUMIF('DADOS BRUTOS'!$A$3:$A$500,$C29,'DADOS BRUTOS'!D$3:D$500)))</f>
        <v/>
      </c>
      <c r="CE29" s="123">
        <f>IF(OR(CE$4="",$B29=""),0,SUMIF('DADOS BRUTOS'!$A$3:$A$500,$B29,'DADOS BRUTOS'!E$3:E$500)+IF($C29="",0,SUMIF('DADOS BRUTOS'!$A$3:$A$500,$C29,'DADOS BRUTOS'!E$3:E$500)))</f>
        <v/>
      </c>
      <c r="CF29" s="123">
        <f>IF(OR(CF$4="",$B29=""),0,SUMIF('DADOS BRUTOS'!$A$3:$A$500,$B29,'DADOS BRUTOS'!F$3:F$500)+IF($C29="",0,SUMIF('DADOS BRUTOS'!$A$3:$A$500,$C29,'DADOS BRUTOS'!F$3:F$500)))</f>
        <v/>
      </c>
      <c r="CG29" s="123">
        <f>IF(OR(CG$4="",$B29=""),0,SUMIF('DADOS BRUTOS'!$A$3:$A$500,$B29,'DADOS BRUTOS'!G$3:G$500)+IF($C29="",0,SUMIF('DADOS BRUTOS'!$A$3:$A$500,$C29,'DADOS BRUTOS'!G$3:G$500)))</f>
        <v/>
      </c>
      <c r="CH29" s="123">
        <f>IF(OR(CH$4="",$B29=""),0,SUMIF('DADOS BRUTOS'!$A$3:$A$500,$B29,'DADOS BRUTOS'!H$3:H$500)+IF($C29="",0,SUMIF('DADOS BRUTOS'!$A$3:$A$500,$C29,'DADOS BRUTOS'!H$3:H$500)))</f>
        <v/>
      </c>
      <c r="CI29" s="123">
        <f>IF(OR(CI$4="",$B29=""),0,SUMIF('DADOS BRUTOS'!$A$3:$A$500,$B29,'DADOS BRUTOS'!I$3:I$500)+IF($C29="",0,SUMIF('DADOS BRUTOS'!$A$3:$A$500,$C29,'DADOS BRUTOS'!I$3:I$500)))</f>
        <v/>
      </c>
      <c r="CJ29" s="123">
        <f>IF(OR(CJ$4="",$B29=""),0,SUMIF('DADOS BRUTOS'!$A$3:$A$500,$B29,'DADOS BRUTOS'!J$3:J$500)+IF($C29="",0,SUMIF('DADOS BRUTOS'!$A$3:$A$500,$C29,'DADOS BRUTOS'!J$3:J$500)))</f>
        <v/>
      </c>
      <c r="CK29" s="123">
        <f>IF(OR(CK$4="",$B29=""),0,SUMIF('DADOS BRUTOS'!$A$3:$A$500,$B29,'DADOS BRUTOS'!K$3:K$500)+IF($C29="",0,SUMIF('DADOS BRUTOS'!$A$3:$A$500,$C29,'DADOS BRUTOS'!K$3:K$500)))</f>
        <v/>
      </c>
      <c r="CL29" s="123">
        <f>IF(OR(CL$4="",$B29=""),0,SUMIF('DADOS BRUTOS'!$A$3:$A$500,$B29,'DADOS BRUTOS'!L$3:L$500)+IF($C29="",0,SUMIF('DADOS BRUTOS'!$A$3:$A$500,$C29,'DADOS BRUTOS'!L$3:L$500)))</f>
        <v/>
      </c>
      <c r="CM29" s="123">
        <f>IF(OR(CM$4="",$B29=""),0,SUMIF('DADOS BRUTOS'!$A$3:$A$500,$B29,'DADOS BRUTOS'!M$3:M$500)+IF($C29="",0,SUMIF('DADOS BRUTOS'!$A$3:$A$500,$C29,'DADOS BRUTOS'!M$3:M$500)))</f>
        <v/>
      </c>
      <c r="CN29" s="123">
        <f>IF(OR(CN$4="",$B29=""),0,SUMIF('DADOS BRUTOS'!$A$3:$A$500,$B29,'DADOS BRUTOS'!N$3:N$500)+IF($C29="",0,SUMIF('DADOS BRUTOS'!$A$3:$A$500,$C29,'DADOS BRUTOS'!N$3:N$500)))</f>
        <v/>
      </c>
      <c r="CO29" s="123">
        <f>IF(OR(CO$4="",$B29=""),0,SUMIF('DADOS BRUTOS'!$A$3:$A$500,$B29,'DADOS BRUTOS'!O$3:O$500)+IF($C29="",0,SUMIF('DADOS BRUTOS'!$A$3:$A$500,$C29,'DADOS BRUTOS'!O$3:O$500)))</f>
        <v/>
      </c>
      <c r="CP29" s="123">
        <f>IF(OR(CP$4="",$B29=""),0,SUMIF('DADOS BRUTOS'!$A$3:$A$500,$B29,'DADOS BRUTOS'!P$3:P$500)+IF($C29="",0,SUMIF('DADOS BRUTOS'!$A$3:$A$500,$C29,'DADOS BRUTOS'!P$3:P$500)))</f>
        <v/>
      </c>
      <c r="CQ29" s="123">
        <f>IF(OR(CQ$4="",$B29=""),0,SUMIF('DADOS BRUTOS'!$A$3:$A$500,$B29,'DADOS BRUTOS'!Q$3:Q$500)+IF($C29="",0,SUMIF('DADOS BRUTOS'!$A$3:$A$500,$C29,'DADOS BRUTOS'!Q$3:Q$500)))</f>
        <v/>
      </c>
      <c r="CR29" s="123">
        <f>IF(OR(CR$4="",$B29=""),0,SUMIF('DADOS BRUTOS'!$A$3:$A$500,$B29,'DADOS BRUTOS'!R$3:R$500)+IF($C29="",0,SUMIF('DADOS BRUTOS'!$A$3:$A$500,$C29,'DADOS BRUTOS'!R$3:R$500)))</f>
        <v/>
      </c>
      <c r="CS29" s="123">
        <f>IF(OR(CS$4="",$B29=""),0,SUMIF('DADOS BRUTOS'!$A$3:$A$500,$B29,'DADOS BRUTOS'!S$3:S$500)+IF($C29="",0,SUMIF('DADOS BRUTOS'!$A$3:$A$500,$C29,'DADOS BRUTOS'!S$3:S$500)))</f>
        <v/>
      </c>
      <c r="CT29" s="123">
        <f>IF(OR(CT$4="",$B29=""),0,SUMIF('DADOS BRUTOS'!$A$3:$A$500,$B29,'DADOS BRUTOS'!T$3:T$500)+IF($C29="",0,SUMIF('DADOS BRUTOS'!$A$3:$A$500,$C29,'DADOS BRUTOS'!T$3:T$500)))</f>
        <v/>
      </c>
      <c r="CU29" s="123">
        <f>IF(OR(CU$4="",$B29=""),0,SUMIF('DADOS BRUTOS'!$A$3:$A$500,$B29,'DADOS BRUTOS'!U$3:U$500)+IF($C29="",0,SUMIF('DADOS BRUTOS'!$A$3:$A$500,$C29,'DADOS BRUTOS'!U$3:U$500)))</f>
        <v/>
      </c>
      <c r="CV29" s="123">
        <f>IF(OR(CV$4="",$B29=""),0,SUMIF('DADOS BRUTOS'!$A$3:$A$500,$B29,'DADOS BRUTOS'!V$3:V$500)+IF($C29="",0,SUMIF('DADOS BRUTOS'!$A$3:$A$500,$C29,'DADOS BRUTOS'!V$3:V$500)))</f>
        <v/>
      </c>
      <c r="CW29" s="123">
        <f>IF(OR(CW$4="",$B29=""),0,SUMIF('DADOS BRUTOS'!$A$3:$A$500,$B29,'DADOS BRUTOS'!W$3:W$500)+IF($C29="",0,SUMIF('DADOS BRUTOS'!$A$3:$A$500,$C29,'DADOS BRUTOS'!W$3:W$500)))</f>
        <v/>
      </c>
      <c r="CX29" s="123">
        <f>IF(OR(CX$4="",$B29=""),0,SUMIF('DADOS BRUTOS'!$A$3:$A$500,$B29,'DADOS BRUTOS'!X$3:X$500)+IF($C29="",0,SUMIF('DADOS BRUTOS'!$A$3:$A$500,$C29,'DADOS BRUTOS'!X$3:X$500)))</f>
        <v/>
      </c>
      <c r="CY29" s="123">
        <f>IF(OR(CY$4="",$B29=""),0,SUMIF('DADOS BRUTOS'!$A$3:$A$500,$B29,'DADOS BRUTOS'!Y$3:Y$500)+IF($C29="",0,SUMIF('DADOS BRUTOS'!$A$3:$A$500,$C29,'DADOS BRUTOS'!Y$3:Y$500)))</f>
        <v/>
      </c>
      <c r="CZ29" s="123">
        <f>IF(OR(CZ$4="",$B29=""),0,SUMIF('DADOS BRUTOS'!$A$3:$A$500,$B29,'DADOS BRUTOS'!Z$3:Z$500)+IF($C29="",0,SUMIF('DADOS BRUTOS'!$A$3:$A$500,$C29,'DADOS BRUTOS'!Z$3:Z$500)))</f>
        <v/>
      </c>
      <c r="DA29" s="123">
        <f>IF(OR(DA$4="",$B29=""),0,SUMIF('DADOS BRUTOS'!$A$3:$A$500,$B29,'DADOS BRUTOS'!AA$3:AA$500)+IF($C29="",0,SUMIF('DADOS BRUTOS'!$A$3:$A$500,$C29,'DADOS BRUTOS'!AA$3:AA$500)))</f>
        <v/>
      </c>
      <c r="DB29" s="123">
        <f>IF(OR(DB$4="",$B29=""),0,SUMIF('DADOS BRUTOS'!$A$3:$A$500,$B29,'DADOS BRUTOS'!AB$3:AB$500)+IF($C29="",0,SUMIF('DADOS BRUTOS'!$A$3:$A$500,$C29,'DADOS BRUTOS'!AB$3:AB$500)))</f>
        <v/>
      </c>
      <c r="DC29" s="123">
        <f>IF(OR(DC$4="",$B29=""),0,SUMIF('DADOS BRUTOS'!$A$3:$A$500,$B29,'DADOS BRUTOS'!AC$3:AC$500)+IF($C29="",0,SUMIF('DADOS BRUTOS'!$A$3:$A$500,$C29,'DADOS BRUTOS'!AC$3:AC$500)))</f>
        <v/>
      </c>
      <c r="DD29" s="123">
        <f>IF(OR(DD$4="",$B29=""),0,SUMIF('DADOS BRUTOS'!$A$3:$A$500,$B29,'DADOS BRUTOS'!AD$3:AD$500)+IF($C29="",0,SUMIF('DADOS BRUTOS'!$A$3:$A$500,$C29,'DADOS BRUTOS'!AD$3:AD$500)))</f>
        <v/>
      </c>
      <c r="DE29" s="123">
        <f>IF(OR(DE$4="",$B29=""),0,SUMIF('DADOS BRUTOS'!$A$3:$A$500,$B29,'DADOS BRUTOS'!AE$3:AE$500)+IF($C29="",0,SUMIF('DADOS BRUTOS'!$A$3:$A$500,$C29,'DADOS BRUTOS'!AE$3:AE$500)))</f>
        <v/>
      </c>
      <c r="DF29" s="123">
        <f>IF(OR(DF$4="",$B29=""),0,SUMIF('DADOS BRUTOS'!$A$3:$A$500,$B29,'DADOS BRUTOS'!AF$3:AF$500)+IF($C29="",0,SUMIF('DADOS BRUTOS'!$A$3:$A$500,$C29,'DADOS BRUTOS'!AF$3:AF$500)))</f>
        <v/>
      </c>
      <c r="DG29" s="123">
        <f>IF(OR(DG$4="",$B29=""),0,SUMIF('DADOS BRUTOS'!$A$3:$A$500,$B29,'DADOS BRUTOS'!AG$3:AG$500)+IF($C29="",0,SUMIF('DADOS BRUTOS'!$A$3:$A$500,$C29,'DADOS BRUTOS'!AG$3:AG$500)))</f>
        <v/>
      </c>
      <c r="DH29" s="123">
        <f>IF(OR(DH$4="",$B29=""),0,SUMIF('DADOS BRUTOS'!$A$3:$A$500,$B29,'DADOS BRUTOS'!AH$3:AH$500)+IF($C29="",0,SUMIF('DADOS BRUTOS'!$A$3:$A$500,$C29,'DADOS BRUTOS'!AH$3:AH$500)))</f>
        <v/>
      </c>
      <c r="DI29" s="123">
        <f>IF(OR(DI$4="",$B29=""),0,SUMIF('DADOS BRUTOS'!$A$3:$A$500,$B29,'DADOS BRUTOS'!AI$3:AI$500)+IF($C29="",0,SUMIF('DADOS BRUTOS'!$A$3:$A$500,$C29,'DADOS BRUTOS'!AI$3:AI$500)))</f>
        <v/>
      </c>
      <c r="DJ29" s="123">
        <f>IF(OR(DJ$4="",$B29=""),0,SUMIF('DADOS BRUTOS'!$A$3:$A$500,$B29,'DADOS BRUTOS'!AJ$3:AJ$500)+IF($C29="",0,SUMIF('DADOS BRUTOS'!$A$3:$A$500,$C29,'DADOS BRUTOS'!AJ$3:AJ$500)))</f>
        <v/>
      </c>
      <c r="DK29" s="123">
        <f>IF(OR(DK$4="",$B29=""),0,SUMIF('DADOS BRUTOS'!$A$3:$A$500,$B29,'DADOS BRUTOS'!AK$3:AK$500)+IF($C29="",0,SUMIF('DADOS BRUTOS'!$A$3:$A$500,$C29,'DADOS BRUTOS'!AK$3:AK$500)))</f>
        <v/>
      </c>
      <c r="DL29" s="123">
        <f>IF(OR(DL$4="",$B29=""),0,SUMIF('DADOS BRUTOS'!$A$3:$A$500,$B29,'DADOS BRUTOS'!AL$3:AL$500)+IF($C29="",0,SUMIF('DADOS BRUTOS'!$A$3:$A$500,$C29,'DADOS BRUTOS'!AL$3:AL$500)))</f>
        <v/>
      </c>
      <c r="DM29" s="123">
        <f>IF(OR(DM$4="",$B29=""),0,SUMIF('DADOS BRUTOS'!$A$3:$A$500,$B29,'DADOS BRUTOS'!AM$3:AM$500)+IF($C29="",0,SUMIF('DADOS BRUTOS'!$A$3:$A$500,$C29,'DADOS BRUTOS'!AM$3:AM$500)))</f>
        <v/>
      </c>
      <c r="DN29" s="123">
        <f>IF(OR(DN$4="",$B29=""),0,SUMIF('DADOS BRUTOS'!$A$3:$A$500,$B29,'DADOS BRUTOS'!AN$3:AN$500)+IF($C29="",0,SUMIF('DADOS BRUTOS'!$A$3:$A$500,$C29,'DADOS BRUTOS'!AN$3:AN$500)))</f>
        <v/>
      </c>
      <c r="DO29" s="123">
        <f>IF(OR(DO$4="",$B29=""),0,SUMIF('DADOS BRUTOS'!$A$3:$A$500,$B29,'DADOS BRUTOS'!AO$3:AO$500)+IF($C29="",0,SUMIF('DADOS BRUTOS'!$A$3:$A$500,$C29,'DADOS BRUTOS'!AO$3:AO$500)))</f>
        <v/>
      </c>
      <c r="DP29" s="123">
        <f>IF(OR(DP$4="",$B29=""),0,SUMIF('DADOS BRUTOS'!$A$3:$A$500,$B29,'DADOS BRUTOS'!AP$3:AP$500)+IF($C29="",0,SUMIF('DADOS BRUTOS'!$A$3:$A$500,$C29,'DADOS BRUTOS'!AP$3:AP$500)))</f>
        <v/>
      </c>
      <c r="DQ29" s="123">
        <f>IF(OR(DQ$4="",$B29=""),0,SUMIF('DADOS BRUTOS'!$A$3:$A$500,$B29,'DADOS BRUTOS'!AQ$3:AQ$500)+IF($C29="",0,SUMIF('DADOS BRUTOS'!$A$3:$A$500,$C29,'DADOS BRUTOS'!AQ$3:AQ$500)))</f>
        <v/>
      </c>
      <c r="DR29" s="123">
        <f>IF(OR(DR$4="",$B29=""),0,SUMIF('DADOS BRUTOS'!$A$3:$A$500,$B29,'DADOS BRUTOS'!AR$3:AR$500)+IF($C29="",0,SUMIF('DADOS BRUTOS'!$A$3:$A$500,$C29,'DADOS BRUTOS'!AR$3:AR$500)))</f>
        <v/>
      </c>
      <c r="DS29" s="123">
        <f>IF(OR(DS$4="",$B29=""),0,SUMIF('DADOS BRUTOS'!$A$3:$A$500,$B29,'DADOS BRUTOS'!AS$3:AS$500)+IF($C29="",0,SUMIF('DADOS BRUTOS'!$A$3:$A$500,$C29,'DADOS BRUTOS'!AS$3:AS$500)))</f>
        <v/>
      </c>
      <c r="DT29" s="123">
        <f>IF(OR(DT$4="",$B29=""),0,SUMIF('DADOS BRUTOS'!$A$3:$A$500,$B29,'DADOS BRUTOS'!AT$3:AT$500)+IF($C29="",0,SUMIF('DADOS BRUTOS'!$A$3:$A$500,$C29,'DADOS BRUTOS'!AT$3:AT$500)))</f>
        <v/>
      </c>
      <c r="DU29" s="123">
        <f>IF(OR(DU$4="",$B29=""),0,SUMIF('DADOS BRUTOS'!$A$3:$A$500,$B29,'DADOS BRUTOS'!AU$3:AU$500)+IF($C29="",0,SUMIF('DADOS BRUTOS'!$A$3:$A$500,$C29,'DADOS BRUTOS'!AU$3:AU$500)))</f>
        <v/>
      </c>
      <c r="DV29" s="123">
        <f>IF(OR(DV$4="",$B29=""),0,SUMIF('DADOS BRUTOS'!$A$3:$A$500,$B29,'DADOS BRUTOS'!AV$3:AV$500)+IF($C29="",0,SUMIF('DADOS BRUTOS'!$A$3:$A$500,$C29,'DADOS BRUTOS'!AV$3:AV$500)))</f>
        <v/>
      </c>
      <c r="DW29" s="123">
        <f>IF(OR(DW$4="",$B29=""),0,SUMIF('DADOS BRUTOS'!$A$3:$A$500,$B29,'DADOS BRUTOS'!AW$3:AW$500)+IF($C29="",0,SUMIF('DADOS BRUTOS'!$A$3:$A$500,$C29,'DADOS BRUTOS'!AW$3:AW$500)))</f>
        <v/>
      </c>
      <c r="DX29" s="123">
        <f>IF(OR(DX$4="",$B29=""),0,SUMIF('DADOS BRUTOS'!$A$3:$A$500,$B29,'DADOS BRUTOS'!AX$3:AX$500)+IF($C29="",0,SUMIF('DADOS BRUTOS'!$A$3:$A$500,$C29,'DADOS BRUTOS'!AX$3:AX$500)))</f>
        <v/>
      </c>
      <c r="DY29" s="123">
        <f>IF(OR(DY$4="",$B29=""),0,SUMIF('DADOS BRUTOS'!$A$3:$A$500,$B29,'DADOS BRUTOS'!AY$3:AY$500)+IF($C29="",0,SUMIF('DADOS BRUTOS'!$A$3:$A$500,$C29,'DADOS BRUTOS'!AY$3:AY$500)))</f>
        <v/>
      </c>
      <c r="DZ29" s="123">
        <f>IF(OR(DZ$4="",$B29=""),0,SUMIF('DADOS BRUTOS'!$A$3:$A$500,$B29,'DADOS BRUTOS'!AZ$3:AZ$500)+IF($C29="",0,SUMIF('DADOS BRUTOS'!$A$3:$A$500,$C29,'DADOS BRUTOS'!AZ$3:AZ$500)))</f>
        <v/>
      </c>
      <c r="EA29" s="123">
        <f>IF(OR(EA$4="",$B29=""),0,SUMIF('DADOS BRUTOS'!$A$3:$A$500,$B29,'DADOS BRUTOS'!BA$3:BA$500)+IF($C29="",0,SUMIF('DADOS BRUTOS'!$A$3:$A$500,$C29,'DADOS BRUTOS'!BA$3:BA$500)))</f>
        <v/>
      </c>
      <c r="EB29" s="123">
        <f>IF(OR(EB$4="",$B29=""),0,SUMIF('DADOS BRUTOS'!$A$3:$A$500,$B29,'DADOS BRUTOS'!BB$3:BB$500)+IF($C29="",0,SUMIF('DADOS BRUTOS'!$A$3:$A$500,$C29,'DADOS BRUTOS'!BB$3:BB$500)))</f>
        <v/>
      </c>
      <c r="EC29" s="123">
        <f>IF(OR(EC$4="",$B29=""),0,SUMIF('DADOS BRUTOS'!$A$3:$A$500,$B29,'DADOS BRUTOS'!BC$3:BC$500)+IF($C29="",0,SUMIF('DADOS BRUTOS'!$A$3:$A$500,$C29,'DADOS BRUTOS'!BC$3:BC$500)))</f>
        <v/>
      </c>
      <c r="ED29" s="123">
        <f>IF(OR(ED$4="",$B29=""),0,SUMIF('DADOS BRUTOS'!$A$3:$A$500,$B29,'DADOS BRUTOS'!BD$3:BD$500)+IF($C29="",0,SUMIF('DADOS BRUTOS'!$A$3:$A$500,$C29,'DADOS BRUTOS'!BD$3:BD$500)))</f>
        <v/>
      </c>
      <c r="EE29" s="123">
        <f>IF(OR(EE$4="",$B29=""),0,SUMIF('DADOS BRUTOS'!$A$3:$A$500,$B29,'DADOS BRUTOS'!BE$3:BE$500)+IF($C29="",0,SUMIF('DADOS BRUTOS'!$A$3:$A$500,$C29,'DADOS BRUTOS'!BE$3:BE$500)))</f>
        <v/>
      </c>
      <c r="EF29" s="123">
        <f>IF(OR(EF$4="",$B29=""),0,SUMIF('DADOS BRUTOS'!$A$3:$A$500,$B29,'DADOS BRUTOS'!BF$3:BF$500)+IF($C29="",0,SUMIF('DADOS BRUTOS'!$A$3:$A$500,$C29,'DADOS BRUTOS'!BF$3:BF$500)))</f>
        <v/>
      </c>
      <c r="EG29" s="123">
        <f>IF(OR(EG$4="",$B29=""),0,SUMIF('DADOS BRUTOS'!$A$3:$A$500,$B29,'DADOS BRUTOS'!BG$3:BG$500)+IF($C29="",0,SUMIF('DADOS BRUTOS'!$A$3:$A$500,$C29,'DADOS BRUTOS'!BG$3:BG$500)))</f>
        <v/>
      </c>
      <c r="EH29" s="123">
        <f>IF(OR(EH$4="",$B29=""),0,SUMIF('DADOS BRUTOS'!$A$3:$A$500,$B29,'DADOS BRUTOS'!BH$3:BH$500)+IF($C29="",0,SUMIF('DADOS BRUTOS'!$A$3:$A$500,$C29,'DADOS BRUTOS'!BH$3:BH$500)))</f>
        <v/>
      </c>
      <c r="EI29" s="123">
        <f>IF(OR(EI$4="",$B29=""),0,SUMIF('DADOS BRUTOS'!$A$3:$A$500,$B29,'DADOS BRUTOS'!BI$3:BI$500)+IF($C29="",0,SUMIF('DADOS BRUTOS'!$A$3:$A$500,$C29,'DADOS BRUTOS'!BI$3:BI$500)))</f>
        <v/>
      </c>
      <c r="EJ29" s="123">
        <f>IF(OR(EJ$4="",$B29=""),0,SUMIF('DADOS BRUTOS'!$A$3:$A$500,$B29,'DADOS BRUTOS'!BJ$3:BJ$500)+IF($C29="",0,SUMIF('DADOS BRUTOS'!$A$3:$A$500,$C29,'DADOS BRUTOS'!BJ$3:BJ$500)))</f>
        <v/>
      </c>
      <c r="EK29" s="123">
        <f>IF(OR(EK$4="",$B29=""),0,SUMIF('DADOS BRUTOS'!$A$3:$A$500,$B29,'DADOS BRUTOS'!BK$3:BK$500)+IF($C29="",0,SUMIF('DADOS BRUTOS'!$A$3:$A$500,$C29,'DADOS BRUTOS'!BK$3:BK$500)))</f>
        <v/>
      </c>
      <c r="EL29" s="123">
        <f>IF(OR(EL$4="",$B29=""),0,SUMIF('DADOS BRUTOS'!$A$3:$A$500,$B29,'DADOS BRUTOS'!BL$3:BL$500)+IF($C29="",0,SUMIF('DADOS BRUTOS'!$A$3:$A$500,$C29,'DADOS BRUTOS'!BL$3:BL$500)))</f>
        <v/>
      </c>
      <c r="EM29" s="123">
        <f>IF(OR(EM$4="",$B29=""),0,SUMIF('DADOS BRUTOS'!$A$3:$A$500,$B29,'DADOS BRUTOS'!BM$3:BM$500)+IF($C29="",0,SUMIF('DADOS BRUTOS'!$A$3:$A$500,$C29,'DADOS BRUTOS'!BM$3:BM$500)))</f>
        <v/>
      </c>
      <c r="EN29" s="123">
        <f>IF(OR(EN$4="",$B29=""),0,SUMIF('DADOS BRUTOS'!$A$3:$A$500,$B29,'DADOS BRUTOS'!BN$3:BN$500)+IF($C29="",0,SUMIF('DADOS BRUTOS'!$A$3:$A$500,$C29,'DADOS BRUTOS'!BN$3:BN$500)))</f>
        <v/>
      </c>
      <c r="EO29" s="123">
        <f>IF(OR(EO$4="",$B29=""),0,SUMIF('DADOS BRUTOS'!$A$3:$A$500,$B29,'DADOS BRUTOS'!BO$3:BO$500)+IF($C29="",0,SUMIF('DADOS BRUTOS'!$A$3:$A$500,$C29,'DADOS BRUTOS'!BO$3:BO$500)))</f>
        <v/>
      </c>
      <c r="EP29" s="123">
        <f>IF(OR(EP$4="",$B29=""),0,SUMIF('DADOS BRUTOS'!$A$3:$A$500,$B29,'DADOS BRUTOS'!BP$3:BP$500)+IF($C29="",0,SUMIF('DADOS BRUTOS'!$A$3:$A$500,$C29,'DADOS BRUTOS'!BP$3:BP$500)))</f>
        <v/>
      </c>
      <c r="EQ29" s="123">
        <f>IF(OR(EQ$4="",$B29=""),0,SUMIF('DADOS BRUTOS'!$A$3:$A$500,$B29,'DADOS BRUTOS'!BQ$3:BQ$500)+IF($C29="",0,SUMIF('DADOS BRUTOS'!$A$3:$A$500,$C29,'DADOS BRUTOS'!BQ$3:BQ$500)))</f>
        <v/>
      </c>
      <c r="ER29" s="123">
        <f>IF(OR(ER$4="",$B29=""),0,SUMIF('DADOS BRUTOS'!$A$3:$A$500,$B29,'DADOS BRUTOS'!BR$3:BR$500)+IF($C29="",0,SUMIF('DADOS BRUTOS'!$A$3:$A$500,$C29,'DADOS BRUTOS'!BR$3:BR$500)))</f>
        <v/>
      </c>
      <c r="ES29" s="123">
        <f>IF(OR(ES$4="",$B29=""),0,SUMIF('DADOS BRUTOS'!$A$3:$A$500,$B29,'DADOS BRUTOS'!BS$3:BS$500)+IF($C29="",0,SUMIF('DADOS BRUTOS'!$A$3:$A$500,$C29,'DADOS BRUTOS'!BS$3:BS$500)))</f>
        <v/>
      </c>
      <c r="ET29" s="123">
        <f>IF(OR(ET$4="",$B29=""),0,SUMIF('DADOS BRUTOS'!$A$3:$A$500,$B29,'DADOS BRUTOS'!BT$3:BT$500)+IF($C29="",0,SUMIF('DADOS BRUTOS'!$A$3:$A$500,$C29,'DADOS BRUTOS'!BT$3:BT$500)))</f>
        <v/>
      </c>
      <c r="EU29" s="123">
        <f>IF(OR(EU$4="",$B29=""),0,SUMIF('DADOS BRUTOS'!$A$3:$A$500,$B29,'DADOS BRUTOS'!BU$3:BU$500)+IF($C29="",0,SUMIF('DADOS BRUTOS'!$A$3:$A$500,$C29,'DADOS BRUTOS'!BU$3:BU$500)))</f>
        <v/>
      </c>
      <c r="EV29" s="123">
        <f>IF(OR(EV$4="",$B29=""),0,SUMIF('DADOS BRUTOS'!$A$3:$A$500,$B29,'DADOS BRUTOS'!BV$3:BV$500)+IF($C29="",0,SUMIF('DADOS BRUTOS'!$A$3:$A$500,$C29,'DADOS BRUTOS'!BV$3:BV$500)))</f>
        <v/>
      </c>
      <c r="EW29" s="123">
        <f>IF(OR(EW$4="",$B29=""),0,SUMIF('DADOS BRUTOS'!$A$3:$A$500,$B29,'DADOS BRUTOS'!BW$3:BW$500)+IF($C29="",0,SUMIF('DADOS BRUTOS'!$A$3:$A$500,$C29,'DADOS BRUTOS'!BW$3:BW$500)))</f>
        <v/>
      </c>
      <c r="EX29" s="123">
        <f>IF(OR(EX$4="",$B29=""),0,SUMIF('DADOS BRUTOS'!$A$3:$A$500,$B29,'DADOS BRUTOS'!BX$3:BX$500)+IF($C29="",0,SUMIF('DADOS BRUTOS'!$A$3:$A$500,$C29,'DADOS BRUTOS'!BX$3:BX$500)))</f>
        <v/>
      </c>
      <c r="EY29" s="123">
        <f>IF(OR(EY$4="",$B29=""),0,SUMIF('DADOS BRUTOS'!$A$3:$A$500,$B29,'DADOS BRUTOS'!BY$3:BY$500)+IF($C29="",0,SUMIF('DADOS BRUTOS'!$A$3:$A$500,$C29,'DADOS BRUTOS'!BY$3:BY$500)))</f>
        <v/>
      </c>
      <c r="EZ29" s="123">
        <f>IF(OR(EZ$4="",$B29=""),0,SUMIF('DADOS BRUTOS'!$A$3:$A$500,$B29,'DADOS BRUTOS'!BZ$3:BZ$500)+IF($C29="",0,SUMIF('DADOS BRUTOS'!$A$3:$A$500,$C29,'DADOS BRUTOS'!BZ$3:BZ$500)))</f>
        <v/>
      </c>
      <c r="FA29" s="123">
        <f>IF(OR(FA$4="",$B29=""),0,SUMIF('DADOS BRUTOS'!$A$3:$A$500,$B29,'DADOS BRUTOS'!CA$3:CA$500)+IF($C29="",0,SUMIF('DADOS BRUTOS'!$A$3:$A$500,$C29,'DADOS BRUTOS'!CA$3:CA$500)))</f>
        <v/>
      </c>
      <c r="FB29" s="123">
        <f>IF(OR(FB$4="",$B29=""),0,SUMIF('DADOS BRUTOS'!$A$3:$A$500,$B29,'DADOS BRUTOS'!CB$3:CB$500)+IF($C29="",0,SUMIF('DADOS BRUTOS'!$A$3:$A$500,$C29,'DADOS BRUTOS'!CB$3:CB$500)))</f>
        <v/>
      </c>
      <c r="FC29" s="123">
        <f>IF(OR(FC$4="",$B29=""),0,SUMIF('DADOS BRUTOS'!$A$3:$A$500,$B29,'DADOS BRUTOS'!CC$3:CC$500)+IF($C29="",0,SUMIF('DADOS BRUTOS'!$A$3:$A$500,$C29,'DADOS BRUTOS'!CC$3:CC$500)))</f>
        <v/>
      </c>
      <c r="FD29" s="123">
        <f>IF(OR(FD$4="",$B29=""),0,SUMIF('DADOS BRUTOS'!$A$3:$A$500,$B29,'DADOS BRUTOS'!CD$3:CD$500)+IF($C29="",0,SUMIF('DADOS BRUTOS'!$A$3:$A$500,$C29,'DADOS BRUTOS'!CD$3:CD$500)))</f>
        <v/>
      </c>
      <c r="FE29" s="123">
        <f>IF(OR(FE$4="",$B29=""),0,SUMIF('DADOS BRUTOS'!$A$3:$A$500,$B29,'DADOS BRUTOS'!CE$3:CE$500)+IF($C29="",0,SUMIF('DADOS BRUTOS'!$A$3:$A$500,$C29,'DADOS BRUTOS'!CE$3:CE$500)))</f>
        <v/>
      </c>
      <c r="FF29" s="123">
        <f>IF(OR(FF$4="",$B29=""),0,SUMIF('DADOS BRUTOS'!$A$3:$A$500,$B29,'DADOS BRUTOS'!CF$3:CF$500)+IF($C29="",0,SUMIF('DADOS BRUTOS'!$A$3:$A$500,$C29,'DADOS BRUTOS'!CF$3:CF$500)))</f>
        <v/>
      </c>
      <c r="FG29" s="123">
        <f>IF(OR(FG$4="",$B29=""),0,SUMIF('DADOS BRUTOS'!$A$3:$A$500,$B29,'DADOS BRUTOS'!CG$3:CG$500)+IF($C29="",0,SUMIF('DADOS BRUTOS'!$A$3:$A$500,$C29,'DADOS BRUTOS'!CG$3:CG$500)))</f>
        <v/>
      </c>
      <c r="FH29" s="123">
        <f>IF(OR(FH$4="",$B29=""),0,SUMIF('DADOS BRUTOS'!$A$3:$A$500,$B29,'DADOS BRUTOS'!CH$3:CH$500)+IF($C29="",0,SUMIF('DADOS BRUTOS'!$A$3:$A$500,$C29,'DADOS BRUTOS'!CH$3:CH$500)))</f>
        <v/>
      </c>
      <c r="FI29" s="123">
        <f>IF(OR(FI$4="",$B29=""),0,SUMIF('DADOS BRUTOS'!$A$3:$A$500,$B29,'DADOS BRUTOS'!CI$3:CI$500)+IF($C29="",0,SUMIF('DADOS BRUTOS'!$A$3:$A$500,$C29,'DADOS BRUTOS'!CI$3:CI$500)))</f>
        <v/>
      </c>
      <c r="FJ29" s="123">
        <f>IF(OR(FJ$4="",$B29=""),0,SUMIF('DADOS BRUTOS'!$A$3:$A$500,$B29,'DADOS BRUTOS'!CJ$3:CJ$500)+IF($C29="",0,SUMIF('DADOS BRUTOS'!$A$3:$A$500,$C29,'DADOS BRUTOS'!CJ$3:CJ$500)))</f>
        <v/>
      </c>
      <c r="FK29" s="123">
        <f>IF(OR(FK$4="",$B29=""),0,SUMIF('DADOS BRUTOS'!$A$3:$A$500,$B29,'DADOS BRUTOS'!CK$3:CK$500)+IF($C29="",0,SUMIF('DADOS BRUTOS'!$A$3:$A$500,$C29,'DADOS BRUTOS'!CK$3:CK$500)))</f>
        <v/>
      </c>
      <c r="FL29" s="123">
        <f>IF(OR(FL$4="",$B29=""),0,SUMIF('DADOS BRUTOS'!$A$3:$A$500,$B29,'DADOS BRUTOS'!CL$3:CL$500)+IF($C29="",0,SUMIF('DADOS BRUTOS'!$A$3:$A$500,$C29,'DADOS BRUTOS'!CL$3:CL$500)))</f>
        <v/>
      </c>
      <c r="FM29" s="123">
        <f>IF(OR(FM$4="",$B29=""),0,SUMIF('DADOS BRUTOS'!$A$3:$A$500,$B29,'DADOS BRUTOS'!CM$3:CM$500)+IF($C29="",0,SUMIF('DADOS BRUTOS'!$A$3:$A$500,$C29,'DADOS BRUTOS'!CM$3:CM$500)))</f>
        <v/>
      </c>
      <c r="FN29" s="123">
        <f>IF(OR(FN$4="",$B29=""),0,SUMIF('DADOS BRUTOS'!$A$3:$A$500,$B29,'DADOS BRUTOS'!CN$3:CN$500)+IF($C29="",0,SUMIF('DADOS BRUTOS'!$A$3:$A$500,$C29,'DADOS BRUTOS'!CN$3:CN$500)))</f>
        <v/>
      </c>
      <c r="FO29" s="123">
        <f>IF(OR(FO$4="",$B29=""),0,SUMIF('DADOS BRUTOS'!$A$3:$A$500,$B29,'DADOS BRUTOS'!CO$3:CO$500)+IF($C29="",0,SUMIF('DADOS BRUTOS'!$A$3:$A$500,$C29,'DADOS BRUTOS'!CO$3:CO$500)))</f>
        <v/>
      </c>
      <c r="FP29" s="123">
        <f>IF(OR(FP$4="",$B29=""),0,SUMIF('DADOS BRUTOS'!$A$3:$A$500,$B29,'DADOS BRUTOS'!CP$3:CP$500)+IF($C29="",0,SUMIF('DADOS BRUTOS'!$A$3:$A$500,$C29,'DADOS BRUTOS'!CP$3:CP$500)))</f>
        <v/>
      </c>
      <c r="FQ29" s="123">
        <f>IF(OR(FQ$4="",$B29=""),0,SUMIF('DADOS BRUTOS'!$A$3:$A$500,$B29,'DADOS BRUTOS'!CQ$3:CQ$500)+IF($C29="",0,SUMIF('DADOS BRUTOS'!$A$3:$A$500,$C29,'DADOS BRUTOS'!CQ$3:CQ$500)))</f>
        <v/>
      </c>
      <c r="FR29" s="123">
        <f>IF(OR(FR$4="",$B29=""),0,SUMIF('DADOS BRUTOS'!$A$3:$A$500,$B29,'DADOS BRUTOS'!CR$3:CR$500)+IF($C29="",0,SUMIF('DADOS BRUTOS'!$A$3:$A$500,$C29,'DADOS BRUTOS'!CR$3:CR$500)))</f>
        <v/>
      </c>
      <c r="FS29" s="123">
        <f>IF(OR(FS$4="",$B29=""),0,SUMIF('DADOS BRUTOS'!$A$3:$A$500,$B29,'DADOS BRUTOS'!CS$3:CS$500)+IF($C29="",0,SUMIF('DADOS BRUTOS'!$A$3:$A$500,$C29,'DADOS BRUTOS'!CS$3:CS$500)))</f>
        <v/>
      </c>
      <c r="FT29" s="123">
        <f>IF(OR(FT$4="",$B29=""),0,SUMIF('DADOS BRUTOS'!$A$3:$A$500,$B29,'DADOS BRUTOS'!CT$3:CT$500)+IF($C29="",0,SUMIF('DADOS BRUTOS'!$A$3:$A$500,$C29,'DADOS BRUTOS'!CT$3:CT$500)))</f>
        <v/>
      </c>
      <c r="FU29" s="123">
        <f>IF(OR(FU$4="",$B29=""),0,SUMIF('DADOS BRUTOS'!$A$3:$A$500,$B29,'DADOS BRUTOS'!CU$3:CU$500)+IF($C29="",0,SUMIF('DADOS BRUTOS'!$A$3:$A$500,$C29,'DADOS BRUTOS'!CU$3:CU$500)))</f>
        <v/>
      </c>
      <c r="FV29" s="123">
        <f>IF(OR(FV$4="",$B29=""),0,SUMIF('DADOS BRUTOS'!$A$3:$A$500,$B29,'DADOS BRUTOS'!CV$3:CV$500)+IF($C29="",0,SUMIF('DADOS BRUTOS'!$A$3:$A$500,$C29,'DADOS BRUTOS'!CV$3:CV$500)))</f>
        <v/>
      </c>
      <c r="FW29" s="123">
        <f>IF(OR(FW$4="",$B29=""),0,SUMIF('DADOS BRUTOS'!$A$3:$A$500,$B29,'DADOS BRUTOS'!CW$3:CW$500)+IF($C29="",0,SUMIF('DADOS BRUTOS'!$A$3:$A$500,$C29,'DADOS BRUTOS'!CW$3:CW$500)))</f>
        <v/>
      </c>
      <c r="FX29" s="123">
        <f>IF(OR(FX$4="",$B29=""),0,SUMIF('DADOS BRUTOS'!$A$3:$A$500,$B29,'DADOS BRUTOS'!CX$3:CX$500)+IF($C29="",0,SUMIF('DADOS BRUTOS'!$A$3:$A$500,$C29,'DADOS BRUTOS'!CX$3:CX$500)))</f>
        <v/>
      </c>
      <c r="FY29" s="123">
        <f>IF(OR(FY$4="",$B29=""),0,SUMIF('DADOS BRUTOS'!$A$3:$A$500,$B29,'DADOS BRUTOS'!CY$3:CY$500)+IF($C29="",0,SUMIF('DADOS BRUTOS'!$A$3:$A$500,$C29,'DADOS BRUTOS'!CY$3:CY$500)))</f>
        <v/>
      </c>
      <c r="FZ29" s="123">
        <f>IF(OR(FZ$4="",$B29=""),0,SUMIF('DADOS BRUTOS'!$A$3:$A$500,$B29,'DADOS BRUTOS'!CZ$3:CZ$500)+IF($C29="",0,SUMIF('DADOS BRUTOS'!$A$3:$A$500,$C29,'DADOS BRUTOS'!CZ$3:CZ$500)))</f>
        <v/>
      </c>
      <c r="GA29" s="123">
        <f>IF(OR(GA$4="",$B29=""),0,SUMIF('DADOS BRUTOS'!$A$3:$A$500,$B29,'DADOS BRUTOS'!DA$3:DA$500)+IF($C29="",0,SUMIF('DADOS BRUTOS'!$A$3:$A$500,$C29,'DADOS BRUTOS'!DA$3:DA$500)))</f>
        <v/>
      </c>
      <c r="GB29" s="123">
        <f>IF(OR(GB$4="",$B29=""),0,SUMIF('DADOS BRUTOS'!$A$3:$A$500,$B29,'DADOS BRUTOS'!DB$3:DB$500)+IF($C29="",0,SUMIF('DADOS BRUTOS'!$A$3:$A$500,$C29,'DADOS BRUTOS'!DB$3:DB$500)))</f>
        <v/>
      </c>
      <c r="GC29" s="123">
        <f>IF(OR(GC$4="",$B29=""),0,SUMIF('DADOS BRUTOS'!$A$3:$A$500,$B29,'DADOS BRUTOS'!DC$3:DC$500)+IF($C29="",0,SUMIF('DADOS BRUTOS'!$A$3:$A$500,$C29,'DADOS BRUTOS'!DC$3:DC$500)))</f>
        <v/>
      </c>
      <c r="GD29" s="123">
        <f>IF(OR(GD$4="",$B29=""),0,SUMIF('DADOS BRUTOS'!$A$3:$A$500,$B29,'DADOS BRUTOS'!DD$3:DD$500)+IF($C29="",0,SUMIF('DADOS BRUTOS'!$A$3:$A$500,$C29,'DADOS BRUTOS'!DD$3:DD$500)))</f>
        <v/>
      </c>
      <c r="GE29" s="123">
        <f>IF(OR(GE$4="",$B29=""),0,SUMIF('DADOS BRUTOS'!$A$3:$A$500,$B29,'DADOS BRUTOS'!DE$3:DE$500)+IF($C29="",0,SUMIF('DADOS BRUTOS'!$A$3:$A$500,$C29,'DADOS BRUTOS'!DE$3:DE$500)))</f>
        <v/>
      </c>
      <c r="GF29" s="123">
        <f>IF(OR(GF$4="",$B29=""),0,SUMIF('DADOS BRUTOS'!$A$3:$A$500,$B29,'DADOS BRUTOS'!DF$3:DF$500)+IF($C29="",0,SUMIF('DADOS BRUTOS'!$A$3:$A$500,$C29,'DADOS BRUTOS'!DF$3:DF$500)))</f>
        <v/>
      </c>
      <c r="GG29" s="123">
        <f>IF(OR(GG$4="",$B29=""),0,SUMIF('DADOS BRUTOS'!$A$3:$A$500,$B29,'DADOS BRUTOS'!DG$3:DG$500)+IF($C29="",0,SUMIF('DADOS BRUTOS'!$A$3:$A$500,$C29,'DADOS BRUTOS'!DG$3:DG$500)))</f>
        <v/>
      </c>
      <c r="GH29" s="123">
        <f>IF(OR(GH$4="",$B29=""),0,SUMIF('DADOS BRUTOS'!$A$3:$A$500,$B29,'DADOS BRUTOS'!DH$3:DH$500)+IF($C29="",0,SUMIF('DADOS BRUTOS'!$A$3:$A$500,$C29,'DADOS BRUTOS'!DH$3:DH$500)))</f>
        <v/>
      </c>
      <c r="GI29" s="123">
        <f>IF(OR(GI$4="",$B29=""),0,SUMIF('DADOS BRUTOS'!$A$3:$A$500,$B29,'DADOS BRUTOS'!DI$3:DI$500)+IF($C29="",0,SUMIF('DADOS BRUTOS'!$A$3:$A$500,$C29,'DADOS BRUTOS'!DI$3:DI$500)))</f>
        <v/>
      </c>
      <c r="GJ29" s="123">
        <f>IF(OR(GJ$4="",$B29=""),0,SUMIF('DADOS BRUTOS'!$A$3:$A$500,$B29,'DADOS BRUTOS'!DJ$3:DJ$500)+IF($C29="",0,SUMIF('DADOS BRUTOS'!$A$3:$A$500,$C29,'DADOS BRUTOS'!DJ$3:DJ$500)))</f>
        <v/>
      </c>
      <c r="GK29" s="123">
        <f>IF(OR(GK$4="",$B29=""),0,SUMIF('DADOS BRUTOS'!$A$3:$A$500,$B29,'DADOS BRUTOS'!DK$3:DK$500)+IF($C29="",0,SUMIF('DADOS BRUTOS'!$A$3:$A$500,$C29,'DADOS BRUTOS'!DK$3:DK$500)))</f>
        <v/>
      </c>
      <c r="GL29" s="123">
        <f>IF(OR(GL$4="",$B29=""),0,SUMIF('DADOS BRUTOS'!$A$3:$A$500,$B29,'DADOS BRUTOS'!DL$3:DL$500)+IF($C29="",0,SUMIF('DADOS BRUTOS'!$A$3:$A$500,$C29,'DADOS BRUTOS'!DL$3:DL$500)))</f>
        <v/>
      </c>
      <c r="GM29" s="123">
        <f>IF(OR(GM$4="",$B29=""),0,SUMIF('DADOS BRUTOS'!$A$3:$A$500,$B29,'DADOS BRUTOS'!DM$3:DM$500)+IF($C29="",0,SUMIF('DADOS BRUTOS'!$A$3:$A$500,$C29,'DADOS BRUTOS'!DM$3:DM$500)))</f>
        <v/>
      </c>
      <c r="GN29" s="123">
        <f>IF(OR(GN$4="",$B29=""),0,SUMIF('DADOS BRUTOS'!$A$3:$A$500,$B29,'DADOS BRUTOS'!DN$3:DN$500)+IF($C29="",0,SUMIF('DADOS BRUTOS'!$A$3:$A$500,$C29,'DADOS BRUTOS'!DN$3:DN$500)))</f>
        <v/>
      </c>
      <c r="GO29" s="123">
        <f>IF(OR(GO$4="",$B29=""),0,SUMIF('DADOS BRUTOS'!$A$3:$A$500,$B29,'DADOS BRUTOS'!DO$3:DO$500)+IF($C29="",0,SUMIF('DADOS BRUTOS'!$A$3:$A$500,$C29,'DADOS BRUTOS'!DO$3:DO$500)))</f>
        <v/>
      </c>
      <c r="GP29" s="123">
        <f>IF(OR(GP$4="",$B29=""),0,SUMIF('DADOS BRUTOS'!$A$3:$A$500,$B29,'DADOS BRUTOS'!DP$3:DP$500)+IF($C29="",0,SUMIF('DADOS BRUTOS'!$A$3:$A$500,$C29,'DADOS BRUTOS'!DP$3:DP$500)))</f>
        <v/>
      </c>
      <c r="GQ29" s="123">
        <f>IF(OR(GQ$4="",$B29=""),0,SUMIF('DADOS BRUTOS'!$A$3:$A$500,$B29,'DADOS BRUTOS'!DQ$3:DQ$500)+IF($C29="",0,SUMIF('DADOS BRUTOS'!$A$3:$A$500,$C29,'DADOS BRUTOS'!DQ$3:DQ$500)))</f>
        <v/>
      </c>
      <c r="GR29" s="123">
        <f>IF(OR(GR$4="",$B29=""),0,SUMIF('DADOS BRUTOS'!$A$3:$A$500,$B29,'DADOS BRUTOS'!DR$3:DR$500)+IF($C29="",0,SUMIF('DADOS BRUTOS'!$A$3:$A$500,$C29,'DADOS BRUTOS'!DR$3:DR$500)))</f>
        <v/>
      </c>
      <c r="GS29" s="123">
        <f>IF(OR(GS$4="",$B29=""),0,SUMIF('DADOS BRUTOS'!$A$3:$A$500,$B29,'DADOS BRUTOS'!DS$3:DS$500)+IF($C29="",0,SUMIF('DADOS BRUTOS'!$A$3:$A$500,$C29,'DADOS BRUTOS'!DS$3:DS$500)))</f>
        <v/>
      </c>
      <c r="GT29" s="123">
        <f>IF(OR(GT$4="",$B29=""),0,SUMIF('DADOS BRUTOS'!$A$3:$A$500,$B29,'DADOS BRUTOS'!DT$3:DT$500)+IF($C29="",0,SUMIF('DADOS BRUTOS'!$A$3:$A$500,$C29,'DADOS BRUTOS'!DT$3:DT$500)))</f>
        <v/>
      </c>
      <c r="GU29" s="123">
        <f>IF(OR(GU$4="",$B29=""),0,SUMIF('DADOS BRUTOS'!$A$3:$A$500,$B29,'DADOS BRUTOS'!DU$3:DU$500)+IF($C29="",0,SUMIF('DADOS BRUTOS'!$A$3:$A$500,$C29,'DADOS BRUTOS'!DU$3:DU$500)))</f>
        <v/>
      </c>
      <c r="GV29" s="123">
        <f>IF(OR(GV$4="",$B29=""),0,SUMIF('DADOS BRUTOS'!$A$3:$A$500,$B29,'DADOS BRUTOS'!DV$3:DV$500)+IF($C29="",0,SUMIF('DADOS BRUTOS'!$A$3:$A$500,$C29,'DADOS BRUTOS'!DV$3:DV$500)))</f>
        <v/>
      </c>
      <c r="GW29" s="123">
        <f>IF(OR(GW$4="",$B29=""),0,SUMIF('DADOS BRUTOS'!$A$3:$A$500,$B29,'DADOS BRUTOS'!DW$3:DW$500)+IF($C29="",0,SUMIF('DADOS BRUTOS'!$A$3:$A$500,$C29,'DADOS BRUTOS'!DW$3:DW$500)))</f>
        <v/>
      </c>
      <c r="GX29" s="123">
        <f>IF(OR(GX$4="",$B29=""),0,SUMIF('DADOS BRUTOS'!$A$3:$A$500,$B29,'DADOS BRUTOS'!DX$3:DX$500)+IF($C29="",0,SUMIF('DADOS BRUTOS'!$A$3:$A$500,$C29,'DADOS BRUTOS'!DX$3:DX$500)))</f>
        <v/>
      </c>
      <c r="GY29" s="123">
        <f>IF(OR(GY$4="",$B29=""),0,SUMIF('DADOS BRUTOS'!$A$3:$A$500,$B29,'DADOS BRUTOS'!DY$3:DY$500)+IF($C29="",0,SUMIF('DADOS BRUTOS'!$A$3:$A$500,$C29,'DADOS BRUTOS'!DY$3:DY$500)))</f>
        <v/>
      </c>
      <c r="GZ29" s="123">
        <f>IF(OR(GZ$4="",$B29=""),0,SUMIF('DADOS BRUTOS'!$A$3:$A$500,$B29,'DADOS BRUTOS'!DZ$3:DZ$500)+IF($C29="",0,SUMIF('DADOS BRUTOS'!$A$3:$A$500,$C29,'DADOS BRUTOS'!DZ$3:DZ$500)))</f>
        <v/>
      </c>
      <c r="HA29" s="123">
        <f>IF(OR(HA$4="",$B29=""),0,SUMIF('DADOS BRUTOS'!$A$3:$A$500,$B29,'DADOS BRUTOS'!EA$3:EA$500)+IF($C29="",0,SUMIF('DADOS BRUTOS'!$A$3:$A$500,$C29,'DADOS BRUTOS'!EA$3:EA$500)))</f>
        <v/>
      </c>
      <c r="HB29" s="123">
        <f>IF(OR(HB$4="",$B29=""),0,SUMIF('DADOS BRUTOS'!$A$3:$A$500,$B29,'DADOS BRUTOS'!EB$3:EB$500)+IF($C29="",0,SUMIF('DADOS BRUTOS'!$A$3:$A$500,$C29,'DADOS BRUTOS'!EB$3:EB$500)))</f>
        <v/>
      </c>
      <c r="HC29" s="123">
        <f>IF(OR(HC$4="",$B29=""),0,SUMIF('DADOS BRUTOS'!$A$3:$A$500,$B29,'DADOS BRUTOS'!EC$3:EC$500)+IF($C29="",0,SUMIF('DADOS BRUTOS'!$A$3:$A$500,$C29,'DADOS BRUTOS'!EC$3:EC$500)))</f>
        <v/>
      </c>
      <c r="HD29" s="123">
        <f>IF(OR(HD$4="",$B29=""),0,SUMIF('DADOS BRUTOS'!$A$3:$A$500,$B29,'DADOS BRUTOS'!ED$3:ED$500)+IF($C29="",0,SUMIF('DADOS BRUTOS'!$A$3:$A$500,$C29,'DADOS BRUTOS'!ED$3:ED$500)))</f>
        <v/>
      </c>
      <c r="HE29" s="123">
        <f>IF(OR(HE$4="",$B29=""),0,SUMIF('DADOS BRUTOS'!$A$3:$A$500,$B29,'DADOS BRUTOS'!EE$3:EE$500)+IF($C29="",0,SUMIF('DADOS BRUTOS'!$A$3:$A$500,$C29,'DADOS BRUTOS'!EE$3:EE$500)))</f>
        <v/>
      </c>
      <c r="HF29" s="123">
        <f>IF(OR(HF$4="",$B29=""),0,SUMIF('DADOS BRUTOS'!$A$3:$A$500,$B29,'DADOS BRUTOS'!EF$3:EF$500)+IF($C29="",0,SUMIF('DADOS BRUTOS'!$A$3:$A$500,$C29,'DADOS BRUTOS'!EF$3:EF$500)))</f>
        <v/>
      </c>
      <c r="HG29" s="123">
        <f>IF(OR(HG$4="",$B29=""),0,SUMIF('DADOS BRUTOS'!$A$3:$A$500,$B29,'DADOS BRUTOS'!EG$3:EG$500)+IF($C29="",0,SUMIF('DADOS BRUTOS'!$A$3:$A$500,$C29,'DADOS BRUTOS'!EG$3:EG$500)))</f>
        <v/>
      </c>
      <c r="HH29" s="123">
        <f>IF(OR(HH$4="",$B29=""),0,SUMIF('DADOS BRUTOS'!$A$3:$A$500,$B29,'DADOS BRUTOS'!EH$3:EH$500)+IF($C29="",0,SUMIF('DADOS BRUTOS'!$A$3:$A$500,$C29,'DADOS BRUTOS'!EH$3:EH$500)))</f>
        <v/>
      </c>
      <c r="HI29" s="123">
        <f>IF(OR(HI$4="",$B29=""),0,SUMIF('DADOS BRUTOS'!$A$3:$A$500,$B29,'DADOS BRUTOS'!EI$3:EI$500)+IF($C29="",0,SUMIF('DADOS BRUTOS'!$A$3:$A$500,$C29,'DADOS BRUTOS'!EI$3:EI$500)))</f>
        <v/>
      </c>
      <c r="HJ29" s="123">
        <f>IF(OR(HJ$4="",$B29=""),0,SUMIF('DADOS BRUTOS'!$A$3:$A$500,$B29,'DADOS BRUTOS'!EJ$3:EJ$500)+IF($C29="",0,SUMIF('DADOS BRUTOS'!$A$3:$A$500,$C29,'DADOS BRUTOS'!EJ$3:EJ$500)))</f>
        <v/>
      </c>
      <c r="HK29" s="123">
        <f>IF(OR(HK$4="",$B29=""),0,SUMIF('DADOS BRUTOS'!$A$3:$A$500,$B29,'DADOS BRUTOS'!EK$3:EK$500)+IF($C29="",0,SUMIF('DADOS BRUTOS'!$A$3:$A$500,$C29,'DADOS BRUTOS'!EK$3:EK$500)))</f>
        <v/>
      </c>
      <c r="HL29" s="123">
        <f>IF(OR(HL$4="",$B29=""),0,SUMIF('DADOS BRUTOS'!$A$3:$A$500,$B29,'DADOS BRUTOS'!EL$3:EL$500)+IF($C29="",0,SUMIF('DADOS BRUTOS'!$A$3:$A$500,$C29,'DADOS BRUTOS'!EL$3:EL$500)))</f>
        <v/>
      </c>
      <c r="HM29" s="123">
        <f>IF(OR(HM$4="",$B29=""),0,SUMIF('DADOS BRUTOS'!$A$3:$A$500,$B29,'DADOS BRUTOS'!EM$3:EM$500)+IF($C29="",0,SUMIF('DADOS BRUTOS'!$A$3:$A$500,$C29,'DADOS BRUTOS'!EM$3:EM$500)))</f>
        <v/>
      </c>
      <c r="HN29" s="123">
        <f>IF(OR(HN$4="",$B29=""),0,SUMIF('DADOS BRUTOS'!$A$3:$A$500,$B29,'DADOS BRUTOS'!EN$3:EN$500)+IF($C29="",0,SUMIF('DADOS BRUTOS'!$A$3:$A$500,$C29,'DADOS BRUTOS'!EN$3:EN$500)))</f>
        <v/>
      </c>
      <c r="HO29" s="123">
        <f>IF(OR(HO$4="",$B29=""),0,SUMIF('DADOS BRUTOS'!$A$3:$A$500,$B29,'DADOS BRUTOS'!EO$3:EO$500)+IF($C29="",0,SUMIF('DADOS BRUTOS'!$A$3:$A$500,$C29,'DADOS BRUTOS'!EO$3:EO$500)))</f>
        <v/>
      </c>
      <c r="HP29" s="123">
        <f>IF(OR(HP$4="",$B29=""),0,SUMIF('DADOS BRUTOS'!$A$3:$A$500,$B29,'DADOS BRUTOS'!EP$3:EP$500)+IF($C29="",0,SUMIF('DADOS BRUTOS'!$A$3:$A$500,$C29,'DADOS BRUTOS'!EP$3:EP$500)))</f>
        <v/>
      </c>
      <c r="HQ29" s="123">
        <f>IF(OR(HQ$4="",$B29=""),0,SUMIF('DADOS BRUTOS'!$A$3:$A$500,$B29,'DADOS BRUTOS'!EQ$3:EQ$500)+IF($C29="",0,SUMIF('DADOS BRUTOS'!$A$3:$A$500,$C29,'DADOS BRUTOS'!EQ$3:EQ$500)))</f>
        <v/>
      </c>
      <c r="HR29" s="123">
        <f>IF(OR(HR$4="",$B29=""),0,SUMIF('DADOS BRUTOS'!$A$3:$A$500,$B29,'DADOS BRUTOS'!ER$3:ER$500)+IF($C29="",0,SUMIF('DADOS BRUTOS'!$A$3:$A$500,$C29,'DADOS BRUTOS'!ER$3:ER$500)))</f>
        <v/>
      </c>
      <c r="HS29" s="123">
        <f>IF(OR(HS$4="",$B29=""),0,SUMIF('DADOS BRUTOS'!$A$3:$A$500,$B29,'DADOS BRUTOS'!ES$3:ES$500)+IF($C29="",0,SUMIF('DADOS BRUTOS'!$A$3:$A$500,$C29,'DADOS BRUTOS'!ES$3:ES$500)))</f>
        <v/>
      </c>
      <c r="HT29" s="123">
        <f>IF(OR(HT$4="",$B29=""),0,SUMIF('DADOS BRUTOS'!$A$3:$A$500,$B29,'DADOS BRUTOS'!ET$3:ET$500)+IF($C29="",0,SUMIF('DADOS BRUTOS'!$A$3:$A$500,$C29,'DADOS BRUTOS'!ET$3:ET$500)))</f>
        <v/>
      </c>
      <c r="HU29" s="123">
        <f>IF(OR(HU$4="",$B29=""),0,SUMIF('DADOS BRUTOS'!$A$3:$A$500,$B29,'DADOS BRUTOS'!EU$3:EU$500)+IF($C29="",0,SUMIF('DADOS BRUTOS'!$A$3:$A$500,$C29,'DADOS BRUTOS'!EU$3:EU$500)))</f>
        <v/>
      </c>
      <c r="HV29" s="123">
        <f>IF(OR(HV$4="",$B29=""),0,SUMIF('DADOS BRUTOS'!$A$3:$A$500,$B29,'DADOS BRUTOS'!EV$3:EV$500)+IF($C29="",0,SUMIF('DADOS BRUTOS'!$A$3:$A$500,$C29,'DADOS BRUTOS'!EV$3:EV$500)))</f>
        <v/>
      </c>
      <c r="HW29" s="123">
        <f>IF(OR(HW$4="",$B29=""),0,SUMIF('DADOS BRUTOS'!$A$3:$A$500,$B29,'DADOS BRUTOS'!EW$3:EW$500)+IF($C29="",0,SUMIF('DADOS BRUTOS'!$A$3:$A$500,$C29,'DADOS BRUTOS'!EW$3:EW$500)))</f>
        <v/>
      </c>
      <c r="HX29" s="123">
        <f>IF(OR(HX$4="",$B29=""),0,SUMIF('DADOS BRUTOS'!$A$3:$A$500,$B29,'DADOS BRUTOS'!EX$3:EX$500)+IF($C29="",0,SUMIF('DADOS BRUTOS'!$A$3:$A$500,$C29,'DADOS BRUTOS'!EX$3:EX$500)))</f>
        <v/>
      </c>
      <c r="HY29" s="123">
        <f>IF(OR(HY$4="",$B29=""),0,SUMIF('DADOS BRUTOS'!$A$3:$A$500,$B29,'DADOS BRUTOS'!EY$3:EY$500)+IF($C29="",0,SUMIF('DADOS BRUTOS'!$A$3:$A$500,$C29,'DADOS BRUTOS'!EY$3:EY$500)))</f>
        <v/>
      </c>
      <c r="HZ29" s="123">
        <f>IF(OR(HZ$4="",$B29=""),0,SUMIF('DADOS BRUTOS'!$A$3:$A$500,$B29,'DADOS BRUTOS'!EZ$3:EZ$500)+IF($C29="",0,SUMIF('DADOS BRUTOS'!$A$3:$A$500,$C29,'DADOS BRUTOS'!EZ$3:EZ$500)))</f>
        <v/>
      </c>
      <c r="IA29" s="123">
        <f>IF(OR(IA$4="",$B29=""),0,SUMIF('DADOS BRUTOS'!$A$3:$A$500,$B29,'DADOS BRUTOS'!FA$3:FA$500)+IF($C29="",0,SUMIF('DADOS BRUTOS'!$A$3:$A$500,$C29,'DADOS BRUTOS'!FA$3:FA$500)))</f>
        <v/>
      </c>
      <c r="IB29" s="123">
        <f>IF(OR(IB$4="",$B29=""),0,SUMIF('DADOS BRUTOS'!$A$3:$A$500,$B29,'DADOS BRUTOS'!FB$3:FB$500)+IF($C29="",0,SUMIF('DADOS BRUTOS'!$A$3:$A$500,$C29,'DADOS BRUTOS'!FB$3:FB$500)))</f>
        <v/>
      </c>
      <c r="IC29" s="123">
        <f>IF(OR(IC$4="",$B29=""),0,SUMIF('DADOS BRUTOS'!$A$3:$A$500,$B29,'DADOS BRUTOS'!FC$3:FC$500)+IF($C29="",0,SUMIF('DADOS BRUTOS'!$A$3:$A$500,$C29,'DADOS BRUTOS'!FC$3:FC$500)))</f>
        <v/>
      </c>
      <c r="ID29" s="123">
        <f>IF(OR(ID$4="",$B29=""),0,SUMIF('DADOS BRUTOS'!$A$3:$A$500,$B29,'DADOS BRUTOS'!FD$3:FD$500)+IF($C29="",0,SUMIF('DADOS BRUTOS'!$A$3:$A$500,$C29,'DADOS BRUTOS'!FD$3:FD$500)))</f>
        <v/>
      </c>
      <c r="IE29" s="123">
        <f>IF(OR(IE$4="",$B29=""),0,SUMIF('DADOS BRUTOS'!$A$3:$A$500,$B29,'DADOS BRUTOS'!FE$3:FE$500)+IF($C29="",0,SUMIF('DADOS BRUTOS'!$A$3:$A$500,$C29,'DADOS BRUTOS'!FE$3:FE$500)))</f>
        <v/>
      </c>
      <c r="IF29" s="123">
        <f>IF(OR(IF$4="",$B29=""),0,SUMIF('DADOS BRUTOS'!$A$3:$A$500,$B29,'DADOS BRUTOS'!FF$3:FF$500)+IF($C29="",0,SUMIF('DADOS BRUTOS'!$A$3:$A$500,$C29,'DADOS BRUTOS'!FF$3:FF$500)))</f>
        <v/>
      </c>
      <c r="IG29" s="123">
        <f>IF(OR(IG$4="",$B29=""),0,SUMIF('DADOS BRUTOS'!$A$3:$A$500,$B29,'DADOS BRUTOS'!FG$3:FG$500)+IF($C29="",0,SUMIF('DADOS BRUTOS'!$A$3:$A$500,$C29,'DADOS BRUTOS'!FG$3:FG$500)))</f>
        <v/>
      </c>
      <c r="IH29" s="123">
        <f>IF(OR(IH$4="",$B29=""),0,SUMIF('DADOS BRUTOS'!$A$3:$A$500,$B29,'DADOS BRUTOS'!FH$3:FH$500)+IF($C29="",0,SUMIF('DADOS BRUTOS'!$A$3:$A$500,$C29,'DADOS BRUTOS'!FH$3:FH$500)))</f>
        <v/>
      </c>
      <c r="II29" s="123">
        <f>IF(OR(II$4="",$B29=""),0,SUMIF('DADOS BRUTOS'!$A$3:$A$500,$B29,'DADOS BRUTOS'!FI$3:FI$500)+IF($C29="",0,SUMIF('DADOS BRUTOS'!$A$3:$A$500,$C29,'DADOS BRUTOS'!FI$3:FI$500)))</f>
        <v/>
      </c>
      <c r="IJ29" s="123">
        <f>IF(OR(IJ$4="",$B29=""),0,SUMIF('DADOS BRUTOS'!$A$3:$A$500,$B29,'DADOS BRUTOS'!FJ$3:FJ$500)+IF($C29="",0,SUMIF('DADOS BRUTOS'!$A$3:$A$500,$C29,'DADOS BRUTOS'!FJ$3:FJ$500)))</f>
        <v/>
      </c>
      <c r="IK29" s="123">
        <f>IF(OR(IK$4="",$B29=""),0,SUMIF('DADOS BRUTOS'!$A$3:$A$500,$B29,'DADOS BRUTOS'!FK$3:FK$500)+IF($C29="",0,SUMIF('DADOS BRUTOS'!$A$3:$A$500,$C29,'DADOS BRUTOS'!FK$3:FK$500)))</f>
        <v/>
      </c>
      <c r="IL29" s="123">
        <f>IF(OR(IL$4="",$B29=""),0,SUMIF('DADOS BRUTOS'!$A$3:$A$500,$B29,'DADOS BRUTOS'!FL$3:FL$500)+IF($C29="",0,SUMIF('DADOS BRUTOS'!$A$3:$A$500,$C29,'DADOS BRUTOS'!FL$3:FL$500)))</f>
        <v/>
      </c>
      <c r="IM29" s="123">
        <f>IF(OR(IM$4="",$B29=""),0,SUMIF('DADOS BRUTOS'!$A$3:$A$500,$B29,'DADOS BRUTOS'!FM$3:FM$500)+IF($C29="",0,SUMIF('DADOS BRUTOS'!$A$3:$A$500,$C29,'DADOS BRUTOS'!FM$3:FM$500)))</f>
        <v/>
      </c>
      <c r="IN29" s="123">
        <f>IF(OR(IN$4="",$B29=""),0,SUMIF('DADOS BRUTOS'!$A$3:$A$500,$B29,'DADOS BRUTOS'!FN$3:FN$500)+IF($C29="",0,SUMIF('DADOS BRUTOS'!$A$3:$A$500,$C29,'DADOS BRUTOS'!FN$3:FN$500)))</f>
        <v/>
      </c>
      <c r="IO29" s="123">
        <f>IF(OR(IO$4="",$B29=""),0,SUMIF('DADOS BRUTOS'!$A$3:$A$500,$B29,'DADOS BRUTOS'!FO$3:FO$500)+IF($C29="",0,SUMIF('DADOS BRUTOS'!$A$3:$A$500,$C29,'DADOS BRUTOS'!FO$3:FO$500)))</f>
        <v/>
      </c>
      <c r="IP29" s="123">
        <f>IF(OR(IP$4="",$B29=""),0,SUMIF('DADOS BRUTOS'!$A$3:$A$500,$B29,'DADOS BRUTOS'!FP$3:FP$500)+IF($C29="",0,SUMIF('DADOS BRUTOS'!$A$3:$A$500,$C29,'DADOS BRUTOS'!FP$3:FP$500)))</f>
        <v/>
      </c>
      <c r="IQ29" s="123">
        <f>IF(OR(IQ$4="",$B29=""),0,SUMIF('DADOS BRUTOS'!$A$3:$A$500,$B29,'DADOS BRUTOS'!FQ$3:FQ$500)+IF($C29="",0,SUMIF('DADOS BRUTOS'!$A$3:$A$500,$C29,'DADOS BRUTOS'!FQ$3:FQ$500)))</f>
        <v/>
      </c>
      <c r="IR29" s="123">
        <f>IF(OR(IR$4="",$B29=""),0,SUMIF('DADOS BRUTOS'!$A$3:$A$500,$B29,'DADOS BRUTOS'!FR$3:FR$500)+IF($C29="",0,SUMIF('DADOS BRUTOS'!$A$3:$A$500,$C29,'DADOS BRUTOS'!FR$3:FR$500)))</f>
        <v/>
      </c>
      <c r="IS29" s="123">
        <f>IF(OR(IS$4="",$B29=""),0,SUMIF('DADOS BRUTOS'!$A$3:$A$500,$B29,'DADOS BRUTOS'!FS$3:FS$500)+IF($C29="",0,SUMIF('DADOS BRUTOS'!$A$3:$A$500,$C29,'DADOS BRUTOS'!FS$3:FS$500)))</f>
        <v/>
      </c>
      <c r="IT29" s="123">
        <f>IF(OR(IT$4="",$B29=""),0,SUMIF('DADOS BRUTOS'!$A$3:$A$500,$B29,'DADOS BRUTOS'!FT$3:FT$500)+IF($C29="",0,SUMIF('DADOS BRUTOS'!$A$3:$A$500,$C29,'DADOS BRUTOS'!FT$3:FT$500)))</f>
        <v/>
      </c>
      <c r="IU29" s="123">
        <f>IF(OR(IU$4="",$B29=""),0,SUMIF('DADOS BRUTOS'!$A$3:$A$500,$B29,'DADOS BRUTOS'!FU$3:FU$500)+IF($C29="",0,SUMIF('DADOS BRUTOS'!$A$3:$A$500,$C29,'DADOS BRUTOS'!FU$3:FU$500)))</f>
        <v/>
      </c>
      <c r="IV29" s="123">
        <f>IF(OR(IV$4="",$B29=""),0,SUMIF('DADOS BRUTOS'!$A$3:$A$500,$B29,'DADOS BRUTOS'!FV$3:FV$500)+IF($C29="",0,SUMIF('DADOS BRUTOS'!$A$3:$A$500,$C29,'DADOS BRUTOS'!FV$3:FV$500)))</f>
        <v/>
      </c>
      <c r="IW29" s="123">
        <f>IF(OR(IW$4="",$B29=""),0,SUMIF('DADOS BRUTOS'!$A$3:$A$500,$B29,'DADOS BRUTOS'!FW$3:FW$500)+IF($C29="",0,SUMIF('DADOS BRUTOS'!$A$3:$A$500,$C29,'DADOS BRUTOS'!FW$3:FW$500)))</f>
        <v/>
      </c>
      <c r="IX29" s="123">
        <f>IF(OR(IX$4="",$B29=""),0,SUMIF('DADOS BRUTOS'!$A$3:$A$500,$B29,'DADOS BRUTOS'!FX$3:FX$500)+IF($C29="",0,SUMIF('DADOS BRUTOS'!$A$3:$A$500,$C29,'DADOS BRUTOS'!FX$3:FX$500)))</f>
        <v/>
      </c>
      <c r="IY29" s="123">
        <f>IF(OR(IY$4="",$B29=""),0,SUMIF('DADOS BRUTOS'!$A$3:$A$500,$B29,'DADOS BRUTOS'!FY$3:FY$500)+IF($C29="",0,SUMIF('DADOS BRUTOS'!$A$3:$A$500,$C29,'DADOS BRUTOS'!FY$3:FY$500)))</f>
        <v/>
      </c>
      <c r="IZ29" s="123">
        <f>IF(OR(IZ$4="",$B29=""),0,SUMIF('DADOS BRUTOS'!$A$3:$A$500,$B29,'DADOS BRUTOS'!FZ$3:FZ$500)+IF($C29="",0,SUMIF('DADOS BRUTOS'!$A$3:$A$500,$C29,'DADOS BRUTOS'!FZ$3:FZ$500)))</f>
        <v/>
      </c>
      <c r="JA29" s="123">
        <f>IF(OR(JA$4="",$B29=""),0,SUMIF('DADOS BRUTOS'!$A$3:$A$500,$B29,'DADOS BRUTOS'!GA$3:GA$500)+IF($C29="",0,SUMIF('DADOS BRUTOS'!$A$3:$A$500,$C29,'DADOS BRUTOS'!GA$3:GA$500)))</f>
        <v/>
      </c>
      <c r="JB29" s="123">
        <f>IF(OR(JB$4="",$B29=""),0,SUMIF('DADOS BRUTOS'!$A$3:$A$500,$B29,'DADOS BRUTOS'!GB$3:GB$500)+IF($C29="",0,SUMIF('DADOS BRUTOS'!$A$3:$A$500,$C29,'DADOS BRUTOS'!GB$3:GB$500)))</f>
        <v/>
      </c>
      <c r="JC29" s="123">
        <f>IF(OR(JC$4="",$B29=""),0,SUMIF('DADOS BRUTOS'!$A$3:$A$500,$B29,'DADOS BRUTOS'!GC$3:GC$500)+IF($C29="",0,SUMIF('DADOS BRUTOS'!$A$3:$A$500,$C29,'DADOS BRUTOS'!GC$3:GC$500)))</f>
        <v/>
      </c>
      <c r="JD29" s="123">
        <f>IF(OR(JD$4="",$B29=""),0,SUMIF('DADOS BRUTOS'!$A$3:$A$500,$B29,'DADOS BRUTOS'!GD$3:GD$500)+IF($C29="",0,SUMIF('DADOS BRUTOS'!$A$3:$A$500,$C29,'DADOS BRUTOS'!GD$3:GD$500)))</f>
        <v/>
      </c>
      <c r="JE29" s="123">
        <f>IF(OR(JE$4="",$B29=""),0,SUMIF('DADOS BRUTOS'!$A$3:$A$500,$B29,'DADOS BRUTOS'!GE$3:GE$500)+IF($C29="",0,SUMIF('DADOS BRUTOS'!$A$3:$A$500,$C29,'DADOS BRUTOS'!GE$3:GE$500)))</f>
        <v/>
      </c>
      <c r="JF29" s="123">
        <f>IF(OR(JF$4="",$B29=""),0,SUMIF('DADOS BRUTOS'!$A$3:$A$500,$B29,'DADOS BRUTOS'!GF$3:GF$500)+IF($C29="",0,SUMIF('DADOS BRUTOS'!$A$3:$A$500,$C29,'DADOS BRUTOS'!GF$3:GF$500)))</f>
        <v/>
      </c>
      <c r="JG29" s="123">
        <f>IF(OR(JG$4="",$B29=""),0,SUMIF('DADOS BRUTOS'!$A$3:$A$500,$B29,'DADOS BRUTOS'!GG$3:GG$500)+IF($C29="",0,SUMIF('DADOS BRUTOS'!$A$3:$A$500,$C29,'DADOS BRUTOS'!GG$3:GG$500)))</f>
        <v/>
      </c>
      <c r="JH29" s="123">
        <f>IF(OR(JH$4="",$B29=""),0,SUMIF('DADOS BRUTOS'!$A$3:$A$500,$B29,'DADOS BRUTOS'!GH$3:GH$500)+IF($C29="",0,SUMIF('DADOS BRUTOS'!$A$3:$A$500,$C29,'DADOS BRUTOS'!GH$3:GH$500)))</f>
        <v/>
      </c>
      <c r="JI29" s="123">
        <f>IF(OR(JI$4="",$B29=""),0,SUMIF('DADOS BRUTOS'!$A$3:$A$500,$B29,'DADOS BRUTOS'!GI$3:GI$500)+IF($C29="",0,SUMIF('DADOS BRUTOS'!$A$3:$A$500,$C29,'DADOS BRUTOS'!GI$3:GI$500)))</f>
        <v/>
      </c>
      <c r="JJ29" s="123">
        <f>IF(OR(JJ$4="",$B29=""),0,SUMIF('DADOS BRUTOS'!$A$3:$A$500,$B29,'DADOS BRUTOS'!GJ$3:GJ$500)+IF($C29="",0,SUMIF('DADOS BRUTOS'!$A$3:$A$500,$C29,'DADOS BRUTOS'!GJ$3:GJ$500)))</f>
        <v/>
      </c>
      <c r="JK29" s="123">
        <f>IF(OR(JK$4="",$B29=""),0,SUMIF('DADOS BRUTOS'!$A$3:$A$500,$B29,'DADOS BRUTOS'!GK$3:GK$500)+IF($C29="",0,SUMIF('DADOS BRUTOS'!$A$3:$A$500,$C29,'DADOS BRUTOS'!GK$3:GK$500)))</f>
        <v/>
      </c>
      <c r="JL29" s="123">
        <f>IF(OR(JL$4="",$B29=""),0,SUMIF('DADOS BRUTOS'!$A$3:$A$500,$B29,'DADOS BRUTOS'!GL$3:GL$500)+IF($C29="",0,SUMIF('DADOS BRUTOS'!$A$3:$A$500,$C29,'DADOS BRUTOS'!GL$3:GL$500)))</f>
        <v/>
      </c>
      <c r="JM29" s="123">
        <f>IF(OR(JM$4="",$B29=""),0,SUMIF('DADOS BRUTOS'!$A$3:$A$500,$B29,'DADOS BRUTOS'!GM$3:GM$500)+IF($C29="",0,SUMIF('DADOS BRUTOS'!$A$3:$A$500,$C29,'DADOS BRUTOS'!GM$3:GM$500)))</f>
        <v/>
      </c>
      <c r="JN29" s="123">
        <f>IF(OR(JN$4="",$B29=""),0,SUMIF('DADOS BRUTOS'!$A$3:$A$500,$B29,'DADOS BRUTOS'!GN$3:GN$500)+IF($C29="",0,SUMIF('DADOS BRUTOS'!$A$3:$A$500,$C29,'DADOS BRUTOS'!GN$3:GN$500)))</f>
        <v/>
      </c>
      <c r="JO29" s="123">
        <f>IF(OR(JO$4="",$B29=""),0,SUMIF('DADOS BRUTOS'!$A$3:$A$500,$B29,'DADOS BRUTOS'!GO$3:GO$500)+IF($C29="",0,SUMIF('DADOS BRUTOS'!$A$3:$A$500,$C29,'DADOS BRUTOS'!GO$3:GO$500)))</f>
        <v/>
      </c>
      <c r="JP29" s="123">
        <f>IF(OR(JP$4="",$B29=""),0,SUMIF('DADOS BRUTOS'!$A$3:$A$500,$B29,'DADOS BRUTOS'!GP$3:GP$500)+IF($C29="",0,SUMIF('DADOS BRUTOS'!$A$3:$A$500,$C29,'DADOS BRUTOS'!GP$3:GP$500)))</f>
        <v/>
      </c>
      <c r="JQ29" s="123">
        <f>IF(OR(JQ$4="",$B29=""),0,SUMIF('DADOS BRUTOS'!$A$3:$A$500,$B29,'DADOS BRUTOS'!GQ$3:GQ$500)+IF($C29="",0,SUMIF('DADOS BRUTOS'!$A$3:$A$500,$C29,'DADOS BRUTOS'!GQ$3:GQ$500)))</f>
        <v/>
      </c>
      <c r="JR29" s="123">
        <f>IF(OR(JR$4="",$B29=""),0,SUMIF('DADOS BRUTOS'!$A$3:$A$500,$B29,'DADOS BRUTOS'!GR$3:GR$500)+IF($C29="",0,SUMIF('DADOS BRUTOS'!$A$3:$A$500,$C29,'DADOS BRUTOS'!GR$3:GR$500)))</f>
        <v/>
      </c>
      <c r="JS29" s="123">
        <f>IF(OR(JS$4="",$B29=""),0,SUMIF('DADOS BRUTOS'!$A$3:$A$500,$B29,'DADOS BRUTOS'!GS$3:GS$500)+IF($C29="",0,SUMIF('DADOS BRUTOS'!$A$3:$A$500,$C29,'DADOS BRUTOS'!GS$3:GS$500)))</f>
        <v/>
      </c>
    </row>
    <row r="30">
      <c r="A30" s="60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CB30" s="123">
        <f>IF(OR(CB$4="",$B30=""),0,SUMIF('DADOS BRUTOS'!$A$3:$A$500,$B30,'DADOS BRUTOS'!B$3:B$500)+IF($C30="",0,SUMIF('DADOS BRUTOS'!$A$3:$A$500,$C30,'DADOS BRUTOS'!B$3:B$500)))</f>
        <v/>
      </c>
      <c r="CC30" s="123">
        <f>IF(OR(CC$4="",$B30=""),0,SUMIF('DADOS BRUTOS'!$A$3:$A$500,$B30,'DADOS BRUTOS'!C$3:C$500)+IF($C30="",0,SUMIF('DADOS BRUTOS'!$A$3:$A$500,$C30,'DADOS BRUTOS'!C$3:C$500)))</f>
        <v/>
      </c>
      <c r="CD30" s="123">
        <f>IF(OR(CD$4="",$B30=""),0,SUMIF('DADOS BRUTOS'!$A$3:$A$500,$B30,'DADOS BRUTOS'!D$3:D$500)+IF($C30="",0,SUMIF('DADOS BRUTOS'!$A$3:$A$500,$C30,'DADOS BRUTOS'!D$3:D$500)))</f>
        <v/>
      </c>
      <c r="CE30" s="123">
        <f>IF(OR(CE$4="",$B30=""),0,SUMIF('DADOS BRUTOS'!$A$3:$A$500,$B30,'DADOS BRUTOS'!E$3:E$500)+IF($C30="",0,SUMIF('DADOS BRUTOS'!$A$3:$A$500,$C30,'DADOS BRUTOS'!E$3:E$500)))</f>
        <v/>
      </c>
      <c r="CF30" s="123">
        <f>IF(OR(CF$4="",$B30=""),0,SUMIF('DADOS BRUTOS'!$A$3:$A$500,$B30,'DADOS BRUTOS'!F$3:F$500)+IF($C30="",0,SUMIF('DADOS BRUTOS'!$A$3:$A$500,$C30,'DADOS BRUTOS'!F$3:F$500)))</f>
        <v/>
      </c>
      <c r="CG30" s="123">
        <f>IF(OR(CG$4="",$B30=""),0,SUMIF('DADOS BRUTOS'!$A$3:$A$500,$B30,'DADOS BRUTOS'!G$3:G$500)+IF($C30="",0,SUMIF('DADOS BRUTOS'!$A$3:$A$500,$C30,'DADOS BRUTOS'!G$3:G$500)))</f>
        <v/>
      </c>
      <c r="CH30" s="123">
        <f>IF(OR(CH$4="",$B30=""),0,SUMIF('DADOS BRUTOS'!$A$3:$A$500,$B30,'DADOS BRUTOS'!H$3:H$500)+IF($C30="",0,SUMIF('DADOS BRUTOS'!$A$3:$A$500,$C30,'DADOS BRUTOS'!H$3:H$500)))</f>
        <v/>
      </c>
      <c r="CI30" s="123">
        <f>IF(OR(CI$4="",$B30=""),0,SUMIF('DADOS BRUTOS'!$A$3:$A$500,$B30,'DADOS BRUTOS'!I$3:I$500)+IF($C30="",0,SUMIF('DADOS BRUTOS'!$A$3:$A$500,$C30,'DADOS BRUTOS'!I$3:I$500)))</f>
        <v/>
      </c>
      <c r="CJ30" s="123">
        <f>IF(OR(CJ$4="",$B30=""),0,SUMIF('DADOS BRUTOS'!$A$3:$A$500,$B30,'DADOS BRUTOS'!J$3:J$500)+IF($C30="",0,SUMIF('DADOS BRUTOS'!$A$3:$A$500,$C30,'DADOS BRUTOS'!J$3:J$500)))</f>
        <v/>
      </c>
      <c r="CK30" s="123">
        <f>IF(OR(CK$4="",$B30=""),0,SUMIF('DADOS BRUTOS'!$A$3:$A$500,$B30,'DADOS BRUTOS'!K$3:K$500)+IF($C30="",0,SUMIF('DADOS BRUTOS'!$A$3:$A$500,$C30,'DADOS BRUTOS'!K$3:K$500)))</f>
        <v/>
      </c>
      <c r="CL30" s="123">
        <f>IF(OR(CL$4="",$B30=""),0,SUMIF('DADOS BRUTOS'!$A$3:$A$500,$B30,'DADOS BRUTOS'!L$3:L$500)+IF($C30="",0,SUMIF('DADOS BRUTOS'!$A$3:$A$500,$C30,'DADOS BRUTOS'!L$3:L$500)))</f>
        <v/>
      </c>
      <c r="CM30" s="123">
        <f>IF(OR(CM$4="",$B30=""),0,SUMIF('DADOS BRUTOS'!$A$3:$A$500,$B30,'DADOS BRUTOS'!M$3:M$500)+IF($C30="",0,SUMIF('DADOS BRUTOS'!$A$3:$A$500,$C30,'DADOS BRUTOS'!M$3:M$500)))</f>
        <v/>
      </c>
      <c r="CN30" s="123">
        <f>IF(OR(CN$4="",$B30=""),0,SUMIF('DADOS BRUTOS'!$A$3:$A$500,$B30,'DADOS BRUTOS'!N$3:N$500)+IF($C30="",0,SUMIF('DADOS BRUTOS'!$A$3:$A$500,$C30,'DADOS BRUTOS'!N$3:N$500)))</f>
        <v/>
      </c>
      <c r="CO30" s="123">
        <f>IF(OR(CO$4="",$B30=""),0,SUMIF('DADOS BRUTOS'!$A$3:$A$500,$B30,'DADOS BRUTOS'!O$3:O$500)+IF($C30="",0,SUMIF('DADOS BRUTOS'!$A$3:$A$500,$C30,'DADOS BRUTOS'!O$3:O$500)))</f>
        <v/>
      </c>
      <c r="CP30" s="123">
        <f>IF(OR(CP$4="",$B30=""),0,SUMIF('DADOS BRUTOS'!$A$3:$A$500,$B30,'DADOS BRUTOS'!P$3:P$500)+IF($C30="",0,SUMIF('DADOS BRUTOS'!$A$3:$A$500,$C30,'DADOS BRUTOS'!P$3:P$500)))</f>
        <v/>
      </c>
      <c r="CQ30" s="123">
        <f>IF(OR(CQ$4="",$B30=""),0,SUMIF('DADOS BRUTOS'!$A$3:$A$500,$B30,'DADOS BRUTOS'!Q$3:Q$500)+IF($C30="",0,SUMIF('DADOS BRUTOS'!$A$3:$A$500,$C30,'DADOS BRUTOS'!Q$3:Q$500)))</f>
        <v/>
      </c>
      <c r="CR30" s="123">
        <f>IF(OR(CR$4="",$B30=""),0,SUMIF('DADOS BRUTOS'!$A$3:$A$500,$B30,'DADOS BRUTOS'!R$3:R$500)+IF($C30="",0,SUMIF('DADOS BRUTOS'!$A$3:$A$500,$C30,'DADOS BRUTOS'!R$3:R$500)))</f>
        <v/>
      </c>
      <c r="CS30" s="123">
        <f>IF(OR(CS$4="",$B30=""),0,SUMIF('DADOS BRUTOS'!$A$3:$A$500,$B30,'DADOS BRUTOS'!S$3:S$500)+IF($C30="",0,SUMIF('DADOS BRUTOS'!$A$3:$A$500,$C30,'DADOS BRUTOS'!S$3:S$500)))</f>
        <v/>
      </c>
      <c r="CT30" s="123">
        <f>IF(OR(CT$4="",$B30=""),0,SUMIF('DADOS BRUTOS'!$A$3:$A$500,$B30,'DADOS BRUTOS'!T$3:T$500)+IF($C30="",0,SUMIF('DADOS BRUTOS'!$A$3:$A$500,$C30,'DADOS BRUTOS'!T$3:T$500)))</f>
        <v/>
      </c>
      <c r="CU30" s="123">
        <f>IF(OR(CU$4="",$B30=""),0,SUMIF('DADOS BRUTOS'!$A$3:$A$500,$B30,'DADOS BRUTOS'!U$3:U$500)+IF($C30="",0,SUMIF('DADOS BRUTOS'!$A$3:$A$500,$C30,'DADOS BRUTOS'!U$3:U$500)))</f>
        <v/>
      </c>
      <c r="CV30" s="123">
        <f>IF(OR(CV$4="",$B30=""),0,SUMIF('DADOS BRUTOS'!$A$3:$A$500,$B30,'DADOS BRUTOS'!V$3:V$500)+IF($C30="",0,SUMIF('DADOS BRUTOS'!$A$3:$A$500,$C30,'DADOS BRUTOS'!V$3:V$500)))</f>
        <v/>
      </c>
      <c r="CW30" s="123">
        <f>IF(OR(CW$4="",$B30=""),0,SUMIF('DADOS BRUTOS'!$A$3:$A$500,$B30,'DADOS BRUTOS'!W$3:W$500)+IF($C30="",0,SUMIF('DADOS BRUTOS'!$A$3:$A$500,$C30,'DADOS BRUTOS'!W$3:W$500)))</f>
        <v/>
      </c>
      <c r="CX30" s="123">
        <f>IF(OR(CX$4="",$B30=""),0,SUMIF('DADOS BRUTOS'!$A$3:$A$500,$B30,'DADOS BRUTOS'!X$3:X$500)+IF($C30="",0,SUMIF('DADOS BRUTOS'!$A$3:$A$500,$C30,'DADOS BRUTOS'!X$3:X$500)))</f>
        <v/>
      </c>
      <c r="CY30" s="123">
        <f>IF(OR(CY$4="",$B30=""),0,SUMIF('DADOS BRUTOS'!$A$3:$A$500,$B30,'DADOS BRUTOS'!Y$3:Y$500)+IF($C30="",0,SUMIF('DADOS BRUTOS'!$A$3:$A$500,$C30,'DADOS BRUTOS'!Y$3:Y$500)))</f>
        <v/>
      </c>
      <c r="CZ30" s="123">
        <f>IF(OR(CZ$4="",$B30=""),0,SUMIF('DADOS BRUTOS'!$A$3:$A$500,$B30,'DADOS BRUTOS'!Z$3:Z$500)+IF($C30="",0,SUMIF('DADOS BRUTOS'!$A$3:$A$500,$C30,'DADOS BRUTOS'!Z$3:Z$500)))</f>
        <v/>
      </c>
      <c r="DA30" s="123">
        <f>IF(OR(DA$4="",$B30=""),0,SUMIF('DADOS BRUTOS'!$A$3:$A$500,$B30,'DADOS BRUTOS'!AA$3:AA$500)+IF($C30="",0,SUMIF('DADOS BRUTOS'!$A$3:$A$500,$C30,'DADOS BRUTOS'!AA$3:AA$500)))</f>
        <v/>
      </c>
      <c r="DB30" s="123">
        <f>IF(OR(DB$4="",$B30=""),0,SUMIF('DADOS BRUTOS'!$A$3:$A$500,$B30,'DADOS BRUTOS'!AB$3:AB$500)+IF($C30="",0,SUMIF('DADOS BRUTOS'!$A$3:$A$500,$C30,'DADOS BRUTOS'!AB$3:AB$500)))</f>
        <v/>
      </c>
      <c r="DC30" s="123">
        <f>IF(OR(DC$4="",$B30=""),0,SUMIF('DADOS BRUTOS'!$A$3:$A$500,$B30,'DADOS BRUTOS'!AC$3:AC$500)+IF($C30="",0,SUMIF('DADOS BRUTOS'!$A$3:$A$500,$C30,'DADOS BRUTOS'!AC$3:AC$500)))</f>
        <v/>
      </c>
      <c r="DD30" s="123">
        <f>IF(OR(DD$4="",$B30=""),0,SUMIF('DADOS BRUTOS'!$A$3:$A$500,$B30,'DADOS BRUTOS'!AD$3:AD$500)+IF($C30="",0,SUMIF('DADOS BRUTOS'!$A$3:$A$500,$C30,'DADOS BRUTOS'!AD$3:AD$500)))</f>
        <v/>
      </c>
      <c r="DE30" s="123">
        <f>IF(OR(DE$4="",$B30=""),0,SUMIF('DADOS BRUTOS'!$A$3:$A$500,$B30,'DADOS BRUTOS'!AE$3:AE$500)+IF($C30="",0,SUMIF('DADOS BRUTOS'!$A$3:$A$500,$C30,'DADOS BRUTOS'!AE$3:AE$500)))</f>
        <v/>
      </c>
      <c r="DF30" s="123">
        <f>IF(OR(DF$4="",$B30=""),0,SUMIF('DADOS BRUTOS'!$A$3:$A$500,$B30,'DADOS BRUTOS'!AF$3:AF$500)+IF($C30="",0,SUMIF('DADOS BRUTOS'!$A$3:$A$500,$C30,'DADOS BRUTOS'!AF$3:AF$500)))</f>
        <v/>
      </c>
      <c r="DG30" s="123">
        <f>IF(OR(DG$4="",$B30=""),0,SUMIF('DADOS BRUTOS'!$A$3:$A$500,$B30,'DADOS BRUTOS'!AG$3:AG$500)+IF($C30="",0,SUMIF('DADOS BRUTOS'!$A$3:$A$500,$C30,'DADOS BRUTOS'!AG$3:AG$500)))</f>
        <v/>
      </c>
      <c r="DH30" s="123">
        <f>IF(OR(DH$4="",$B30=""),0,SUMIF('DADOS BRUTOS'!$A$3:$A$500,$B30,'DADOS BRUTOS'!AH$3:AH$500)+IF($C30="",0,SUMIF('DADOS BRUTOS'!$A$3:$A$500,$C30,'DADOS BRUTOS'!AH$3:AH$500)))</f>
        <v/>
      </c>
      <c r="DI30" s="123">
        <f>IF(OR(DI$4="",$B30=""),0,SUMIF('DADOS BRUTOS'!$A$3:$A$500,$B30,'DADOS BRUTOS'!AI$3:AI$500)+IF($C30="",0,SUMIF('DADOS BRUTOS'!$A$3:$A$500,$C30,'DADOS BRUTOS'!AI$3:AI$500)))</f>
        <v/>
      </c>
      <c r="DJ30" s="123">
        <f>IF(OR(DJ$4="",$B30=""),0,SUMIF('DADOS BRUTOS'!$A$3:$A$500,$B30,'DADOS BRUTOS'!AJ$3:AJ$500)+IF($C30="",0,SUMIF('DADOS BRUTOS'!$A$3:$A$500,$C30,'DADOS BRUTOS'!AJ$3:AJ$500)))</f>
        <v/>
      </c>
      <c r="DK30" s="123">
        <f>IF(OR(DK$4="",$B30=""),0,SUMIF('DADOS BRUTOS'!$A$3:$A$500,$B30,'DADOS BRUTOS'!AK$3:AK$500)+IF($C30="",0,SUMIF('DADOS BRUTOS'!$A$3:$A$500,$C30,'DADOS BRUTOS'!AK$3:AK$500)))</f>
        <v/>
      </c>
      <c r="DL30" s="123">
        <f>IF(OR(DL$4="",$B30=""),0,SUMIF('DADOS BRUTOS'!$A$3:$A$500,$B30,'DADOS BRUTOS'!AL$3:AL$500)+IF($C30="",0,SUMIF('DADOS BRUTOS'!$A$3:$A$500,$C30,'DADOS BRUTOS'!AL$3:AL$500)))</f>
        <v/>
      </c>
      <c r="DM30" s="123">
        <f>IF(OR(DM$4="",$B30=""),0,SUMIF('DADOS BRUTOS'!$A$3:$A$500,$B30,'DADOS BRUTOS'!AM$3:AM$500)+IF($C30="",0,SUMIF('DADOS BRUTOS'!$A$3:$A$500,$C30,'DADOS BRUTOS'!AM$3:AM$500)))</f>
        <v/>
      </c>
      <c r="DN30" s="123">
        <f>IF(OR(DN$4="",$B30=""),0,SUMIF('DADOS BRUTOS'!$A$3:$A$500,$B30,'DADOS BRUTOS'!AN$3:AN$500)+IF($C30="",0,SUMIF('DADOS BRUTOS'!$A$3:$A$500,$C30,'DADOS BRUTOS'!AN$3:AN$500)))</f>
        <v/>
      </c>
      <c r="DO30" s="123">
        <f>IF(OR(DO$4="",$B30=""),0,SUMIF('DADOS BRUTOS'!$A$3:$A$500,$B30,'DADOS BRUTOS'!AO$3:AO$500)+IF($C30="",0,SUMIF('DADOS BRUTOS'!$A$3:$A$500,$C30,'DADOS BRUTOS'!AO$3:AO$500)))</f>
        <v/>
      </c>
      <c r="DP30" s="123">
        <f>IF(OR(DP$4="",$B30=""),0,SUMIF('DADOS BRUTOS'!$A$3:$A$500,$B30,'DADOS BRUTOS'!AP$3:AP$500)+IF($C30="",0,SUMIF('DADOS BRUTOS'!$A$3:$A$500,$C30,'DADOS BRUTOS'!AP$3:AP$500)))</f>
        <v/>
      </c>
      <c r="DQ30" s="123">
        <f>IF(OR(DQ$4="",$B30=""),0,SUMIF('DADOS BRUTOS'!$A$3:$A$500,$B30,'DADOS BRUTOS'!AQ$3:AQ$500)+IF($C30="",0,SUMIF('DADOS BRUTOS'!$A$3:$A$500,$C30,'DADOS BRUTOS'!AQ$3:AQ$500)))</f>
        <v/>
      </c>
      <c r="DR30" s="123">
        <f>IF(OR(DR$4="",$B30=""),0,SUMIF('DADOS BRUTOS'!$A$3:$A$500,$B30,'DADOS BRUTOS'!AR$3:AR$500)+IF($C30="",0,SUMIF('DADOS BRUTOS'!$A$3:$A$500,$C30,'DADOS BRUTOS'!AR$3:AR$500)))</f>
        <v/>
      </c>
      <c r="DS30" s="123">
        <f>IF(OR(DS$4="",$B30=""),0,SUMIF('DADOS BRUTOS'!$A$3:$A$500,$B30,'DADOS BRUTOS'!AS$3:AS$500)+IF($C30="",0,SUMIF('DADOS BRUTOS'!$A$3:$A$500,$C30,'DADOS BRUTOS'!AS$3:AS$500)))</f>
        <v/>
      </c>
      <c r="DT30" s="123">
        <f>IF(OR(DT$4="",$B30=""),0,SUMIF('DADOS BRUTOS'!$A$3:$A$500,$B30,'DADOS BRUTOS'!AT$3:AT$500)+IF($C30="",0,SUMIF('DADOS BRUTOS'!$A$3:$A$500,$C30,'DADOS BRUTOS'!AT$3:AT$500)))</f>
        <v/>
      </c>
      <c r="DU30" s="123">
        <f>IF(OR(DU$4="",$B30=""),0,SUMIF('DADOS BRUTOS'!$A$3:$A$500,$B30,'DADOS BRUTOS'!AU$3:AU$500)+IF($C30="",0,SUMIF('DADOS BRUTOS'!$A$3:$A$500,$C30,'DADOS BRUTOS'!AU$3:AU$500)))</f>
        <v/>
      </c>
      <c r="DV30" s="123">
        <f>IF(OR(DV$4="",$B30=""),0,SUMIF('DADOS BRUTOS'!$A$3:$A$500,$B30,'DADOS BRUTOS'!AV$3:AV$500)+IF($C30="",0,SUMIF('DADOS BRUTOS'!$A$3:$A$500,$C30,'DADOS BRUTOS'!AV$3:AV$500)))</f>
        <v/>
      </c>
      <c r="DW30" s="123">
        <f>IF(OR(DW$4="",$B30=""),0,SUMIF('DADOS BRUTOS'!$A$3:$A$500,$B30,'DADOS BRUTOS'!AW$3:AW$500)+IF($C30="",0,SUMIF('DADOS BRUTOS'!$A$3:$A$500,$C30,'DADOS BRUTOS'!AW$3:AW$500)))</f>
        <v/>
      </c>
      <c r="DX30" s="123">
        <f>IF(OR(DX$4="",$B30=""),0,SUMIF('DADOS BRUTOS'!$A$3:$A$500,$B30,'DADOS BRUTOS'!AX$3:AX$500)+IF($C30="",0,SUMIF('DADOS BRUTOS'!$A$3:$A$500,$C30,'DADOS BRUTOS'!AX$3:AX$500)))</f>
        <v/>
      </c>
      <c r="DY30" s="123">
        <f>IF(OR(DY$4="",$B30=""),0,SUMIF('DADOS BRUTOS'!$A$3:$A$500,$B30,'DADOS BRUTOS'!AY$3:AY$500)+IF($C30="",0,SUMIF('DADOS BRUTOS'!$A$3:$A$500,$C30,'DADOS BRUTOS'!AY$3:AY$500)))</f>
        <v/>
      </c>
      <c r="DZ30" s="123">
        <f>IF(OR(DZ$4="",$B30=""),0,SUMIF('DADOS BRUTOS'!$A$3:$A$500,$B30,'DADOS BRUTOS'!AZ$3:AZ$500)+IF($C30="",0,SUMIF('DADOS BRUTOS'!$A$3:$A$500,$C30,'DADOS BRUTOS'!AZ$3:AZ$500)))</f>
        <v/>
      </c>
      <c r="EA30" s="123">
        <f>IF(OR(EA$4="",$B30=""),0,SUMIF('DADOS BRUTOS'!$A$3:$A$500,$B30,'DADOS BRUTOS'!BA$3:BA$500)+IF($C30="",0,SUMIF('DADOS BRUTOS'!$A$3:$A$500,$C30,'DADOS BRUTOS'!BA$3:BA$500)))</f>
        <v/>
      </c>
      <c r="EB30" s="123">
        <f>IF(OR(EB$4="",$B30=""),0,SUMIF('DADOS BRUTOS'!$A$3:$A$500,$B30,'DADOS BRUTOS'!BB$3:BB$500)+IF($C30="",0,SUMIF('DADOS BRUTOS'!$A$3:$A$500,$C30,'DADOS BRUTOS'!BB$3:BB$500)))</f>
        <v/>
      </c>
      <c r="EC30" s="123">
        <f>IF(OR(EC$4="",$B30=""),0,SUMIF('DADOS BRUTOS'!$A$3:$A$500,$B30,'DADOS BRUTOS'!BC$3:BC$500)+IF($C30="",0,SUMIF('DADOS BRUTOS'!$A$3:$A$500,$C30,'DADOS BRUTOS'!BC$3:BC$500)))</f>
        <v/>
      </c>
      <c r="ED30" s="123">
        <f>IF(OR(ED$4="",$B30=""),0,SUMIF('DADOS BRUTOS'!$A$3:$A$500,$B30,'DADOS BRUTOS'!BD$3:BD$500)+IF($C30="",0,SUMIF('DADOS BRUTOS'!$A$3:$A$500,$C30,'DADOS BRUTOS'!BD$3:BD$500)))</f>
        <v/>
      </c>
      <c r="EE30" s="123">
        <f>IF(OR(EE$4="",$B30=""),0,SUMIF('DADOS BRUTOS'!$A$3:$A$500,$B30,'DADOS BRUTOS'!BE$3:BE$500)+IF($C30="",0,SUMIF('DADOS BRUTOS'!$A$3:$A$500,$C30,'DADOS BRUTOS'!BE$3:BE$500)))</f>
        <v/>
      </c>
      <c r="EF30" s="123">
        <f>IF(OR(EF$4="",$B30=""),0,SUMIF('DADOS BRUTOS'!$A$3:$A$500,$B30,'DADOS BRUTOS'!BF$3:BF$500)+IF($C30="",0,SUMIF('DADOS BRUTOS'!$A$3:$A$500,$C30,'DADOS BRUTOS'!BF$3:BF$500)))</f>
        <v/>
      </c>
      <c r="EG30" s="123">
        <f>IF(OR(EG$4="",$B30=""),0,SUMIF('DADOS BRUTOS'!$A$3:$A$500,$B30,'DADOS BRUTOS'!BG$3:BG$500)+IF($C30="",0,SUMIF('DADOS BRUTOS'!$A$3:$A$500,$C30,'DADOS BRUTOS'!BG$3:BG$500)))</f>
        <v/>
      </c>
      <c r="EH30" s="123">
        <f>IF(OR(EH$4="",$B30=""),0,SUMIF('DADOS BRUTOS'!$A$3:$A$500,$B30,'DADOS BRUTOS'!BH$3:BH$500)+IF($C30="",0,SUMIF('DADOS BRUTOS'!$A$3:$A$500,$C30,'DADOS BRUTOS'!BH$3:BH$500)))</f>
        <v/>
      </c>
      <c r="EI30" s="123">
        <f>IF(OR(EI$4="",$B30=""),0,SUMIF('DADOS BRUTOS'!$A$3:$A$500,$B30,'DADOS BRUTOS'!BI$3:BI$500)+IF($C30="",0,SUMIF('DADOS BRUTOS'!$A$3:$A$500,$C30,'DADOS BRUTOS'!BI$3:BI$500)))</f>
        <v/>
      </c>
      <c r="EJ30" s="123">
        <f>IF(OR(EJ$4="",$B30=""),0,SUMIF('DADOS BRUTOS'!$A$3:$A$500,$B30,'DADOS BRUTOS'!BJ$3:BJ$500)+IF($C30="",0,SUMIF('DADOS BRUTOS'!$A$3:$A$500,$C30,'DADOS BRUTOS'!BJ$3:BJ$500)))</f>
        <v/>
      </c>
      <c r="EK30" s="123">
        <f>IF(OR(EK$4="",$B30=""),0,SUMIF('DADOS BRUTOS'!$A$3:$A$500,$B30,'DADOS BRUTOS'!BK$3:BK$500)+IF($C30="",0,SUMIF('DADOS BRUTOS'!$A$3:$A$500,$C30,'DADOS BRUTOS'!BK$3:BK$500)))</f>
        <v/>
      </c>
      <c r="EL30" s="123">
        <f>IF(OR(EL$4="",$B30=""),0,SUMIF('DADOS BRUTOS'!$A$3:$A$500,$B30,'DADOS BRUTOS'!BL$3:BL$500)+IF($C30="",0,SUMIF('DADOS BRUTOS'!$A$3:$A$500,$C30,'DADOS BRUTOS'!BL$3:BL$500)))</f>
        <v/>
      </c>
      <c r="EM30" s="123">
        <f>IF(OR(EM$4="",$B30=""),0,SUMIF('DADOS BRUTOS'!$A$3:$A$500,$B30,'DADOS BRUTOS'!BM$3:BM$500)+IF($C30="",0,SUMIF('DADOS BRUTOS'!$A$3:$A$500,$C30,'DADOS BRUTOS'!BM$3:BM$500)))</f>
        <v/>
      </c>
      <c r="EN30" s="123">
        <f>IF(OR(EN$4="",$B30=""),0,SUMIF('DADOS BRUTOS'!$A$3:$A$500,$B30,'DADOS BRUTOS'!BN$3:BN$500)+IF($C30="",0,SUMIF('DADOS BRUTOS'!$A$3:$A$500,$C30,'DADOS BRUTOS'!BN$3:BN$500)))</f>
        <v/>
      </c>
      <c r="EO30" s="123">
        <f>IF(OR(EO$4="",$B30=""),0,SUMIF('DADOS BRUTOS'!$A$3:$A$500,$B30,'DADOS BRUTOS'!BO$3:BO$500)+IF($C30="",0,SUMIF('DADOS BRUTOS'!$A$3:$A$500,$C30,'DADOS BRUTOS'!BO$3:BO$500)))</f>
        <v/>
      </c>
      <c r="EP30" s="123">
        <f>IF(OR(EP$4="",$B30=""),0,SUMIF('DADOS BRUTOS'!$A$3:$A$500,$B30,'DADOS BRUTOS'!BP$3:BP$500)+IF($C30="",0,SUMIF('DADOS BRUTOS'!$A$3:$A$500,$C30,'DADOS BRUTOS'!BP$3:BP$500)))</f>
        <v/>
      </c>
      <c r="EQ30" s="123">
        <f>IF(OR(EQ$4="",$B30=""),0,SUMIF('DADOS BRUTOS'!$A$3:$A$500,$B30,'DADOS BRUTOS'!BQ$3:BQ$500)+IF($C30="",0,SUMIF('DADOS BRUTOS'!$A$3:$A$500,$C30,'DADOS BRUTOS'!BQ$3:BQ$500)))</f>
        <v/>
      </c>
      <c r="ER30" s="123">
        <f>IF(OR(ER$4="",$B30=""),0,SUMIF('DADOS BRUTOS'!$A$3:$A$500,$B30,'DADOS BRUTOS'!BR$3:BR$500)+IF($C30="",0,SUMIF('DADOS BRUTOS'!$A$3:$A$500,$C30,'DADOS BRUTOS'!BR$3:BR$500)))</f>
        <v/>
      </c>
      <c r="ES30" s="123">
        <f>IF(OR(ES$4="",$B30=""),0,SUMIF('DADOS BRUTOS'!$A$3:$A$500,$B30,'DADOS BRUTOS'!BS$3:BS$500)+IF($C30="",0,SUMIF('DADOS BRUTOS'!$A$3:$A$500,$C30,'DADOS BRUTOS'!BS$3:BS$500)))</f>
        <v/>
      </c>
      <c r="ET30" s="123">
        <f>IF(OR(ET$4="",$B30=""),0,SUMIF('DADOS BRUTOS'!$A$3:$A$500,$B30,'DADOS BRUTOS'!BT$3:BT$500)+IF($C30="",0,SUMIF('DADOS BRUTOS'!$A$3:$A$500,$C30,'DADOS BRUTOS'!BT$3:BT$500)))</f>
        <v/>
      </c>
      <c r="EU30" s="123">
        <f>IF(OR(EU$4="",$B30=""),0,SUMIF('DADOS BRUTOS'!$A$3:$A$500,$B30,'DADOS BRUTOS'!BU$3:BU$500)+IF($C30="",0,SUMIF('DADOS BRUTOS'!$A$3:$A$500,$C30,'DADOS BRUTOS'!BU$3:BU$500)))</f>
        <v/>
      </c>
      <c r="EV30" s="123">
        <f>IF(OR(EV$4="",$B30=""),0,SUMIF('DADOS BRUTOS'!$A$3:$A$500,$B30,'DADOS BRUTOS'!BV$3:BV$500)+IF($C30="",0,SUMIF('DADOS BRUTOS'!$A$3:$A$500,$C30,'DADOS BRUTOS'!BV$3:BV$500)))</f>
        <v/>
      </c>
      <c r="EW30" s="123">
        <f>IF(OR(EW$4="",$B30=""),0,SUMIF('DADOS BRUTOS'!$A$3:$A$500,$B30,'DADOS BRUTOS'!BW$3:BW$500)+IF($C30="",0,SUMIF('DADOS BRUTOS'!$A$3:$A$500,$C30,'DADOS BRUTOS'!BW$3:BW$500)))</f>
        <v/>
      </c>
      <c r="EX30" s="123">
        <f>IF(OR(EX$4="",$B30=""),0,SUMIF('DADOS BRUTOS'!$A$3:$A$500,$B30,'DADOS BRUTOS'!BX$3:BX$500)+IF($C30="",0,SUMIF('DADOS BRUTOS'!$A$3:$A$500,$C30,'DADOS BRUTOS'!BX$3:BX$500)))</f>
        <v/>
      </c>
      <c r="EY30" s="123">
        <f>IF(OR(EY$4="",$B30=""),0,SUMIF('DADOS BRUTOS'!$A$3:$A$500,$B30,'DADOS BRUTOS'!BY$3:BY$500)+IF($C30="",0,SUMIF('DADOS BRUTOS'!$A$3:$A$500,$C30,'DADOS BRUTOS'!BY$3:BY$500)))</f>
        <v/>
      </c>
      <c r="EZ30" s="123">
        <f>IF(OR(EZ$4="",$B30=""),0,SUMIF('DADOS BRUTOS'!$A$3:$A$500,$B30,'DADOS BRUTOS'!BZ$3:BZ$500)+IF($C30="",0,SUMIF('DADOS BRUTOS'!$A$3:$A$500,$C30,'DADOS BRUTOS'!BZ$3:BZ$500)))</f>
        <v/>
      </c>
      <c r="FA30" s="123">
        <f>IF(OR(FA$4="",$B30=""),0,SUMIF('DADOS BRUTOS'!$A$3:$A$500,$B30,'DADOS BRUTOS'!CA$3:CA$500)+IF($C30="",0,SUMIF('DADOS BRUTOS'!$A$3:$A$500,$C30,'DADOS BRUTOS'!CA$3:CA$500)))</f>
        <v/>
      </c>
      <c r="FB30" s="123">
        <f>IF(OR(FB$4="",$B30=""),0,SUMIF('DADOS BRUTOS'!$A$3:$A$500,$B30,'DADOS BRUTOS'!CB$3:CB$500)+IF($C30="",0,SUMIF('DADOS BRUTOS'!$A$3:$A$500,$C30,'DADOS BRUTOS'!CB$3:CB$500)))</f>
        <v/>
      </c>
      <c r="FC30" s="123">
        <f>IF(OR(FC$4="",$B30=""),0,SUMIF('DADOS BRUTOS'!$A$3:$A$500,$B30,'DADOS BRUTOS'!CC$3:CC$500)+IF($C30="",0,SUMIF('DADOS BRUTOS'!$A$3:$A$500,$C30,'DADOS BRUTOS'!CC$3:CC$500)))</f>
        <v/>
      </c>
      <c r="FD30" s="123">
        <f>IF(OR(FD$4="",$B30=""),0,SUMIF('DADOS BRUTOS'!$A$3:$A$500,$B30,'DADOS BRUTOS'!CD$3:CD$500)+IF($C30="",0,SUMIF('DADOS BRUTOS'!$A$3:$A$500,$C30,'DADOS BRUTOS'!CD$3:CD$500)))</f>
        <v/>
      </c>
      <c r="FE30" s="123">
        <f>IF(OR(FE$4="",$B30=""),0,SUMIF('DADOS BRUTOS'!$A$3:$A$500,$B30,'DADOS BRUTOS'!CE$3:CE$500)+IF($C30="",0,SUMIF('DADOS BRUTOS'!$A$3:$A$500,$C30,'DADOS BRUTOS'!CE$3:CE$500)))</f>
        <v/>
      </c>
      <c r="FF30" s="123">
        <f>IF(OR(FF$4="",$B30=""),0,SUMIF('DADOS BRUTOS'!$A$3:$A$500,$B30,'DADOS BRUTOS'!CF$3:CF$500)+IF($C30="",0,SUMIF('DADOS BRUTOS'!$A$3:$A$500,$C30,'DADOS BRUTOS'!CF$3:CF$500)))</f>
        <v/>
      </c>
      <c r="FG30" s="123">
        <f>IF(OR(FG$4="",$B30=""),0,SUMIF('DADOS BRUTOS'!$A$3:$A$500,$B30,'DADOS BRUTOS'!CG$3:CG$500)+IF($C30="",0,SUMIF('DADOS BRUTOS'!$A$3:$A$500,$C30,'DADOS BRUTOS'!CG$3:CG$500)))</f>
        <v/>
      </c>
      <c r="FH30" s="123">
        <f>IF(OR(FH$4="",$B30=""),0,SUMIF('DADOS BRUTOS'!$A$3:$A$500,$B30,'DADOS BRUTOS'!CH$3:CH$500)+IF($C30="",0,SUMIF('DADOS BRUTOS'!$A$3:$A$500,$C30,'DADOS BRUTOS'!CH$3:CH$500)))</f>
        <v/>
      </c>
      <c r="FI30" s="123">
        <f>IF(OR(FI$4="",$B30=""),0,SUMIF('DADOS BRUTOS'!$A$3:$A$500,$B30,'DADOS BRUTOS'!CI$3:CI$500)+IF($C30="",0,SUMIF('DADOS BRUTOS'!$A$3:$A$500,$C30,'DADOS BRUTOS'!CI$3:CI$500)))</f>
        <v/>
      </c>
      <c r="FJ30" s="123">
        <f>IF(OR(FJ$4="",$B30=""),0,SUMIF('DADOS BRUTOS'!$A$3:$A$500,$B30,'DADOS BRUTOS'!CJ$3:CJ$500)+IF($C30="",0,SUMIF('DADOS BRUTOS'!$A$3:$A$500,$C30,'DADOS BRUTOS'!CJ$3:CJ$500)))</f>
        <v/>
      </c>
      <c r="FK30" s="123">
        <f>IF(OR(FK$4="",$B30=""),0,SUMIF('DADOS BRUTOS'!$A$3:$A$500,$B30,'DADOS BRUTOS'!CK$3:CK$500)+IF($C30="",0,SUMIF('DADOS BRUTOS'!$A$3:$A$500,$C30,'DADOS BRUTOS'!CK$3:CK$500)))</f>
        <v/>
      </c>
      <c r="FL30" s="123">
        <f>IF(OR(FL$4="",$B30=""),0,SUMIF('DADOS BRUTOS'!$A$3:$A$500,$B30,'DADOS BRUTOS'!CL$3:CL$500)+IF($C30="",0,SUMIF('DADOS BRUTOS'!$A$3:$A$500,$C30,'DADOS BRUTOS'!CL$3:CL$500)))</f>
        <v/>
      </c>
      <c r="FM30" s="123">
        <f>IF(OR(FM$4="",$B30=""),0,SUMIF('DADOS BRUTOS'!$A$3:$A$500,$B30,'DADOS BRUTOS'!CM$3:CM$500)+IF($C30="",0,SUMIF('DADOS BRUTOS'!$A$3:$A$500,$C30,'DADOS BRUTOS'!CM$3:CM$500)))</f>
        <v/>
      </c>
      <c r="FN30" s="123">
        <f>IF(OR(FN$4="",$B30=""),0,SUMIF('DADOS BRUTOS'!$A$3:$A$500,$B30,'DADOS BRUTOS'!CN$3:CN$500)+IF($C30="",0,SUMIF('DADOS BRUTOS'!$A$3:$A$500,$C30,'DADOS BRUTOS'!CN$3:CN$500)))</f>
        <v/>
      </c>
      <c r="FO30" s="123">
        <f>IF(OR(FO$4="",$B30=""),0,SUMIF('DADOS BRUTOS'!$A$3:$A$500,$B30,'DADOS BRUTOS'!CO$3:CO$500)+IF($C30="",0,SUMIF('DADOS BRUTOS'!$A$3:$A$500,$C30,'DADOS BRUTOS'!CO$3:CO$500)))</f>
        <v/>
      </c>
      <c r="FP30" s="123">
        <f>IF(OR(FP$4="",$B30=""),0,SUMIF('DADOS BRUTOS'!$A$3:$A$500,$B30,'DADOS BRUTOS'!CP$3:CP$500)+IF($C30="",0,SUMIF('DADOS BRUTOS'!$A$3:$A$500,$C30,'DADOS BRUTOS'!CP$3:CP$500)))</f>
        <v/>
      </c>
      <c r="FQ30" s="123">
        <f>IF(OR(FQ$4="",$B30=""),0,SUMIF('DADOS BRUTOS'!$A$3:$A$500,$B30,'DADOS BRUTOS'!CQ$3:CQ$500)+IF($C30="",0,SUMIF('DADOS BRUTOS'!$A$3:$A$500,$C30,'DADOS BRUTOS'!CQ$3:CQ$500)))</f>
        <v/>
      </c>
      <c r="FR30" s="123">
        <f>IF(OR(FR$4="",$B30=""),0,SUMIF('DADOS BRUTOS'!$A$3:$A$500,$B30,'DADOS BRUTOS'!CR$3:CR$500)+IF($C30="",0,SUMIF('DADOS BRUTOS'!$A$3:$A$500,$C30,'DADOS BRUTOS'!CR$3:CR$500)))</f>
        <v/>
      </c>
      <c r="FS30" s="123">
        <f>IF(OR(FS$4="",$B30=""),0,SUMIF('DADOS BRUTOS'!$A$3:$A$500,$B30,'DADOS BRUTOS'!CS$3:CS$500)+IF($C30="",0,SUMIF('DADOS BRUTOS'!$A$3:$A$500,$C30,'DADOS BRUTOS'!CS$3:CS$500)))</f>
        <v/>
      </c>
      <c r="FT30" s="123">
        <f>IF(OR(FT$4="",$B30=""),0,SUMIF('DADOS BRUTOS'!$A$3:$A$500,$B30,'DADOS BRUTOS'!CT$3:CT$500)+IF($C30="",0,SUMIF('DADOS BRUTOS'!$A$3:$A$500,$C30,'DADOS BRUTOS'!CT$3:CT$500)))</f>
        <v/>
      </c>
      <c r="FU30" s="123">
        <f>IF(OR(FU$4="",$B30=""),0,SUMIF('DADOS BRUTOS'!$A$3:$A$500,$B30,'DADOS BRUTOS'!CU$3:CU$500)+IF($C30="",0,SUMIF('DADOS BRUTOS'!$A$3:$A$500,$C30,'DADOS BRUTOS'!CU$3:CU$500)))</f>
        <v/>
      </c>
      <c r="FV30" s="123">
        <f>IF(OR(FV$4="",$B30=""),0,SUMIF('DADOS BRUTOS'!$A$3:$A$500,$B30,'DADOS BRUTOS'!CV$3:CV$500)+IF($C30="",0,SUMIF('DADOS BRUTOS'!$A$3:$A$500,$C30,'DADOS BRUTOS'!CV$3:CV$500)))</f>
        <v/>
      </c>
      <c r="FW30" s="123">
        <f>IF(OR(FW$4="",$B30=""),0,SUMIF('DADOS BRUTOS'!$A$3:$A$500,$B30,'DADOS BRUTOS'!CW$3:CW$500)+IF($C30="",0,SUMIF('DADOS BRUTOS'!$A$3:$A$500,$C30,'DADOS BRUTOS'!CW$3:CW$500)))</f>
        <v/>
      </c>
      <c r="FX30" s="123">
        <f>IF(OR(FX$4="",$B30=""),0,SUMIF('DADOS BRUTOS'!$A$3:$A$500,$B30,'DADOS BRUTOS'!CX$3:CX$500)+IF($C30="",0,SUMIF('DADOS BRUTOS'!$A$3:$A$500,$C30,'DADOS BRUTOS'!CX$3:CX$500)))</f>
        <v/>
      </c>
      <c r="FY30" s="123">
        <f>IF(OR(FY$4="",$B30=""),0,SUMIF('DADOS BRUTOS'!$A$3:$A$500,$B30,'DADOS BRUTOS'!CY$3:CY$500)+IF($C30="",0,SUMIF('DADOS BRUTOS'!$A$3:$A$500,$C30,'DADOS BRUTOS'!CY$3:CY$500)))</f>
        <v/>
      </c>
      <c r="FZ30" s="123">
        <f>IF(OR(FZ$4="",$B30=""),0,SUMIF('DADOS BRUTOS'!$A$3:$A$500,$B30,'DADOS BRUTOS'!CZ$3:CZ$500)+IF($C30="",0,SUMIF('DADOS BRUTOS'!$A$3:$A$500,$C30,'DADOS BRUTOS'!CZ$3:CZ$500)))</f>
        <v/>
      </c>
      <c r="GA30" s="123">
        <f>IF(OR(GA$4="",$B30=""),0,SUMIF('DADOS BRUTOS'!$A$3:$A$500,$B30,'DADOS BRUTOS'!DA$3:DA$500)+IF($C30="",0,SUMIF('DADOS BRUTOS'!$A$3:$A$500,$C30,'DADOS BRUTOS'!DA$3:DA$500)))</f>
        <v/>
      </c>
      <c r="GB30" s="123">
        <f>IF(OR(GB$4="",$B30=""),0,SUMIF('DADOS BRUTOS'!$A$3:$A$500,$B30,'DADOS BRUTOS'!DB$3:DB$500)+IF($C30="",0,SUMIF('DADOS BRUTOS'!$A$3:$A$500,$C30,'DADOS BRUTOS'!DB$3:DB$500)))</f>
        <v/>
      </c>
      <c r="GC30" s="123">
        <f>IF(OR(GC$4="",$B30=""),0,SUMIF('DADOS BRUTOS'!$A$3:$A$500,$B30,'DADOS BRUTOS'!DC$3:DC$500)+IF($C30="",0,SUMIF('DADOS BRUTOS'!$A$3:$A$500,$C30,'DADOS BRUTOS'!DC$3:DC$500)))</f>
        <v/>
      </c>
      <c r="GD30" s="123">
        <f>IF(OR(GD$4="",$B30=""),0,SUMIF('DADOS BRUTOS'!$A$3:$A$500,$B30,'DADOS BRUTOS'!DD$3:DD$500)+IF($C30="",0,SUMIF('DADOS BRUTOS'!$A$3:$A$500,$C30,'DADOS BRUTOS'!DD$3:DD$500)))</f>
        <v/>
      </c>
      <c r="GE30" s="123">
        <f>IF(OR(GE$4="",$B30=""),0,SUMIF('DADOS BRUTOS'!$A$3:$A$500,$B30,'DADOS BRUTOS'!DE$3:DE$500)+IF($C30="",0,SUMIF('DADOS BRUTOS'!$A$3:$A$500,$C30,'DADOS BRUTOS'!DE$3:DE$500)))</f>
        <v/>
      </c>
      <c r="GF30" s="123">
        <f>IF(OR(GF$4="",$B30=""),0,SUMIF('DADOS BRUTOS'!$A$3:$A$500,$B30,'DADOS BRUTOS'!DF$3:DF$500)+IF($C30="",0,SUMIF('DADOS BRUTOS'!$A$3:$A$500,$C30,'DADOS BRUTOS'!DF$3:DF$500)))</f>
        <v/>
      </c>
      <c r="GG30" s="123">
        <f>IF(OR(GG$4="",$B30=""),0,SUMIF('DADOS BRUTOS'!$A$3:$A$500,$B30,'DADOS BRUTOS'!DG$3:DG$500)+IF($C30="",0,SUMIF('DADOS BRUTOS'!$A$3:$A$500,$C30,'DADOS BRUTOS'!DG$3:DG$500)))</f>
        <v/>
      </c>
      <c r="GH30" s="123">
        <f>IF(OR(GH$4="",$B30=""),0,SUMIF('DADOS BRUTOS'!$A$3:$A$500,$B30,'DADOS BRUTOS'!DH$3:DH$500)+IF($C30="",0,SUMIF('DADOS BRUTOS'!$A$3:$A$500,$C30,'DADOS BRUTOS'!DH$3:DH$500)))</f>
        <v/>
      </c>
      <c r="GI30" s="123">
        <f>IF(OR(GI$4="",$B30=""),0,SUMIF('DADOS BRUTOS'!$A$3:$A$500,$B30,'DADOS BRUTOS'!DI$3:DI$500)+IF($C30="",0,SUMIF('DADOS BRUTOS'!$A$3:$A$500,$C30,'DADOS BRUTOS'!DI$3:DI$500)))</f>
        <v/>
      </c>
      <c r="GJ30" s="123">
        <f>IF(OR(GJ$4="",$B30=""),0,SUMIF('DADOS BRUTOS'!$A$3:$A$500,$B30,'DADOS BRUTOS'!DJ$3:DJ$500)+IF($C30="",0,SUMIF('DADOS BRUTOS'!$A$3:$A$500,$C30,'DADOS BRUTOS'!DJ$3:DJ$500)))</f>
        <v/>
      </c>
      <c r="GK30" s="123">
        <f>IF(OR(GK$4="",$B30=""),0,SUMIF('DADOS BRUTOS'!$A$3:$A$500,$B30,'DADOS BRUTOS'!DK$3:DK$500)+IF($C30="",0,SUMIF('DADOS BRUTOS'!$A$3:$A$500,$C30,'DADOS BRUTOS'!DK$3:DK$500)))</f>
        <v/>
      </c>
      <c r="GL30" s="123">
        <f>IF(OR(GL$4="",$B30=""),0,SUMIF('DADOS BRUTOS'!$A$3:$A$500,$B30,'DADOS BRUTOS'!DL$3:DL$500)+IF($C30="",0,SUMIF('DADOS BRUTOS'!$A$3:$A$500,$C30,'DADOS BRUTOS'!DL$3:DL$500)))</f>
        <v/>
      </c>
      <c r="GM30" s="123">
        <f>IF(OR(GM$4="",$B30=""),0,SUMIF('DADOS BRUTOS'!$A$3:$A$500,$B30,'DADOS BRUTOS'!DM$3:DM$500)+IF($C30="",0,SUMIF('DADOS BRUTOS'!$A$3:$A$500,$C30,'DADOS BRUTOS'!DM$3:DM$500)))</f>
        <v/>
      </c>
      <c r="GN30" s="123">
        <f>IF(OR(GN$4="",$B30=""),0,SUMIF('DADOS BRUTOS'!$A$3:$A$500,$B30,'DADOS BRUTOS'!DN$3:DN$500)+IF($C30="",0,SUMIF('DADOS BRUTOS'!$A$3:$A$500,$C30,'DADOS BRUTOS'!DN$3:DN$500)))</f>
        <v/>
      </c>
      <c r="GO30" s="123">
        <f>IF(OR(GO$4="",$B30=""),0,SUMIF('DADOS BRUTOS'!$A$3:$A$500,$B30,'DADOS BRUTOS'!DO$3:DO$500)+IF($C30="",0,SUMIF('DADOS BRUTOS'!$A$3:$A$500,$C30,'DADOS BRUTOS'!DO$3:DO$500)))</f>
        <v/>
      </c>
      <c r="GP30" s="123">
        <f>IF(OR(GP$4="",$B30=""),0,SUMIF('DADOS BRUTOS'!$A$3:$A$500,$B30,'DADOS BRUTOS'!DP$3:DP$500)+IF($C30="",0,SUMIF('DADOS BRUTOS'!$A$3:$A$500,$C30,'DADOS BRUTOS'!DP$3:DP$500)))</f>
        <v/>
      </c>
      <c r="GQ30" s="123">
        <f>IF(OR(GQ$4="",$B30=""),0,SUMIF('DADOS BRUTOS'!$A$3:$A$500,$B30,'DADOS BRUTOS'!DQ$3:DQ$500)+IF($C30="",0,SUMIF('DADOS BRUTOS'!$A$3:$A$500,$C30,'DADOS BRUTOS'!DQ$3:DQ$500)))</f>
        <v/>
      </c>
      <c r="GR30" s="123">
        <f>IF(OR(GR$4="",$B30=""),0,SUMIF('DADOS BRUTOS'!$A$3:$A$500,$B30,'DADOS BRUTOS'!DR$3:DR$500)+IF($C30="",0,SUMIF('DADOS BRUTOS'!$A$3:$A$500,$C30,'DADOS BRUTOS'!DR$3:DR$500)))</f>
        <v/>
      </c>
      <c r="GS30" s="123">
        <f>IF(OR(GS$4="",$B30=""),0,SUMIF('DADOS BRUTOS'!$A$3:$A$500,$B30,'DADOS BRUTOS'!DS$3:DS$500)+IF($C30="",0,SUMIF('DADOS BRUTOS'!$A$3:$A$500,$C30,'DADOS BRUTOS'!DS$3:DS$500)))</f>
        <v/>
      </c>
      <c r="GT30" s="123">
        <f>IF(OR(GT$4="",$B30=""),0,SUMIF('DADOS BRUTOS'!$A$3:$A$500,$B30,'DADOS BRUTOS'!DT$3:DT$500)+IF($C30="",0,SUMIF('DADOS BRUTOS'!$A$3:$A$500,$C30,'DADOS BRUTOS'!DT$3:DT$500)))</f>
        <v/>
      </c>
      <c r="GU30" s="123">
        <f>IF(OR(GU$4="",$B30=""),0,SUMIF('DADOS BRUTOS'!$A$3:$A$500,$B30,'DADOS BRUTOS'!DU$3:DU$500)+IF($C30="",0,SUMIF('DADOS BRUTOS'!$A$3:$A$500,$C30,'DADOS BRUTOS'!DU$3:DU$500)))</f>
        <v/>
      </c>
      <c r="GV30" s="123">
        <f>IF(OR(GV$4="",$B30=""),0,SUMIF('DADOS BRUTOS'!$A$3:$A$500,$B30,'DADOS BRUTOS'!DV$3:DV$500)+IF($C30="",0,SUMIF('DADOS BRUTOS'!$A$3:$A$500,$C30,'DADOS BRUTOS'!DV$3:DV$500)))</f>
        <v/>
      </c>
      <c r="GW30" s="123">
        <f>IF(OR(GW$4="",$B30=""),0,SUMIF('DADOS BRUTOS'!$A$3:$A$500,$B30,'DADOS BRUTOS'!DW$3:DW$500)+IF($C30="",0,SUMIF('DADOS BRUTOS'!$A$3:$A$500,$C30,'DADOS BRUTOS'!DW$3:DW$500)))</f>
        <v/>
      </c>
      <c r="GX30" s="123">
        <f>IF(OR(GX$4="",$B30=""),0,SUMIF('DADOS BRUTOS'!$A$3:$A$500,$B30,'DADOS BRUTOS'!DX$3:DX$500)+IF($C30="",0,SUMIF('DADOS BRUTOS'!$A$3:$A$500,$C30,'DADOS BRUTOS'!DX$3:DX$500)))</f>
        <v/>
      </c>
      <c r="GY30" s="123">
        <f>IF(OR(GY$4="",$B30=""),0,SUMIF('DADOS BRUTOS'!$A$3:$A$500,$B30,'DADOS BRUTOS'!DY$3:DY$500)+IF($C30="",0,SUMIF('DADOS BRUTOS'!$A$3:$A$500,$C30,'DADOS BRUTOS'!DY$3:DY$500)))</f>
        <v/>
      </c>
      <c r="GZ30" s="123">
        <f>IF(OR(GZ$4="",$B30=""),0,SUMIF('DADOS BRUTOS'!$A$3:$A$500,$B30,'DADOS BRUTOS'!DZ$3:DZ$500)+IF($C30="",0,SUMIF('DADOS BRUTOS'!$A$3:$A$500,$C30,'DADOS BRUTOS'!DZ$3:DZ$500)))</f>
        <v/>
      </c>
      <c r="HA30" s="123">
        <f>IF(OR(HA$4="",$B30=""),0,SUMIF('DADOS BRUTOS'!$A$3:$A$500,$B30,'DADOS BRUTOS'!EA$3:EA$500)+IF($C30="",0,SUMIF('DADOS BRUTOS'!$A$3:$A$500,$C30,'DADOS BRUTOS'!EA$3:EA$500)))</f>
        <v/>
      </c>
      <c r="HB30" s="123">
        <f>IF(OR(HB$4="",$B30=""),0,SUMIF('DADOS BRUTOS'!$A$3:$A$500,$B30,'DADOS BRUTOS'!EB$3:EB$500)+IF($C30="",0,SUMIF('DADOS BRUTOS'!$A$3:$A$500,$C30,'DADOS BRUTOS'!EB$3:EB$500)))</f>
        <v/>
      </c>
      <c r="HC30" s="123">
        <f>IF(OR(HC$4="",$B30=""),0,SUMIF('DADOS BRUTOS'!$A$3:$A$500,$B30,'DADOS BRUTOS'!EC$3:EC$500)+IF($C30="",0,SUMIF('DADOS BRUTOS'!$A$3:$A$500,$C30,'DADOS BRUTOS'!EC$3:EC$500)))</f>
        <v/>
      </c>
      <c r="HD30" s="123">
        <f>IF(OR(HD$4="",$B30=""),0,SUMIF('DADOS BRUTOS'!$A$3:$A$500,$B30,'DADOS BRUTOS'!ED$3:ED$500)+IF($C30="",0,SUMIF('DADOS BRUTOS'!$A$3:$A$500,$C30,'DADOS BRUTOS'!ED$3:ED$500)))</f>
        <v/>
      </c>
      <c r="HE30" s="123">
        <f>IF(OR(HE$4="",$B30=""),0,SUMIF('DADOS BRUTOS'!$A$3:$A$500,$B30,'DADOS BRUTOS'!EE$3:EE$500)+IF($C30="",0,SUMIF('DADOS BRUTOS'!$A$3:$A$500,$C30,'DADOS BRUTOS'!EE$3:EE$500)))</f>
        <v/>
      </c>
      <c r="HF30" s="123">
        <f>IF(OR(HF$4="",$B30=""),0,SUMIF('DADOS BRUTOS'!$A$3:$A$500,$B30,'DADOS BRUTOS'!EF$3:EF$500)+IF($C30="",0,SUMIF('DADOS BRUTOS'!$A$3:$A$500,$C30,'DADOS BRUTOS'!EF$3:EF$500)))</f>
        <v/>
      </c>
      <c r="HG30" s="123">
        <f>IF(OR(HG$4="",$B30=""),0,SUMIF('DADOS BRUTOS'!$A$3:$A$500,$B30,'DADOS BRUTOS'!EG$3:EG$500)+IF($C30="",0,SUMIF('DADOS BRUTOS'!$A$3:$A$500,$C30,'DADOS BRUTOS'!EG$3:EG$500)))</f>
        <v/>
      </c>
      <c r="HH30" s="123">
        <f>IF(OR(HH$4="",$B30=""),0,SUMIF('DADOS BRUTOS'!$A$3:$A$500,$B30,'DADOS BRUTOS'!EH$3:EH$500)+IF($C30="",0,SUMIF('DADOS BRUTOS'!$A$3:$A$500,$C30,'DADOS BRUTOS'!EH$3:EH$500)))</f>
        <v/>
      </c>
      <c r="HI30" s="123">
        <f>IF(OR(HI$4="",$B30=""),0,SUMIF('DADOS BRUTOS'!$A$3:$A$500,$B30,'DADOS BRUTOS'!EI$3:EI$500)+IF($C30="",0,SUMIF('DADOS BRUTOS'!$A$3:$A$500,$C30,'DADOS BRUTOS'!EI$3:EI$500)))</f>
        <v/>
      </c>
      <c r="HJ30" s="123">
        <f>IF(OR(HJ$4="",$B30=""),0,SUMIF('DADOS BRUTOS'!$A$3:$A$500,$B30,'DADOS BRUTOS'!EJ$3:EJ$500)+IF($C30="",0,SUMIF('DADOS BRUTOS'!$A$3:$A$500,$C30,'DADOS BRUTOS'!EJ$3:EJ$500)))</f>
        <v/>
      </c>
      <c r="HK30" s="123">
        <f>IF(OR(HK$4="",$B30=""),0,SUMIF('DADOS BRUTOS'!$A$3:$A$500,$B30,'DADOS BRUTOS'!EK$3:EK$500)+IF($C30="",0,SUMIF('DADOS BRUTOS'!$A$3:$A$500,$C30,'DADOS BRUTOS'!EK$3:EK$500)))</f>
        <v/>
      </c>
      <c r="HL30" s="123">
        <f>IF(OR(HL$4="",$B30=""),0,SUMIF('DADOS BRUTOS'!$A$3:$A$500,$B30,'DADOS BRUTOS'!EL$3:EL$500)+IF($C30="",0,SUMIF('DADOS BRUTOS'!$A$3:$A$500,$C30,'DADOS BRUTOS'!EL$3:EL$500)))</f>
        <v/>
      </c>
      <c r="HM30" s="123">
        <f>IF(OR(HM$4="",$B30=""),0,SUMIF('DADOS BRUTOS'!$A$3:$A$500,$B30,'DADOS BRUTOS'!EM$3:EM$500)+IF($C30="",0,SUMIF('DADOS BRUTOS'!$A$3:$A$500,$C30,'DADOS BRUTOS'!EM$3:EM$500)))</f>
        <v/>
      </c>
      <c r="HN30" s="123">
        <f>IF(OR(HN$4="",$B30=""),0,SUMIF('DADOS BRUTOS'!$A$3:$A$500,$B30,'DADOS BRUTOS'!EN$3:EN$500)+IF($C30="",0,SUMIF('DADOS BRUTOS'!$A$3:$A$500,$C30,'DADOS BRUTOS'!EN$3:EN$500)))</f>
        <v/>
      </c>
      <c r="HO30" s="123">
        <f>IF(OR(HO$4="",$B30=""),0,SUMIF('DADOS BRUTOS'!$A$3:$A$500,$B30,'DADOS BRUTOS'!EO$3:EO$500)+IF($C30="",0,SUMIF('DADOS BRUTOS'!$A$3:$A$500,$C30,'DADOS BRUTOS'!EO$3:EO$500)))</f>
        <v/>
      </c>
      <c r="HP30" s="123">
        <f>IF(OR(HP$4="",$B30=""),0,SUMIF('DADOS BRUTOS'!$A$3:$A$500,$B30,'DADOS BRUTOS'!EP$3:EP$500)+IF($C30="",0,SUMIF('DADOS BRUTOS'!$A$3:$A$500,$C30,'DADOS BRUTOS'!EP$3:EP$500)))</f>
        <v/>
      </c>
      <c r="HQ30" s="123">
        <f>IF(OR(HQ$4="",$B30=""),0,SUMIF('DADOS BRUTOS'!$A$3:$A$500,$B30,'DADOS BRUTOS'!EQ$3:EQ$500)+IF($C30="",0,SUMIF('DADOS BRUTOS'!$A$3:$A$500,$C30,'DADOS BRUTOS'!EQ$3:EQ$500)))</f>
        <v/>
      </c>
      <c r="HR30" s="123">
        <f>IF(OR(HR$4="",$B30=""),0,SUMIF('DADOS BRUTOS'!$A$3:$A$500,$B30,'DADOS BRUTOS'!ER$3:ER$500)+IF($C30="",0,SUMIF('DADOS BRUTOS'!$A$3:$A$500,$C30,'DADOS BRUTOS'!ER$3:ER$500)))</f>
        <v/>
      </c>
      <c r="HS30" s="123">
        <f>IF(OR(HS$4="",$B30=""),0,SUMIF('DADOS BRUTOS'!$A$3:$A$500,$B30,'DADOS BRUTOS'!ES$3:ES$500)+IF($C30="",0,SUMIF('DADOS BRUTOS'!$A$3:$A$500,$C30,'DADOS BRUTOS'!ES$3:ES$500)))</f>
        <v/>
      </c>
      <c r="HT30" s="123">
        <f>IF(OR(HT$4="",$B30=""),0,SUMIF('DADOS BRUTOS'!$A$3:$A$500,$B30,'DADOS BRUTOS'!ET$3:ET$500)+IF($C30="",0,SUMIF('DADOS BRUTOS'!$A$3:$A$500,$C30,'DADOS BRUTOS'!ET$3:ET$500)))</f>
        <v/>
      </c>
      <c r="HU30" s="123">
        <f>IF(OR(HU$4="",$B30=""),0,SUMIF('DADOS BRUTOS'!$A$3:$A$500,$B30,'DADOS BRUTOS'!EU$3:EU$500)+IF($C30="",0,SUMIF('DADOS BRUTOS'!$A$3:$A$500,$C30,'DADOS BRUTOS'!EU$3:EU$500)))</f>
        <v/>
      </c>
      <c r="HV30" s="123">
        <f>IF(OR(HV$4="",$B30=""),0,SUMIF('DADOS BRUTOS'!$A$3:$A$500,$B30,'DADOS BRUTOS'!EV$3:EV$500)+IF($C30="",0,SUMIF('DADOS BRUTOS'!$A$3:$A$500,$C30,'DADOS BRUTOS'!EV$3:EV$500)))</f>
        <v/>
      </c>
      <c r="HW30" s="123">
        <f>IF(OR(HW$4="",$B30=""),0,SUMIF('DADOS BRUTOS'!$A$3:$A$500,$B30,'DADOS BRUTOS'!EW$3:EW$500)+IF($C30="",0,SUMIF('DADOS BRUTOS'!$A$3:$A$500,$C30,'DADOS BRUTOS'!EW$3:EW$500)))</f>
        <v/>
      </c>
      <c r="HX30" s="123">
        <f>IF(OR(HX$4="",$B30=""),0,SUMIF('DADOS BRUTOS'!$A$3:$A$500,$B30,'DADOS BRUTOS'!EX$3:EX$500)+IF($C30="",0,SUMIF('DADOS BRUTOS'!$A$3:$A$500,$C30,'DADOS BRUTOS'!EX$3:EX$500)))</f>
        <v/>
      </c>
      <c r="HY30" s="123">
        <f>IF(OR(HY$4="",$B30=""),0,SUMIF('DADOS BRUTOS'!$A$3:$A$500,$B30,'DADOS BRUTOS'!EY$3:EY$500)+IF($C30="",0,SUMIF('DADOS BRUTOS'!$A$3:$A$500,$C30,'DADOS BRUTOS'!EY$3:EY$500)))</f>
        <v/>
      </c>
      <c r="HZ30" s="123">
        <f>IF(OR(HZ$4="",$B30=""),0,SUMIF('DADOS BRUTOS'!$A$3:$A$500,$B30,'DADOS BRUTOS'!EZ$3:EZ$500)+IF($C30="",0,SUMIF('DADOS BRUTOS'!$A$3:$A$500,$C30,'DADOS BRUTOS'!EZ$3:EZ$500)))</f>
        <v/>
      </c>
      <c r="IA30" s="123">
        <f>IF(OR(IA$4="",$B30=""),0,SUMIF('DADOS BRUTOS'!$A$3:$A$500,$B30,'DADOS BRUTOS'!FA$3:FA$500)+IF($C30="",0,SUMIF('DADOS BRUTOS'!$A$3:$A$500,$C30,'DADOS BRUTOS'!FA$3:FA$500)))</f>
        <v/>
      </c>
      <c r="IB30" s="123">
        <f>IF(OR(IB$4="",$B30=""),0,SUMIF('DADOS BRUTOS'!$A$3:$A$500,$B30,'DADOS BRUTOS'!FB$3:FB$500)+IF($C30="",0,SUMIF('DADOS BRUTOS'!$A$3:$A$500,$C30,'DADOS BRUTOS'!FB$3:FB$500)))</f>
        <v/>
      </c>
      <c r="IC30" s="123">
        <f>IF(OR(IC$4="",$B30=""),0,SUMIF('DADOS BRUTOS'!$A$3:$A$500,$B30,'DADOS BRUTOS'!FC$3:FC$500)+IF($C30="",0,SUMIF('DADOS BRUTOS'!$A$3:$A$500,$C30,'DADOS BRUTOS'!FC$3:FC$500)))</f>
        <v/>
      </c>
      <c r="ID30" s="123">
        <f>IF(OR(ID$4="",$B30=""),0,SUMIF('DADOS BRUTOS'!$A$3:$A$500,$B30,'DADOS BRUTOS'!FD$3:FD$500)+IF($C30="",0,SUMIF('DADOS BRUTOS'!$A$3:$A$500,$C30,'DADOS BRUTOS'!FD$3:FD$500)))</f>
        <v/>
      </c>
      <c r="IE30" s="123">
        <f>IF(OR(IE$4="",$B30=""),0,SUMIF('DADOS BRUTOS'!$A$3:$A$500,$B30,'DADOS BRUTOS'!FE$3:FE$500)+IF($C30="",0,SUMIF('DADOS BRUTOS'!$A$3:$A$500,$C30,'DADOS BRUTOS'!FE$3:FE$500)))</f>
        <v/>
      </c>
      <c r="IF30" s="123">
        <f>IF(OR(IF$4="",$B30=""),0,SUMIF('DADOS BRUTOS'!$A$3:$A$500,$B30,'DADOS BRUTOS'!FF$3:FF$500)+IF($C30="",0,SUMIF('DADOS BRUTOS'!$A$3:$A$500,$C30,'DADOS BRUTOS'!FF$3:FF$500)))</f>
        <v/>
      </c>
      <c r="IG30" s="123">
        <f>IF(OR(IG$4="",$B30=""),0,SUMIF('DADOS BRUTOS'!$A$3:$A$500,$B30,'DADOS BRUTOS'!FG$3:FG$500)+IF($C30="",0,SUMIF('DADOS BRUTOS'!$A$3:$A$500,$C30,'DADOS BRUTOS'!FG$3:FG$500)))</f>
        <v/>
      </c>
      <c r="IH30" s="123">
        <f>IF(OR(IH$4="",$B30=""),0,SUMIF('DADOS BRUTOS'!$A$3:$A$500,$B30,'DADOS BRUTOS'!FH$3:FH$500)+IF($C30="",0,SUMIF('DADOS BRUTOS'!$A$3:$A$500,$C30,'DADOS BRUTOS'!FH$3:FH$500)))</f>
        <v/>
      </c>
      <c r="II30" s="123">
        <f>IF(OR(II$4="",$B30=""),0,SUMIF('DADOS BRUTOS'!$A$3:$A$500,$B30,'DADOS BRUTOS'!FI$3:FI$500)+IF($C30="",0,SUMIF('DADOS BRUTOS'!$A$3:$A$500,$C30,'DADOS BRUTOS'!FI$3:FI$500)))</f>
        <v/>
      </c>
      <c r="IJ30" s="123">
        <f>IF(OR(IJ$4="",$B30=""),0,SUMIF('DADOS BRUTOS'!$A$3:$A$500,$B30,'DADOS BRUTOS'!FJ$3:FJ$500)+IF($C30="",0,SUMIF('DADOS BRUTOS'!$A$3:$A$500,$C30,'DADOS BRUTOS'!FJ$3:FJ$500)))</f>
        <v/>
      </c>
      <c r="IK30" s="123">
        <f>IF(OR(IK$4="",$B30=""),0,SUMIF('DADOS BRUTOS'!$A$3:$A$500,$B30,'DADOS BRUTOS'!FK$3:FK$500)+IF($C30="",0,SUMIF('DADOS BRUTOS'!$A$3:$A$500,$C30,'DADOS BRUTOS'!FK$3:FK$500)))</f>
        <v/>
      </c>
      <c r="IL30" s="123">
        <f>IF(OR(IL$4="",$B30=""),0,SUMIF('DADOS BRUTOS'!$A$3:$A$500,$B30,'DADOS BRUTOS'!FL$3:FL$500)+IF($C30="",0,SUMIF('DADOS BRUTOS'!$A$3:$A$500,$C30,'DADOS BRUTOS'!FL$3:FL$500)))</f>
        <v/>
      </c>
      <c r="IM30" s="123">
        <f>IF(OR(IM$4="",$B30=""),0,SUMIF('DADOS BRUTOS'!$A$3:$A$500,$B30,'DADOS BRUTOS'!FM$3:FM$500)+IF($C30="",0,SUMIF('DADOS BRUTOS'!$A$3:$A$500,$C30,'DADOS BRUTOS'!FM$3:FM$500)))</f>
        <v/>
      </c>
      <c r="IN30" s="123">
        <f>IF(OR(IN$4="",$B30=""),0,SUMIF('DADOS BRUTOS'!$A$3:$A$500,$B30,'DADOS BRUTOS'!FN$3:FN$500)+IF($C30="",0,SUMIF('DADOS BRUTOS'!$A$3:$A$500,$C30,'DADOS BRUTOS'!FN$3:FN$500)))</f>
        <v/>
      </c>
      <c r="IO30" s="123">
        <f>IF(OR(IO$4="",$B30=""),0,SUMIF('DADOS BRUTOS'!$A$3:$A$500,$B30,'DADOS BRUTOS'!FO$3:FO$500)+IF($C30="",0,SUMIF('DADOS BRUTOS'!$A$3:$A$500,$C30,'DADOS BRUTOS'!FO$3:FO$500)))</f>
        <v/>
      </c>
      <c r="IP30" s="123">
        <f>IF(OR(IP$4="",$B30=""),0,SUMIF('DADOS BRUTOS'!$A$3:$A$500,$B30,'DADOS BRUTOS'!FP$3:FP$500)+IF($C30="",0,SUMIF('DADOS BRUTOS'!$A$3:$A$500,$C30,'DADOS BRUTOS'!FP$3:FP$500)))</f>
        <v/>
      </c>
      <c r="IQ30" s="123">
        <f>IF(OR(IQ$4="",$B30=""),0,SUMIF('DADOS BRUTOS'!$A$3:$A$500,$B30,'DADOS BRUTOS'!FQ$3:FQ$500)+IF($C30="",0,SUMIF('DADOS BRUTOS'!$A$3:$A$500,$C30,'DADOS BRUTOS'!FQ$3:FQ$500)))</f>
        <v/>
      </c>
      <c r="IR30" s="123">
        <f>IF(OR(IR$4="",$B30=""),0,SUMIF('DADOS BRUTOS'!$A$3:$A$500,$B30,'DADOS BRUTOS'!FR$3:FR$500)+IF($C30="",0,SUMIF('DADOS BRUTOS'!$A$3:$A$500,$C30,'DADOS BRUTOS'!FR$3:FR$500)))</f>
        <v/>
      </c>
      <c r="IS30" s="123">
        <f>IF(OR(IS$4="",$B30=""),0,SUMIF('DADOS BRUTOS'!$A$3:$A$500,$B30,'DADOS BRUTOS'!FS$3:FS$500)+IF($C30="",0,SUMIF('DADOS BRUTOS'!$A$3:$A$500,$C30,'DADOS BRUTOS'!FS$3:FS$500)))</f>
        <v/>
      </c>
      <c r="IT30" s="123">
        <f>IF(OR(IT$4="",$B30=""),0,SUMIF('DADOS BRUTOS'!$A$3:$A$500,$B30,'DADOS BRUTOS'!FT$3:FT$500)+IF($C30="",0,SUMIF('DADOS BRUTOS'!$A$3:$A$500,$C30,'DADOS BRUTOS'!FT$3:FT$500)))</f>
        <v/>
      </c>
      <c r="IU30" s="123">
        <f>IF(OR(IU$4="",$B30=""),0,SUMIF('DADOS BRUTOS'!$A$3:$A$500,$B30,'DADOS BRUTOS'!FU$3:FU$500)+IF($C30="",0,SUMIF('DADOS BRUTOS'!$A$3:$A$500,$C30,'DADOS BRUTOS'!FU$3:FU$500)))</f>
        <v/>
      </c>
      <c r="IV30" s="123">
        <f>IF(OR(IV$4="",$B30=""),0,SUMIF('DADOS BRUTOS'!$A$3:$A$500,$B30,'DADOS BRUTOS'!FV$3:FV$500)+IF($C30="",0,SUMIF('DADOS BRUTOS'!$A$3:$A$500,$C30,'DADOS BRUTOS'!FV$3:FV$500)))</f>
        <v/>
      </c>
      <c r="IW30" s="123">
        <f>IF(OR(IW$4="",$B30=""),0,SUMIF('DADOS BRUTOS'!$A$3:$A$500,$B30,'DADOS BRUTOS'!FW$3:FW$500)+IF($C30="",0,SUMIF('DADOS BRUTOS'!$A$3:$A$500,$C30,'DADOS BRUTOS'!FW$3:FW$500)))</f>
        <v/>
      </c>
      <c r="IX30" s="123">
        <f>IF(OR(IX$4="",$B30=""),0,SUMIF('DADOS BRUTOS'!$A$3:$A$500,$B30,'DADOS BRUTOS'!FX$3:FX$500)+IF($C30="",0,SUMIF('DADOS BRUTOS'!$A$3:$A$500,$C30,'DADOS BRUTOS'!FX$3:FX$500)))</f>
        <v/>
      </c>
      <c r="IY30" s="123">
        <f>IF(OR(IY$4="",$B30=""),0,SUMIF('DADOS BRUTOS'!$A$3:$A$500,$B30,'DADOS BRUTOS'!FY$3:FY$500)+IF($C30="",0,SUMIF('DADOS BRUTOS'!$A$3:$A$500,$C30,'DADOS BRUTOS'!FY$3:FY$500)))</f>
        <v/>
      </c>
      <c r="IZ30" s="123">
        <f>IF(OR(IZ$4="",$B30=""),0,SUMIF('DADOS BRUTOS'!$A$3:$A$500,$B30,'DADOS BRUTOS'!FZ$3:FZ$500)+IF($C30="",0,SUMIF('DADOS BRUTOS'!$A$3:$A$500,$C30,'DADOS BRUTOS'!FZ$3:FZ$500)))</f>
        <v/>
      </c>
      <c r="JA30" s="123">
        <f>IF(OR(JA$4="",$B30=""),0,SUMIF('DADOS BRUTOS'!$A$3:$A$500,$B30,'DADOS BRUTOS'!GA$3:GA$500)+IF($C30="",0,SUMIF('DADOS BRUTOS'!$A$3:$A$500,$C30,'DADOS BRUTOS'!GA$3:GA$500)))</f>
        <v/>
      </c>
      <c r="JB30" s="123">
        <f>IF(OR(JB$4="",$B30=""),0,SUMIF('DADOS BRUTOS'!$A$3:$A$500,$B30,'DADOS BRUTOS'!GB$3:GB$500)+IF($C30="",0,SUMIF('DADOS BRUTOS'!$A$3:$A$500,$C30,'DADOS BRUTOS'!GB$3:GB$500)))</f>
        <v/>
      </c>
      <c r="JC30" s="123">
        <f>IF(OR(JC$4="",$B30=""),0,SUMIF('DADOS BRUTOS'!$A$3:$A$500,$B30,'DADOS BRUTOS'!GC$3:GC$500)+IF($C30="",0,SUMIF('DADOS BRUTOS'!$A$3:$A$500,$C30,'DADOS BRUTOS'!GC$3:GC$500)))</f>
        <v/>
      </c>
      <c r="JD30" s="123">
        <f>IF(OR(JD$4="",$B30=""),0,SUMIF('DADOS BRUTOS'!$A$3:$A$500,$B30,'DADOS BRUTOS'!GD$3:GD$500)+IF($C30="",0,SUMIF('DADOS BRUTOS'!$A$3:$A$500,$C30,'DADOS BRUTOS'!GD$3:GD$500)))</f>
        <v/>
      </c>
      <c r="JE30" s="123">
        <f>IF(OR(JE$4="",$B30=""),0,SUMIF('DADOS BRUTOS'!$A$3:$A$500,$B30,'DADOS BRUTOS'!GE$3:GE$500)+IF($C30="",0,SUMIF('DADOS BRUTOS'!$A$3:$A$500,$C30,'DADOS BRUTOS'!GE$3:GE$500)))</f>
        <v/>
      </c>
      <c r="JF30" s="123">
        <f>IF(OR(JF$4="",$B30=""),0,SUMIF('DADOS BRUTOS'!$A$3:$A$500,$B30,'DADOS BRUTOS'!GF$3:GF$500)+IF($C30="",0,SUMIF('DADOS BRUTOS'!$A$3:$A$500,$C30,'DADOS BRUTOS'!GF$3:GF$500)))</f>
        <v/>
      </c>
      <c r="JG30" s="123">
        <f>IF(OR(JG$4="",$B30=""),0,SUMIF('DADOS BRUTOS'!$A$3:$A$500,$B30,'DADOS BRUTOS'!GG$3:GG$500)+IF($C30="",0,SUMIF('DADOS BRUTOS'!$A$3:$A$500,$C30,'DADOS BRUTOS'!GG$3:GG$500)))</f>
        <v/>
      </c>
      <c r="JH30" s="123">
        <f>IF(OR(JH$4="",$B30=""),0,SUMIF('DADOS BRUTOS'!$A$3:$A$500,$B30,'DADOS BRUTOS'!GH$3:GH$500)+IF($C30="",0,SUMIF('DADOS BRUTOS'!$A$3:$A$500,$C30,'DADOS BRUTOS'!GH$3:GH$500)))</f>
        <v/>
      </c>
      <c r="JI30" s="123">
        <f>IF(OR(JI$4="",$B30=""),0,SUMIF('DADOS BRUTOS'!$A$3:$A$500,$B30,'DADOS BRUTOS'!GI$3:GI$500)+IF($C30="",0,SUMIF('DADOS BRUTOS'!$A$3:$A$500,$C30,'DADOS BRUTOS'!GI$3:GI$500)))</f>
        <v/>
      </c>
      <c r="JJ30" s="123">
        <f>IF(OR(JJ$4="",$B30=""),0,SUMIF('DADOS BRUTOS'!$A$3:$A$500,$B30,'DADOS BRUTOS'!GJ$3:GJ$500)+IF($C30="",0,SUMIF('DADOS BRUTOS'!$A$3:$A$500,$C30,'DADOS BRUTOS'!GJ$3:GJ$500)))</f>
        <v/>
      </c>
      <c r="JK30" s="123">
        <f>IF(OR(JK$4="",$B30=""),0,SUMIF('DADOS BRUTOS'!$A$3:$A$500,$B30,'DADOS BRUTOS'!GK$3:GK$500)+IF($C30="",0,SUMIF('DADOS BRUTOS'!$A$3:$A$500,$C30,'DADOS BRUTOS'!GK$3:GK$500)))</f>
        <v/>
      </c>
      <c r="JL30" s="123">
        <f>IF(OR(JL$4="",$B30=""),0,SUMIF('DADOS BRUTOS'!$A$3:$A$500,$B30,'DADOS BRUTOS'!GL$3:GL$500)+IF($C30="",0,SUMIF('DADOS BRUTOS'!$A$3:$A$500,$C30,'DADOS BRUTOS'!GL$3:GL$500)))</f>
        <v/>
      </c>
      <c r="JM30" s="123">
        <f>IF(OR(JM$4="",$B30=""),0,SUMIF('DADOS BRUTOS'!$A$3:$A$500,$B30,'DADOS BRUTOS'!GM$3:GM$500)+IF($C30="",0,SUMIF('DADOS BRUTOS'!$A$3:$A$500,$C30,'DADOS BRUTOS'!GM$3:GM$500)))</f>
        <v/>
      </c>
      <c r="JN30" s="123">
        <f>IF(OR(JN$4="",$B30=""),0,SUMIF('DADOS BRUTOS'!$A$3:$A$500,$B30,'DADOS BRUTOS'!GN$3:GN$500)+IF($C30="",0,SUMIF('DADOS BRUTOS'!$A$3:$A$500,$C30,'DADOS BRUTOS'!GN$3:GN$500)))</f>
        <v/>
      </c>
      <c r="JO30" s="123">
        <f>IF(OR(JO$4="",$B30=""),0,SUMIF('DADOS BRUTOS'!$A$3:$A$500,$B30,'DADOS BRUTOS'!GO$3:GO$500)+IF($C30="",0,SUMIF('DADOS BRUTOS'!$A$3:$A$500,$C30,'DADOS BRUTOS'!GO$3:GO$500)))</f>
        <v/>
      </c>
      <c r="JP30" s="123">
        <f>IF(OR(JP$4="",$B30=""),0,SUMIF('DADOS BRUTOS'!$A$3:$A$500,$B30,'DADOS BRUTOS'!GP$3:GP$500)+IF($C30="",0,SUMIF('DADOS BRUTOS'!$A$3:$A$500,$C30,'DADOS BRUTOS'!GP$3:GP$500)))</f>
        <v/>
      </c>
      <c r="JQ30" s="123">
        <f>IF(OR(JQ$4="",$B30=""),0,SUMIF('DADOS BRUTOS'!$A$3:$A$500,$B30,'DADOS BRUTOS'!GQ$3:GQ$500)+IF($C30="",0,SUMIF('DADOS BRUTOS'!$A$3:$A$500,$C30,'DADOS BRUTOS'!GQ$3:GQ$500)))</f>
        <v/>
      </c>
      <c r="JR30" s="123">
        <f>IF(OR(JR$4="",$B30=""),0,SUMIF('DADOS BRUTOS'!$A$3:$A$500,$B30,'DADOS BRUTOS'!GR$3:GR$500)+IF($C30="",0,SUMIF('DADOS BRUTOS'!$A$3:$A$500,$C30,'DADOS BRUTOS'!GR$3:GR$500)))</f>
        <v/>
      </c>
      <c r="JS30" s="123">
        <f>IF(OR(JS$4="",$B30=""),0,SUMIF('DADOS BRUTOS'!$A$3:$A$500,$B30,'DADOS BRUTOS'!GS$3:GS$500)+IF($C30="",0,SUMIF('DADOS BRUTOS'!$A$3:$A$500,$C30,'DADOS BRUTOS'!GS$3:GS$500)))</f>
        <v/>
      </c>
    </row>
    <row r="31">
      <c r="A31" s="60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CB31" s="123">
        <f>IF(OR(CB$4="",$B31=""),0,SUMIF('DADOS BRUTOS'!$A$3:$A$500,$B31,'DADOS BRUTOS'!B$3:B$500)+IF($C31="",0,SUMIF('DADOS BRUTOS'!$A$3:$A$500,$C31,'DADOS BRUTOS'!B$3:B$500)))</f>
        <v/>
      </c>
      <c r="CC31" s="123">
        <f>IF(OR(CC$4="",$B31=""),0,SUMIF('DADOS BRUTOS'!$A$3:$A$500,$B31,'DADOS BRUTOS'!C$3:C$500)+IF($C31="",0,SUMIF('DADOS BRUTOS'!$A$3:$A$500,$C31,'DADOS BRUTOS'!C$3:C$500)))</f>
        <v/>
      </c>
      <c r="CD31" s="123">
        <f>IF(OR(CD$4="",$B31=""),0,SUMIF('DADOS BRUTOS'!$A$3:$A$500,$B31,'DADOS BRUTOS'!D$3:D$500)+IF($C31="",0,SUMIF('DADOS BRUTOS'!$A$3:$A$500,$C31,'DADOS BRUTOS'!D$3:D$500)))</f>
        <v/>
      </c>
      <c r="CE31" s="123">
        <f>IF(OR(CE$4="",$B31=""),0,SUMIF('DADOS BRUTOS'!$A$3:$A$500,$B31,'DADOS BRUTOS'!E$3:E$500)+IF($C31="",0,SUMIF('DADOS BRUTOS'!$A$3:$A$500,$C31,'DADOS BRUTOS'!E$3:E$500)))</f>
        <v/>
      </c>
      <c r="CF31" s="123">
        <f>IF(OR(CF$4="",$B31=""),0,SUMIF('DADOS BRUTOS'!$A$3:$A$500,$B31,'DADOS BRUTOS'!F$3:F$500)+IF($C31="",0,SUMIF('DADOS BRUTOS'!$A$3:$A$500,$C31,'DADOS BRUTOS'!F$3:F$500)))</f>
        <v/>
      </c>
      <c r="CG31" s="123">
        <f>IF(OR(CG$4="",$B31=""),0,SUMIF('DADOS BRUTOS'!$A$3:$A$500,$B31,'DADOS BRUTOS'!G$3:G$500)+IF($C31="",0,SUMIF('DADOS BRUTOS'!$A$3:$A$500,$C31,'DADOS BRUTOS'!G$3:G$500)))</f>
        <v/>
      </c>
      <c r="CH31" s="123">
        <f>IF(OR(CH$4="",$B31=""),0,SUMIF('DADOS BRUTOS'!$A$3:$A$500,$B31,'DADOS BRUTOS'!H$3:H$500)+IF($C31="",0,SUMIF('DADOS BRUTOS'!$A$3:$A$500,$C31,'DADOS BRUTOS'!H$3:H$500)))</f>
        <v/>
      </c>
      <c r="CI31" s="123">
        <f>IF(OR(CI$4="",$B31=""),0,SUMIF('DADOS BRUTOS'!$A$3:$A$500,$B31,'DADOS BRUTOS'!I$3:I$500)+IF($C31="",0,SUMIF('DADOS BRUTOS'!$A$3:$A$500,$C31,'DADOS BRUTOS'!I$3:I$500)))</f>
        <v/>
      </c>
      <c r="CJ31" s="123">
        <f>IF(OR(CJ$4="",$B31=""),0,SUMIF('DADOS BRUTOS'!$A$3:$A$500,$B31,'DADOS BRUTOS'!J$3:J$500)+IF($C31="",0,SUMIF('DADOS BRUTOS'!$A$3:$A$500,$C31,'DADOS BRUTOS'!J$3:J$500)))</f>
        <v/>
      </c>
      <c r="CK31" s="123">
        <f>IF(OR(CK$4="",$B31=""),0,SUMIF('DADOS BRUTOS'!$A$3:$A$500,$B31,'DADOS BRUTOS'!K$3:K$500)+IF($C31="",0,SUMIF('DADOS BRUTOS'!$A$3:$A$500,$C31,'DADOS BRUTOS'!K$3:K$500)))</f>
        <v/>
      </c>
      <c r="CL31" s="123">
        <f>IF(OR(CL$4="",$B31=""),0,SUMIF('DADOS BRUTOS'!$A$3:$A$500,$B31,'DADOS BRUTOS'!L$3:L$500)+IF($C31="",0,SUMIF('DADOS BRUTOS'!$A$3:$A$500,$C31,'DADOS BRUTOS'!L$3:L$500)))</f>
        <v/>
      </c>
      <c r="CM31" s="123">
        <f>IF(OR(CM$4="",$B31=""),0,SUMIF('DADOS BRUTOS'!$A$3:$A$500,$B31,'DADOS BRUTOS'!M$3:M$500)+IF($C31="",0,SUMIF('DADOS BRUTOS'!$A$3:$A$500,$C31,'DADOS BRUTOS'!M$3:M$500)))</f>
        <v/>
      </c>
      <c r="CN31" s="123">
        <f>IF(OR(CN$4="",$B31=""),0,SUMIF('DADOS BRUTOS'!$A$3:$A$500,$B31,'DADOS BRUTOS'!N$3:N$500)+IF($C31="",0,SUMIF('DADOS BRUTOS'!$A$3:$A$500,$C31,'DADOS BRUTOS'!N$3:N$500)))</f>
        <v/>
      </c>
      <c r="CO31" s="123">
        <f>IF(OR(CO$4="",$B31=""),0,SUMIF('DADOS BRUTOS'!$A$3:$A$500,$B31,'DADOS BRUTOS'!O$3:O$500)+IF($C31="",0,SUMIF('DADOS BRUTOS'!$A$3:$A$500,$C31,'DADOS BRUTOS'!O$3:O$500)))</f>
        <v/>
      </c>
      <c r="CP31" s="123">
        <f>IF(OR(CP$4="",$B31=""),0,SUMIF('DADOS BRUTOS'!$A$3:$A$500,$B31,'DADOS BRUTOS'!P$3:P$500)+IF($C31="",0,SUMIF('DADOS BRUTOS'!$A$3:$A$500,$C31,'DADOS BRUTOS'!P$3:P$500)))</f>
        <v/>
      </c>
      <c r="CQ31" s="123">
        <f>IF(OR(CQ$4="",$B31=""),0,SUMIF('DADOS BRUTOS'!$A$3:$A$500,$B31,'DADOS BRUTOS'!Q$3:Q$500)+IF($C31="",0,SUMIF('DADOS BRUTOS'!$A$3:$A$500,$C31,'DADOS BRUTOS'!Q$3:Q$500)))</f>
        <v/>
      </c>
      <c r="CR31" s="123">
        <f>IF(OR(CR$4="",$B31=""),0,SUMIF('DADOS BRUTOS'!$A$3:$A$500,$B31,'DADOS BRUTOS'!R$3:R$500)+IF($C31="",0,SUMIF('DADOS BRUTOS'!$A$3:$A$500,$C31,'DADOS BRUTOS'!R$3:R$500)))</f>
        <v/>
      </c>
      <c r="CS31" s="123">
        <f>IF(OR(CS$4="",$B31=""),0,SUMIF('DADOS BRUTOS'!$A$3:$A$500,$B31,'DADOS BRUTOS'!S$3:S$500)+IF($C31="",0,SUMIF('DADOS BRUTOS'!$A$3:$A$500,$C31,'DADOS BRUTOS'!S$3:S$500)))</f>
        <v/>
      </c>
      <c r="CT31" s="123">
        <f>IF(OR(CT$4="",$B31=""),0,SUMIF('DADOS BRUTOS'!$A$3:$A$500,$B31,'DADOS BRUTOS'!T$3:T$500)+IF($C31="",0,SUMIF('DADOS BRUTOS'!$A$3:$A$500,$C31,'DADOS BRUTOS'!T$3:T$500)))</f>
        <v/>
      </c>
      <c r="CU31" s="123">
        <f>IF(OR(CU$4="",$B31=""),0,SUMIF('DADOS BRUTOS'!$A$3:$A$500,$B31,'DADOS BRUTOS'!U$3:U$500)+IF($C31="",0,SUMIF('DADOS BRUTOS'!$A$3:$A$500,$C31,'DADOS BRUTOS'!U$3:U$500)))</f>
        <v/>
      </c>
      <c r="CV31" s="123">
        <f>IF(OR(CV$4="",$B31=""),0,SUMIF('DADOS BRUTOS'!$A$3:$A$500,$B31,'DADOS BRUTOS'!V$3:V$500)+IF($C31="",0,SUMIF('DADOS BRUTOS'!$A$3:$A$500,$C31,'DADOS BRUTOS'!V$3:V$500)))</f>
        <v/>
      </c>
      <c r="CW31" s="123">
        <f>IF(OR(CW$4="",$B31=""),0,SUMIF('DADOS BRUTOS'!$A$3:$A$500,$B31,'DADOS BRUTOS'!W$3:W$500)+IF($C31="",0,SUMIF('DADOS BRUTOS'!$A$3:$A$500,$C31,'DADOS BRUTOS'!W$3:W$500)))</f>
        <v/>
      </c>
      <c r="CX31" s="123">
        <f>IF(OR(CX$4="",$B31=""),0,SUMIF('DADOS BRUTOS'!$A$3:$A$500,$B31,'DADOS BRUTOS'!X$3:X$500)+IF($C31="",0,SUMIF('DADOS BRUTOS'!$A$3:$A$500,$C31,'DADOS BRUTOS'!X$3:X$500)))</f>
        <v/>
      </c>
      <c r="CY31" s="123">
        <f>IF(OR(CY$4="",$B31=""),0,SUMIF('DADOS BRUTOS'!$A$3:$A$500,$B31,'DADOS BRUTOS'!Y$3:Y$500)+IF($C31="",0,SUMIF('DADOS BRUTOS'!$A$3:$A$500,$C31,'DADOS BRUTOS'!Y$3:Y$500)))</f>
        <v/>
      </c>
      <c r="CZ31" s="123">
        <f>IF(OR(CZ$4="",$B31=""),0,SUMIF('DADOS BRUTOS'!$A$3:$A$500,$B31,'DADOS BRUTOS'!Z$3:Z$500)+IF($C31="",0,SUMIF('DADOS BRUTOS'!$A$3:$A$500,$C31,'DADOS BRUTOS'!Z$3:Z$500)))</f>
        <v/>
      </c>
      <c r="DA31" s="123">
        <f>IF(OR(DA$4="",$B31=""),0,SUMIF('DADOS BRUTOS'!$A$3:$A$500,$B31,'DADOS BRUTOS'!AA$3:AA$500)+IF($C31="",0,SUMIF('DADOS BRUTOS'!$A$3:$A$500,$C31,'DADOS BRUTOS'!AA$3:AA$500)))</f>
        <v/>
      </c>
      <c r="DB31" s="123">
        <f>IF(OR(DB$4="",$B31=""),0,SUMIF('DADOS BRUTOS'!$A$3:$A$500,$B31,'DADOS BRUTOS'!AB$3:AB$500)+IF($C31="",0,SUMIF('DADOS BRUTOS'!$A$3:$A$500,$C31,'DADOS BRUTOS'!AB$3:AB$500)))</f>
        <v/>
      </c>
      <c r="DC31" s="123">
        <f>IF(OR(DC$4="",$B31=""),0,SUMIF('DADOS BRUTOS'!$A$3:$A$500,$B31,'DADOS BRUTOS'!AC$3:AC$500)+IF($C31="",0,SUMIF('DADOS BRUTOS'!$A$3:$A$500,$C31,'DADOS BRUTOS'!AC$3:AC$500)))</f>
        <v/>
      </c>
      <c r="DD31" s="123">
        <f>IF(OR(DD$4="",$B31=""),0,SUMIF('DADOS BRUTOS'!$A$3:$A$500,$B31,'DADOS BRUTOS'!AD$3:AD$500)+IF($C31="",0,SUMIF('DADOS BRUTOS'!$A$3:$A$500,$C31,'DADOS BRUTOS'!AD$3:AD$500)))</f>
        <v/>
      </c>
      <c r="DE31" s="123">
        <f>IF(OR(DE$4="",$B31=""),0,SUMIF('DADOS BRUTOS'!$A$3:$A$500,$B31,'DADOS BRUTOS'!AE$3:AE$500)+IF($C31="",0,SUMIF('DADOS BRUTOS'!$A$3:$A$500,$C31,'DADOS BRUTOS'!AE$3:AE$500)))</f>
        <v/>
      </c>
      <c r="DF31" s="123">
        <f>IF(OR(DF$4="",$B31=""),0,SUMIF('DADOS BRUTOS'!$A$3:$A$500,$B31,'DADOS BRUTOS'!AF$3:AF$500)+IF($C31="",0,SUMIF('DADOS BRUTOS'!$A$3:$A$500,$C31,'DADOS BRUTOS'!AF$3:AF$500)))</f>
        <v/>
      </c>
      <c r="DG31" s="123">
        <f>IF(OR(DG$4="",$B31=""),0,SUMIF('DADOS BRUTOS'!$A$3:$A$500,$B31,'DADOS BRUTOS'!AG$3:AG$500)+IF($C31="",0,SUMIF('DADOS BRUTOS'!$A$3:$A$500,$C31,'DADOS BRUTOS'!AG$3:AG$500)))</f>
        <v/>
      </c>
      <c r="DH31" s="123">
        <f>IF(OR(DH$4="",$B31=""),0,SUMIF('DADOS BRUTOS'!$A$3:$A$500,$B31,'DADOS BRUTOS'!AH$3:AH$500)+IF($C31="",0,SUMIF('DADOS BRUTOS'!$A$3:$A$500,$C31,'DADOS BRUTOS'!AH$3:AH$500)))</f>
        <v/>
      </c>
      <c r="DI31" s="123">
        <f>IF(OR(DI$4="",$B31=""),0,SUMIF('DADOS BRUTOS'!$A$3:$A$500,$B31,'DADOS BRUTOS'!AI$3:AI$500)+IF($C31="",0,SUMIF('DADOS BRUTOS'!$A$3:$A$500,$C31,'DADOS BRUTOS'!AI$3:AI$500)))</f>
        <v/>
      </c>
      <c r="DJ31" s="123">
        <f>IF(OR(DJ$4="",$B31=""),0,SUMIF('DADOS BRUTOS'!$A$3:$A$500,$B31,'DADOS BRUTOS'!AJ$3:AJ$500)+IF($C31="",0,SUMIF('DADOS BRUTOS'!$A$3:$A$500,$C31,'DADOS BRUTOS'!AJ$3:AJ$500)))</f>
        <v/>
      </c>
      <c r="DK31" s="123">
        <f>IF(OR(DK$4="",$B31=""),0,SUMIF('DADOS BRUTOS'!$A$3:$A$500,$B31,'DADOS BRUTOS'!AK$3:AK$500)+IF($C31="",0,SUMIF('DADOS BRUTOS'!$A$3:$A$500,$C31,'DADOS BRUTOS'!AK$3:AK$500)))</f>
        <v/>
      </c>
      <c r="DL31" s="123">
        <f>IF(OR(DL$4="",$B31=""),0,SUMIF('DADOS BRUTOS'!$A$3:$A$500,$B31,'DADOS BRUTOS'!AL$3:AL$500)+IF($C31="",0,SUMIF('DADOS BRUTOS'!$A$3:$A$500,$C31,'DADOS BRUTOS'!AL$3:AL$500)))</f>
        <v/>
      </c>
      <c r="DM31" s="123">
        <f>IF(OR(DM$4="",$B31=""),0,SUMIF('DADOS BRUTOS'!$A$3:$A$500,$B31,'DADOS BRUTOS'!AM$3:AM$500)+IF($C31="",0,SUMIF('DADOS BRUTOS'!$A$3:$A$500,$C31,'DADOS BRUTOS'!AM$3:AM$500)))</f>
        <v/>
      </c>
      <c r="DN31" s="123">
        <f>IF(OR(DN$4="",$B31=""),0,SUMIF('DADOS BRUTOS'!$A$3:$A$500,$B31,'DADOS BRUTOS'!AN$3:AN$500)+IF($C31="",0,SUMIF('DADOS BRUTOS'!$A$3:$A$500,$C31,'DADOS BRUTOS'!AN$3:AN$500)))</f>
        <v/>
      </c>
      <c r="DO31" s="123">
        <f>IF(OR(DO$4="",$B31=""),0,SUMIF('DADOS BRUTOS'!$A$3:$A$500,$B31,'DADOS BRUTOS'!AO$3:AO$500)+IF($C31="",0,SUMIF('DADOS BRUTOS'!$A$3:$A$500,$C31,'DADOS BRUTOS'!AO$3:AO$500)))</f>
        <v/>
      </c>
      <c r="DP31" s="123">
        <f>IF(OR(DP$4="",$B31=""),0,SUMIF('DADOS BRUTOS'!$A$3:$A$500,$B31,'DADOS BRUTOS'!AP$3:AP$500)+IF($C31="",0,SUMIF('DADOS BRUTOS'!$A$3:$A$500,$C31,'DADOS BRUTOS'!AP$3:AP$500)))</f>
        <v/>
      </c>
      <c r="DQ31" s="123">
        <f>IF(OR(DQ$4="",$B31=""),0,SUMIF('DADOS BRUTOS'!$A$3:$A$500,$B31,'DADOS BRUTOS'!AQ$3:AQ$500)+IF($C31="",0,SUMIF('DADOS BRUTOS'!$A$3:$A$500,$C31,'DADOS BRUTOS'!AQ$3:AQ$500)))</f>
        <v/>
      </c>
      <c r="DR31" s="123">
        <f>IF(OR(DR$4="",$B31=""),0,SUMIF('DADOS BRUTOS'!$A$3:$A$500,$B31,'DADOS BRUTOS'!AR$3:AR$500)+IF($C31="",0,SUMIF('DADOS BRUTOS'!$A$3:$A$500,$C31,'DADOS BRUTOS'!AR$3:AR$500)))</f>
        <v/>
      </c>
      <c r="DS31" s="123">
        <f>IF(OR(DS$4="",$B31=""),0,SUMIF('DADOS BRUTOS'!$A$3:$A$500,$B31,'DADOS BRUTOS'!AS$3:AS$500)+IF($C31="",0,SUMIF('DADOS BRUTOS'!$A$3:$A$500,$C31,'DADOS BRUTOS'!AS$3:AS$500)))</f>
        <v/>
      </c>
      <c r="DT31" s="123">
        <f>IF(OR(DT$4="",$B31=""),0,SUMIF('DADOS BRUTOS'!$A$3:$A$500,$B31,'DADOS BRUTOS'!AT$3:AT$500)+IF($C31="",0,SUMIF('DADOS BRUTOS'!$A$3:$A$500,$C31,'DADOS BRUTOS'!AT$3:AT$500)))</f>
        <v/>
      </c>
      <c r="DU31" s="123">
        <f>IF(OR(DU$4="",$B31=""),0,SUMIF('DADOS BRUTOS'!$A$3:$A$500,$B31,'DADOS BRUTOS'!AU$3:AU$500)+IF($C31="",0,SUMIF('DADOS BRUTOS'!$A$3:$A$500,$C31,'DADOS BRUTOS'!AU$3:AU$500)))</f>
        <v/>
      </c>
      <c r="DV31" s="123">
        <f>IF(OR(DV$4="",$B31=""),0,SUMIF('DADOS BRUTOS'!$A$3:$A$500,$B31,'DADOS BRUTOS'!AV$3:AV$500)+IF($C31="",0,SUMIF('DADOS BRUTOS'!$A$3:$A$500,$C31,'DADOS BRUTOS'!AV$3:AV$500)))</f>
        <v/>
      </c>
      <c r="DW31" s="123">
        <f>IF(OR(DW$4="",$B31=""),0,SUMIF('DADOS BRUTOS'!$A$3:$A$500,$B31,'DADOS BRUTOS'!AW$3:AW$500)+IF($C31="",0,SUMIF('DADOS BRUTOS'!$A$3:$A$500,$C31,'DADOS BRUTOS'!AW$3:AW$500)))</f>
        <v/>
      </c>
      <c r="DX31" s="123">
        <f>IF(OR(DX$4="",$B31=""),0,SUMIF('DADOS BRUTOS'!$A$3:$A$500,$B31,'DADOS BRUTOS'!AX$3:AX$500)+IF($C31="",0,SUMIF('DADOS BRUTOS'!$A$3:$A$500,$C31,'DADOS BRUTOS'!AX$3:AX$500)))</f>
        <v/>
      </c>
      <c r="DY31" s="123">
        <f>IF(OR(DY$4="",$B31=""),0,SUMIF('DADOS BRUTOS'!$A$3:$A$500,$B31,'DADOS BRUTOS'!AY$3:AY$500)+IF($C31="",0,SUMIF('DADOS BRUTOS'!$A$3:$A$500,$C31,'DADOS BRUTOS'!AY$3:AY$500)))</f>
        <v/>
      </c>
      <c r="DZ31" s="123">
        <f>IF(OR(DZ$4="",$B31=""),0,SUMIF('DADOS BRUTOS'!$A$3:$A$500,$B31,'DADOS BRUTOS'!AZ$3:AZ$500)+IF($C31="",0,SUMIF('DADOS BRUTOS'!$A$3:$A$500,$C31,'DADOS BRUTOS'!AZ$3:AZ$500)))</f>
        <v/>
      </c>
      <c r="EA31" s="123">
        <f>IF(OR(EA$4="",$B31=""),0,SUMIF('DADOS BRUTOS'!$A$3:$A$500,$B31,'DADOS BRUTOS'!BA$3:BA$500)+IF($C31="",0,SUMIF('DADOS BRUTOS'!$A$3:$A$500,$C31,'DADOS BRUTOS'!BA$3:BA$500)))</f>
        <v/>
      </c>
      <c r="EB31" s="123">
        <f>IF(OR(EB$4="",$B31=""),0,SUMIF('DADOS BRUTOS'!$A$3:$A$500,$B31,'DADOS BRUTOS'!BB$3:BB$500)+IF($C31="",0,SUMIF('DADOS BRUTOS'!$A$3:$A$500,$C31,'DADOS BRUTOS'!BB$3:BB$500)))</f>
        <v/>
      </c>
      <c r="EC31" s="123">
        <f>IF(OR(EC$4="",$B31=""),0,SUMIF('DADOS BRUTOS'!$A$3:$A$500,$B31,'DADOS BRUTOS'!BC$3:BC$500)+IF($C31="",0,SUMIF('DADOS BRUTOS'!$A$3:$A$500,$C31,'DADOS BRUTOS'!BC$3:BC$500)))</f>
        <v/>
      </c>
      <c r="ED31" s="123">
        <f>IF(OR(ED$4="",$B31=""),0,SUMIF('DADOS BRUTOS'!$A$3:$A$500,$B31,'DADOS BRUTOS'!BD$3:BD$500)+IF($C31="",0,SUMIF('DADOS BRUTOS'!$A$3:$A$500,$C31,'DADOS BRUTOS'!BD$3:BD$500)))</f>
        <v/>
      </c>
      <c r="EE31" s="123">
        <f>IF(OR(EE$4="",$B31=""),0,SUMIF('DADOS BRUTOS'!$A$3:$A$500,$B31,'DADOS BRUTOS'!BE$3:BE$500)+IF($C31="",0,SUMIF('DADOS BRUTOS'!$A$3:$A$500,$C31,'DADOS BRUTOS'!BE$3:BE$500)))</f>
        <v/>
      </c>
      <c r="EF31" s="123">
        <f>IF(OR(EF$4="",$B31=""),0,SUMIF('DADOS BRUTOS'!$A$3:$A$500,$B31,'DADOS BRUTOS'!BF$3:BF$500)+IF($C31="",0,SUMIF('DADOS BRUTOS'!$A$3:$A$500,$C31,'DADOS BRUTOS'!BF$3:BF$500)))</f>
        <v/>
      </c>
      <c r="EG31" s="123">
        <f>IF(OR(EG$4="",$B31=""),0,SUMIF('DADOS BRUTOS'!$A$3:$A$500,$B31,'DADOS BRUTOS'!BG$3:BG$500)+IF($C31="",0,SUMIF('DADOS BRUTOS'!$A$3:$A$500,$C31,'DADOS BRUTOS'!BG$3:BG$500)))</f>
        <v/>
      </c>
      <c r="EH31" s="123">
        <f>IF(OR(EH$4="",$B31=""),0,SUMIF('DADOS BRUTOS'!$A$3:$A$500,$B31,'DADOS BRUTOS'!BH$3:BH$500)+IF($C31="",0,SUMIF('DADOS BRUTOS'!$A$3:$A$500,$C31,'DADOS BRUTOS'!BH$3:BH$500)))</f>
        <v/>
      </c>
      <c r="EI31" s="123">
        <f>IF(OR(EI$4="",$B31=""),0,SUMIF('DADOS BRUTOS'!$A$3:$A$500,$B31,'DADOS BRUTOS'!BI$3:BI$500)+IF($C31="",0,SUMIF('DADOS BRUTOS'!$A$3:$A$500,$C31,'DADOS BRUTOS'!BI$3:BI$500)))</f>
        <v/>
      </c>
      <c r="EJ31" s="123">
        <f>IF(OR(EJ$4="",$B31=""),0,SUMIF('DADOS BRUTOS'!$A$3:$A$500,$B31,'DADOS BRUTOS'!BJ$3:BJ$500)+IF($C31="",0,SUMIF('DADOS BRUTOS'!$A$3:$A$500,$C31,'DADOS BRUTOS'!BJ$3:BJ$500)))</f>
        <v/>
      </c>
      <c r="EK31" s="123">
        <f>IF(OR(EK$4="",$B31=""),0,SUMIF('DADOS BRUTOS'!$A$3:$A$500,$B31,'DADOS BRUTOS'!BK$3:BK$500)+IF($C31="",0,SUMIF('DADOS BRUTOS'!$A$3:$A$500,$C31,'DADOS BRUTOS'!BK$3:BK$500)))</f>
        <v/>
      </c>
      <c r="EL31" s="123">
        <f>IF(OR(EL$4="",$B31=""),0,SUMIF('DADOS BRUTOS'!$A$3:$A$500,$B31,'DADOS BRUTOS'!BL$3:BL$500)+IF($C31="",0,SUMIF('DADOS BRUTOS'!$A$3:$A$500,$C31,'DADOS BRUTOS'!BL$3:BL$500)))</f>
        <v/>
      </c>
      <c r="EM31" s="123">
        <f>IF(OR(EM$4="",$B31=""),0,SUMIF('DADOS BRUTOS'!$A$3:$A$500,$B31,'DADOS BRUTOS'!BM$3:BM$500)+IF($C31="",0,SUMIF('DADOS BRUTOS'!$A$3:$A$500,$C31,'DADOS BRUTOS'!BM$3:BM$500)))</f>
        <v/>
      </c>
      <c r="EN31" s="123">
        <f>IF(OR(EN$4="",$B31=""),0,SUMIF('DADOS BRUTOS'!$A$3:$A$500,$B31,'DADOS BRUTOS'!BN$3:BN$500)+IF($C31="",0,SUMIF('DADOS BRUTOS'!$A$3:$A$500,$C31,'DADOS BRUTOS'!BN$3:BN$500)))</f>
        <v/>
      </c>
      <c r="EO31" s="123">
        <f>IF(OR(EO$4="",$B31=""),0,SUMIF('DADOS BRUTOS'!$A$3:$A$500,$B31,'DADOS BRUTOS'!BO$3:BO$500)+IF($C31="",0,SUMIF('DADOS BRUTOS'!$A$3:$A$500,$C31,'DADOS BRUTOS'!BO$3:BO$500)))</f>
        <v/>
      </c>
      <c r="EP31" s="123">
        <f>IF(OR(EP$4="",$B31=""),0,SUMIF('DADOS BRUTOS'!$A$3:$A$500,$B31,'DADOS BRUTOS'!BP$3:BP$500)+IF($C31="",0,SUMIF('DADOS BRUTOS'!$A$3:$A$500,$C31,'DADOS BRUTOS'!BP$3:BP$500)))</f>
        <v/>
      </c>
      <c r="EQ31" s="123">
        <f>IF(OR(EQ$4="",$B31=""),0,SUMIF('DADOS BRUTOS'!$A$3:$A$500,$B31,'DADOS BRUTOS'!BQ$3:BQ$500)+IF($C31="",0,SUMIF('DADOS BRUTOS'!$A$3:$A$500,$C31,'DADOS BRUTOS'!BQ$3:BQ$500)))</f>
        <v/>
      </c>
      <c r="ER31" s="123">
        <f>IF(OR(ER$4="",$B31=""),0,SUMIF('DADOS BRUTOS'!$A$3:$A$500,$B31,'DADOS BRUTOS'!BR$3:BR$500)+IF($C31="",0,SUMIF('DADOS BRUTOS'!$A$3:$A$500,$C31,'DADOS BRUTOS'!BR$3:BR$500)))</f>
        <v/>
      </c>
      <c r="ES31" s="123">
        <f>IF(OR(ES$4="",$B31=""),0,SUMIF('DADOS BRUTOS'!$A$3:$A$500,$B31,'DADOS BRUTOS'!BS$3:BS$500)+IF($C31="",0,SUMIF('DADOS BRUTOS'!$A$3:$A$500,$C31,'DADOS BRUTOS'!BS$3:BS$500)))</f>
        <v/>
      </c>
      <c r="ET31" s="123">
        <f>IF(OR(ET$4="",$B31=""),0,SUMIF('DADOS BRUTOS'!$A$3:$A$500,$B31,'DADOS BRUTOS'!BT$3:BT$500)+IF($C31="",0,SUMIF('DADOS BRUTOS'!$A$3:$A$500,$C31,'DADOS BRUTOS'!BT$3:BT$500)))</f>
        <v/>
      </c>
      <c r="EU31" s="123">
        <f>IF(OR(EU$4="",$B31=""),0,SUMIF('DADOS BRUTOS'!$A$3:$A$500,$B31,'DADOS BRUTOS'!BU$3:BU$500)+IF($C31="",0,SUMIF('DADOS BRUTOS'!$A$3:$A$500,$C31,'DADOS BRUTOS'!BU$3:BU$500)))</f>
        <v/>
      </c>
      <c r="EV31" s="123">
        <f>IF(OR(EV$4="",$B31=""),0,SUMIF('DADOS BRUTOS'!$A$3:$A$500,$B31,'DADOS BRUTOS'!BV$3:BV$500)+IF($C31="",0,SUMIF('DADOS BRUTOS'!$A$3:$A$500,$C31,'DADOS BRUTOS'!BV$3:BV$500)))</f>
        <v/>
      </c>
      <c r="EW31" s="123">
        <f>IF(OR(EW$4="",$B31=""),0,SUMIF('DADOS BRUTOS'!$A$3:$A$500,$B31,'DADOS BRUTOS'!BW$3:BW$500)+IF($C31="",0,SUMIF('DADOS BRUTOS'!$A$3:$A$500,$C31,'DADOS BRUTOS'!BW$3:BW$500)))</f>
        <v/>
      </c>
      <c r="EX31" s="123">
        <f>IF(OR(EX$4="",$B31=""),0,SUMIF('DADOS BRUTOS'!$A$3:$A$500,$B31,'DADOS BRUTOS'!BX$3:BX$500)+IF($C31="",0,SUMIF('DADOS BRUTOS'!$A$3:$A$500,$C31,'DADOS BRUTOS'!BX$3:BX$500)))</f>
        <v/>
      </c>
      <c r="EY31" s="123">
        <f>IF(OR(EY$4="",$B31=""),0,SUMIF('DADOS BRUTOS'!$A$3:$A$500,$B31,'DADOS BRUTOS'!BY$3:BY$500)+IF($C31="",0,SUMIF('DADOS BRUTOS'!$A$3:$A$500,$C31,'DADOS BRUTOS'!BY$3:BY$500)))</f>
        <v/>
      </c>
      <c r="EZ31" s="123">
        <f>IF(OR(EZ$4="",$B31=""),0,SUMIF('DADOS BRUTOS'!$A$3:$A$500,$B31,'DADOS BRUTOS'!BZ$3:BZ$500)+IF($C31="",0,SUMIF('DADOS BRUTOS'!$A$3:$A$500,$C31,'DADOS BRUTOS'!BZ$3:BZ$500)))</f>
        <v/>
      </c>
      <c r="FA31" s="123">
        <f>IF(OR(FA$4="",$B31=""),0,SUMIF('DADOS BRUTOS'!$A$3:$A$500,$B31,'DADOS BRUTOS'!CA$3:CA$500)+IF($C31="",0,SUMIF('DADOS BRUTOS'!$A$3:$A$500,$C31,'DADOS BRUTOS'!CA$3:CA$500)))</f>
        <v/>
      </c>
      <c r="FB31" s="123">
        <f>IF(OR(FB$4="",$B31=""),0,SUMIF('DADOS BRUTOS'!$A$3:$A$500,$B31,'DADOS BRUTOS'!CB$3:CB$500)+IF($C31="",0,SUMIF('DADOS BRUTOS'!$A$3:$A$500,$C31,'DADOS BRUTOS'!CB$3:CB$500)))</f>
        <v/>
      </c>
      <c r="FC31" s="123">
        <f>IF(OR(FC$4="",$B31=""),0,SUMIF('DADOS BRUTOS'!$A$3:$A$500,$B31,'DADOS BRUTOS'!CC$3:CC$500)+IF($C31="",0,SUMIF('DADOS BRUTOS'!$A$3:$A$500,$C31,'DADOS BRUTOS'!CC$3:CC$500)))</f>
        <v/>
      </c>
      <c r="FD31" s="123">
        <f>IF(OR(FD$4="",$B31=""),0,SUMIF('DADOS BRUTOS'!$A$3:$A$500,$B31,'DADOS BRUTOS'!CD$3:CD$500)+IF($C31="",0,SUMIF('DADOS BRUTOS'!$A$3:$A$500,$C31,'DADOS BRUTOS'!CD$3:CD$500)))</f>
        <v/>
      </c>
      <c r="FE31" s="123">
        <f>IF(OR(FE$4="",$B31=""),0,SUMIF('DADOS BRUTOS'!$A$3:$A$500,$B31,'DADOS BRUTOS'!CE$3:CE$500)+IF($C31="",0,SUMIF('DADOS BRUTOS'!$A$3:$A$500,$C31,'DADOS BRUTOS'!CE$3:CE$500)))</f>
        <v/>
      </c>
      <c r="FF31" s="123">
        <f>IF(OR(FF$4="",$B31=""),0,SUMIF('DADOS BRUTOS'!$A$3:$A$500,$B31,'DADOS BRUTOS'!CF$3:CF$500)+IF($C31="",0,SUMIF('DADOS BRUTOS'!$A$3:$A$500,$C31,'DADOS BRUTOS'!CF$3:CF$500)))</f>
        <v/>
      </c>
      <c r="FG31" s="123">
        <f>IF(OR(FG$4="",$B31=""),0,SUMIF('DADOS BRUTOS'!$A$3:$A$500,$B31,'DADOS BRUTOS'!CG$3:CG$500)+IF($C31="",0,SUMIF('DADOS BRUTOS'!$A$3:$A$500,$C31,'DADOS BRUTOS'!CG$3:CG$500)))</f>
        <v/>
      </c>
      <c r="FH31" s="123">
        <f>IF(OR(FH$4="",$B31=""),0,SUMIF('DADOS BRUTOS'!$A$3:$A$500,$B31,'DADOS BRUTOS'!CH$3:CH$500)+IF($C31="",0,SUMIF('DADOS BRUTOS'!$A$3:$A$500,$C31,'DADOS BRUTOS'!CH$3:CH$500)))</f>
        <v/>
      </c>
      <c r="FI31" s="123">
        <f>IF(OR(FI$4="",$B31=""),0,SUMIF('DADOS BRUTOS'!$A$3:$A$500,$B31,'DADOS BRUTOS'!CI$3:CI$500)+IF($C31="",0,SUMIF('DADOS BRUTOS'!$A$3:$A$500,$C31,'DADOS BRUTOS'!CI$3:CI$500)))</f>
        <v/>
      </c>
      <c r="FJ31" s="123">
        <f>IF(OR(FJ$4="",$B31=""),0,SUMIF('DADOS BRUTOS'!$A$3:$A$500,$B31,'DADOS BRUTOS'!CJ$3:CJ$500)+IF($C31="",0,SUMIF('DADOS BRUTOS'!$A$3:$A$500,$C31,'DADOS BRUTOS'!CJ$3:CJ$500)))</f>
        <v/>
      </c>
      <c r="FK31" s="123">
        <f>IF(OR(FK$4="",$B31=""),0,SUMIF('DADOS BRUTOS'!$A$3:$A$500,$B31,'DADOS BRUTOS'!CK$3:CK$500)+IF($C31="",0,SUMIF('DADOS BRUTOS'!$A$3:$A$500,$C31,'DADOS BRUTOS'!CK$3:CK$500)))</f>
        <v/>
      </c>
      <c r="FL31" s="123">
        <f>IF(OR(FL$4="",$B31=""),0,SUMIF('DADOS BRUTOS'!$A$3:$A$500,$B31,'DADOS BRUTOS'!CL$3:CL$500)+IF($C31="",0,SUMIF('DADOS BRUTOS'!$A$3:$A$500,$C31,'DADOS BRUTOS'!CL$3:CL$500)))</f>
        <v/>
      </c>
      <c r="FM31" s="123">
        <f>IF(OR(FM$4="",$B31=""),0,SUMIF('DADOS BRUTOS'!$A$3:$A$500,$B31,'DADOS BRUTOS'!CM$3:CM$500)+IF($C31="",0,SUMIF('DADOS BRUTOS'!$A$3:$A$500,$C31,'DADOS BRUTOS'!CM$3:CM$500)))</f>
        <v/>
      </c>
      <c r="FN31" s="123">
        <f>IF(OR(FN$4="",$B31=""),0,SUMIF('DADOS BRUTOS'!$A$3:$A$500,$B31,'DADOS BRUTOS'!CN$3:CN$500)+IF($C31="",0,SUMIF('DADOS BRUTOS'!$A$3:$A$500,$C31,'DADOS BRUTOS'!CN$3:CN$500)))</f>
        <v/>
      </c>
      <c r="FO31" s="123">
        <f>IF(OR(FO$4="",$B31=""),0,SUMIF('DADOS BRUTOS'!$A$3:$A$500,$B31,'DADOS BRUTOS'!CO$3:CO$500)+IF($C31="",0,SUMIF('DADOS BRUTOS'!$A$3:$A$500,$C31,'DADOS BRUTOS'!CO$3:CO$500)))</f>
        <v/>
      </c>
      <c r="FP31" s="123">
        <f>IF(OR(FP$4="",$B31=""),0,SUMIF('DADOS BRUTOS'!$A$3:$A$500,$B31,'DADOS BRUTOS'!CP$3:CP$500)+IF($C31="",0,SUMIF('DADOS BRUTOS'!$A$3:$A$500,$C31,'DADOS BRUTOS'!CP$3:CP$500)))</f>
        <v/>
      </c>
      <c r="FQ31" s="123">
        <f>IF(OR(FQ$4="",$B31=""),0,SUMIF('DADOS BRUTOS'!$A$3:$A$500,$B31,'DADOS BRUTOS'!CQ$3:CQ$500)+IF($C31="",0,SUMIF('DADOS BRUTOS'!$A$3:$A$500,$C31,'DADOS BRUTOS'!CQ$3:CQ$500)))</f>
        <v/>
      </c>
      <c r="FR31" s="123">
        <f>IF(OR(FR$4="",$B31=""),0,SUMIF('DADOS BRUTOS'!$A$3:$A$500,$B31,'DADOS BRUTOS'!CR$3:CR$500)+IF($C31="",0,SUMIF('DADOS BRUTOS'!$A$3:$A$500,$C31,'DADOS BRUTOS'!CR$3:CR$500)))</f>
        <v/>
      </c>
      <c r="FS31" s="123">
        <f>IF(OR(FS$4="",$B31=""),0,SUMIF('DADOS BRUTOS'!$A$3:$A$500,$B31,'DADOS BRUTOS'!CS$3:CS$500)+IF($C31="",0,SUMIF('DADOS BRUTOS'!$A$3:$A$500,$C31,'DADOS BRUTOS'!CS$3:CS$500)))</f>
        <v/>
      </c>
      <c r="FT31" s="123">
        <f>IF(OR(FT$4="",$B31=""),0,SUMIF('DADOS BRUTOS'!$A$3:$A$500,$B31,'DADOS BRUTOS'!CT$3:CT$500)+IF($C31="",0,SUMIF('DADOS BRUTOS'!$A$3:$A$500,$C31,'DADOS BRUTOS'!CT$3:CT$500)))</f>
        <v/>
      </c>
      <c r="FU31" s="123">
        <f>IF(OR(FU$4="",$B31=""),0,SUMIF('DADOS BRUTOS'!$A$3:$A$500,$B31,'DADOS BRUTOS'!CU$3:CU$500)+IF($C31="",0,SUMIF('DADOS BRUTOS'!$A$3:$A$500,$C31,'DADOS BRUTOS'!CU$3:CU$500)))</f>
        <v/>
      </c>
      <c r="FV31" s="123">
        <f>IF(OR(FV$4="",$B31=""),0,SUMIF('DADOS BRUTOS'!$A$3:$A$500,$B31,'DADOS BRUTOS'!CV$3:CV$500)+IF($C31="",0,SUMIF('DADOS BRUTOS'!$A$3:$A$500,$C31,'DADOS BRUTOS'!CV$3:CV$500)))</f>
        <v/>
      </c>
      <c r="FW31" s="123">
        <f>IF(OR(FW$4="",$B31=""),0,SUMIF('DADOS BRUTOS'!$A$3:$A$500,$B31,'DADOS BRUTOS'!CW$3:CW$500)+IF($C31="",0,SUMIF('DADOS BRUTOS'!$A$3:$A$500,$C31,'DADOS BRUTOS'!CW$3:CW$500)))</f>
        <v/>
      </c>
      <c r="FX31" s="123">
        <f>IF(OR(FX$4="",$B31=""),0,SUMIF('DADOS BRUTOS'!$A$3:$A$500,$B31,'DADOS BRUTOS'!CX$3:CX$500)+IF($C31="",0,SUMIF('DADOS BRUTOS'!$A$3:$A$500,$C31,'DADOS BRUTOS'!CX$3:CX$500)))</f>
        <v/>
      </c>
      <c r="FY31" s="123">
        <f>IF(OR(FY$4="",$B31=""),0,SUMIF('DADOS BRUTOS'!$A$3:$A$500,$B31,'DADOS BRUTOS'!CY$3:CY$500)+IF($C31="",0,SUMIF('DADOS BRUTOS'!$A$3:$A$500,$C31,'DADOS BRUTOS'!CY$3:CY$500)))</f>
        <v/>
      </c>
      <c r="FZ31" s="123">
        <f>IF(OR(FZ$4="",$B31=""),0,SUMIF('DADOS BRUTOS'!$A$3:$A$500,$B31,'DADOS BRUTOS'!CZ$3:CZ$500)+IF($C31="",0,SUMIF('DADOS BRUTOS'!$A$3:$A$500,$C31,'DADOS BRUTOS'!CZ$3:CZ$500)))</f>
        <v/>
      </c>
      <c r="GA31" s="123">
        <f>IF(OR(GA$4="",$B31=""),0,SUMIF('DADOS BRUTOS'!$A$3:$A$500,$B31,'DADOS BRUTOS'!DA$3:DA$500)+IF($C31="",0,SUMIF('DADOS BRUTOS'!$A$3:$A$500,$C31,'DADOS BRUTOS'!DA$3:DA$500)))</f>
        <v/>
      </c>
      <c r="GB31" s="123">
        <f>IF(OR(GB$4="",$B31=""),0,SUMIF('DADOS BRUTOS'!$A$3:$A$500,$B31,'DADOS BRUTOS'!DB$3:DB$500)+IF($C31="",0,SUMIF('DADOS BRUTOS'!$A$3:$A$500,$C31,'DADOS BRUTOS'!DB$3:DB$500)))</f>
        <v/>
      </c>
      <c r="GC31" s="123">
        <f>IF(OR(GC$4="",$B31=""),0,SUMIF('DADOS BRUTOS'!$A$3:$A$500,$B31,'DADOS BRUTOS'!DC$3:DC$500)+IF($C31="",0,SUMIF('DADOS BRUTOS'!$A$3:$A$500,$C31,'DADOS BRUTOS'!DC$3:DC$500)))</f>
        <v/>
      </c>
      <c r="GD31" s="123">
        <f>IF(OR(GD$4="",$B31=""),0,SUMIF('DADOS BRUTOS'!$A$3:$A$500,$B31,'DADOS BRUTOS'!DD$3:DD$500)+IF($C31="",0,SUMIF('DADOS BRUTOS'!$A$3:$A$500,$C31,'DADOS BRUTOS'!DD$3:DD$500)))</f>
        <v/>
      </c>
      <c r="GE31" s="123">
        <f>IF(OR(GE$4="",$B31=""),0,SUMIF('DADOS BRUTOS'!$A$3:$A$500,$B31,'DADOS BRUTOS'!DE$3:DE$500)+IF($C31="",0,SUMIF('DADOS BRUTOS'!$A$3:$A$500,$C31,'DADOS BRUTOS'!DE$3:DE$500)))</f>
        <v/>
      </c>
      <c r="GF31" s="123">
        <f>IF(OR(GF$4="",$B31=""),0,SUMIF('DADOS BRUTOS'!$A$3:$A$500,$B31,'DADOS BRUTOS'!DF$3:DF$500)+IF($C31="",0,SUMIF('DADOS BRUTOS'!$A$3:$A$500,$C31,'DADOS BRUTOS'!DF$3:DF$500)))</f>
        <v/>
      </c>
      <c r="GG31" s="123">
        <f>IF(OR(GG$4="",$B31=""),0,SUMIF('DADOS BRUTOS'!$A$3:$A$500,$B31,'DADOS BRUTOS'!DG$3:DG$500)+IF($C31="",0,SUMIF('DADOS BRUTOS'!$A$3:$A$500,$C31,'DADOS BRUTOS'!DG$3:DG$500)))</f>
        <v/>
      </c>
      <c r="GH31" s="123">
        <f>IF(OR(GH$4="",$B31=""),0,SUMIF('DADOS BRUTOS'!$A$3:$A$500,$B31,'DADOS BRUTOS'!DH$3:DH$500)+IF($C31="",0,SUMIF('DADOS BRUTOS'!$A$3:$A$500,$C31,'DADOS BRUTOS'!DH$3:DH$500)))</f>
        <v/>
      </c>
      <c r="GI31" s="123">
        <f>IF(OR(GI$4="",$B31=""),0,SUMIF('DADOS BRUTOS'!$A$3:$A$500,$B31,'DADOS BRUTOS'!DI$3:DI$500)+IF($C31="",0,SUMIF('DADOS BRUTOS'!$A$3:$A$500,$C31,'DADOS BRUTOS'!DI$3:DI$500)))</f>
        <v/>
      </c>
      <c r="GJ31" s="123">
        <f>IF(OR(GJ$4="",$B31=""),0,SUMIF('DADOS BRUTOS'!$A$3:$A$500,$B31,'DADOS BRUTOS'!DJ$3:DJ$500)+IF($C31="",0,SUMIF('DADOS BRUTOS'!$A$3:$A$500,$C31,'DADOS BRUTOS'!DJ$3:DJ$500)))</f>
        <v/>
      </c>
      <c r="GK31" s="123">
        <f>IF(OR(GK$4="",$B31=""),0,SUMIF('DADOS BRUTOS'!$A$3:$A$500,$B31,'DADOS BRUTOS'!DK$3:DK$500)+IF($C31="",0,SUMIF('DADOS BRUTOS'!$A$3:$A$500,$C31,'DADOS BRUTOS'!DK$3:DK$500)))</f>
        <v/>
      </c>
      <c r="GL31" s="123">
        <f>IF(OR(GL$4="",$B31=""),0,SUMIF('DADOS BRUTOS'!$A$3:$A$500,$B31,'DADOS BRUTOS'!DL$3:DL$500)+IF($C31="",0,SUMIF('DADOS BRUTOS'!$A$3:$A$500,$C31,'DADOS BRUTOS'!DL$3:DL$500)))</f>
        <v/>
      </c>
      <c r="GM31" s="123">
        <f>IF(OR(GM$4="",$B31=""),0,SUMIF('DADOS BRUTOS'!$A$3:$A$500,$B31,'DADOS BRUTOS'!DM$3:DM$500)+IF($C31="",0,SUMIF('DADOS BRUTOS'!$A$3:$A$500,$C31,'DADOS BRUTOS'!DM$3:DM$500)))</f>
        <v/>
      </c>
      <c r="GN31" s="123">
        <f>IF(OR(GN$4="",$B31=""),0,SUMIF('DADOS BRUTOS'!$A$3:$A$500,$B31,'DADOS BRUTOS'!DN$3:DN$500)+IF($C31="",0,SUMIF('DADOS BRUTOS'!$A$3:$A$500,$C31,'DADOS BRUTOS'!DN$3:DN$500)))</f>
        <v/>
      </c>
      <c r="GO31" s="123">
        <f>IF(OR(GO$4="",$B31=""),0,SUMIF('DADOS BRUTOS'!$A$3:$A$500,$B31,'DADOS BRUTOS'!DO$3:DO$500)+IF($C31="",0,SUMIF('DADOS BRUTOS'!$A$3:$A$500,$C31,'DADOS BRUTOS'!DO$3:DO$500)))</f>
        <v/>
      </c>
      <c r="GP31" s="123">
        <f>IF(OR(GP$4="",$B31=""),0,SUMIF('DADOS BRUTOS'!$A$3:$A$500,$B31,'DADOS BRUTOS'!DP$3:DP$500)+IF($C31="",0,SUMIF('DADOS BRUTOS'!$A$3:$A$500,$C31,'DADOS BRUTOS'!DP$3:DP$500)))</f>
        <v/>
      </c>
      <c r="GQ31" s="123">
        <f>IF(OR(GQ$4="",$B31=""),0,SUMIF('DADOS BRUTOS'!$A$3:$A$500,$B31,'DADOS BRUTOS'!DQ$3:DQ$500)+IF($C31="",0,SUMIF('DADOS BRUTOS'!$A$3:$A$500,$C31,'DADOS BRUTOS'!DQ$3:DQ$500)))</f>
        <v/>
      </c>
      <c r="GR31" s="123">
        <f>IF(OR(GR$4="",$B31=""),0,SUMIF('DADOS BRUTOS'!$A$3:$A$500,$B31,'DADOS BRUTOS'!DR$3:DR$500)+IF($C31="",0,SUMIF('DADOS BRUTOS'!$A$3:$A$500,$C31,'DADOS BRUTOS'!DR$3:DR$500)))</f>
        <v/>
      </c>
      <c r="GS31" s="123">
        <f>IF(OR(GS$4="",$B31=""),0,SUMIF('DADOS BRUTOS'!$A$3:$A$500,$B31,'DADOS BRUTOS'!DS$3:DS$500)+IF($C31="",0,SUMIF('DADOS BRUTOS'!$A$3:$A$500,$C31,'DADOS BRUTOS'!DS$3:DS$500)))</f>
        <v/>
      </c>
      <c r="GT31" s="123">
        <f>IF(OR(GT$4="",$B31=""),0,SUMIF('DADOS BRUTOS'!$A$3:$A$500,$B31,'DADOS BRUTOS'!DT$3:DT$500)+IF($C31="",0,SUMIF('DADOS BRUTOS'!$A$3:$A$500,$C31,'DADOS BRUTOS'!DT$3:DT$500)))</f>
        <v/>
      </c>
      <c r="GU31" s="123">
        <f>IF(OR(GU$4="",$B31=""),0,SUMIF('DADOS BRUTOS'!$A$3:$A$500,$B31,'DADOS BRUTOS'!DU$3:DU$500)+IF($C31="",0,SUMIF('DADOS BRUTOS'!$A$3:$A$500,$C31,'DADOS BRUTOS'!DU$3:DU$500)))</f>
        <v/>
      </c>
      <c r="GV31" s="123">
        <f>IF(OR(GV$4="",$B31=""),0,SUMIF('DADOS BRUTOS'!$A$3:$A$500,$B31,'DADOS BRUTOS'!DV$3:DV$500)+IF($C31="",0,SUMIF('DADOS BRUTOS'!$A$3:$A$500,$C31,'DADOS BRUTOS'!DV$3:DV$500)))</f>
        <v/>
      </c>
      <c r="GW31" s="123">
        <f>IF(OR(GW$4="",$B31=""),0,SUMIF('DADOS BRUTOS'!$A$3:$A$500,$B31,'DADOS BRUTOS'!DW$3:DW$500)+IF($C31="",0,SUMIF('DADOS BRUTOS'!$A$3:$A$500,$C31,'DADOS BRUTOS'!DW$3:DW$500)))</f>
        <v/>
      </c>
      <c r="GX31" s="123">
        <f>IF(OR(GX$4="",$B31=""),0,SUMIF('DADOS BRUTOS'!$A$3:$A$500,$B31,'DADOS BRUTOS'!DX$3:DX$500)+IF($C31="",0,SUMIF('DADOS BRUTOS'!$A$3:$A$500,$C31,'DADOS BRUTOS'!DX$3:DX$500)))</f>
        <v/>
      </c>
      <c r="GY31" s="123">
        <f>IF(OR(GY$4="",$B31=""),0,SUMIF('DADOS BRUTOS'!$A$3:$A$500,$B31,'DADOS BRUTOS'!DY$3:DY$500)+IF($C31="",0,SUMIF('DADOS BRUTOS'!$A$3:$A$500,$C31,'DADOS BRUTOS'!DY$3:DY$500)))</f>
        <v/>
      </c>
      <c r="GZ31" s="123">
        <f>IF(OR(GZ$4="",$B31=""),0,SUMIF('DADOS BRUTOS'!$A$3:$A$500,$B31,'DADOS BRUTOS'!DZ$3:DZ$500)+IF($C31="",0,SUMIF('DADOS BRUTOS'!$A$3:$A$500,$C31,'DADOS BRUTOS'!DZ$3:DZ$500)))</f>
        <v/>
      </c>
      <c r="HA31" s="123">
        <f>IF(OR(HA$4="",$B31=""),0,SUMIF('DADOS BRUTOS'!$A$3:$A$500,$B31,'DADOS BRUTOS'!EA$3:EA$500)+IF($C31="",0,SUMIF('DADOS BRUTOS'!$A$3:$A$500,$C31,'DADOS BRUTOS'!EA$3:EA$500)))</f>
        <v/>
      </c>
      <c r="HB31" s="123">
        <f>IF(OR(HB$4="",$B31=""),0,SUMIF('DADOS BRUTOS'!$A$3:$A$500,$B31,'DADOS BRUTOS'!EB$3:EB$500)+IF($C31="",0,SUMIF('DADOS BRUTOS'!$A$3:$A$500,$C31,'DADOS BRUTOS'!EB$3:EB$500)))</f>
        <v/>
      </c>
      <c r="HC31" s="123">
        <f>IF(OR(HC$4="",$B31=""),0,SUMIF('DADOS BRUTOS'!$A$3:$A$500,$B31,'DADOS BRUTOS'!EC$3:EC$500)+IF($C31="",0,SUMIF('DADOS BRUTOS'!$A$3:$A$500,$C31,'DADOS BRUTOS'!EC$3:EC$500)))</f>
        <v/>
      </c>
      <c r="HD31" s="123">
        <f>IF(OR(HD$4="",$B31=""),0,SUMIF('DADOS BRUTOS'!$A$3:$A$500,$B31,'DADOS BRUTOS'!ED$3:ED$500)+IF($C31="",0,SUMIF('DADOS BRUTOS'!$A$3:$A$500,$C31,'DADOS BRUTOS'!ED$3:ED$500)))</f>
        <v/>
      </c>
      <c r="HE31" s="123">
        <f>IF(OR(HE$4="",$B31=""),0,SUMIF('DADOS BRUTOS'!$A$3:$A$500,$B31,'DADOS BRUTOS'!EE$3:EE$500)+IF($C31="",0,SUMIF('DADOS BRUTOS'!$A$3:$A$500,$C31,'DADOS BRUTOS'!EE$3:EE$500)))</f>
        <v/>
      </c>
      <c r="HF31" s="123">
        <f>IF(OR(HF$4="",$B31=""),0,SUMIF('DADOS BRUTOS'!$A$3:$A$500,$B31,'DADOS BRUTOS'!EF$3:EF$500)+IF($C31="",0,SUMIF('DADOS BRUTOS'!$A$3:$A$500,$C31,'DADOS BRUTOS'!EF$3:EF$500)))</f>
        <v/>
      </c>
      <c r="HG31" s="123">
        <f>IF(OR(HG$4="",$B31=""),0,SUMIF('DADOS BRUTOS'!$A$3:$A$500,$B31,'DADOS BRUTOS'!EG$3:EG$500)+IF($C31="",0,SUMIF('DADOS BRUTOS'!$A$3:$A$500,$C31,'DADOS BRUTOS'!EG$3:EG$500)))</f>
        <v/>
      </c>
      <c r="HH31" s="123">
        <f>IF(OR(HH$4="",$B31=""),0,SUMIF('DADOS BRUTOS'!$A$3:$A$500,$B31,'DADOS BRUTOS'!EH$3:EH$500)+IF($C31="",0,SUMIF('DADOS BRUTOS'!$A$3:$A$500,$C31,'DADOS BRUTOS'!EH$3:EH$500)))</f>
        <v/>
      </c>
      <c r="HI31" s="123">
        <f>IF(OR(HI$4="",$B31=""),0,SUMIF('DADOS BRUTOS'!$A$3:$A$500,$B31,'DADOS BRUTOS'!EI$3:EI$500)+IF($C31="",0,SUMIF('DADOS BRUTOS'!$A$3:$A$500,$C31,'DADOS BRUTOS'!EI$3:EI$500)))</f>
        <v/>
      </c>
      <c r="HJ31" s="123">
        <f>IF(OR(HJ$4="",$B31=""),0,SUMIF('DADOS BRUTOS'!$A$3:$A$500,$B31,'DADOS BRUTOS'!EJ$3:EJ$500)+IF($C31="",0,SUMIF('DADOS BRUTOS'!$A$3:$A$500,$C31,'DADOS BRUTOS'!EJ$3:EJ$500)))</f>
        <v/>
      </c>
      <c r="HK31" s="123">
        <f>IF(OR(HK$4="",$B31=""),0,SUMIF('DADOS BRUTOS'!$A$3:$A$500,$B31,'DADOS BRUTOS'!EK$3:EK$500)+IF($C31="",0,SUMIF('DADOS BRUTOS'!$A$3:$A$500,$C31,'DADOS BRUTOS'!EK$3:EK$500)))</f>
        <v/>
      </c>
      <c r="HL31" s="123">
        <f>IF(OR(HL$4="",$B31=""),0,SUMIF('DADOS BRUTOS'!$A$3:$A$500,$B31,'DADOS BRUTOS'!EL$3:EL$500)+IF($C31="",0,SUMIF('DADOS BRUTOS'!$A$3:$A$500,$C31,'DADOS BRUTOS'!EL$3:EL$500)))</f>
        <v/>
      </c>
      <c r="HM31" s="123">
        <f>IF(OR(HM$4="",$B31=""),0,SUMIF('DADOS BRUTOS'!$A$3:$A$500,$B31,'DADOS BRUTOS'!EM$3:EM$500)+IF($C31="",0,SUMIF('DADOS BRUTOS'!$A$3:$A$500,$C31,'DADOS BRUTOS'!EM$3:EM$500)))</f>
        <v/>
      </c>
      <c r="HN31" s="123">
        <f>IF(OR(HN$4="",$B31=""),0,SUMIF('DADOS BRUTOS'!$A$3:$A$500,$B31,'DADOS BRUTOS'!EN$3:EN$500)+IF($C31="",0,SUMIF('DADOS BRUTOS'!$A$3:$A$500,$C31,'DADOS BRUTOS'!EN$3:EN$500)))</f>
        <v/>
      </c>
      <c r="HO31" s="123">
        <f>IF(OR(HO$4="",$B31=""),0,SUMIF('DADOS BRUTOS'!$A$3:$A$500,$B31,'DADOS BRUTOS'!EO$3:EO$500)+IF($C31="",0,SUMIF('DADOS BRUTOS'!$A$3:$A$500,$C31,'DADOS BRUTOS'!EO$3:EO$500)))</f>
        <v/>
      </c>
      <c r="HP31" s="123">
        <f>IF(OR(HP$4="",$B31=""),0,SUMIF('DADOS BRUTOS'!$A$3:$A$500,$B31,'DADOS BRUTOS'!EP$3:EP$500)+IF($C31="",0,SUMIF('DADOS BRUTOS'!$A$3:$A$500,$C31,'DADOS BRUTOS'!EP$3:EP$500)))</f>
        <v/>
      </c>
      <c r="HQ31" s="123">
        <f>IF(OR(HQ$4="",$B31=""),0,SUMIF('DADOS BRUTOS'!$A$3:$A$500,$B31,'DADOS BRUTOS'!EQ$3:EQ$500)+IF($C31="",0,SUMIF('DADOS BRUTOS'!$A$3:$A$500,$C31,'DADOS BRUTOS'!EQ$3:EQ$500)))</f>
        <v/>
      </c>
      <c r="HR31" s="123">
        <f>IF(OR(HR$4="",$B31=""),0,SUMIF('DADOS BRUTOS'!$A$3:$A$500,$B31,'DADOS BRUTOS'!ER$3:ER$500)+IF($C31="",0,SUMIF('DADOS BRUTOS'!$A$3:$A$500,$C31,'DADOS BRUTOS'!ER$3:ER$500)))</f>
        <v/>
      </c>
      <c r="HS31" s="123">
        <f>IF(OR(HS$4="",$B31=""),0,SUMIF('DADOS BRUTOS'!$A$3:$A$500,$B31,'DADOS BRUTOS'!ES$3:ES$500)+IF($C31="",0,SUMIF('DADOS BRUTOS'!$A$3:$A$500,$C31,'DADOS BRUTOS'!ES$3:ES$500)))</f>
        <v/>
      </c>
      <c r="HT31" s="123">
        <f>IF(OR(HT$4="",$B31=""),0,SUMIF('DADOS BRUTOS'!$A$3:$A$500,$B31,'DADOS BRUTOS'!ET$3:ET$500)+IF($C31="",0,SUMIF('DADOS BRUTOS'!$A$3:$A$500,$C31,'DADOS BRUTOS'!ET$3:ET$500)))</f>
        <v/>
      </c>
      <c r="HU31" s="123">
        <f>IF(OR(HU$4="",$B31=""),0,SUMIF('DADOS BRUTOS'!$A$3:$A$500,$B31,'DADOS BRUTOS'!EU$3:EU$500)+IF($C31="",0,SUMIF('DADOS BRUTOS'!$A$3:$A$500,$C31,'DADOS BRUTOS'!EU$3:EU$500)))</f>
        <v/>
      </c>
      <c r="HV31" s="123">
        <f>IF(OR(HV$4="",$B31=""),0,SUMIF('DADOS BRUTOS'!$A$3:$A$500,$B31,'DADOS BRUTOS'!EV$3:EV$500)+IF($C31="",0,SUMIF('DADOS BRUTOS'!$A$3:$A$500,$C31,'DADOS BRUTOS'!EV$3:EV$500)))</f>
        <v/>
      </c>
      <c r="HW31" s="123">
        <f>IF(OR(HW$4="",$B31=""),0,SUMIF('DADOS BRUTOS'!$A$3:$A$500,$B31,'DADOS BRUTOS'!EW$3:EW$500)+IF($C31="",0,SUMIF('DADOS BRUTOS'!$A$3:$A$500,$C31,'DADOS BRUTOS'!EW$3:EW$500)))</f>
        <v/>
      </c>
      <c r="HX31" s="123">
        <f>IF(OR(HX$4="",$B31=""),0,SUMIF('DADOS BRUTOS'!$A$3:$A$500,$B31,'DADOS BRUTOS'!EX$3:EX$500)+IF($C31="",0,SUMIF('DADOS BRUTOS'!$A$3:$A$500,$C31,'DADOS BRUTOS'!EX$3:EX$500)))</f>
        <v/>
      </c>
      <c r="HY31" s="123">
        <f>IF(OR(HY$4="",$B31=""),0,SUMIF('DADOS BRUTOS'!$A$3:$A$500,$B31,'DADOS BRUTOS'!EY$3:EY$500)+IF($C31="",0,SUMIF('DADOS BRUTOS'!$A$3:$A$500,$C31,'DADOS BRUTOS'!EY$3:EY$500)))</f>
        <v/>
      </c>
      <c r="HZ31" s="123">
        <f>IF(OR(HZ$4="",$B31=""),0,SUMIF('DADOS BRUTOS'!$A$3:$A$500,$B31,'DADOS BRUTOS'!EZ$3:EZ$500)+IF($C31="",0,SUMIF('DADOS BRUTOS'!$A$3:$A$500,$C31,'DADOS BRUTOS'!EZ$3:EZ$500)))</f>
        <v/>
      </c>
      <c r="IA31" s="123">
        <f>IF(OR(IA$4="",$B31=""),0,SUMIF('DADOS BRUTOS'!$A$3:$A$500,$B31,'DADOS BRUTOS'!FA$3:FA$500)+IF($C31="",0,SUMIF('DADOS BRUTOS'!$A$3:$A$500,$C31,'DADOS BRUTOS'!FA$3:FA$500)))</f>
        <v/>
      </c>
      <c r="IB31" s="123">
        <f>IF(OR(IB$4="",$B31=""),0,SUMIF('DADOS BRUTOS'!$A$3:$A$500,$B31,'DADOS BRUTOS'!FB$3:FB$500)+IF($C31="",0,SUMIF('DADOS BRUTOS'!$A$3:$A$500,$C31,'DADOS BRUTOS'!FB$3:FB$500)))</f>
        <v/>
      </c>
      <c r="IC31" s="123">
        <f>IF(OR(IC$4="",$B31=""),0,SUMIF('DADOS BRUTOS'!$A$3:$A$500,$B31,'DADOS BRUTOS'!FC$3:FC$500)+IF($C31="",0,SUMIF('DADOS BRUTOS'!$A$3:$A$500,$C31,'DADOS BRUTOS'!FC$3:FC$500)))</f>
        <v/>
      </c>
      <c r="ID31" s="123">
        <f>IF(OR(ID$4="",$B31=""),0,SUMIF('DADOS BRUTOS'!$A$3:$A$500,$B31,'DADOS BRUTOS'!FD$3:FD$500)+IF($C31="",0,SUMIF('DADOS BRUTOS'!$A$3:$A$500,$C31,'DADOS BRUTOS'!FD$3:FD$500)))</f>
        <v/>
      </c>
      <c r="IE31" s="123">
        <f>IF(OR(IE$4="",$B31=""),0,SUMIF('DADOS BRUTOS'!$A$3:$A$500,$B31,'DADOS BRUTOS'!FE$3:FE$500)+IF($C31="",0,SUMIF('DADOS BRUTOS'!$A$3:$A$500,$C31,'DADOS BRUTOS'!FE$3:FE$500)))</f>
        <v/>
      </c>
      <c r="IF31" s="123">
        <f>IF(OR(IF$4="",$B31=""),0,SUMIF('DADOS BRUTOS'!$A$3:$A$500,$B31,'DADOS BRUTOS'!FF$3:FF$500)+IF($C31="",0,SUMIF('DADOS BRUTOS'!$A$3:$A$500,$C31,'DADOS BRUTOS'!FF$3:FF$500)))</f>
        <v/>
      </c>
      <c r="IG31" s="123">
        <f>IF(OR(IG$4="",$B31=""),0,SUMIF('DADOS BRUTOS'!$A$3:$A$500,$B31,'DADOS BRUTOS'!FG$3:FG$500)+IF($C31="",0,SUMIF('DADOS BRUTOS'!$A$3:$A$500,$C31,'DADOS BRUTOS'!FG$3:FG$500)))</f>
        <v/>
      </c>
      <c r="IH31" s="123">
        <f>IF(OR(IH$4="",$B31=""),0,SUMIF('DADOS BRUTOS'!$A$3:$A$500,$B31,'DADOS BRUTOS'!FH$3:FH$500)+IF($C31="",0,SUMIF('DADOS BRUTOS'!$A$3:$A$500,$C31,'DADOS BRUTOS'!FH$3:FH$500)))</f>
        <v/>
      </c>
      <c r="II31" s="123">
        <f>IF(OR(II$4="",$B31=""),0,SUMIF('DADOS BRUTOS'!$A$3:$A$500,$B31,'DADOS BRUTOS'!FI$3:FI$500)+IF($C31="",0,SUMIF('DADOS BRUTOS'!$A$3:$A$500,$C31,'DADOS BRUTOS'!FI$3:FI$500)))</f>
        <v/>
      </c>
      <c r="IJ31" s="123">
        <f>IF(OR(IJ$4="",$B31=""),0,SUMIF('DADOS BRUTOS'!$A$3:$A$500,$B31,'DADOS BRUTOS'!FJ$3:FJ$500)+IF($C31="",0,SUMIF('DADOS BRUTOS'!$A$3:$A$500,$C31,'DADOS BRUTOS'!FJ$3:FJ$500)))</f>
        <v/>
      </c>
      <c r="IK31" s="123">
        <f>IF(OR(IK$4="",$B31=""),0,SUMIF('DADOS BRUTOS'!$A$3:$A$500,$B31,'DADOS BRUTOS'!FK$3:FK$500)+IF($C31="",0,SUMIF('DADOS BRUTOS'!$A$3:$A$500,$C31,'DADOS BRUTOS'!FK$3:FK$500)))</f>
        <v/>
      </c>
      <c r="IL31" s="123">
        <f>IF(OR(IL$4="",$B31=""),0,SUMIF('DADOS BRUTOS'!$A$3:$A$500,$B31,'DADOS BRUTOS'!FL$3:FL$500)+IF($C31="",0,SUMIF('DADOS BRUTOS'!$A$3:$A$500,$C31,'DADOS BRUTOS'!FL$3:FL$500)))</f>
        <v/>
      </c>
      <c r="IM31" s="123">
        <f>IF(OR(IM$4="",$B31=""),0,SUMIF('DADOS BRUTOS'!$A$3:$A$500,$B31,'DADOS BRUTOS'!FM$3:FM$500)+IF($C31="",0,SUMIF('DADOS BRUTOS'!$A$3:$A$500,$C31,'DADOS BRUTOS'!FM$3:FM$500)))</f>
        <v/>
      </c>
      <c r="IN31" s="123">
        <f>IF(OR(IN$4="",$B31=""),0,SUMIF('DADOS BRUTOS'!$A$3:$A$500,$B31,'DADOS BRUTOS'!FN$3:FN$500)+IF($C31="",0,SUMIF('DADOS BRUTOS'!$A$3:$A$500,$C31,'DADOS BRUTOS'!FN$3:FN$500)))</f>
        <v/>
      </c>
      <c r="IO31" s="123">
        <f>IF(OR(IO$4="",$B31=""),0,SUMIF('DADOS BRUTOS'!$A$3:$A$500,$B31,'DADOS BRUTOS'!FO$3:FO$500)+IF($C31="",0,SUMIF('DADOS BRUTOS'!$A$3:$A$500,$C31,'DADOS BRUTOS'!FO$3:FO$500)))</f>
        <v/>
      </c>
      <c r="IP31" s="123">
        <f>IF(OR(IP$4="",$B31=""),0,SUMIF('DADOS BRUTOS'!$A$3:$A$500,$B31,'DADOS BRUTOS'!FP$3:FP$500)+IF($C31="",0,SUMIF('DADOS BRUTOS'!$A$3:$A$500,$C31,'DADOS BRUTOS'!FP$3:FP$500)))</f>
        <v/>
      </c>
      <c r="IQ31" s="123">
        <f>IF(OR(IQ$4="",$B31=""),0,SUMIF('DADOS BRUTOS'!$A$3:$A$500,$B31,'DADOS BRUTOS'!FQ$3:FQ$500)+IF($C31="",0,SUMIF('DADOS BRUTOS'!$A$3:$A$500,$C31,'DADOS BRUTOS'!FQ$3:FQ$500)))</f>
        <v/>
      </c>
      <c r="IR31" s="123">
        <f>IF(OR(IR$4="",$B31=""),0,SUMIF('DADOS BRUTOS'!$A$3:$A$500,$B31,'DADOS BRUTOS'!FR$3:FR$500)+IF($C31="",0,SUMIF('DADOS BRUTOS'!$A$3:$A$500,$C31,'DADOS BRUTOS'!FR$3:FR$500)))</f>
        <v/>
      </c>
      <c r="IS31" s="123">
        <f>IF(OR(IS$4="",$B31=""),0,SUMIF('DADOS BRUTOS'!$A$3:$A$500,$B31,'DADOS BRUTOS'!FS$3:FS$500)+IF($C31="",0,SUMIF('DADOS BRUTOS'!$A$3:$A$500,$C31,'DADOS BRUTOS'!FS$3:FS$500)))</f>
        <v/>
      </c>
      <c r="IT31" s="123">
        <f>IF(OR(IT$4="",$B31=""),0,SUMIF('DADOS BRUTOS'!$A$3:$A$500,$B31,'DADOS BRUTOS'!FT$3:FT$500)+IF($C31="",0,SUMIF('DADOS BRUTOS'!$A$3:$A$500,$C31,'DADOS BRUTOS'!FT$3:FT$500)))</f>
        <v/>
      </c>
      <c r="IU31" s="123">
        <f>IF(OR(IU$4="",$B31=""),0,SUMIF('DADOS BRUTOS'!$A$3:$A$500,$B31,'DADOS BRUTOS'!FU$3:FU$500)+IF($C31="",0,SUMIF('DADOS BRUTOS'!$A$3:$A$500,$C31,'DADOS BRUTOS'!FU$3:FU$500)))</f>
        <v/>
      </c>
      <c r="IV31" s="123">
        <f>IF(OR(IV$4="",$B31=""),0,SUMIF('DADOS BRUTOS'!$A$3:$A$500,$B31,'DADOS BRUTOS'!FV$3:FV$500)+IF($C31="",0,SUMIF('DADOS BRUTOS'!$A$3:$A$500,$C31,'DADOS BRUTOS'!FV$3:FV$500)))</f>
        <v/>
      </c>
      <c r="IW31" s="123">
        <f>IF(OR(IW$4="",$B31=""),0,SUMIF('DADOS BRUTOS'!$A$3:$A$500,$B31,'DADOS BRUTOS'!FW$3:FW$500)+IF($C31="",0,SUMIF('DADOS BRUTOS'!$A$3:$A$500,$C31,'DADOS BRUTOS'!FW$3:FW$500)))</f>
        <v/>
      </c>
      <c r="IX31" s="123">
        <f>IF(OR(IX$4="",$B31=""),0,SUMIF('DADOS BRUTOS'!$A$3:$A$500,$B31,'DADOS BRUTOS'!FX$3:FX$500)+IF($C31="",0,SUMIF('DADOS BRUTOS'!$A$3:$A$500,$C31,'DADOS BRUTOS'!FX$3:FX$500)))</f>
        <v/>
      </c>
      <c r="IY31" s="123">
        <f>IF(OR(IY$4="",$B31=""),0,SUMIF('DADOS BRUTOS'!$A$3:$A$500,$B31,'DADOS BRUTOS'!FY$3:FY$500)+IF($C31="",0,SUMIF('DADOS BRUTOS'!$A$3:$A$500,$C31,'DADOS BRUTOS'!FY$3:FY$500)))</f>
        <v/>
      </c>
      <c r="IZ31" s="123">
        <f>IF(OR(IZ$4="",$B31=""),0,SUMIF('DADOS BRUTOS'!$A$3:$A$500,$B31,'DADOS BRUTOS'!FZ$3:FZ$500)+IF($C31="",0,SUMIF('DADOS BRUTOS'!$A$3:$A$500,$C31,'DADOS BRUTOS'!FZ$3:FZ$500)))</f>
        <v/>
      </c>
      <c r="JA31" s="123">
        <f>IF(OR(JA$4="",$B31=""),0,SUMIF('DADOS BRUTOS'!$A$3:$A$500,$B31,'DADOS BRUTOS'!GA$3:GA$500)+IF($C31="",0,SUMIF('DADOS BRUTOS'!$A$3:$A$500,$C31,'DADOS BRUTOS'!GA$3:GA$500)))</f>
        <v/>
      </c>
      <c r="JB31" s="123">
        <f>IF(OR(JB$4="",$B31=""),0,SUMIF('DADOS BRUTOS'!$A$3:$A$500,$B31,'DADOS BRUTOS'!GB$3:GB$500)+IF($C31="",0,SUMIF('DADOS BRUTOS'!$A$3:$A$500,$C31,'DADOS BRUTOS'!GB$3:GB$500)))</f>
        <v/>
      </c>
      <c r="JC31" s="123">
        <f>IF(OR(JC$4="",$B31=""),0,SUMIF('DADOS BRUTOS'!$A$3:$A$500,$B31,'DADOS BRUTOS'!GC$3:GC$500)+IF($C31="",0,SUMIF('DADOS BRUTOS'!$A$3:$A$500,$C31,'DADOS BRUTOS'!GC$3:GC$500)))</f>
        <v/>
      </c>
      <c r="JD31" s="123">
        <f>IF(OR(JD$4="",$B31=""),0,SUMIF('DADOS BRUTOS'!$A$3:$A$500,$B31,'DADOS BRUTOS'!GD$3:GD$500)+IF($C31="",0,SUMIF('DADOS BRUTOS'!$A$3:$A$500,$C31,'DADOS BRUTOS'!GD$3:GD$500)))</f>
        <v/>
      </c>
      <c r="JE31" s="123">
        <f>IF(OR(JE$4="",$B31=""),0,SUMIF('DADOS BRUTOS'!$A$3:$A$500,$B31,'DADOS BRUTOS'!GE$3:GE$500)+IF($C31="",0,SUMIF('DADOS BRUTOS'!$A$3:$A$500,$C31,'DADOS BRUTOS'!GE$3:GE$500)))</f>
        <v/>
      </c>
      <c r="JF31" s="123">
        <f>IF(OR(JF$4="",$B31=""),0,SUMIF('DADOS BRUTOS'!$A$3:$A$500,$B31,'DADOS BRUTOS'!GF$3:GF$500)+IF($C31="",0,SUMIF('DADOS BRUTOS'!$A$3:$A$500,$C31,'DADOS BRUTOS'!GF$3:GF$500)))</f>
        <v/>
      </c>
      <c r="JG31" s="123">
        <f>IF(OR(JG$4="",$B31=""),0,SUMIF('DADOS BRUTOS'!$A$3:$A$500,$B31,'DADOS BRUTOS'!GG$3:GG$500)+IF($C31="",0,SUMIF('DADOS BRUTOS'!$A$3:$A$500,$C31,'DADOS BRUTOS'!GG$3:GG$500)))</f>
        <v/>
      </c>
      <c r="JH31" s="123">
        <f>IF(OR(JH$4="",$B31=""),0,SUMIF('DADOS BRUTOS'!$A$3:$A$500,$B31,'DADOS BRUTOS'!GH$3:GH$500)+IF($C31="",0,SUMIF('DADOS BRUTOS'!$A$3:$A$500,$C31,'DADOS BRUTOS'!GH$3:GH$500)))</f>
        <v/>
      </c>
      <c r="JI31" s="123">
        <f>IF(OR(JI$4="",$B31=""),0,SUMIF('DADOS BRUTOS'!$A$3:$A$500,$B31,'DADOS BRUTOS'!GI$3:GI$500)+IF($C31="",0,SUMIF('DADOS BRUTOS'!$A$3:$A$500,$C31,'DADOS BRUTOS'!GI$3:GI$500)))</f>
        <v/>
      </c>
      <c r="JJ31" s="123">
        <f>IF(OR(JJ$4="",$B31=""),0,SUMIF('DADOS BRUTOS'!$A$3:$A$500,$B31,'DADOS BRUTOS'!GJ$3:GJ$500)+IF($C31="",0,SUMIF('DADOS BRUTOS'!$A$3:$A$500,$C31,'DADOS BRUTOS'!GJ$3:GJ$500)))</f>
        <v/>
      </c>
      <c r="JK31" s="123">
        <f>IF(OR(JK$4="",$B31=""),0,SUMIF('DADOS BRUTOS'!$A$3:$A$500,$B31,'DADOS BRUTOS'!GK$3:GK$500)+IF($C31="",0,SUMIF('DADOS BRUTOS'!$A$3:$A$500,$C31,'DADOS BRUTOS'!GK$3:GK$500)))</f>
        <v/>
      </c>
      <c r="JL31" s="123">
        <f>IF(OR(JL$4="",$B31=""),0,SUMIF('DADOS BRUTOS'!$A$3:$A$500,$B31,'DADOS BRUTOS'!GL$3:GL$500)+IF($C31="",0,SUMIF('DADOS BRUTOS'!$A$3:$A$500,$C31,'DADOS BRUTOS'!GL$3:GL$500)))</f>
        <v/>
      </c>
      <c r="JM31" s="123">
        <f>IF(OR(JM$4="",$B31=""),0,SUMIF('DADOS BRUTOS'!$A$3:$A$500,$B31,'DADOS BRUTOS'!GM$3:GM$500)+IF($C31="",0,SUMIF('DADOS BRUTOS'!$A$3:$A$500,$C31,'DADOS BRUTOS'!GM$3:GM$500)))</f>
        <v/>
      </c>
      <c r="JN31" s="123">
        <f>IF(OR(JN$4="",$B31=""),0,SUMIF('DADOS BRUTOS'!$A$3:$A$500,$B31,'DADOS BRUTOS'!GN$3:GN$500)+IF($C31="",0,SUMIF('DADOS BRUTOS'!$A$3:$A$500,$C31,'DADOS BRUTOS'!GN$3:GN$500)))</f>
        <v/>
      </c>
      <c r="JO31" s="123">
        <f>IF(OR(JO$4="",$B31=""),0,SUMIF('DADOS BRUTOS'!$A$3:$A$500,$B31,'DADOS BRUTOS'!GO$3:GO$500)+IF($C31="",0,SUMIF('DADOS BRUTOS'!$A$3:$A$500,$C31,'DADOS BRUTOS'!GO$3:GO$500)))</f>
        <v/>
      </c>
      <c r="JP31" s="123">
        <f>IF(OR(JP$4="",$B31=""),0,SUMIF('DADOS BRUTOS'!$A$3:$A$500,$B31,'DADOS BRUTOS'!GP$3:GP$500)+IF($C31="",0,SUMIF('DADOS BRUTOS'!$A$3:$A$500,$C31,'DADOS BRUTOS'!GP$3:GP$500)))</f>
        <v/>
      </c>
      <c r="JQ31" s="123">
        <f>IF(OR(JQ$4="",$B31=""),0,SUMIF('DADOS BRUTOS'!$A$3:$A$500,$B31,'DADOS BRUTOS'!GQ$3:GQ$500)+IF($C31="",0,SUMIF('DADOS BRUTOS'!$A$3:$A$500,$C31,'DADOS BRUTOS'!GQ$3:GQ$500)))</f>
        <v/>
      </c>
      <c r="JR31" s="123">
        <f>IF(OR(JR$4="",$B31=""),0,SUMIF('DADOS BRUTOS'!$A$3:$A$500,$B31,'DADOS BRUTOS'!GR$3:GR$500)+IF($C31="",0,SUMIF('DADOS BRUTOS'!$A$3:$A$500,$C31,'DADOS BRUTOS'!GR$3:GR$500)))</f>
        <v/>
      </c>
      <c r="JS31" s="123">
        <f>IF(OR(JS$4="",$B31=""),0,SUMIF('DADOS BRUTOS'!$A$3:$A$500,$B31,'DADOS BRUTOS'!GS$3:GS$500)+IF($C31="",0,SUMIF('DADOS BRUTOS'!$A$3:$A$500,$C31,'DADOS BRUTOS'!GS$3:GS$500)))</f>
        <v/>
      </c>
    </row>
    <row r="32">
      <c r="A32" s="60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CB32" s="123">
        <f>IF(OR(CB$4="",$B32=""),0,SUMIF('DADOS BRUTOS'!$A$3:$A$500,$B32,'DADOS BRUTOS'!B$3:B$500)+IF($C32="",0,SUMIF('DADOS BRUTOS'!$A$3:$A$500,$C32,'DADOS BRUTOS'!B$3:B$500)))</f>
        <v/>
      </c>
      <c r="CC32" s="123">
        <f>IF(OR(CC$4="",$B32=""),0,SUMIF('DADOS BRUTOS'!$A$3:$A$500,$B32,'DADOS BRUTOS'!C$3:C$500)+IF($C32="",0,SUMIF('DADOS BRUTOS'!$A$3:$A$500,$C32,'DADOS BRUTOS'!C$3:C$500)))</f>
        <v/>
      </c>
      <c r="CD32" s="123">
        <f>IF(OR(CD$4="",$B32=""),0,SUMIF('DADOS BRUTOS'!$A$3:$A$500,$B32,'DADOS BRUTOS'!D$3:D$500)+IF($C32="",0,SUMIF('DADOS BRUTOS'!$A$3:$A$500,$C32,'DADOS BRUTOS'!D$3:D$500)))</f>
        <v/>
      </c>
      <c r="CE32" s="123">
        <f>IF(OR(CE$4="",$B32=""),0,SUMIF('DADOS BRUTOS'!$A$3:$A$500,$B32,'DADOS BRUTOS'!E$3:E$500)+IF($C32="",0,SUMIF('DADOS BRUTOS'!$A$3:$A$500,$C32,'DADOS BRUTOS'!E$3:E$500)))</f>
        <v/>
      </c>
      <c r="CF32" s="123">
        <f>IF(OR(CF$4="",$B32=""),0,SUMIF('DADOS BRUTOS'!$A$3:$A$500,$B32,'DADOS BRUTOS'!F$3:F$500)+IF($C32="",0,SUMIF('DADOS BRUTOS'!$A$3:$A$500,$C32,'DADOS BRUTOS'!F$3:F$500)))</f>
        <v/>
      </c>
      <c r="CG32" s="123">
        <f>IF(OR(CG$4="",$B32=""),0,SUMIF('DADOS BRUTOS'!$A$3:$A$500,$B32,'DADOS BRUTOS'!G$3:G$500)+IF($C32="",0,SUMIF('DADOS BRUTOS'!$A$3:$A$500,$C32,'DADOS BRUTOS'!G$3:G$500)))</f>
        <v/>
      </c>
      <c r="CH32" s="123">
        <f>IF(OR(CH$4="",$B32=""),0,SUMIF('DADOS BRUTOS'!$A$3:$A$500,$B32,'DADOS BRUTOS'!H$3:H$500)+IF($C32="",0,SUMIF('DADOS BRUTOS'!$A$3:$A$500,$C32,'DADOS BRUTOS'!H$3:H$500)))</f>
        <v/>
      </c>
      <c r="CI32" s="123">
        <f>IF(OR(CI$4="",$B32=""),0,SUMIF('DADOS BRUTOS'!$A$3:$A$500,$B32,'DADOS BRUTOS'!I$3:I$500)+IF($C32="",0,SUMIF('DADOS BRUTOS'!$A$3:$A$500,$C32,'DADOS BRUTOS'!I$3:I$500)))</f>
        <v/>
      </c>
      <c r="CJ32" s="123">
        <f>IF(OR(CJ$4="",$B32=""),0,SUMIF('DADOS BRUTOS'!$A$3:$A$500,$B32,'DADOS BRUTOS'!J$3:J$500)+IF($C32="",0,SUMIF('DADOS BRUTOS'!$A$3:$A$500,$C32,'DADOS BRUTOS'!J$3:J$500)))</f>
        <v/>
      </c>
      <c r="CK32" s="123">
        <f>IF(OR(CK$4="",$B32=""),0,SUMIF('DADOS BRUTOS'!$A$3:$A$500,$B32,'DADOS BRUTOS'!K$3:K$500)+IF($C32="",0,SUMIF('DADOS BRUTOS'!$A$3:$A$500,$C32,'DADOS BRUTOS'!K$3:K$500)))</f>
        <v/>
      </c>
      <c r="CL32" s="123">
        <f>IF(OR(CL$4="",$B32=""),0,SUMIF('DADOS BRUTOS'!$A$3:$A$500,$B32,'DADOS BRUTOS'!L$3:L$500)+IF($C32="",0,SUMIF('DADOS BRUTOS'!$A$3:$A$500,$C32,'DADOS BRUTOS'!L$3:L$500)))</f>
        <v/>
      </c>
      <c r="CM32" s="123">
        <f>IF(OR(CM$4="",$B32=""),0,SUMIF('DADOS BRUTOS'!$A$3:$A$500,$B32,'DADOS BRUTOS'!M$3:M$500)+IF($C32="",0,SUMIF('DADOS BRUTOS'!$A$3:$A$500,$C32,'DADOS BRUTOS'!M$3:M$500)))</f>
        <v/>
      </c>
      <c r="CN32" s="123">
        <f>IF(OR(CN$4="",$B32=""),0,SUMIF('DADOS BRUTOS'!$A$3:$A$500,$B32,'DADOS BRUTOS'!N$3:N$500)+IF($C32="",0,SUMIF('DADOS BRUTOS'!$A$3:$A$500,$C32,'DADOS BRUTOS'!N$3:N$500)))</f>
        <v/>
      </c>
      <c r="CO32" s="123">
        <f>IF(OR(CO$4="",$B32=""),0,SUMIF('DADOS BRUTOS'!$A$3:$A$500,$B32,'DADOS BRUTOS'!O$3:O$500)+IF($C32="",0,SUMIF('DADOS BRUTOS'!$A$3:$A$500,$C32,'DADOS BRUTOS'!O$3:O$500)))</f>
        <v/>
      </c>
      <c r="CP32" s="123">
        <f>IF(OR(CP$4="",$B32=""),0,SUMIF('DADOS BRUTOS'!$A$3:$A$500,$B32,'DADOS BRUTOS'!P$3:P$500)+IF($C32="",0,SUMIF('DADOS BRUTOS'!$A$3:$A$500,$C32,'DADOS BRUTOS'!P$3:P$500)))</f>
        <v/>
      </c>
      <c r="CQ32" s="123">
        <f>IF(OR(CQ$4="",$B32=""),0,SUMIF('DADOS BRUTOS'!$A$3:$A$500,$B32,'DADOS BRUTOS'!Q$3:Q$500)+IF($C32="",0,SUMIF('DADOS BRUTOS'!$A$3:$A$500,$C32,'DADOS BRUTOS'!Q$3:Q$500)))</f>
        <v/>
      </c>
      <c r="CR32" s="123">
        <f>IF(OR(CR$4="",$B32=""),0,SUMIF('DADOS BRUTOS'!$A$3:$A$500,$B32,'DADOS BRUTOS'!R$3:R$500)+IF($C32="",0,SUMIF('DADOS BRUTOS'!$A$3:$A$500,$C32,'DADOS BRUTOS'!R$3:R$500)))</f>
        <v/>
      </c>
      <c r="CS32" s="123">
        <f>IF(OR(CS$4="",$B32=""),0,SUMIF('DADOS BRUTOS'!$A$3:$A$500,$B32,'DADOS BRUTOS'!S$3:S$500)+IF($C32="",0,SUMIF('DADOS BRUTOS'!$A$3:$A$500,$C32,'DADOS BRUTOS'!S$3:S$500)))</f>
        <v/>
      </c>
      <c r="CT32" s="123">
        <f>IF(OR(CT$4="",$B32=""),0,SUMIF('DADOS BRUTOS'!$A$3:$A$500,$B32,'DADOS BRUTOS'!T$3:T$500)+IF($C32="",0,SUMIF('DADOS BRUTOS'!$A$3:$A$500,$C32,'DADOS BRUTOS'!T$3:T$500)))</f>
        <v/>
      </c>
      <c r="CU32" s="123">
        <f>IF(OR(CU$4="",$B32=""),0,SUMIF('DADOS BRUTOS'!$A$3:$A$500,$B32,'DADOS BRUTOS'!U$3:U$500)+IF($C32="",0,SUMIF('DADOS BRUTOS'!$A$3:$A$500,$C32,'DADOS BRUTOS'!U$3:U$500)))</f>
        <v/>
      </c>
      <c r="CV32" s="123">
        <f>IF(OR(CV$4="",$B32=""),0,SUMIF('DADOS BRUTOS'!$A$3:$A$500,$B32,'DADOS BRUTOS'!V$3:V$500)+IF($C32="",0,SUMIF('DADOS BRUTOS'!$A$3:$A$500,$C32,'DADOS BRUTOS'!V$3:V$500)))</f>
        <v/>
      </c>
      <c r="CW32" s="123">
        <f>IF(OR(CW$4="",$B32=""),0,SUMIF('DADOS BRUTOS'!$A$3:$A$500,$B32,'DADOS BRUTOS'!W$3:W$500)+IF($C32="",0,SUMIF('DADOS BRUTOS'!$A$3:$A$500,$C32,'DADOS BRUTOS'!W$3:W$500)))</f>
        <v/>
      </c>
      <c r="CX32" s="123">
        <f>IF(OR(CX$4="",$B32=""),0,SUMIF('DADOS BRUTOS'!$A$3:$A$500,$B32,'DADOS BRUTOS'!X$3:X$500)+IF($C32="",0,SUMIF('DADOS BRUTOS'!$A$3:$A$500,$C32,'DADOS BRUTOS'!X$3:X$500)))</f>
        <v/>
      </c>
      <c r="CY32" s="123">
        <f>IF(OR(CY$4="",$B32=""),0,SUMIF('DADOS BRUTOS'!$A$3:$A$500,$B32,'DADOS BRUTOS'!Y$3:Y$500)+IF($C32="",0,SUMIF('DADOS BRUTOS'!$A$3:$A$500,$C32,'DADOS BRUTOS'!Y$3:Y$500)))</f>
        <v/>
      </c>
      <c r="CZ32" s="123">
        <f>IF(OR(CZ$4="",$B32=""),0,SUMIF('DADOS BRUTOS'!$A$3:$A$500,$B32,'DADOS BRUTOS'!Z$3:Z$500)+IF($C32="",0,SUMIF('DADOS BRUTOS'!$A$3:$A$500,$C32,'DADOS BRUTOS'!Z$3:Z$500)))</f>
        <v/>
      </c>
      <c r="DA32" s="123">
        <f>IF(OR(DA$4="",$B32=""),0,SUMIF('DADOS BRUTOS'!$A$3:$A$500,$B32,'DADOS BRUTOS'!AA$3:AA$500)+IF($C32="",0,SUMIF('DADOS BRUTOS'!$A$3:$A$500,$C32,'DADOS BRUTOS'!AA$3:AA$500)))</f>
        <v/>
      </c>
      <c r="DB32" s="123">
        <f>IF(OR(DB$4="",$B32=""),0,SUMIF('DADOS BRUTOS'!$A$3:$A$500,$B32,'DADOS BRUTOS'!AB$3:AB$500)+IF($C32="",0,SUMIF('DADOS BRUTOS'!$A$3:$A$500,$C32,'DADOS BRUTOS'!AB$3:AB$500)))</f>
        <v/>
      </c>
      <c r="DC32" s="123">
        <f>IF(OR(DC$4="",$B32=""),0,SUMIF('DADOS BRUTOS'!$A$3:$A$500,$B32,'DADOS BRUTOS'!AC$3:AC$500)+IF($C32="",0,SUMIF('DADOS BRUTOS'!$A$3:$A$500,$C32,'DADOS BRUTOS'!AC$3:AC$500)))</f>
        <v/>
      </c>
      <c r="DD32" s="123">
        <f>IF(OR(DD$4="",$B32=""),0,SUMIF('DADOS BRUTOS'!$A$3:$A$500,$B32,'DADOS BRUTOS'!AD$3:AD$500)+IF($C32="",0,SUMIF('DADOS BRUTOS'!$A$3:$A$500,$C32,'DADOS BRUTOS'!AD$3:AD$500)))</f>
        <v/>
      </c>
      <c r="DE32" s="123">
        <f>IF(OR(DE$4="",$B32=""),0,SUMIF('DADOS BRUTOS'!$A$3:$A$500,$B32,'DADOS BRUTOS'!AE$3:AE$500)+IF($C32="",0,SUMIF('DADOS BRUTOS'!$A$3:$A$500,$C32,'DADOS BRUTOS'!AE$3:AE$500)))</f>
        <v/>
      </c>
      <c r="DF32" s="123">
        <f>IF(OR(DF$4="",$B32=""),0,SUMIF('DADOS BRUTOS'!$A$3:$A$500,$B32,'DADOS BRUTOS'!AF$3:AF$500)+IF($C32="",0,SUMIF('DADOS BRUTOS'!$A$3:$A$500,$C32,'DADOS BRUTOS'!AF$3:AF$500)))</f>
        <v/>
      </c>
      <c r="DG32" s="123">
        <f>IF(OR(DG$4="",$B32=""),0,SUMIF('DADOS BRUTOS'!$A$3:$A$500,$B32,'DADOS BRUTOS'!AG$3:AG$500)+IF($C32="",0,SUMIF('DADOS BRUTOS'!$A$3:$A$500,$C32,'DADOS BRUTOS'!AG$3:AG$500)))</f>
        <v/>
      </c>
      <c r="DH32" s="123">
        <f>IF(OR(DH$4="",$B32=""),0,SUMIF('DADOS BRUTOS'!$A$3:$A$500,$B32,'DADOS BRUTOS'!AH$3:AH$500)+IF($C32="",0,SUMIF('DADOS BRUTOS'!$A$3:$A$500,$C32,'DADOS BRUTOS'!AH$3:AH$500)))</f>
        <v/>
      </c>
      <c r="DI32" s="123">
        <f>IF(OR(DI$4="",$B32=""),0,SUMIF('DADOS BRUTOS'!$A$3:$A$500,$B32,'DADOS BRUTOS'!AI$3:AI$500)+IF($C32="",0,SUMIF('DADOS BRUTOS'!$A$3:$A$500,$C32,'DADOS BRUTOS'!AI$3:AI$500)))</f>
        <v/>
      </c>
      <c r="DJ32" s="123">
        <f>IF(OR(DJ$4="",$B32=""),0,SUMIF('DADOS BRUTOS'!$A$3:$A$500,$B32,'DADOS BRUTOS'!AJ$3:AJ$500)+IF($C32="",0,SUMIF('DADOS BRUTOS'!$A$3:$A$500,$C32,'DADOS BRUTOS'!AJ$3:AJ$500)))</f>
        <v/>
      </c>
      <c r="DK32" s="123">
        <f>IF(OR(DK$4="",$B32=""),0,SUMIF('DADOS BRUTOS'!$A$3:$A$500,$B32,'DADOS BRUTOS'!AK$3:AK$500)+IF($C32="",0,SUMIF('DADOS BRUTOS'!$A$3:$A$500,$C32,'DADOS BRUTOS'!AK$3:AK$500)))</f>
        <v/>
      </c>
      <c r="DL32" s="123">
        <f>IF(OR(DL$4="",$B32=""),0,SUMIF('DADOS BRUTOS'!$A$3:$A$500,$B32,'DADOS BRUTOS'!AL$3:AL$500)+IF($C32="",0,SUMIF('DADOS BRUTOS'!$A$3:$A$500,$C32,'DADOS BRUTOS'!AL$3:AL$500)))</f>
        <v/>
      </c>
      <c r="DM32" s="123">
        <f>IF(OR(DM$4="",$B32=""),0,SUMIF('DADOS BRUTOS'!$A$3:$A$500,$B32,'DADOS BRUTOS'!AM$3:AM$500)+IF($C32="",0,SUMIF('DADOS BRUTOS'!$A$3:$A$500,$C32,'DADOS BRUTOS'!AM$3:AM$500)))</f>
        <v/>
      </c>
      <c r="DN32" s="123">
        <f>IF(OR(DN$4="",$B32=""),0,SUMIF('DADOS BRUTOS'!$A$3:$A$500,$B32,'DADOS BRUTOS'!AN$3:AN$500)+IF($C32="",0,SUMIF('DADOS BRUTOS'!$A$3:$A$500,$C32,'DADOS BRUTOS'!AN$3:AN$500)))</f>
        <v/>
      </c>
      <c r="DO32" s="123">
        <f>IF(OR(DO$4="",$B32=""),0,SUMIF('DADOS BRUTOS'!$A$3:$A$500,$B32,'DADOS BRUTOS'!AO$3:AO$500)+IF($C32="",0,SUMIF('DADOS BRUTOS'!$A$3:$A$500,$C32,'DADOS BRUTOS'!AO$3:AO$500)))</f>
        <v/>
      </c>
      <c r="DP32" s="123">
        <f>IF(OR(DP$4="",$B32=""),0,SUMIF('DADOS BRUTOS'!$A$3:$A$500,$B32,'DADOS BRUTOS'!AP$3:AP$500)+IF($C32="",0,SUMIF('DADOS BRUTOS'!$A$3:$A$500,$C32,'DADOS BRUTOS'!AP$3:AP$500)))</f>
        <v/>
      </c>
      <c r="DQ32" s="123">
        <f>IF(OR(DQ$4="",$B32=""),0,SUMIF('DADOS BRUTOS'!$A$3:$A$500,$B32,'DADOS BRUTOS'!AQ$3:AQ$500)+IF($C32="",0,SUMIF('DADOS BRUTOS'!$A$3:$A$500,$C32,'DADOS BRUTOS'!AQ$3:AQ$500)))</f>
        <v/>
      </c>
      <c r="DR32" s="123">
        <f>IF(OR(DR$4="",$B32=""),0,SUMIF('DADOS BRUTOS'!$A$3:$A$500,$B32,'DADOS BRUTOS'!AR$3:AR$500)+IF($C32="",0,SUMIF('DADOS BRUTOS'!$A$3:$A$500,$C32,'DADOS BRUTOS'!AR$3:AR$500)))</f>
        <v/>
      </c>
      <c r="DS32" s="123">
        <f>IF(OR(DS$4="",$B32=""),0,SUMIF('DADOS BRUTOS'!$A$3:$A$500,$B32,'DADOS BRUTOS'!AS$3:AS$500)+IF($C32="",0,SUMIF('DADOS BRUTOS'!$A$3:$A$500,$C32,'DADOS BRUTOS'!AS$3:AS$500)))</f>
        <v/>
      </c>
      <c r="DT32" s="123">
        <f>IF(OR(DT$4="",$B32=""),0,SUMIF('DADOS BRUTOS'!$A$3:$A$500,$B32,'DADOS BRUTOS'!AT$3:AT$500)+IF($C32="",0,SUMIF('DADOS BRUTOS'!$A$3:$A$500,$C32,'DADOS BRUTOS'!AT$3:AT$500)))</f>
        <v/>
      </c>
      <c r="DU32" s="123">
        <f>IF(OR(DU$4="",$B32=""),0,SUMIF('DADOS BRUTOS'!$A$3:$A$500,$B32,'DADOS BRUTOS'!AU$3:AU$500)+IF($C32="",0,SUMIF('DADOS BRUTOS'!$A$3:$A$500,$C32,'DADOS BRUTOS'!AU$3:AU$500)))</f>
        <v/>
      </c>
      <c r="DV32" s="123">
        <f>IF(OR(DV$4="",$B32=""),0,SUMIF('DADOS BRUTOS'!$A$3:$A$500,$B32,'DADOS BRUTOS'!AV$3:AV$500)+IF($C32="",0,SUMIF('DADOS BRUTOS'!$A$3:$A$500,$C32,'DADOS BRUTOS'!AV$3:AV$500)))</f>
        <v/>
      </c>
      <c r="DW32" s="123">
        <f>IF(OR(DW$4="",$B32=""),0,SUMIF('DADOS BRUTOS'!$A$3:$A$500,$B32,'DADOS BRUTOS'!AW$3:AW$500)+IF($C32="",0,SUMIF('DADOS BRUTOS'!$A$3:$A$500,$C32,'DADOS BRUTOS'!AW$3:AW$500)))</f>
        <v/>
      </c>
      <c r="DX32" s="123">
        <f>IF(OR(DX$4="",$B32=""),0,SUMIF('DADOS BRUTOS'!$A$3:$A$500,$B32,'DADOS BRUTOS'!AX$3:AX$500)+IF($C32="",0,SUMIF('DADOS BRUTOS'!$A$3:$A$500,$C32,'DADOS BRUTOS'!AX$3:AX$500)))</f>
        <v/>
      </c>
      <c r="DY32" s="123">
        <f>IF(OR(DY$4="",$B32=""),0,SUMIF('DADOS BRUTOS'!$A$3:$A$500,$B32,'DADOS BRUTOS'!AY$3:AY$500)+IF($C32="",0,SUMIF('DADOS BRUTOS'!$A$3:$A$500,$C32,'DADOS BRUTOS'!AY$3:AY$500)))</f>
        <v/>
      </c>
      <c r="DZ32" s="123">
        <f>IF(OR(DZ$4="",$B32=""),0,SUMIF('DADOS BRUTOS'!$A$3:$A$500,$B32,'DADOS BRUTOS'!AZ$3:AZ$500)+IF($C32="",0,SUMIF('DADOS BRUTOS'!$A$3:$A$500,$C32,'DADOS BRUTOS'!AZ$3:AZ$500)))</f>
        <v/>
      </c>
      <c r="EA32" s="123">
        <f>IF(OR(EA$4="",$B32=""),0,SUMIF('DADOS BRUTOS'!$A$3:$A$500,$B32,'DADOS BRUTOS'!BA$3:BA$500)+IF($C32="",0,SUMIF('DADOS BRUTOS'!$A$3:$A$500,$C32,'DADOS BRUTOS'!BA$3:BA$500)))</f>
        <v/>
      </c>
      <c r="EB32" s="123">
        <f>IF(OR(EB$4="",$B32=""),0,SUMIF('DADOS BRUTOS'!$A$3:$A$500,$B32,'DADOS BRUTOS'!BB$3:BB$500)+IF($C32="",0,SUMIF('DADOS BRUTOS'!$A$3:$A$500,$C32,'DADOS BRUTOS'!BB$3:BB$500)))</f>
        <v/>
      </c>
      <c r="EC32" s="123">
        <f>IF(OR(EC$4="",$B32=""),0,SUMIF('DADOS BRUTOS'!$A$3:$A$500,$B32,'DADOS BRUTOS'!BC$3:BC$500)+IF($C32="",0,SUMIF('DADOS BRUTOS'!$A$3:$A$500,$C32,'DADOS BRUTOS'!BC$3:BC$500)))</f>
        <v/>
      </c>
      <c r="ED32" s="123">
        <f>IF(OR(ED$4="",$B32=""),0,SUMIF('DADOS BRUTOS'!$A$3:$A$500,$B32,'DADOS BRUTOS'!BD$3:BD$500)+IF($C32="",0,SUMIF('DADOS BRUTOS'!$A$3:$A$500,$C32,'DADOS BRUTOS'!BD$3:BD$500)))</f>
        <v/>
      </c>
      <c r="EE32" s="123">
        <f>IF(OR(EE$4="",$B32=""),0,SUMIF('DADOS BRUTOS'!$A$3:$A$500,$B32,'DADOS BRUTOS'!BE$3:BE$500)+IF($C32="",0,SUMIF('DADOS BRUTOS'!$A$3:$A$500,$C32,'DADOS BRUTOS'!BE$3:BE$500)))</f>
        <v/>
      </c>
      <c r="EF32" s="123">
        <f>IF(OR(EF$4="",$B32=""),0,SUMIF('DADOS BRUTOS'!$A$3:$A$500,$B32,'DADOS BRUTOS'!BF$3:BF$500)+IF($C32="",0,SUMIF('DADOS BRUTOS'!$A$3:$A$500,$C32,'DADOS BRUTOS'!BF$3:BF$500)))</f>
        <v/>
      </c>
      <c r="EG32" s="123">
        <f>IF(OR(EG$4="",$B32=""),0,SUMIF('DADOS BRUTOS'!$A$3:$A$500,$B32,'DADOS BRUTOS'!BG$3:BG$500)+IF($C32="",0,SUMIF('DADOS BRUTOS'!$A$3:$A$500,$C32,'DADOS BRUTOS'!BG$3:BG$500)))</f>
        <v/>
      </c>
      <c r="EH32" s="123">
        <f>IF(OR(EH$4="",$B32=""),0,SUMIF('DADOS BRUTOS'!$A$3:$A$500,$B32,'DADOS BRUTOS'!BH$3:BH$500)+IF($C32="",0,SUMIF('DADOS BRUTOS'!$A$3:$A$500,$C32,'DADOS BRUTOS'!BH$3:BH$500)))</f>
        <v/>
      </c>
      <c r="EI32" s="123">
        <f>IF(OR(EI$4="",$B32=""),0,SUMIF('DADOS BRUTOS'!$A$3:$A$500,$B32,'DADOS BRUTOS'!BI$3:BI$500)+IF($C32="",0,SUMIF('DADOS BRUTOS'!$A$3:$A$500,$C32,'DADOS BRUTOS'!BI$3:BI$500)))</f>
        <v/>
      </c>
      <c r="EJ32" s="123">
        <f>IF(OR(EJ$4="",$B32=""),0,SUMIF('DADOS BRUTOS'!$A$3:$A$500,$B32,'DADOS BRUTOS'!BJ$3:BJ$500)+IF($C32="",0,SUMIF('DADOS BRUTOS'!$A$3:$A$500,$C32,'DADOS BRUTOS'!BJ$3:BJ$500)))</f>
        <v/>
      </c>
      <c r="EK32" s="123">
        <f>IF(OR(EK$4="",$B32=""),0,SUMIF('DADOS BRUTOS'!$A$3:$A$500,$B32,'DADOS BRUTOS'!BK$3:BK$500)+IF($C32="",0,SUMIF('DADOS BRUTOS'!$A$3:$A$500,$C32,'DADOS BRUTOS'!BK$3:BK$500)))</f>
        <v/>
      </c>
      <c r="EL32" s="123">
        <f>IF(OR(EL$4="",$B32=""),0,SUMIF('DADOS BRUTOS'!$A$3:$A$500,$B32,'DADOS BRUTOS'!BL$3:BL$500)+IF($C32="",0,SUMIF('DADOS BRUTOS'!$A$3:$A$500,$C32,'DADOS BRUTOS'!BL$3:BL$500)))</f>
        <v/>
      </c>
      <c r="EM32" s="123">
        <f>IF(OR(EM$4="",$B32=""),0,SUMIF('DADOS BRUTOS'!$A$3:$A$500,$B32,'DADOS BRUTOS'!BM$3:BM$500)+IF($C32="",0,SUMIF('DADOS BRUTOS'!$A$3:$A$500,$C32,'DADOS BRUTOS'!BM$3:BM$500)))</f>
        <v/>
      </c>
      <c r="EN32" s="123">
        <f>IF(OR(EN$4="",$B32=""),0,SUMIF('DADOS BRUTOS'!$A$3:$A$500,$B32,'DADOS BRUTOS'!BN$3:BN$500)+IF($C32="",0,SUMIF('DADOS BRUTOS'!$A$3:$A$500,$C32,'DADOS BRUTOS'!BN$3:BN$500)))</f>
        <v/>
      </c>
      <c r="EO32" s="123">
        <f>IF(OR(EO$4="",$B32=""),0,SUMIF('DADOS BRUTOS'!$A$3:$A$500,$B32,'DADOS BRUTOS'!BO$3:BO$500)+IF($C32="",0,SUMIF('DADOS BRUTOS'!$A$3:$A$500,$C32,'DADOS BRUTOS'!BO$3:BO$500)))</f>
        <v/>
      </c>
      <c r="EP32" s="123">
        <f>IF(OR(EP$4="",$B32=""),0,SUMIF('DADOS BRUTOS'!$A$3:$A$500,$B32,'DADOS BRUTOS'!BP$3:BP$500)+IF($C32="",0,SUMIF('DADOS BRUTOS'!$A$3:$A$500,$C32,'DADOS BRUTOS'!BP$3:BP$500)))</f>
        <v/>
      </c>
      <c r="EQ32" s="123">
        <f>IF(OR(EQ$4="",$B32=""),0,SUMIF('DADOS BRUTOS'!$A$3:$A$500,$B32,'DADOS BRUTOS'!BQ$3:BQ$500)+IF($C32="",0,SUMIF('DADOS BRUTOS'!$A$3:$A$500,$C32,'DADOS BRUTOS'!BQ$3:BQ$500)))</f>
        <v/>
      </c>
      <c r="ER32" s="123">
        <f>IF(OR(ER$4="",$B32=""),0,SUMIF('DADOS BRUTOS'!$A$3:$A$500,$B32,'DADOS BRUTOS'!BR$3:BR$500)+IF($C32="",0,SUMIF('DADOS BRUTOS'!$A$3:$A$500,$C32,'DADOS BRUTOS'!BR$3:BR$500)))</f>
        <v/>
      </c>
      <c r="ES32" s="123">
        <f>IF(OR(ES$4="",$B32=""),0,SUMIF('DADOS BRUTOS'!$A$3:$A$500,$B32,'DADOS BRUTOS'!BS$3:BS$500)+IF($C32="",0,SUMIF('DADOS BRUTOS'!$A$3:$A$500,$C32,'DADOS BRUTOS'!BS$3:BS$500)))</f>
        <v/>
      </c>
      <c r="ET32" s="123">
        <f>IF(OR(ET$4="",$B32=""),0,SUMIF('DADOS BRUTOS'!$A$3:$A$500,$B32,'DADOS BRUTOS'!BT$3:BT$500)+IF($C32="",0,SUMIF('DADOS BRUTOS'!$A$3:$A$500,$C32,'DADOS BRUTOS'!BT$3:BT$500)))</f>
        <v/>
      </c>
      <c r="EU32" s="123">
        <f>IF(OR(EU$4="",$B32=""),0,SUMIF('DADOS BRUTOS'!$A$3:$A$500,$B32,'DADOS BRUTOS'!BU$3:BU$500)+IF($C32="",0,SUMIF('DADOS BRUTOS'!$A$3:$A$500,$C32,'DADOS BRUTOS'!BU$3:BU$500)))</f>
        <v/>
      </c>
      <c r="EV32" s="123">
        <f>IF(OR(EV$4="",$B32=""),0,SUMIF('DADOS BRUTOS'!$A$3:$A$500,$B32,'DADOS BRUTOS'!BV$3:BV$500)+IF($C32="",0,SUMIF('DADOS BRUTOS'!$A$3:$A$500,$C32,'DADOS BRUTOS'!BV$3:BV$500)))</f>
        <v/>
      </c>
      <c r="EW32" s="123">
        <f>IF(OR(EW$4="",$B32=""),0,SUMIF('DADOS BRUTOS'!$A$3:$A$500,$B32,'DADOS BRUTOS'!BW$3:BW$500)+IF($C32="",0,SUMIF('DADOS BRUTOS'!$A$3:$A$500,$C32,'DADOS BRUTOS'!BW$3:BW$500)))</f>
        <v/>
      </c>
      <c r="EX32" s="123">
        <f>IF(OR(EX$4="",$B32=""),0,SUMIF('DADOS BRUTOS'!$A$3:$A$500,$B32,'DADOS BRUTOS'!BX$3:BX$500)+IF($C32="",0,SUMIF('DADOS BRUTOS'!$A$3:$A$500,$C32,'DADOS BRUTOS'!BX$3:BX$500)))</f>
        <v/>
      </c>
      <c r="EY32" s="123">
        <f>IF(OR(EY$4="",$B32=""),0,SUMIF('DADOS BRUTOS'!$A$3:$A$500,$B32,'DADOS BRUTOS'!BY$3:BY$500)+IF($C32="",0,SUMIF('DADOS BRUTOS'!$A$3:$A$500,$C32,'DADOS BRUTOS'!BY$3:BY$500)))</f>
        <v/>
      </c>
      <c r="EZ32" s="123">
        <f>IF(OR(EZ$4="",$B32=""),0,SUMIF('DADOS BRUTOS'!$A$3:$A$500,$B32,'DADOS BRUTOS'!BZ$3:BZ$500)+IF($C32="",0,SUMIF('DADOS BRUTOS'!$A$3:$A$500,$C32,'DADOS BRUTOS'!BZ$3:BZ$500)))</f>
        <v/>
      </c>
      <c r="FA32" s="123">
        <f>IF(OR(FA$4="",$B32=""),0,SUMIF('DADOS BRUTOS'!$A$3:$A$500,$B32,'DADOS BRUTOS'!CA$3:CA$500)+IF($C32="",0,SUMIF('DADOS BRUTOS'!$A$3:$A$500,$C32,'DADOS BRUTOS'!CA$3:CA$500)))</f>
        <v/>
      </c>
      <c r="FB32" s="123">
        <f>IF(OR(FB$4="",$B32=""),0,SUMIF('DADOS BRUTOS'!$A$3:$A$500,$B32,'DADOS BRUTOS'!CB$3:CB$500)+IF($C32="",0,SUMIF('DADOS BRUTOS'!$A$3:$A$500,$C32,'DADOS BRUTOS'!CB$3:CB$500)))</f>
        <v/>
      </c>
      <c r="FC32" s="123">
        <f>IF(OR(FC$4="",$B32=""),0,SUMIF('DADOS BRUTOS'!$A$3:$A$500,$B32,'DADOS BRUTOS'!CC$3:CC$500)+IF($C32="",0,SUMIF('DADOS BRUTOS'!$A$3:$A$500,$C32,'DADOS BRUTOS'!CC$3:CC$500)))</f>
        <v/>
      </c>
      <c r="FD32" s="123">
        <f>IF(OR(FD$4="",$B32=""),0,SUMIF('DADOS BRUTOS'!$A$3:$A$500,$B32,'DADOS BRUTOS'!CD$3:CD$500)+IF($C32="",0,SUMIF('DADOS BRUTOS'!$A$3:$A$500,$C32,'DADOS BRUTOS'!CD$3:CD$500)))</f>
        <v/>
      </c>
      <c r="FE32" s="123">
        <f>IF(OR(FE$4="",$B32=""),0,SUMIF('DADOS BRUTOS'!$A$3:$A$500,$B32,'DADOS BRUTOS'!CE$3:CE$500)+IF($C32="",0,SUMIF('DADOS BRUTOS'!$A$3:$A$500,$C32,'DADOS BRUTOS'!CE$3:CE$500)))</f>
        <v/>
      </c>
      <c r="FF32" s="123">
        <f>IF(OR(FF$4="",$B32=""),0,SUMIF('DADOS BRUTOS'!$A$3:$A$500,$B32,'DADOS BRUTOS'!CF$3:CF$500)+IF($C32="",0,SUMIF('DADOS BRUTOS'!$A$3:$A$500,$C32,'DADOS BRUTOS'!CF$3:CF$500)))</f>
        <v/>
      </c>
      <c r="FG32" s="123">
        <f>IF(OR(FG$4="",$B32=""),0,SUMIF('DADOS BRUTOS'!$A$3:$A$500,$B32,'DADOS BRUTOS'!CG$3:CG$500)+IF($C32="",0,SUMIF('DADOS BRUTOS'!$A$3:$A$500,$C32,'DADOS BRUTOS'!CG$3:CG$500)))</f>
        <v/>
      </c>
      <c r="FH32" s="123">
        <f>IF(OR(FH$4="",$B32=""),0,SUMIF('DADOS BRUTOS'!$A$3:$A$500,$B32,'DADOS BRUTOS'!CH$3:CH$500)+IF($C32="",0,SUMIF('DADOS BRUTOS'!$A$3:$A$500,$C32,'DADOS BRUTOS'!CH$3:CH$500)))</f>
        <v/>
      </c>
      <c r="FI32" s="123">
        <f>IF(OR(FI$4="",$B32=""),0,SUMIF('DADOS BRUTOS'!$A$3:$A$500,$B32,'DADOS BRUTOS'!CI$3:CI$500)+IF($C32="",0,SUMIF('DADOS BRUTOS'!$A$3:$A$500,$C32,'DADOS BRUTOS'!CI$3:CI$500)))</f>
        <v/>
      </c>
      <c r="FJ32" s="123">
        <f>IF(OR(FJ$4="",$B32=""),0,SUMIF('DADOS BRUTOS'!$A$3:$A$500,$B32,'DADOS BRUTOS'!CJ$3:CJ$500)+IF($C32="",0,SUMIF('DADOS BRUTOS'!$A$3:$A$500,$C32,'DADOS BRUTOS'!CJ$3:CJ$500)))</f>
        <v/>
      </c>
      <c r="FK32" s="123">
        <f>IF(OR(FK$4="",$B32=""),0,SUMIF('DADOS BRUTOS'!$A$3:$A$500,$B32,'DADOS BRUTOS'!CK$3:CK$500)+IF($C32="",0,SUMIF('DADOS BRUTOS'!$A$3:$A$500,$C32,'DADOS BRUTOS'!CK$3:CK$500)))</f>
        <v/>
      </c>
      <c r="FL32" s="123">
        <f>IF(OR(FL$4="",$B32=""),0,SUMIF('DADOS BRUTOS'!$A$3:$A$500,$B32,'DADOS BRUTOS'!CL$3:CL$500)+IF($C32="",0,SUMIF('DADOS BRUTOS'!$A$3:$A$500,$C32,'DADOS BRUTOS'!CL$3:CL$500)))</f>
        <v/>
      </c>
      <c r="FM32" s="123">
        <f>IF(OR(FM$4="",$B32=""),0,SUMIF('DADOS BRUTOS'!$A$3:$A$500,$B32,'DADOS BRUTOS'!CM$3:CM$500)+IF($C32="",0,SUMIF('DADOS BRUTOS'!$A$3:$A$500,$C32,'DADOS BRUTOS'!CM$3:CM$500)))</f>
        <v/>
      </c>
      <c r="FN32" s="123">
        <f>IF(OR(FN$4="",$B32=""),0,SUMIF('DADOS BRUTOS'!$A$3:$A$500,$B32,'DADOS BRUTOS'!CN$3:CN$500)+IF($C32="",0,SUMIF('DADOS BRUTOS'!$A$3:$A$500,$C32,'DADOS BRUTOS'!CN$3:CN$500)))</f>
        <v/>
      </c>
      <c r="FO32" s="123">
        <f>IF(OR(FO$4="",$B32=""),0,SUMIF('DADOS BRUTOS'!$A$3:$A$500,$B32,'DADOS BRUTOS'!CO$3:CO$500)+IF($C32="",0,SUMIF('DADOS BRUTOS'!$A$3:$A$500,$C32,'DADOS BRUTOS'!CO$3:CO$500)))</f>
        <v/>
      </c>
      <c r="FP32" s="123">
        <f>IF(OR(FP$4="",$B32=""),0,SUMIF('DADOS BRUTOS'!$A$3:$A$500,$B32,'DADOS BRUTOS'!CP$3:CP$500)+IF($C32="",0,SUMIF('DADOS BRUTOS'!$A$3:$A$500,$C32,'DADOS BRUTOS'!CP$3:CP$500)))</f>
        <v/>
      </c>
      <c r="FQ32" s="123">
        <f>IF(OR(FQ$4="",$B32=""),0,SUMIF('DADOS BRUTOS'!$A$3:$A$500,$B32,'DADOS BRUTOS'!CQ$3:CQ$500)+IF($C32="",0,SUMIF('DADOS BRUTOS'!$A$3:$A$500,$C32,'DADOS BRUTOS'!CQ$3:CQ$500)))</f>
        <v/>
      </c>
      <c r="FR32" s="123">
        <f>IF(OR(FR$4="",$B32=""),0,SUMIF('DADOS BRUTOS'!$A$3:$A$500,$B32,'DADOS BRUTOS'!CR$3:CR$500)+IF($C32="",0,SUMIF('DADOS BRUTOS'!$A$3:$A$500,$C32,'DADOS BRUTOS'!CR$3:CR$500)))</f>
        <v/>
      </c>
      <c r="FS32" s="123">
        <f>IF(OR(FS$4="",$B32=""),0,SUMIF('DADOS BRUTOS'!$A$3:$A$500,$B32,'DADOS BRUTOS'!CS$3:CS$500)+IF($C32="",0,SUMIF('DADOS BRUTOS'!$A$3:$A$500,$C32,'DADOS BRUTOS'!CS$3:CS$500)))</f>
        <v/>
      </c>
      <c r="FT32" s="123">
        <f>IF(OR(FT$4="",$B32=""),0,SUMIF('DADOS BRUTOS'!$A$3:$A$500,$B32,'DADOS BRUTOS'!CT$3:CT$500)+IF($C32="",0,SUMIF('DADOS BRUTOS'!$A$3:$A$500,$C32,'DADOS BRUTOS'!CT$3:CT$500)))</f>
        <v/>
      </c>
      <c r="FU32" s="123">
        <f>IF(OR(FU$4="",$B32=""),0,SUMIF('DADOS BRUTOS'!$A$3:$A$500,$B32,'DADOS BRUTOS'!CU$3:CU$500)+IF($C32="",0,SUMIF('DADOS BRUTOS'!$A$3:$A$500,$C32,'DADOS BRUTOS'!CU$3:CU$500)))</f>
        <v/>
      </c>
      <c r="FV32" s="123">
        <f>IF(OR(FV$4="",$B32=""),0,SUMIF('DADOS BRUTOS'!$A$3:$A$500,$B32,'DADOS BRUTOS'!CV$3:CV$500)+IF($C32="",0,SUMIF('DADOS BRUTOS'!$A$3:$A$500,$C32,'DADOS BRUTOS'!CV$3:CV$500)))</f>
        <v/>
      </c>
      <c r="FW32" s="123">
        <f>IF(OR(FW$4="",$B32=""),0,SUMIF('DADOS BRUTOS'!$A$3:$A$500,$B32,'DADOS BRUTOS'!CW$3:CW$500)+IF($C32="",0,SUMIF('DADOS BRUTOS'!$A$3:$A$500,$C32,'DADOS BRUTOS'!CW$3:CW$500)))</f>
        <v/>
      </c>
      <c r="FX32" s="123">
        <f>IF(OR(FX$4="",$B32=""),0,SUMIF('DADOS BRUTOS'!$A$3:$A$500,$B32,'DADOS BRUTOS'!CX$3:CX$500)+IF($C32="",0,SUMIF('DADOS BRUTOS'!$A$3:$A$500,$C32,'DADOS BRUTOS'!CX$3:CX$500)))</f>
        <v/>
      </c>
      <c r="FY32" s="123">
        <f>IF(OR(FY$4="",$B32=""),0,SUMIF('DADOS BRUTOS'!$A$3:$A$500,$B32,'DADOS BRUTOS'!CY$3:CY$500)+IF($C32="",0,SUMIF('DADOS BRUTOS'!$A$3:$A$500,$C32,'DADOS BRUTOS'!CY$3:CY$500)))</f>
        <v/>
      </c>
      <c r="FZ32" s="123">
        <f>IF(OR(FZ$4="",$B32=""),0,SUMIF('DADOS BRUTOS'!$A$3:$A$500,$B32,'DADOS BRUTOS'!CZ$3:CZ$500)+IF($C32="",0,SUMIF('DADOS BRUTOS'!$A$3:$A$500,$C32,'DADOS BRUTOS'!CZ$3:CZ$500)))</f>
        <v/>
      </c>
      <c r="GA32" s="123">
        <f>IF(OR(GA$4="",$B32=""),0,SUMIF('DADOS BRUTOS'!$A$3:$A$500,$B32,'DADOS BRUTOS'!DA$3:DA$500)+IF($C32="",0,SUMIF('DADOS BRUTOS'!$A$3:$A$500,$C32,'DADOS BRUTOS'!DA$3:DA$500)))</f>
        <v/>
      </c>
      <c r="GB32" s="123">
        <f>IF(OR(GB$4="",$B32=""),0,SUMIF('DADOS BRUTOS'!$A$3:$A$500,$B32,'DADOS BRUTOS'!DB$3:DB$500)+IF($C32="",0,SUMIF('DADOS BRUTOS'!$A$3:$A$500,$C32,'DADOS BRUTOS'!DB$3:DB$500)))</f>
        <v/>
      </c>
      <c r="GC32" s="123">
        <f>IF(OR(GC$4="",$B32=""),0,SUMIF('DADOS BRUTOS'!$A$3:$A$500,$B32,'DADOS BRUTOS'!DC$3:DC$500)+IF($C32="",0,SUMIF('DADOS BRUTOS'!$A$3:$A$500,$C32,'DADOS BRUTOS'!DC$3:DC$500)))</f>
        <v/>
      </c>
      <c r="GD32" s="123">
        <f>IF(OR(GD$4="",$B32=""),0,SUMIF('DADOS BRUTOS'!$A$3:$A$500,$B32,'DADOS BRUTOS'!DD$3:DD$500)+IF($C32="",0,SUMIF('DADOS BRUTOS'!$A$3:$A$500,$C32,'DADOS BRUTOS'!DD$3:DD$500)))</f>
        <v/>
      </c>
      <c r="GE32" s="123">
        <f>IF(OR(GE$4="",$B32=""),0,SUMIF('DADOS BRUTOS'!$A$3:$A$500,$B32,'DADOS BRUTOS'!DE$3:DE$500)+IF($C32="",0,SUMIF('DADOS BRUTOS'!$A$3:$A$500,$C32,'DADOS BRUTOS'!DE$3:DE$500)))</f>
        <v/>
      </c>
      <c r="GF32" s="123">
        <f>IF(OR(GF$4="",$B32=""),0,SUMIF('DADOS BRUTOS'!$A$3:$A$500,$B32,'DADOS BRUTOS'!DF$3:DF$500)+IF($C32="",0,SUMIF('DADOS BRUTOS'!$A$3:$A$500,$C32,'DADOS BRUTOS'!DF$3:DF$500)))</f>
        <v/>
      </c>
      <c r="GG32" s="123">
        <f>IF(OR(GG$4="",$B32=""),0,SUMIF('DADOS BRUTOS'!$A$3:$A$500,$B32,'DADOS BRUTOS'!DG$3:DG$500)+IF($C32="",0,SUMIF('DADOS BRUTOS'!$A$3:$A$500,$C32,'DADOS BRUTOS'!DG$3:DG$500)))</f>
        <v/>
      </c>
      <c r="GH32" s="123">
        <f>IF(OR(GH$4="",$B32=""),0,SUMIF('DADOS BRUTOS'!$A$3:$A$500,$B32,'DADOS BRUTOS'!DH$3:DH$500)+IF($C32="",0,SUMIF('DADOS BRUTOS'!$A$3:$A$500,$C32,'DADOS BRUTOS'!DH$3:DH$500)))</f>
        <v/>
      </c>
      <c r="GI32" s="123">
        <f>IF(OR(GI$4="",$B32=""),0,SUMIF('DADOS BRUTOS'!$A$3:$A$500,$B32,'DADOS BRUTOS'!DI$3:DI$500)+IF($C32="",0,SUMIF('DADOS BRUTOS'!$A$3:$A$500,$C32,'DADOS BRUTOS'!DI$3:DI$500)))</f>
        <v/>
      </c>
      <c r="GJ32" s="123">
        <f>IF(OR(GJ$4="",$B32=""),0,SUMIF('DADOS BRUTOS'!$A$3:$A$500,$B32,'DADOS BRUTOS'!DJ$3:DJ$500)+IF($C32="",0,SUMIF('DADOS BRUTOS'!$A$3:$A$500,$C32,'DADOS BRUTOS'!DJ$3:DJ$500)))</f>
        <v/>
      </c>
      <c r="GK32" s="123">
        <f>IF(OR(GK$4="",$B32=""),0,SUMIF('DADOS BRUTOS'!$A$3:$A$500,$B32,'DADOS BRUTOS'!DK$3:DK$500)+IF($C32="",0,SUMIF('DADOS BRUTOS'!$A$3:$A$500,$C32,'DADOS BRUTOS'!DK$3:DK$500)))</f>
        <v/>
      </c>
      <c r="GL32" s="123">
        <f>IF(OR(GL$4="",$B32=""),0,SUMIF('DADOS BRUTOS'!$A$3:$A$500,$B32,'DADOS BRUTOS'!DL$3:DL$500)+IF($C32="",0,SUMIF('DADOS BRUTOS'!$A$3:$A$500,$C32,'DADOS BRUTOS'!DL$3:DL$500)))</f>
        <v/>
      </c>
      <c r="GM32" s="123">
        <f>IF(OR(GM$4="",$B32=""),0,SUMIF('DADOS BRUTOS'!$A$3:$A$500,$B32,'DADOS BRUTOS'!DM$3:DM$500)+IF($C32="",0,SUMIF('DADOS BRUTOS'!$A$3:$A$500,$C32,'DADOS BRUTOS'!DM$3:DM$500)))</f>
        <v/>
      </c>
      <c r="GN32" s="123">
        <f>IF(OR(GN$4="",$B32=""),0,SUMIF('DADOS BRUTOS'!$A$3:$A$500,$B32,'DADOS BRUTOS'!DN$3:DN$500)+IF($C32="",0,SUMIF('DADOS BRUTOS'!$A$3:$A$500,$C32,'DADOS BRUTOS'!DN$3:DN$500)))</f>
        <v/>
      </c>
      <c r="GO32" s="123">
        <f>IF(OR(GO$4="",$B32=""),0,SUMIF('DADOS BRUTOS'!$A$3:$A$500,$B32,'DADOS BRUTOS'!DO$3:DO$500)+IF($C32="",0,SUMIF('DADOS BRUTOS'!$A$3:$A$500,$C32,'DADOS BRUTOS'!DO$3:DO$500)))</f>
        <v/>
      </c>
      <c r="GP32" s="123">
        <f>IF(OR(GP$4="",$B32=""),0,SUMIF('DADOS BRUTOS'!$A$3:$A$500,$B32,'DADOS BRUTOS'!DP$3:DP$500)+IF($C32="",0,SUMIF('DADOS BRUTOS'!$A$3:$A$500,$C32,'DADOS BRUTOS'!DP$3:DP$500)))</f>
        <v/>
      </c>
      <c r="GQ32" s="123">
        <f>IF(OR(GQ$4="",$B32=""),0,SUMIF('DADOS BRUTOS'!$A$3:$A$500,$B32,'DADOS BRUTOS'!DQ$3:DQ$500)+IF($C32="",0,SUMIF('DADOS BRUTOS'!$A$3:$A$500,$C32,'DADOS BRUTOS'!DQ$3:DQ$500)))</f>
        <v/>
      </c>
      <c r="GR32" s="123">
        <f>IF(OR(GR$4="",$B32=""),0,SUMIF('DADOS BRUTOS'!$A$3:$A$500,$B32,'DADOS BRUTOS'!DR$3:DR$500)+IF($C32="",0,SUMIF('DADOS BRUTOS'!$A$3:$A$500,$C32,'DADOS BRUTOS'!DR$3:DR$500)))</f>
        <v/>
      </c>
      <c r="GS32" s="123">
        <f>IF(OR(GS$4="",$B32=""),0,SUMIF('DADOS BRUTOS'!$A$3:$A$500,$B32,'DADOS BRUTOS'!DS$3:DS$500)+IF($C32="",0,SUMIF('DADOS BRUTOS'!$A$3:$A$500,$C32,'DADOS BRUTOS'!DS$3:DS$500)))</f>
        <v/>
      </c>
      <c r="GT32" s="123">
        <f>IF(OR(GT$4="",$B32=""),0,SUMIF('DADOS BRUTOS'!$A$3:$A$500,$B32,'DADOS BRUTOS'!DT$3:DT$500)+IF($C32="",0,SUMIF('DADOS BRUTOS'!$A$3:$A$500,$C32,'DADOS BRUTOS'!DT$3:DT$500)))</f>
        <v/>
      </c>
      <c r="GU32" s="123">
        <f>IF(OR(GU$4="",$B32=""),0,SUMIF('DADOS BRUTOS'!$A$3:$A$500,$B32,'DADOS BRUTOS'!DU$3:DU$500)+IF($C32="",0,SUMIF('DADOS BRUTOS'!$A$3:$A$500,$C32,'DADOS BRUTOS'!DU$3:DU$500)))</f>
        <v/>
      </c>
      <c r="GV32" s="123">
        <f>IF(OR(GV$4="",$B32=""),0,SUMIF('DADOS BRUTOS'!$A$3:$A$500,$B32,'DADOS BRUTOS'!DV$3:DV$500)+IF($C32="",0,SUMIF('DADOS BRUTOS'!$A$3:$A$500,$C32,'DADOS BRUTOS'!DV$3:DV$500)))</f>
        <v/>
      </c>
      <c r="GW32" s="123">
        <f>IF(OR(GW$4="",$B32=""),0,SUMIF('DADOS BRUTOS'!$A$3:$A$500,$B32,'DADOS BRUTOS'!DW$3:DW$500)+IF($C32="",0,SUMIF('DADOS BRUTOS'!$A$3:$A$500,$C32,'DADOS BRUTOS'!DW$3:DW$500)))</f>
        <v/>
      </c>
      <c r="GX32" s="123">
        <f>IF(OR(GX$4="",$B32=""),0,SUMIF('DADOS BRUTOS'!$A$3:$A$500,$B32,'DADOS BRUTOS'!DX$3:DX$500)+IF($C32="",0,SUMIF('DADOS BRUTOS'!$A$3:$A$500,$C32,'DADOS BRUTOS'!DX$3:DX$500)))</f>
        <v/>
      </c>
      <c r="GY32" s="123">
        <f>IF(OR(GY$4="",$B32=""),0,SUMIF('DADOS BRUTOS'!$A$3:$A$500,$B32,'DADOS BRUTOS'!DY$3:DY$500)+IF($C32="",0,SUMIF('DADOS BRUTOS'!$A$3:$A$500,$C32,'DADOS BRUTOS'!DY$3:DY$500)))</f>
        <v/>
      </c>
      <c r="GZ32" s="123">
        <f>IF(OR(GZ$4="",$B32=""),0,SUMIF('DADOS BRUTOS'!$A$3:$A$500,$B32,'DADOS BRUTOS'!DZ$3:DZ$500)+IF($C32="",0,SUMIF('DADOS BRUTOS'!$A$3:$A$500,$C32,'DADOS BRUTOS'!DZ$3:DZ$500)))</f>
        <v/>
      </c>
      <c r="HA32" s="123">
        <f>IF(OR(HA$4="",$B32=""),0,SUMIF('DADOS BRUTOS'!$A$3:$A$500,$B32,'DADOS BRUTOS'!EA$3:EA$500)+IF($C32="",0,SUMIF('DADOS BRUTOS'!$A$3:$A$500,$C32,'DADOS BRUTOS'!EA$3:EA$500)))</f>
        <v/>
      </c>
      <c r="HB32" s="123">
        <f>IF(OR(HB$4="",$B32=""),0,SUMIF('DADOS BRUTOS'!$A$3:$A$500,$B32,'DADOS BRUTOS'!EB$3:EB$500)+IF($C32="",0,SUMIF('DADOS BRUTOS'!$A$3:$A$500,$C32,'DADOS BRUTOS'!EB$3:EB$500)))</f>
        <v/>
      </c>
      <c r="HC32" s="123">
        <f>IF(OR(HC$4="",$B32=""),0,SUMIF('DADOS BRUTOS'!$A$3:$A$500,$B32,'DADOS BRUTOS'!EC$3:EC$500)+IF($C32="",0,SUMIF('DADOS BRUTOS'!$A$3:$A$500,$C32,'DADOS BRUTOS'!EC$3:EC$500)))</f>
        <v/>
      </c>
      <c r="HD32" s="123">
        <f>IF(OR(HD$4="",$B32=""),0,SUMIF('DADOS BRUTOS'!$A$3:$A$500,$B32,'DADOS BRUTOS'!ED$3:ED$500)+IF($C32="",0,SUMIF('DADOS BRUTOS'!$A$3:$A$500,$C32,'DADOS BRUTOS'!ED$3:ED$500)))</f>
        <v/>
      </c>
      <c r="HE32" s="123">
        <f>IF(OR(HE$4="",$B32=""),0,SUMIF('DADOS BRUTOS'!$A$3:$A$500,$B32,'DADOS BRUTOS'!EE$3:EE$500)+IF($C32="",0,SUMIF('DADOS BRUTOS'!$A$3:$A$500,$C32,'DADOS BRUTOS'!EE$3:EE$500)))</f>
        <v/>
      </c>
      <c r="HF32" s="123">
        <f>IF(OR(HF$4="",$B32=""),0,SUMIF('DADOS BRUTOS'!$A$3:$A$500,$B32,'DADOS BRUTOS'!EF$3:EF$500)+IF($C32="",0,SUMIF('DADOS BRUTOS'!$A$3:$A$500,$C32,'DADOS BRUTOS'!EF$3:EF$500)))</f>
        <v/>
      </c>
      <c r="HG32" s="123">
        <f>IF(OR(HG$4="",$B32=""),0,SUMIF('DADOS BRUTOS'!$A$3:$A$500,$B32,'DADOS BRUTOS'!EG$3:EG$500)+IF($C32="",0,SUMIF('DADOS BRUTOS'!$A$3:$A$500,$C32,'DADOS BRUTOS'!EG$3:EG$500)))</f>
        <v/>
      </c>
      <c r="HH32" s="123">
        <f>IF(OR(HH$4="",$B32=""),0,SUMIF('DADOS BRUTOS'!$A$3:$A$500,$B32,'DADOS BRUTOS'!EH$3:EH$500)+IF($C32="",0,SUMIF('DADOS BRUTOS'!$A$3:$A$500,$C32,'DADOS BRUTOS'!EH$3:EH$500)))</f>
        <v/>
      </c>
      <c r="HI32" s="123">
        <f>IF(OR(HI$4="",$B32=""),0,SUMIF('DADOS BRUTOS'!$A$3:$A$500,$B32,'DADOS BRUTOS'!EI$3:EI$500)+IF($C32="",0,SUMIF('DADOS BRUTOS'!$A$3:$A$500,$C32,'DADOS BRUTOS'!EI$3:EI$500)))</f>
        <v/>
      </c>
      <c r="HJ32" s="123">
        <f>IF(OR(HJ$4="",$B32=""),0,SUMIF('DADOS BRUTOS'!$A$3:$A$500,$B32,'DADOS BRUTOS'!EJ$3:EJ$500)+IF($C32="",0,SUMIF('DADOS BRUTOS'!$A$3:$A$500,$C32,'DADOS BRUTOS'!EJ$3:EJ$500)))</f>
        <v/>
      </c>
      <c r="HK32" s="123">
        <f>IF(OR(HK$4="",$B32=""),0,SUMIF('DADOS BRUTOS'!$A$3:$A$500,$B32,'DADOS BRUTOS'!EK$3:EK$500)+IF($C32="",0,SUMIF('DADOS BRUTOS'!$A$3:$A$500,$C32,'DADOS BRUTOS'!EK$3:EK$500)))</f>
        <v/>
      </c>
      <c r="HL32" s="123">
        <f>IF(OR(HL$4="",$B32=""),0,SUMIF('DADOS BRUTOS'!$A$3:$A$500,$B32,'DADOS BRUTOS'!EL$3:EL$500)+IF($C32="",0,SUMIF('DADOS BRUTOS'!$A$3:$A$500,$C32,'DADOS BRUTOS'!EL$3:EL$500)))</f>
        <v/>
      </c>
      <c r="HM32" s="123">
        <f>IF(OR(HM$4="",$B32=""),0,SUMIF('DADOS BRUTOS'!$A$3:$A$500,$B32,'DADOS BRUTOS'!EM$3:EM$500)+IF($C32="",0,SUMIF('DADOS BRUTOS'!$A$3:$A$500,$C32,'DADOS BRUTOS'!EM$3:EM$500)))</f>
        <v/>
      </c>
      <c r="HN32" s="123">
        <f>IF(OR(HN$4="",$B32=""),0,SUMIF('DADOS BRUTOS'!$A$3:$A$500,$B32,'DADOS BRUTOS'!EN$3:EN$500)+IF($C32="",0,SUMIF('DADOS BRUTOS'!$A$3:$A$500,$C32,'DADOS BRUTOS'!EN$3:EN$500)))</f>
        <v/>
      </c>
      <c r="HO32" s="123">
        <f>IF(OR(HO$4="",$B32=""),0,SUMIF('DADOS BRUTOS'!$A$3:$A$500,$B32,'DADOS BRUTOS'!EO$3:EO$500)+IF($C32="",0,SUMIF('DADOS BRUTOS'!$A$3:$A$500,$C32,'DADOS BRUTOS'!EO$3:EO$500)))</f>
        <v/>
      </c>
      <c r="HP32" s="123">
        <f>IF(OR(HP$4="",$B32=""),0,SUMIF('DADOS BRUTOS'!$A$3:$A$500,$B32,'DADOS BRUTOS'!EP$3:EP$500)+IF($C32="",0,SUMIF('DADOS BRUTOS'!$A$3:$A$500,$C32,'DADOS BRUTOS'!EP$3:EP$500)))</f>
        <v/>
      </c>
      <c r="HQ32" s="123">
        <f>IF(OR(HQ$4="",$B32=""),0,SUMIF('DADOS BRUTOS'!$A$3:$A$500,$B32,'DADOS BRUTOS'!EQ$3:EQ$500)+IF($C32="",0,SUMIF('DADOS BRUTOS'!$A$3:$A$500,$C32,'DADOS BRUTOS'!EQ$3:EQ$500)))</f>
        <v/>
      </c>
      <c r="HR32" s="123">
        <f>IF(OR(HR$4="",$B32=""),0,SUMIF('DADOS BRUTOS'!$A$3:$A$500,$B32,'DADOS BRUTOS'!ER$3:ER$500)+IF($C32="",0,SUMIF('DADOS BRUTOS'!$A$3:$A$500,$C32,'DADOS BRUTOS'!ER$3:ER$500)))</f>
        <v/>
      </c>
      <c r="HS32" s="123">
        <f>IF(OR(HS$4="",$B32=""),0,SUMIF('DADOS BRUTOS'!$A$3:$A$500,$B32,'DADOS BRUTOS'!ES$3:ES$500)+IF($C32="",0,SUMIF('DADOS BRUTOS'!$A$3:$A$500,$C32,'DADOS BRUTOS'!ES$3:ES$500)))</f>
        <v/>
      </c>
      <c r="HT32" s="123">
        <f>IF(OR(HT$4="",$B32=""),0,SUMIF('DADOS BRUTOS'!$A$3:$A$500,$B32,'DADOS BRUTOS'!ET$3:ET$500)+IF($C32="",0,SUMIF('DADOS BRUTOS'!$A$3:$A$500,$C32,'DADOS BRUTOS'!ET$3:ET$500)))</f>
        <v/>
      </c>
      <c r="HU32" s="123">
        <f>IF(OR(HU$4="",$B32=""),0,SUMIF('DADOS BRUTOS'!$A$3:$A$500,$B32,'DADOS BRUTOS'!EU$3:EU$500)+IF($C32="",0,SUMIF('DADOS BRUTOS'!$A$3:$A$500,$C32,'DADOS BRUTOS'!EU$3:EU$500)))</f>
        <v/>
      </c>
      <c r="HV32" s="123">
        <f>IF(OR(HV$4="",$B32=""),0,SUMIF('DADOS BRUTOS'!$A$3:$A$500,$B32,'DADOS BRUTOS'!EV$3:EV$500)+IF($C32="",0,SUMIF('DADOS BRUTOS'!$A$3:$A$500,$C32,'DADOS BRUTOS'!EV$3:EV$500)))</f>
        <v/>
      </c>
      <c r="HW32" s="123">
        <f>IF(OR(HW$4="",$B32=""),0,SUMIF('DADOS BRUTOS'!$A$3:$A$500,$B32,'DADOS BRUTOS'!EW$3:EW$500)+IF($C32="",0,SUMIF('DADOS BRUTOS'!$A$3:$A$500,$C32,'DADOS BRUTOS'!EW$3:EW$500)))</f>
        <v/>
      </c>
      <c r="HX32" s="123">
        <f>IF(OR(HX$4="",$B32=""),0,SUMIF('DADOS BRUTOS'!$A$3:$A$500,$B32,'DADOS BRUTOS'!EX$3:EX$500)+IF($C32="",0,SUMIF('DADOS BRUTOS'!$A$3:$A$500,$C32,'DADOS BRUTOS'!EX$3:EX$500)))</f>
        <v/>
      </c>
      <c r="HY32" s="123">
        <f>IF(OR(HY$4="",$B32=""),0,SUMIF('DADOS BRUTOS'!$A$3:$A$500,$B32,'DADOS BRUTOS'!EY$3:EY$500)+IF($C32="",0,SUMIF('DADOS BRUTOS'!$A$3:$A$500,$C32,'DADOS BRUTOS'!EY$3:EY$500)))</f>
        <v/>
      </c>
      <c r="HZ32" s="123">
        <f>IF(OR(HZ$4="",$B32=""),0,SUMIF('DADOS BRUTOS'!$A$3:$A$500,$B32,'DADOS BRUTOS'!EZ$3:EZ$500)+IF($C32="",0,SUMIF('DADOS BRUTOS'!$A$3:$A$500,$C32,'DADOS BRUTOS'!EZ$3:EZ$500)))</f>
        <v/>
      </c>
      <c r="IA32" s="123">
        <f>IF(OR(IA$4="",$B32=""),0,SUMIF('DADOS BRUTOS'!$A$3:$A$500,$B32,'DADOS BRUTOS'!FA$3:FA$500)+IF($C32="",0,SUMIF('DADOS BRUTOS'!$A$3:$A$500,$C32,'DADOS BRUTOS'!FA$3:FA$500)))</f>
        <v/>
      </c>
      <c r="IB32" s="123">
        <f>IF(OR(IB$4="",$B32=""),0,SUMIF('DADOS BRUTOS'!$A$3:$A$500,$B32,'DADOS BRUTOS'!FB$3:FB$500)+IF($C32="",0,SUMIF('DADOS BRUTOS'!$A$3:$A$500,$C32,'DADOS BRUTOS'!FB$3:FB$500)))</f>
        <v/>
      </c>
      <c r="IC32" s="123">
        <f>IF(OR(IC$4="",$B32=""),0,SUMIF('DADOS BRUTOS'!$A$3:$A$500,$B32,'DADOS BRUTOS'!FC$3:FC$500)+IF($C32="",0,SUMIF('DADOS BRUTOS'!$A$3:$A$500,$C32,'DADOS BRUTOS'!FC$3:FC$500)))</f>
        <v/>
      </c>
      <c r="ID32" s="123">
        <f>IF(OR(ID$4="",$B32=""),0,SUMIF('DADOS BRUTOS'!$A$3:$A$500,$B32,'DADOS BRUTOS'!FD$3:FD$500)+IF($C32="",0,SUMIF('DADOS BRUTOS'!$A$3:$A$500,$C32,'DADOS BRUTOS'!FD$3:FD$500)))</f>
        <v/>
      </c>
      <c r="IE32" s="123">
        <f>IF(OR(IE$4="",$B32=""),0,SUMIF('DADOS BRUTOS'!$A$3:$A$500,$B32,'DADOS BRUTOS'!FE$3:FE$500)+IF($C32="",0,SUMIF('DADOS BRUTOS'!$A$3:$A$500,$C32,'DADOS BRUTOS'!FE$3:FE$500)))</f>
        <v/>
      </c>
      <c r="IF32" s="123">
        <f>IF(OR(IF$4="",$B32=""),0,SUMIF('DADOS BRUTOS'!$A$3:$A$500,$B32,'DADOS BRUTOS'!FF$3:FF$500)+IF($C32="",0,SUMIF('DADOS BRUTOS'!$A$3:$A$500,$C32,'DADOS BRUTOS'!FF$3:FF$500)))</f>
        <v/>
      </c>
      <c r="IG32" s="123">
        <f>IF(OR(IG$4="",$B32=""),0,SUMIF('DADOS BRUTOS'!$A$3:$A$500,$B32,'DADOS BRUTOS'!FG$3:FG$500)+IF($C32="",0,SUMIF('DADOS BRUTOS'!$A$3:$A$500,$C32,'DADOS BRUTOS'!FG$3:FG$500)))</f>
        <v/>
      </c>
      <c r="IH32" s="123">
        <f>IF(OR(IH$4="",$B32=""),0,SUMIF('DADOS BRUTOS'!$A$3:$A$500,$B32,'DADOS BRUTOS'!FH$3:FH$500)+IF($C32="",0,SUMIF('DADOS BRUTOS'!$A$3:$A$500,$C32,'DADOS BRUTOS'!FH$3:FH$500)))</f>
        <v/>
      </c>
      <c r="II32" s="123">
        <f>IF(OR(II$4="",$B32=""),0,SUMIF('DADOS BRUTOS'!$A$3:$A$500,$B32,'DADOS BRUTOS'!FI$3:FI$500)+IF($C32="",0,SUMIF('DADOS BRUTOS'!$A$3:$A$500,$C32,'DADOS BRUTOS'!FI$3:FI$500)))</f>
        <v/>
      </c>
      <c r="IJ32" s="123">
        <f>IF(OR(IJ$4="",$B32=""),0,SUMIF('DADOS BRUTOS'!$A$3:$A$500,$B32,'DADOS BRUTOS'!FJ$3:FJ$500)+IF($C32="",0,SUMIF('DADOS BRUTOS'!$A$3:$A$500,$C32,'DADOS BRUTOS'!FJ$3:FJ$500)))</f>
        <v/>
      </c>
      <c r="IK32" s="123">
        <f>IF(OR(IK$4="",$B32=""),0,SUMIF('DADOS BRUTOS'!$A$3:$A$500,$B32,'DADOS BRUTOS'!FK$3:FK$500)+IF($C32="",0,SUMIF('DADOS BRUTOS'!$A$3:$A$500,$C32,'DADOS BRUTOS'!FK$3:FK$500)))</f>
        <v/>
      </c>
      <c r="IL32" s="123">
        <f>IF(OR(IL$4="",$B32=""),0,SUMIF('DADOS BRUTOS'!$A$3:$A$500,$B32,'DADOS BRUTOS'!FL$3:FL$500)+IF($C32="",0,SUMIF('DADOS BRUTOS'!$A$3:$A$500,$C32,'DADOS BRUTOS'!FL$3:FL$500)))</f>
        <v/>
      </c>
      <c r="IM32" s="123">
        <f>IF(OR(IM$4="",$B32=""),0,SUMIF('DADOS BRUTOS'!$A$3:$A$500,$B32,'DADOS BRUTOS'!FM$3:FM$500)+IF($C32="",0,SUMIF('DADOS BRUTOS'!$A$3:$A$500,$C32,'DADOS BRUTOS'!FM$3:FM$500)))</f>
        <v/>
      </c>
      <c r="IN32" s="123">
        <f>IF(OR(IN$4="",$B32=""),0,SUMIF('DADOS BRUTOS'!$A$3:$A$500,$B32,'DADOS BRUTOS'!FN$3:FN$500)+IF($C32="",0,SUMIF('DADOS BRUTOS'!$A$3:$A$500,$C32,'DADOS BRUTOS'!FN$3:FN$500)))</f>
        <v/>
      </c>
      <c r="IO32" s="123">
        <f>IF(OR(IO$4="",$B32=""),0,SUMIF('DADOS BRUTOS'!$A$3:$A$500,$B32,'DADOS BRUTOS'!FO$3:FO$500)+IF($C32="",0,SUMIF('DADOS BRUTOS'!$A$3:$A$500,$C32,'DADOS BRUTOS'!FO$3:FO$500)))</f>
        <v/>
      </c>
      <c r="IP32" s="123">
        <f>IF(OR(IP$4="",$B32=""),0,SUMIF('DADOS BRUTOS'!$A$3:$A$500,$B32,'DADOS BRUTOS'!FP$3:FP$500)+IF($C32="",0,SUMIF('DADOS BRUTOS'!$A$3:$A$500,$C32,'DADOS BRUTOS'!FP$3:FP$500)))</f>
        <v/>
      </c>
      <c r="IQ32" s="123">
        <f>IF(OR(IQ$4="",$B32=""),0,SUMIF('DADOS BRUTOS'!$A$3:$A$500,$B32,'DADOS BRUTOS'!FQ$3:FQ$500)+IF($C32="",0,SUMIF('DADOS BRUTOS'!$A$3:$A$500,$C32,'DADOS BRUTOS'!FQ$3:FQ$500)))</f>
        <v/>
      </c>
      <c r="IR32" s="123">
        <f>IF(OR(IR$4="",$B32=""),0,SUMIF('DADOS BRUTOS'!$A$3:$A$500,$B32,'DADOS BRUTOS'!FR$3:FR$500)+IF($C32="",0,SUMIF('DADOS BRUTOS'!$A$3:$A$500,$C32,'DADOS BRUTOS'!FR$3:FR$500)))</f>
        <v/>
      </c>
      <c r="IS32" s="123">
        <f>IF(OR(IS$4="",$B32=""),0,SUMIF('DADOS BRUTOS'!$A$3:$A$500,$B32,'DADOS BRUTOS'!FS$3:FS$500)+IF($C32="",0,SUMIF('DADOS BRUTOS'!$A$3:$A$500,$C32,'DADOS BRUTOS'!FS$3:FS$500)))</f>
        <v/>
      </c>
      <c r="IT32" s="123">
        <f>IF(OR(IT$4="",$B32=""),0,SUMIF('DADOS BRUTOS'!$A$3:$A$500,$B32,'DADOS BRUTOS'!FT$3:FT$500)+IF($C32="",0,SUMIF('DADOS BRUTOS'!$A$3:$A$500,$C32,'DADOS BRUTOS'!FT$3:FT$500)))</f>
        <v/>
      </c>
      <c r="IU32" s="123">
        <f>IF(OR(IU$4="",$B32=""),0,SUMIF('DADOS BRUTOS'!$A$3:$A$500,$B32,'DADOS BRUTOS'!FU$3:FU$500)+IF($C32="",0,SUMIF('DADOS BRUTOS'!$A$3:$A$500,$C32,'DADOS BRUTOS'!FU$3:FU$500)))</f>
        <v/>
      </c>
      <c r="IV32" s="123">
        <f>IF(OR(IV$4="",$B32=""),0,SUMIF('DADOS BRUTOS'!$A$3:$A$500,$B32,'DADOS BRUTOS'!FV$3:FV$500)+IF($C32="",0,SUMIF('DADOS BRUTOS'!$A$3:$A$500,$C32,'DADOS BRUTOS'!FV$3:FV$500)))</f>
        <v/>
      </c>
      <c r="IW32" s="123">
        <f>IF(OR(IW$4="",$B32=""),0,SUMIF('DADOS BRUTOS'!$A$3:$A$500,$B32,'DADOS BRUTOS'!FW$3:FW$500)+IF($C32="",0,SUMIF('DADOS BRUTOS'!$A$3:$A$500,$C32,'DADOS BRUTOS'!FW$3:FW$500)))</f>
        <v/>
      </c>
      <c r="IX32" s="123">
        <f>IF(OR(IX$4="",$B32=""),0,SUMIF('DADOS BRUTOS'!$A$3:$A$500,$B32,'DADOS BRUTOS'!FX$3:FX$500)+IF($C32="",0,SUMIF('DADOS BRUTOS'!$A$3:$A$500,$C32,'DADOS BRUTOS'!FX$3:FX$500)))</f>
        <v/>
      </c>
      <c r="IY32" s="123">
        <f>IF(OR(IY$4="",$B32=""),0,SUMIF('DADOS BRUTOS'!$A$3:$A$500,$B32,'DADOS BRUTOS'!FY$3:FY$500)+IF($C32="",0,SUMIF('DADOS BRUTOS'!$A$3:$A$500,$C32,'DADOS BRUTOS'!FY$3:FY$500)))</f>
        <v/>
      </c>
      <c r="IZ32" s="123">
        <f>IF(OR(IZ$4="",$B32=""),0,SUMIF('DADOS BRUTOS'!$A$3:$A$500,$B32,'DADOS BRUTOS'!FZ$3:FZ$500)+IF($C32="",0,SUMIF('DADOS BRUTOS'!$A$3:$A$500,$C32,'DADOS BRUTOS'!FZ$3:FZ$500)))</f>
        <v/>
      </c>
      <c r="JA32" s="123">
        <f>IF(OR(JA$4="",$B32=""),0,SUMIF('DADOS BRUTOS'!$A$3:$A$500,$B32,'DADOS BRUTOS'!GA$3:GA$500)+IF($C32="",0,SUMIF('DADOS BRUTOS'!$A$3:$A$500,$C32,'DADOS BRUTOS'!GA$3:GA$500)))</f>
        <v/>
      </c>
      <c r="JB32" s="123">
        <f>IF(OR(JB$4="",$B32=""),0,SUMIF('DADOS BRUTOS'!$A$3:$A$500,$B32,'DADOS BRUTOS'!GB$3:GB$500)+IF($C32="",0,SUMIF('DADOS BRUTOS'!$A$3:$A$500,$C32,'DADOS BRUTOS'!GB$3:GB$500)))</f>
        <v/>
      </c>
      <c r="JC32" s="123">
        <f>IF(OR(JC$4="",$B32=""),0,SUMIF('DADOS BRUTOS'!$A$3:$A$500,$B32,'DADOS BRUTOS'!GC$3:GC$500)+IF($C32="",0,SUMIF('DADOS BRUTOS'!$A$3:$A$500,$C32,'DADOS BRUTOS'!GC$3:GC$500)))</f>
        <v/>
      </c>
      <c r="JD32" s="123">
        <f>IF(OR(JD$4="",$B32=""),0,SUMIF('DADOS BRUTOS'!$A$3:$A$500,$B32,'DADOS BRUTOS'!GD$3:GD$500)+IF($C32="",0,SUMIF('DADOS BRUTOS'!$A$3:$A$500,$C32,'DADOS BRUTOS'!GD$3:GD$500)))</f>
        <v/>
      </c>
      <c r="JE32" s="123">
        <f>IF(OR(JE$4="",$B32=""),0,SUMIF('DADOS BRUTOS'!$A$3:$A$500,$B32,'DADOS BRUTOS'!GE$3:GE$500)+IF($C32="",0,SUMIF('DADOS BRUTOS'!$A$3:$A$500,$C32,'DADOS BRUTOS'!GE$3:GE$500)))</f>
        <v/>
      </c>
      <c r="JF32" s="123">
        <f>IF(OR(JF$4="",$B32=""),0,SUMIF('DADOS BRUTOS'!$A$3:$A$500,$B32,'DADOS BRUTOS'!GF$3:GF$500)+IF($C32="",0,SUMIF('DADOS BRUTOS'!$A$3:$A$500,$C32,'DADOS BRUTOS'!GF$3:GF$500)))</f>
        <v/>
      </c>
      <c r="JG32" s="123">
        <f>IF(OR(JG$4="",$B32=""),0,SUMIF('DADOS BRUTOS'!$A$3:$A$500,$B32,'DADOS BRUTOS'!GG$3:GG$500)+IF($C32="",0,SUMIF('DADOS BRUTOS'!$A$3:$A$500,$C32,'DADOS BRUTOS'!GG$3:GG$500)))</f>
        <v/>
      </c>
      <c r="JH32" s="123">
        <f>IF(OR(JH$4="",$B32=""),0,SUMIF('DADOS BRUTOS'!$A$3:$A$500,$B32,'DADOS BRUTOS'!GH$3:GH$500)+IF($C32="",0,SUMIF('DADOS BRUTOS'!$A$3:$A$500,$C32,'DADOS BRUTOS'!GH$3:GH$500)))</f>
        <v/>
      </c>
      <c r="JI32" s="123">
        <f>IF(OR(JI$4="",$B32=""),0,SUMIF('DADOS BRUTOS'!$A$3:$A$500,$B32,'DADOS BRUTOS'!GI$3:GI$500)+IF($C32="",0,SUMIF('DADOS BRUTOS'!$A$3:$A$500,$C32,'DADOS BRUTOS'!GI$3:GI$500)))</f>
        <v/>
      </c>
      <c r="JJ32" s="123">
        <f>IF(OR(JJ$4="",$B32=""),0,SUMIF('DADOS BRUTOS'!$A$3:$A$500,$B32,'DADOS BRUTOS'!GJ$3:GJ$500)+IF($C32="",0,SUMIF('DADOS BRUTOS'!$A$3:$A$500,$C32,'DADOS BRUTOS'!GJ$3:GJ$500)))</f>
        <v/>
      </c>
      <c r="JK32" s="123">
        <f>IF(OR(JK$4="",$B32=""),0,SUMIF('DADOS BRUTOS'!$A$3:$A$500,$B32,'DADOS BRUTOS'!GK$3:GK$500)+IF($C32="",0,SUMIF('DADOS BRUTOS'!$A$3:$A$500,$C32,'DADOS BRUTOS'!GK$3:GK$500)))</f>
        <v/>
      </c>
      <c r="JL32" s="123">
        <f>IF(OR(JL$4="",$B32=""),0,SUMIF('DADOS BRUTOS'!$A$3:$A$500,$B32,'DADOS BRUTOS'!GL$3:GL$500)+IF($C32="",0,SUMIF('DADOS BRUTOS'!$A$3:$A$500,$C32,'DADOS BRUTOS'!GL$3:GL$500)))</f>
        <v/>
      </c>
      <c r="JM32" s="123">
        <f>IF(OR(JM$4="",$B32=""),0,SUMIF('DADOS BRUTOS'!$A$3:$A$500,$B32,'DADOS BRUTOS'!GM$3:GM$500)+IF($C32="",0,SUMIF('DADOS BRUTOS'!$A$3:$A$500,$C32,'DADOS BRUTOS'!GM$3:GM$500)))</f>
        <v/>
      </c>
      <c r="JN32" s="123">
        <f>IF(OR(JN$4="",$B32=""),0,SUMIF('DADOS BRUTOS'!$A$3:$A$500,$B32,'DADOS BRUTOS'!GN$3:GN$500)+IF($C32="",0,SUMIF('DADOS BRUTOS'!$A$3:$A$500,$C32,'DADOS BRUTOS'!GN$3:GN$500)))</f>
        <v/>
      </c>
      <c r="JO32" s="123">
        <f>IF(OR(JO$4="",$B32=""),0,SUMIF('DADOS BRUTOS'!$A$3:$A$500,$B32,'DADOS BRUTOS'!GO$3:GO$500)+IF($C32="",0,SUMIF('DADOS BRUTOS'!$A$3:$A$500,$C32,'DADOS BRUTOS'!GO$3:GO$500)))</f>
        <v/>
      </c>
      <c r="JP32" s="123">
        <f>IF(OR(JP$4="",$B32=""),0,SUMIF('DADOS BRUTOS'!$A$3:$A$500,$B32,'DADOS BRUTOS'!GP$3:GP$500)+IF($C32="",0,SUMIF('DADOS BRUTOS'!$A$3:$A$500,$C32,'DADOS BRUTOS'!GP$3:GP$500)))</f>
        <v/>
      </c>
      <c r="JQ32" s="123">
        <f>IF(OR(JQ$4="",$B32=""),0,SUMIF('DADOS BRUTOS'!$A$3:$A$500,$B32,'DADOS BRUTOS'!GQ$3:GQ$500)+IF($C32="",0,SUMIF('DADOS BRUTOS'!$A$3:$A$500,$C32,'DADOS BRUTOS'!GQ$3:GQ$500)))</f>
        <v/>
      </c>
      <c r="JR32" s="123">
        <f>IF(OR(JR$4="",$B32=""),0,SUMIF('DADOS BRUTOS'!$A$3:$A$500,$B32,'DADOS BRUTOS'!GR$3:GR$500)+IF($C32="",0,SUMIF('DADOS BRUTOS'!$A$3:$A$500,$C32,'DADOS BRUTOS'!GR$3:GR$500)))</f>
        <v/>
      </c>
      <c r="JS32" s="123">
        <f>IF(OR(JS$4="",$B32=""),0,SUMIF('DADOS BRUTOS'!$A$3:$A$500,$B32,'DADOS BRUTOS'!GS$3:GS$500)+IF($C32="",0,SUMIF('DADOS BRUTOS'!$A$3:$A$500,$C32,'DADOS BRUTOS'!GS$3:GS$500)))</f>
        <v/>
      </c>
    </row>
    <row r="33">
      <c r="A33" s="60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CB33" s="123">
        <f>IF(OR(CB$4="",$B33=""),0,SUMIF('DADOS BRUTOS'!$A$3:$A$500,$B33,'DADOS BRUTOS'!B$3:B$500)+IF($C33="",0,SUMIF('DADOS BRUTOS'!$A$3:$A$500,$C33,'DADOS BRUTOS'!B$3:B$500)))</f>
        <v/>
      </c>
      <c r="CC33" s="123">
        <f>IF(OR(CC$4="",$B33=""),0,SUMIF('DADOS BRUTOS'!$A$3:$A$500,$B33,'DADOS BRUTOS'!C$3:C$500)+IF($C33="",0,SUMIF('DADOS BRUTOS'!$A$3:$A$500,$C33,'DADOS BRUTOS'!C$3:C$500)))</f>
        <v/>
      </c>
      <c r="CD33" s="123">
        <f>IF(OR(CD$4="",$B33=""),0,SUMIF('DADOS BRUTOS'!$A$3:$A$500,$B33,'DADOS BRUTOS'!D$3:D$500)+IF($C33="",0,SUMIF('DADOS BRUTOS'!$A$3:$A$500,$C33,'DADOS BRUTOS'!D$3:D$500)))</f>
        <v/>
      </c>
      <c r="CE33" s="123">
        <f>IF(OR(CE$4="",$B33=""),0,SUMIF('DADOS BRUTOS'!$A$3:$A$500,$B33,'DADOS BRUTOS'!E$3:E$500)+IF($C33="",0,SUMIF('DADOS BRUTOS'!$A$3:$A$500,$C33,'DADOS BRUTOS'!E$3:E$500)))</f>
        <v/>
      </c>
      <c r="CF33" s="123">
        <f>IF(OR(CF$4="",$B33=""),0,SUMIF('DADOS BRUTOS'!$A$3:$A$500,$B33,'DADOS BRUTOS'!F$3:F$500)+IF($C33="",0,SUMIF('DADOS BRUTOS'!$A$3:$A$500,$C33,'DADOS BRUTOS'!F$3:F$500)))</f>
        <v/>
      </c>
      <c r="CG33" s="123">
        <f>IF(OR(CG$4="",$B33=""),0,SUMIF('DADOS BRUTOS'!$A$3:$A$500,$B33,'DADOS BRUTOS'!G$3:G$500)+IF($C33="",0,SUMIF('DADOS BRUTOS'!$A$3:$A$500,$C33,'DADOS BRUTOS'!G$3:G$500)))</f>
        <v/>
      </c>
      <c r="CH33" s="123">
        <f>IF(OR(CH$4="",$B33=""),0,SUMIF('DADOS BRUTOS'!$A$3:$A$500,$B33,'DADOS BRUTOS'!H$3:H$500)+IF($C33="",0,SUMIF('DADOS BRUTOS'!$A$3:$A$500,$C33,'DADOS BRUTOS'!H$3:H$500)))</f>
        <v/>
      </c>
      <c r="CI33" s="123">
        <f>IF(OR(CI$4="",$B33=""),0,SUMIF('DADOS BRUTOS'!$A$3:$A$500,$B33,'DADOS BRUTOS'!I$3:I$500)+IF($C33="",0,SUMIF('DADOS BRUTOS'!$A$3:$A$500,$C33,'DADOS BRUTOS'!I$3:I$500)))</f>
        <v/>
      </c>
      <c r="CJ33" s="123">
        <f>IF(OR(CJ$4="",$B33=""),0,SUMIF('DADOS BRUTOS'!$A$3:$A$500,$B33,'DADOS BRUTOS'!J$3:J$500)+IF($C33="",0,SUMIF('DADOS BRUTOS'!$A$3:$A$500,$C33,'DADOS BRUTOS'!J$3:J$500)))</f>
        <v/>
      </c>
      <c r="CK33" s="123">
        <f>IF(OR(CK$4="",$B33=""),0,SUMIF('DADOS BRUTOS'!$A$3:$A$500,$B33,'DADOS BRUTOS'!K$3:K$500)+IF($C33="",0,SUMIF('DADOS BRUTOS'!$A$3:$A$500,$C33,'DADOS BRUTOS'!K$3:K$500)))</f>
        <v/>
      </c>
      <c r="CL33" s="123">
        <f>IF(OR(CL$4="",$B33=""),0,SUMIF('DADOS BRUTOS'!$A$3:$A$500,$B33,'DADOS BRUTOS'!L$3:L$500)+IF($C33="",0,SUMIF('DADOS BRUTOS'!$A$3:$A$500,$C33,'DADOS BRUTOS'!L$3:L$500)))</f>
        <v/>
      </c>
      <c r="CM33" s="123">
        <f>IF(OR(CM$4="",$B33=""),0,SUMIF('DADOS BRUTOS'!$A$3:$A$500,$B33,'DADOS BRUTOS'!M$3:M$500)+IF($C33="",0,SUMIF('DADOS BRUTOS'!$A$3:$A$500,$C33,'DADOS BRUTOS'!M$3:M$500)))</f>
        <v/>
      </c>
      <c r="CN33" s="123">
        <f>IF(OR(CN$4="",$B33=""),0,SUMIF('DADOS BRUTOS'!$A$3:$A$500,$B33,'DADOS BRUTOS'!N$3:N$500)+IF($C33="",0,SUMIF('DADOS BRUTOS'!$A$3:$A$500,$C33,'DADOS BRUTOS'!N$3:N$500)))</f>
        <v/>
      </c>
      <c r="CO33" s="123">
        <f>IF(OR(CO$4="",$B33=""),0,SUMIF('DADOS BRUTOS'!$A$3:$A$500,$B33,'DADOS BRUTOS'!O$3:O$500)+IF($C33="",0,SUMIF('DADOS BRUTOS'!$A$3:$A$500,$C33,'DADOS BRUTOS'!O$3:O$500)))</f>
        <v/>
      </c>
      <c r="CP33" s="123">
        <f>IF(OR(CP$4="",$B33=""),0,SUMIF('DADOS BRUTOS'!$A$3:$A$500,$B33,'DADOS BRUTOS'!P$3:P$500)+IF($C33="",0,SUMIF('DADOS BRUTOS'!$A$3:$A$500,$C33,'DADOS BRUTOS'!P$3:P$500)))</f>
        <v/>
      </c>
      <c r="CQ33" s="123">
        <f>IF(OR(CQ$4="",$B33=""),0,SUMIF('DADOS BRUTOS'!$A$3:$A$500,$B33,'DADOS BRUTOS'!Q$3:Q$500)+IF($C33="",0,SUMIF('DADOS BRUTOS'!$A$3:$A$500,$C33,'DADOS BRUTOS'!Q$3:Q$500)))</f>
        <v/>
      </c>
      <c r="CR33" s="123">
        <f>IF(OR(CR$4="",$B33=""),0,SUMIF('DADOS BRUTOS'!$A$3:$A$500,$B33,'DADOS BRUTOS'!R$3:R$500)+IF($C33="",0,SUMIF('DADOS BRUTOS'!$A$3:$A$500,$C33,'DADOS BRUTOS'!R$3:R$500)))</f>
        <v/>
      </c>
      <c r="CS33" s="123">
        <f>IF(OR(CS$4="",$B33=""),0,SUMIF('DADOS BRUTOS'!$A$3:$A$500,$B33,'DADOS BRUTOS'!S$3:S$500)+IF($C33="",0,SUMIF('DADOS BRUTOS'!$A$3:$A$500,$C33,'DADOS BRUTOS'!S$3:S$500)))</f>
        <v/>
      </c>
      <c r="CT33" s="123">
        <f>IF(OR(CT$4="",$B33=""),0,SUMIF('DADOS BRUTOS'!$A$3:$A$500,$B33,'DADOS BRUTOS'!T$3:T$500)+IF($C33="",0,SUMIF('DADOS BRUTOS'!$A$3:$A$500,$C33,'DADOS BRUTOS'!T$3:T$500)))</f>
        <v/>
      </c>
      <c r="CU33" s="123">
        <f>IF(OR(CU$4="",$B33=""),0,SUMIF('DADOS BRUTOS'!$A$3:$A$500,$B33,'DADOS BRUTOS'!U$3:U$500)+IF($C33="",0,SUMIF('DADOS BRUTOS'!$A$3:$A$500,$C33,'DADOS BRUTOS'!U$3:U$500)))</f>
        <v/>
      </c>
      <c r="CV33" s="123">
        <f>IF(OR(CV$4="",$B33=""),0,SUMIF('DADOS BRUTOS'!$A$3:$A$500,$B33,'DADOS BRUTOS'!V$3:V$500)+IF($C33="",0,SUMIF('DADOS BRUTOS'!$A$3:$A$500,$C33,'DADOS BRUTOS'!V$3:V$500)))</f>
        <v/>
      </c>
      <c r="CW33" s="123">
        <f>IF(OR(CW$4="",$B33=""),0,SUMIF('DADOS BRUTOS'!$A$3:$A$500,$B33,'DADOS BRUTOS'!W$3:W$500)+IF($C33="",0,SUMIF('DADOS BRUTOS'!$A$3:$A$500,$C33,'DADOS BRUTOS'!W$3:W$500)))</f>
        <v/>
      </c>
      <c r="CX33" s="123">
        <f>IF(OR(CX$4="",$B33=""),0,SUMIF('DADOS BRUTOS'!$A$3:$A$500,$B33,'DADOS BRUTOS'!X$3:X$500)+IF($C33="",0,SUMIF('DADOS BRUTOS'!$A$3:$A$500,$C33,'DADOS BRUTOS'!X$3:X$500)))</f>
        <v/>
      </c>
      <c r="CY33" s="123">
        <f>IF(OR(CY$4="",$B33=""),0,SUMIF('DADOS BRUTOS'!$A$3:$A$500,$B33,'DADOS BRUTOS'!Y$3:Y$500)+IF($C33="",0,SUMIF('DADOS BRUTOS'!$A$3:$A$500,$C33,'DADOS BRUTOS'!Y$3:Y$500)))</f>
        <v/>
      </c>
      <c r="CZ33" s="123">
        <f>IF(OR(CZ$4="",$B33=""),0,SUMIF('DADOS BRUTOS'!$A$3:$A$500,$B33,'DADOS BRUTOS'!Z$3:Z$500)+IF($C33="",0,SUMIF('DADOS BRUTOS'!$A$3:$A$500,$C33,'DADOS BRUTOS'!Z$3:Z$500)))</f>
        <v/>
      </c>
      <c r="DA33" s="123">
        <f>IF(OR(DA$4="",$B33=""),0,SUMIF('DADOS BRUTOS'!$A$3:$A$500,$B33,'DADOS BRUTOS'!AA$3:AA$500)+IF($C33="",0,SUMIF('DADOS BRUTOS'!$A$3:$A$500,$C33,'DADOS BRUTOS'!AA$3:AA$500)))</f>
        <v/>
      </c>
      <c r="DB33" s="123">
        <f>IF(OR(DB$4="",$B33=""),0,SUMIF('DADOS BRUTOS'!$A$3:$A$500,$B33,'DADOS BRUTOS'!AB$3:AB$500)+IF($C33="",0,SUMIF('DADOS BRUTOS'!$A$3:$A$500,$C33,'DADOS BRUTOS'!AB$3:AB$500)))</f>
        <v/>
      </c>
      <c r="DC33" s="123">
        <f>IF(OR(DC$4="",$B33=""),0,SUMIF('DADOS BRUTOS'!$A$3:$A$500,$B33,'DADOS BRUTOS'!AC$3:AC$500)+IF($C33="",0,SUMIF('DADOS BRUTOS'!$A$3:$A$500,$C33,'DADOS BRUTOS'!AC$3:AC$500)))</f>
        <v/>
      </c>
      <c r="DD33" s="123">
        <f>IF(OR(DD$4="",$B33=""),0,SUMIF('DADOS BRUTOS'!$A$3:$A$500,$B33,'DADOS BRUTOS'!AD$3:AD$500)+IF($C33="",0,SUMIF('DADOS BRUTOS'!$A$3:$A$500,$C33,'DADOS BRUTOS'!AD$3:AD$500)))</f>
        <v/>
      </c>
      <c r="DE33" s="123">
        <f>IF(OR(DE$4="",$B33=""),0,SUMIF('DADOS BRUTOS'!$A$3:$A$500,$B33,'DADOS BRUTOS'!AE$3:AE$500)+IF($C33="",0,SUMIF('DADOS BRUTOS'!$A$3:$A$500,$C33,'DADOS BRUTOS'!AE$3:AE$500)))</f>
        <v/>
      </c>
      <c r="DF33" s="123">
        <f>IF(OR(DF$4="",$B33=""),0,SUMIF('DADOS BRUTOS'!$A$3:$A$500,$B33,'DADOS BRUTOS'!AF$3:AF$500)+IF($C33="",0,SUMIF('DADOS BRUTOS'!$A$3:$A$500,$C33,'DADOS BRUTOS'!AF$3:AF$500)))</f>
        <v/>
      </c>
      <c r="DG33" s="123">
        <f>IF(OR(DG$4="",$B33=""),0,SUMIF('DADOS BRUTOS'!$A$3:$A$500,$B33,'DADOS BRUTOS'!AG$3:AG$500)+IF($C33="",0,SUMIF('DADOS BRUTOS'!$A$3:$A$500,$C33,'DADOS BRUTOS'!AG$3:AG$500)))</f>
        <v/>
      </c>
      <c r="DH33" s="123">
        <f>IF(OR(DH$4="",$B33=""),0,SUMIF('DADOS BRUTOS'!$A$3:$A$500,$B33,'DADOS BRUTOS'!AH$3:AH$500)+IF($C33="",0,SUMIF('DADOS BRUTOS'!$A$3:$A$500,$C33,'DADOS BRUTOS'!AH$3:AH$500)))</f>
        <v/>
      </c>
      <c r="DI33" s="123">
        <f>IF(OR(DI$4="",$B33=""),0,SUMIF('DADOS BRUTOS'!$A$3:$A$500,$B33,'DADOS BRUTOS'!AI$3:AI$500)+IF($C33="",0,SUMIF('DADOS BRUTOS'!$A$3:$A$500,$C33,'DADOS BRUTOS'!AI$3:AI$500)))</f>
        <v/>
      </c>
      <c r="DJ33" s="123">
        <f>IF(OR(DJ$4="",$B33=""),0,SUMIF('DADOS BRUTOS'!$A$3:$A$500,$B33,'DADOS BRUTOS'!AJ$3:AJ$500)+IF($C33="",0,SUMIF('DADOS BRUTOS'!$A$3:$A$500,$C33,'DADOS BRUTOS'!AJ$3:AJ$500)))</f>
        <v/>
      </c>
      <c r="DK33" s="123">
        <f>IF(OR(DK$4="",$B33=""),0,SUMIF('DADOS BRUTOS'!$A$3:$A$500,$B33,'DADOS BRUTOS'!AK$3:AK$500)+IF($C33="",0,SUMIF('DADOS BRUTOS'!$A$3:$A$500,$C33,'DADOS BRUTOS'!AK$3:AK$500)))</f>
        <v/>
      </c>
      <c r="DL33" s="123">
        <f>IF(OR(DL$4="",$B33=""),0,SUMIF('DADOS BRUTOS'!$A$3:$A$500,$B33,'DADOS BRUTOS'!AL$3:AL$500)+IF($C33="",0,SUMIF('DADOS BRUTOS'!$A$3:$A$500,$C33,'DADOS BRUTOS'!AL$3:AL$500)))</f>
        <v/>
      </c>
      <c r="DM33" s="123">
        <f>IF(OR(DM$4="",$B33=""),0,SUMIF('DADOS BRUTOS'!$A$3:$A$500,$B33,'DADOS BRUTOS'!AM$3:AM$500)+IF($C33="",0,SUMIF('DADOS BRUTOS'!$A$3:$A$500,$C33,'DADOS BRUTOS'!AM$3:AM$500)))</f>
        <v/>
      </c>
      <c r="DN33" s="123">
        <f>IF(OR(DN$4="",$B33=""),0,SUMIF('DADOS BRUTOS'!$A$3:$A$500,$B33,'DADOS BRUTOS'!AN$3:AN$500)+IF($C33="",0,SUMIF('DADOS BRUTOS'!$A$3:$A$500,$C33,'DADOS BRUTOS'!AN$3:AN$500)))</f>
        <v/>
      </c>
      <c r="DO33" s="123">
        <f>IF(OR(DO$4="",$B33=""),0,SUMIF('DADOS BRUTOS'!$A$3:$A$500,$B33,'DADOS BRUTOS'!AO$3:AO$500)+IF($C33="",0,SUMIF('DADOS BRUTOS'!$A$3:$A$500,$C33,'DADOS BRUTOS'!AO$3:AO$500)))</f>
        <v/>
      </c>
      <c r="DP33" s="123">
        <f>IF(OR(DP$4="",$B33=""),0,SUMIF('DADOS BRUTOS'!$A$3:$A$500,$B33,'DADOS BRUTOS'!AP$3:AP$500)+IF($C33="",0,SUMIF('DADOS BRUTOS'!$A$3:$A$500,$C33,'DADOS BRUTOS'!AP$3:AP$500)))</f>
        <v/>
      </c>
      <c r="DQ33" s="123">
        <f>IF(OR(DQ$4="",$B33=""),0,SUMIF('DADOS BRUTOS'!$A$3:$A$500,$B33,'DADOS BRUTOS'!AQ$3:AQ$500)+IF($C33="",0,SUMIF('DADOS BRUTOS'!$A$3:$A$500,$C33,'DADOS BRUTOS'!AQ$3:AQ$500)))</f>
        <v/>
      </c>
      <c r="DR33" s="123">
        <f>IF(OR(DR$4="",$B33=""),0,SUMIF('DADOS BRUTOS'!$A$3:$A$500,$B33,'DADOS BRUTOS'!AR$3:AR$500)+IF($C33="",0,SUMIF('DADOS BRUTOS'!$A$3:$A$500,$C33,'DADOS BRUTOS'!AR$3:AR$500)))</f>
        <v/>
      </c>
      <c r="DS33" s="123">
        <f>IF(OR(DS$4="",$B33=""),0,SUMIF('DADOS BRUTOS'!$A$3:$A$500,$B33,'DADOS BRUTOS'!AS$3:AS$500)+IF($C33="",0,SUMIF('DADOS BRUTOS'!$A$3:$A$500,$C33,'DADOS BRUTOS'!AS$3:AS$500)))</f>
        <v/>
      </c>
      <c r="DT33" s="123">
        <f>IF(OR(DT$4="",$B33=""),0,SUMIF('DADOS BRUTOS'!$A$3:$A$500,$B33,'DADOS BRUTOS'!AT$3:AT$500)+IF($C33="",0,SUMIF('DADOS BRUTOS'!$A$3:$A$500,$C33,'DADOS BRUTOS'!AT$3:AT$500)))</f>
        <v/>
      </c>
      <c r="DU33" s="123">
        <f>IF(OR(DU$4="",$B33=""),0,SUMIF('DADOS BRUTOS'!$A$3:$A$500,$B33,'DADOS BRUTOS'!AU$3:AU$500)+IF($C33="",0,SUMIF('DADOS BRUTOS'!$A$3:$A$500,$C33,'DADOS BRUTOS'!AU$3:AU$500)))</f>
        <v/>
      </c>
      <c r="DV33" s="123">
        <f>IF(OR(DV$4="",$B33=""),0,SUMIF('DADOS BRUTOS'!$A$3:$A$500,$B33,'DADOS BRUTOS'!AV$3:AV$500)+IF($C33="",0,SUMIF('DADOS BRUTOS'!$A$3:$A$500,$C33,'DADOS BRUTOS'!AV$3:AV$500)))</f>
        <v/>
      </c>
      <c r="DW33" s="123">
        <f>IF(OR(DW$4="",$B33=""),0,SUMIF('DADOS BRUTOS'!$A$3:$A$500,$B33,'DADOS BRUTOS'!AW$3:AW$500)+IF($C33="",0,SUMIF('DADOS BRUTOS'!$A$3:$A$500,$C33,'DADOS BRUTOS'!AW$3:AW$500)))</f>
        <v/>
      </c>
      <c r="DX33" s="123">
        <f>IF(OR(DX$4="",$B33=""),0,SUMIF('DADOS BRUTOS'!$A$3:$A$500,$B33,'DADOS BRUTOS'!AX$3:AX$500)+IF($C33="",0,SUMIF('DADOS BRUTOS'!$A$3:$A$500,$C33,'DADOS BRUTOS'!AX$3:AX$500)))</f>
        <v/>
      </c>
      <c r="DY33" s="123">
        <f>IF(OR(DY$4="",$B33=""),0,SUMIF('DADOS BRUTOS'!$A$3:$A$500,$B33,'DADOS BRUTOS'!AY$3:AY$500)+IF($C33="",0,SUMIF('DADOS BRUTOS'!$A$3:$A$500,$C33,'DADOS BRUTOS'!AY$3:AY$500)))</f>
        <v/>
      </c>
      <c r="DZ33" s="123">
        <f>IF(OR(DZ$4="",$B33=""),0,SUMIF('DADOS BRUTOS'!$A$3:$A$500,$B33,'DADOS BRUTOS'!AZ$3:AZ$500)+IF($C33="",0,SUMIF('DADOS BRUTOS'!$A$3:$A$500,$C33,'DADOS BRUTOS'!AZ$3:AZ$500)))</f>
        <v/>
      </c>
      <c r="EA33" s="123">
        <f>IF(OR(EA$4="",$B33=""),0,SUMIF('DADOS BRUTOS'!$A$3:$A$500,$B33,'DADOS BRUTOS'!BA$3:BA$500)+IF($C33="",0,SUMIF('DADOS BRUTOS'!$A$3:$A$500,$C33,'DADOS BRUTOS'!BA$3:BA$500)))</f>
        <v/>
      </c>
      <c r="EB33" s="123">
        <f>IF(OR(EB$4="",$B33=""),0,SUMIF('DADOS BRUTOS'!$A$3:$A$500,$B33,'DADOS BRUTOS'!BB$3:BB$500)+IF($C33="",0,SUMIF('DADOS BRUTOS'!$A$3:$A$500,$C33,'DADOS BRUTOS'!BB$3:BB$500)))</f>
        <v/>
      </c>
      <c r="EC33" s="123">
        <f>IF(OR(EC$4="",$B33=""),0,SUMIF('DADOS BRUTOS'!$A$3:$A$500,$B33,'DADOS BRUTOS'!BC$3:BC$500)+IF($C33="",0,SUMIF('DADOS BRUTOS'!$A$3:$A$500,$C33,'DADOS BRUTOS'!BC$3:BC$500)))</f>
        <v/>
      </c>
      <c r="ED33" s="123">
        <f>IF(OR(ED$4="",$B33=""),0,SUMIF('DADOS BRUTOS'!$A$3:$A$500,$B33,'DADOS BRUTOS'!BD$3:BD$500)+IF($C33="",0,SUMIF('DADOS BRUTOS'!$A$3:$A$500,$C33,'DADOS BRUTOS'!BD$3:BD$500)))</f>
        <v/>
      </c>
      <c r="EE33" s="123">
        <f>IF(OR(EE$4="",$B33=""),0,SUMIF('DADOS BRUTOS'!$A$3:$A$500,$B33,'DADOS BRUTOS'!BE$3:BE$500)+IF($C33="",0,SUMIF('DADOS BRUTOS'!$A$3:$A$500,$C33,'DADOS BRUTOS'!BE$3:BE$500)))</f>
        <v/>
      </c>
      <c r="EF33" s="123">
        <f>IF(OR(EF$4="",$B33=""),0,SUMIF('DADOS BRUTOS'!$A$3:$A$500,$B33,'DADOS BRUTOS'!BF$3:BF$500)+IF($C33="",0,SUMIF('DADOS BRUTOS'!$A$3:$A$500,$C33,'DADOS BRUTOS'!BF$3:BF$500)))</f>
        <v/>
      </c>
      <c r="EG33" s="123">
        <f>IF(OR(EG$4="",$B33=""),0,SUMIF('DADOS BRUTOS'!$A$3:$A$500,$B33,'DADOS BRUTOS'!BG$3:BG$500)+IF($C33="",0,SUMIF('DADOS BRUTOS'!$A$3:$A$500,$C33,'DADOS BRUTOS'!BG$3:BG$500)))</f>
        <v/>
      </c>
      <c r="EH33" s="123">
        <f>IF(OR(EH$4="",$B33=""),0,SUMIF('DADOS BRUTOS'!$A$3:$A$500,$B33,'DADOS BRUTOS'!BH$3:BH$500)+IF($C33="",0,SUMIF('DADOS BRUTOS'!$A$3:$A$500,$C33,'DADOS BRUTOS'!BH$3:BH$500)))</f>
        <v/>
      </c>
      <c r="EI33" s="123">
        <f>IF(OR(EI$4="",$B33=""),0,SUMIF('DADOS BRUTOS'!$A$3:$A$500,$B33,'DADOS BRUTOS'!BI$3:BI$500)+IF($C33="",0,SUMIF('DADOS BRUTOS'!$A$3:$A$500,$C33,'DADOS BRUTOS'!BI$3:BI$500)))</f>
        <v/>
      </c>
      <c r="EJ33" s="123">
        <f>IF(OR(EJ$4="",$B33=""),0,SUMIF('DADOS BRUTOS'!$A$3:$A$500,$B33,'DADOS BRUTOS'!BJ$3:BJ$500)+IF($C33="",0,SUMIF('DADOS BRUTOS'!$A$3:$A$500,$C33,'DADOS BRUTOS'!BJ$3:BJ$500)))</f>
        <v/>
      </c>
      <c r="EK33" s="123">
        <f>IF(OR(EK$4="",$B33=""),0,SUMIF('DADOS BRUTOS'!$A$3:$A$500,$B33,'DADOS BRUTOS'!BK$3:BK$500)+IF($C33="",0,SUMIF('DADOS BRUTOS'!$A$3:$A$500,$C33,'DADOS BRUTOS'!BK$3:BK$500)))</f>
        <v/>
      </c>
      <c r="EL33" s="123">
        <f>IF(OR(EL$4="",$B33=""),0,SUMIF('DADOS BRUTOS'!$A$3:$A$500,$B33,'DADOS BRUTOS'!BL$3:BL$500)+IF($C33="",0,SUMIF('DADOS BRUTOS'!$A$3:$A$500,$C33,'DADOS BRUTOS'!BL$3:BL$500)))</f>
        <v/>
      </c>
      <c r="EM33" s="123">
        <f>IF(OR(EM$4="",$B33=""),0,SUMIF('DADOS BRUTOS'!$A$3:$A$500,$B33,'DADOS BRUTOS'!BM$3:BM$500)+IF($C33="",0,SUMIF('DADOS BRUTOS'!$A$3:$A$500,$C33,'DADOS BRUTOS'!BM$3:BM$500)))</f>
        <v/>
      </c>
      <c r="EN33" s="123">
        <f>IF(OR(EN$4="",$B33=""),0,SUMIF('DADOS BRUTOS'!$A$3:$A$500,$B33,'DADOS BRUTOS'!BN$3:BN$500)+IF($C33="",0,SUMIF('DADOS BRUTOS'!$A$3:$A$500,$C33,'DADOS BRUTOS'!BN$3:BN$500)))</f>
        <v/>
      </c>
      <c r="EO33" s="123">
        <f>IF(OR(EO$4="",$B33=""),0,SUMIF('DADOS BRUTOS'!$A$3:$A$500,$B33,'DADOS BRUTOS'!BO$3:BO$500)+IF($C33="",0,SUMIF('DADOS BRUTOS'!$A$3:$A$500,$C33,'DADOS BRUTOS'!BO$3:BO$500)))</f>
        <v/>
      </c>
      <c r="EP33" s="123">
        <f>IF(OR(EP$4="",$B33=""),0,SUMIF('DADOS BRUTOS'!$A$3:$A$500,$B33,'DADOS BRUTOS'!BP$3:BP$500)+IF($C33="",0,SUMIF('DADOS BRUTOS'!$A$3:$A$500,$C33,'DADOS BRUTOS'!BP$3:BP$500)))</f>
        <v/>
      </c>
      <c r="EQ33" s="123">
        <f>IF(OR(EQ$4="",$B33=""),0,SUMIF('DADOS BRUTOS'!$A$3:$A$500,$B33,'DADOS BRUTOS'!BQ$3:BQ$500)+IF($C33="",0,SUMIF('DADOS BRUTOS'!$A$3:$A$500,$C33,'DADOS BRUTOS'!BQ$3:BQ$500)))</f>
        <v/>
      </c>
      <c r="ER33" s="123">
        <f>IF(OR(ER$4="",$B33=""),0,SUMIF('DADOS BRUTOS'!$A$3:$A$500,$B33,'DADOS BRUTOS'!BR$3:BR$500)+IF($C33="",0,SUMIF('DADOS BRUTOS'!$A$3:$A$500,$C33,'DADOS BRUTOS'!BR$3:BR$500)))</f>
        <v/>
      </c>
      <c r="ES33" s="123">
        <f>IF(OR(ES$4="",$B33=""),0,SUMIF('DADOS BRUTOS'!$A$3:$A$500,$B33,'DADOS BRUTOS'!BS$3:BS$500)+IF($C33="",0,SUMIF('DADOS BRUTOS'!$A$3:$A$500,$C33,'DADOS BRUTOS'!BS$3:BS$500)))</f>
        <v/>
      </c>
      <c r="ET33" s="123">
        <f>IF(OR(ET$4="",$B33=""),0,SUMIF('DADOS BRUTOS'!$A$3:$A$500,$B33,'DADOS BRUTOS'!BT$3:BT$500)+IF($C33="",0,SUMIF('DADOS BRUTOS'!$A$3:$A$500,$C33,'DADOS BRUTOS'!BT$3:BT$500)))</f>
        <v/>
      </c>
      <c r="EU33" s="123">
        <f>IF(OR(EU$4="",$B33=""),0,SUMIF('DADOS BRUTOS'!$A$3:$A$500,$B33,'DADOS BRUTOS'!BU$3:BU$500)+IF($C33="",0,SUMIF('DADOS BRUTOS'!$A$3:$A$500,$C33,'DADOS BRUTOS'!BU$3:BU$500)))</f>
        <v/>
      </c>
      <c r="EV33" s="123">
        <f>IF(OR(EV$4="",$B33=""),0,SUMIF('DADOS BRUTOS'!$A$3:$A$500,$B33,'DADOS BRUTOS'!BV$3:BV$500)+IF($C33="",0,SUMIF('DADOS BRUTOS'!$A$3:$A$500,$C33,'DADOS BRUTOS'!BV$3:BV$500)))</f>
        <v/>
      </c>
      <c r="EW33" s="123">
        <f>IF(OR(EW$4="",$B33=""),0,SUMIF('DADOS BRUTOS'!$A$3:$A$500,$B33,'DADOS BRUTOS'!BW$3:BW$500)+IF($C33="",0,SUMIF('DADOS BRUTOS'!$A$3:$A$500,$C33,'DADOS BRUTOS'!BW$3:BW$500)))</f>
        <v/>
      </c>
      <c r="EX33" s="123">
        <f>IF(OR(EX$4="",$B33=""),0,SUMIF('DADOS BRUTOS'!$A$3:$A$500,$B33,'DADOS BRUTOS'!BX$3:BX$500)+IF($C33="",0,SUMIF('DADOS BRUTOS'!$A$3:$A$500,$C33,'DADOS BRUTOS'!BX$3:BX$500)))</f>
        <v/>
      </c>
      <c r="EY33" s="123">
        <f>IF(OR(EY$4="",$B33=""),0,SUMIF('DADOS BRUTOS'!$A$3:$A$500,$B33,'DADOS BRUTOS'!BY$3:BY$500)+IF($C33="",0,SUMIF('DADOS BRUTOS'!$A$3:$A$500,$C33,'DADOS BRUTOS'!BY$3:BY$500)))</f>
        <v/>
      </c>
      <c r="EZ33" s="123">
        <f>IF(OR(EZ$4="",$B33=""),0,SUMIF('DADOS BRUTOS'!$A$3:$A$500,$B33,'DADOS BRUTOS'!BZ$3:BZ$500)+IF($C33="",0,SUMIF('DADOS BRUTOS'!$A$3:$A$500,$C33,'DADOS BRUTOS'!BZ$3:BZ$500)))</f>
        <v/>
      </c>
      <c r="FA33" s="123">
        <f>IF(OR(FA$4="",$B33=""),0,SUMIF('DADOS BRUTOS'!$A$3:$A$500,$B33,'DADOS BRUTOS'!CA$3:CA$500)+IF($C33="",0,SUMIF('DADOS BRUTOS'!$A$3:$A$500,$C33,'DADOS BRUTOS'!CA$3:CA$500)))</f>
        <v/>
      </c>
      <c r="FB33" s="123">
        <f>IF(OR(FB$4="",$B33=""),0,SUMIF('DADOS BRUTOS'!$A$3:$A$500,$B33,'DADOS BRUTOS'!CB$3:CB$500)+IF($C33="",0,SUMIF('DADOS BRUTOS'!$A$3:$A$500,$C33,'DADOS BRUTOS'!CB$3:CB$500)))</f>
        <v/>
      </c>
      <c r="FC33" s="123">
        <f>IF(OR(FC$4="",$B33=""),0,SUMIF('DADOS BRUTOS'!$A$3:$A$500,$B33,'DADOS BRUTOS'!CC$3:CC$500)+IF($C33="",0,SUMIF('DADOS BRUTOS'!$A$3:$A$500,$C33,'DADOS BRUTOS'!CC$3:CC$500)))</f>
        <v/>
      </c>
      <c r="FD33" s="123">
        <f>IF(OR(FD$4="",$B33=""),0,SUMIF('DADOS BRUTOS'!$A$3:$A$500,$B33,'DADOS BRUTOS'!CD$3:CD$500)+IF($C33="",0,SUMIF('DADOS BRUTOS'!$A$3:$A$500,$C33,'DADOS BRUTOS'!CD$3:CD$500)))</f>
        <v/>
      </c>
      <c r="FE33" s="123">
        <f>IF(OR(FE$4="",$B33=""),0,SUMIF('DADOS BRUTOS'!$A$3:$A$500,$B33,'DADOS BRUTOS'!CE$3:CE$500)+IF($C33="",0,SUMIF('DADOS BRUTOS'!$A$3:$A$500,$C33,'DADOS BRUTOS'!CE$3:CE$500)))</f>
        <v/>
      </c>
      <c r="FF33" s="123">
        <f>IF(OR(FF$4="",$B33=""),0,SUMIF('DADOS BRUTOS'!$A$3:$A$500,$B33,'DADOS BRUTOS'!CF$3:CF$500)+IF($C33="",0,SUMIF('DADOS BRUTOS'!$A$3:$A$500,$C33,'DADOS BRUTOS'!CF$3:CF$500)))</f>
        <v/>
      </c>
      <c r="FG33" s="123">
        <f>IF(OR(FG$4="",$B33=""),0,SUMIF('DADOS BRUTOS'!$A$3:$A$500,$B33,'DADOS BRUTOS'!CG$3:CG$500)+IF($C33="",0,SUMIF('DADOS BRUTOS'!$A$3:$A$500,$C33,'DADOS BRUTOS'!CG$3:CG$500)))</f>
        <v/>
      </c>
      <c r="FH33" s="123">
        <f>IF(OR(FH$4="",$B33=""),0,SUMIF('DADOS BRUTOS'!$A$3:$A$500,$B33,'DADOS BRUTOS'!CH$3:CH$500)+IF($C33="",0,SUMIF('DADOS BRUTOS'!$A$3:$A$500,$C33,'DADOS BRUTOS'!CH$3:CH$500)))</f>
        <v/>
      </c>
      <c r="FI33" s="123">
        <f>IF(OR(FI$4="",$B33=""),0,SUMIF('DADOS BRUTOS'!$A$3:$A$500,$B33,'DADOS BRUTOS'!CI$3:CI$500)+IF($C33="",0,SUMIF('DADOS BRUTOS'!$A$3:$A$500,$C33,'DADOS BRUTOS'!CI$3:CI$500)))</f>
        <v/>
      </c>
      <c r="FJ33" s="123">
        <f>IF(OR(FJ$4="",$B33=""),0,SUMIF('DADOS BRUTOS'!$A$3:$A$500,$B33,'DADOS BRUTOS'!CJ$3:CJ$500)+IF($C33="",0,SUMIF('DADOS BRUTOS'!$A$3:$A$500,$C33,'DADOS BRUTOS'!CJ$3:CJ$500)))</f>
        <v/>
      </c>
      <c r="FK33" s="123">
        <f>IF(OR(FK$4="",$B33=""),0,SUMIF('DADOS BRUTOS'!$A$3:$A$500,$B33,'DADOS BRUTOS'!CK$3:CK$500)+IF($C33="",0,SUMIF('DADOS BRUTOS'!$A$3:$A$500,$C33,'DADOS BRUTOS'!CK$3:CK$500)))</f>
        <v/>
      </c>
      <c r="FL33" s="123">
        <f>IF(OR(FL$4="",$B33=""),0,SUMIF('DADOS BRUTOS'!$A$3:$A$500,$B33,'DADOS BRUTOS'!CL$3:CL$500)+IF($C33="",0,SUMIF('DADOS BRUTOS'!$A$3:$A$500,$C33,'DADOS BRUTOS'!CL$3:CL$500)))</f>
        <v/>
      </c>
      <c r="FM33" s="123">
        <f>IF(OR(FM$4="",$B33=""),0,SUMIF('DADOS BRUTOS'!$A$3:$A$500,$B33,'DADOS BRUTOS'!CM$3:CM$500)+IF($C33="",0,SUMIF('DADOS BRUTOS'!$A$3:$A$500,$C33,'DADOS BRUTOS'!CM$3:CM$500)))</f>
        <v/>
      </c>
      <c r="FN33" s="123">
        <f>IF(OR(FN$4="",$B33=""),0,SUMIF('DADOS BRUTOS'!$A$3:$A$500,$B33,'DADOS BRUTOS'!CN$3:CN$500)+IF($C33="",0,SUMIF('DADOS BRUTOS'!$A$3:$A$500,$C33,'DADOS BRUTOS'!CN$3:CN$500)))</f>
        <v/>
      </c>
      <c r="FO33" s="123">
        <f>IF(OR(FO$4="",$B33=""),0,SUMIF('DADOS BRUTOS'!$A$3:$A$500,$B33,'DADOS BRUTOS'!CO$3:CO$500)+IF($C33="",0,SUMIF('DADOS BRUTOS'!$A$3:$A$500,$C33,'DADOS BRUTOS'!CO$3:CO$500)))</f>
        <v/>
      </c>
      <c r="FP33" s="123">
        <f>IF(OR(FP$4="",$B33=""),0,SUMIF('DADOS BRUTOS'!$A$3:$A$500,$B33,'DADOS BRUTOS'!CP$3:CP$500)+IF($C33="",0,SUMIF('DADOS BRUTOS'!$A$3:$A$500,$C33,'DADOS BRUTOS'!CP$3:CP$500)))</f>
        <v/>
      </c>
      <c r="FQ33" s="123">
        <f>IF(OR(FQ$4="",$B33=""),0,SUMIF('DADOS BRUTOS'!$A$3:$A$500,$B33,'DADOS BRUTOS'!CQ$3:CQ$500)+IF($C33="",0,SUMIF('DADOS BRUTOS'!$A$3:$A$500,$C33,'DADOS BRUTOS'!CQ$3:CQ$500)))</f>
        <v/>
      </c>
      <c r="FR33" s="123">
        <f>IF(OR(FR$4="",$B33=""),0,SUMIF('DADOS BRUTOS'!$A$3:$A$500,$B33,'DADOS BRUTOS'!CR$3:CR$500)+IF($C33="",0,SUMIF('DADOS BRUTOS'!$A$3:$A$500,$C33,'DADOS BRUTOS'!CR$3:CR$500)))</f>
        <v/>
      </c>
      <c r="FS33" s="123">
        <f>IF(OR(FS$4="",$B33=""),0,SUMIF('DADOS BRUTOS'!$A$3:$A$500,$B33,'DADOS BRUTOS'!CS$3:CS$500)+IF($C33="",0,SUMIF('DADOS BRUTOS'!$A$3:$A$500,$C33,'DADOS BRUTOS'!CS$3:CS$500)))</f>
        <v/>
      </c>
      <c r="FT33" s="123">
        <f>IF(OR(FT$4="",$B33=""),0,SUMIF('DADOS BRUTOS'!$A$3:$A$500,$B33,'DADOS BRUTOS'!CT$3:CT$500)+IF($C33="",0,SUMIF('DADOS BRUTOS'!$A$3:$A$500,$C33,'DADOS BRUTOS'!CT$3:CT$500)))</f>
        <v/>
      </c>
      <c r="FU33" s="123">
        <f>IF(OR(FU$4="",$B33=""),0,SUMIF('DADOS BRUTOS'!$A$3:$A$500,$B33,'DADOS BRUTOS'!CU$3:CU$500)+IF($C33="",0,SUMIF('DADOS BRUTOS'!$A$3:$A$500,$C33,'DADOS BRUTOS'!CU$3:CU$500)))</f>
        <v/>
      </c>
      <c r="FV33" s="123">
        <f>IF(OR(FV$4="",$B33=""),0,SUMIF('DADOS BRUTOS'!$A$3:$A$500,$B33,'DADOS BRUTOS'!CV$3:CV$500)+IF($C33="",0,SUMIF('DADOS BRUTOS'!$A$3:$A$500,$C33,'DADOS BRUTOS'!CV$3:CV$500)))</f>
        <v/>
      </c>
      <c r="FW33" s="123">
        <f>IF(OR(FW$4="",$B33=""),0,SUMIF('DADOS BRUTOS'!$A$3:$A$500,$B33,'DADOS BRUTOS'!CW$3:CW$500)+IF($C33="",0,SUMIF('DADOS BRUTOS'!$A$3:$A$500,$C33,'DADOS BRUTOS'!CW$3:CW$500)))</f>
        <v/>
      </c>
      <c r="FX33" s="123">
        <f>IF(OR(FX$4="",$B33=""),0,SUMIF('DADOS BRUTOS'!$A$3:$A$500,$B33,'DADOS BRUTOS'!CX$3:CX$500)+IF($C33="",0,SUMIF('DADOS BRUTOS'!$A$3:$A$500,$C33,'DADOS BRUTOS'!CX$3:CX$500)))</f>
        <v/>
      </c>
      <c r="FY33" s="123">
        <f>IF(OR(FY$4="",$B33=""),0,SUMIF('DADOS BRUTOS'!$A$3:$A$500,$B33,'DADOS BRUTOS'!CY$3:CY$500)+IF($C33="",0,SUMIF('DADOS BRUTOS'!$A$3:$A$500,$C33,'DADOS BRUTOS'!CY$3:CY$500)))</f>
        <v/>
      </c>
      <c r="FZ33" s="123">
        <f>IF(OR(FZ$4="",$B33=""),0,SUMIF('DADOS BRUTOS'!$A$3:$A$500,$B33,'DADOS BRUTOS'!CZ$3:CZ$500)+IF($C33="",0,SUMIF('DADOS BRUTOS'!$A$3:$A$500,$C33,'DADOS BRUTOS'!CZ$3:CZ$500)))</f>
        <v/>
      </c>
      <c r="GA33" s="123">
        <f>IF(OR(GA$4="",$B33=""),0,SUMIF('DADOS BRUTOS'!$A$3:$A$500,$B33,'DADOS BRUTOS'!DA$3:DA$500)+IF($C33="",0,SUMIF('DADOS BRUTOS'!$A$3:$A$500,$C33,'DADOS BRUTOS'!DA$3:DA$500)))</f>
        <v/>
      </c>
      <c r="GB33" s="123">
        <f>IF(OR(GB$4="",$B33=""),0,SUMIF('DADOS BRUTOS'!$A$3:$A$500,$B33,'DADOS BRUTOS'!DB$3:DB$500)+IF($C33="",0,SUMIF('DADOS BRUTOS'!$A$3:$A$500,$C33,'DADOS BRUTOS'!DB$3:DB$500)))</f>
        <v/>
      </c>
      <c r="GC33" s="123">
        <f>IF(OR(GC$4="",$B33=""),0,SUMIF('DADOS BRUTOS'!$A$3:$A$500,$B33,'DADOS BRUTOS'!DC$3:DC$500)+IF($C33="",0,SUMIF('DADOS BRUTOS'!$A$3:$A$500,$C33,'DADOS BRUTOS'!DC$3:DC$500)))</f>
        <v/>
      </c>
      <c r="GD33" s="123">
        <f>IF(OR(GD$4="",$B33=""),0,SUMIF('DADOS BRUTOS'!$A$3:$A$500,$B33,'DADOS BRUTOS'!DD$3:DD$500)+IF($C33="",0,SUMIF('DADOS BRUTOS'!$A$3:$A$500,$C33,'DADOS BRUTOS'!DD$3:DD$500)))</f>
        <v/>
      </c>
      <c r="GE33" s="123">
        <f>IF(OR(GE$4="",$B33=""),0,SUMIF('DADOS BRUTOS'!$A$3:$A$500,$B33,'DADOS BRUTOS'!DE$3:DE$500)+IF($C33="",0,SUMIF('DADOS BRUTOS'!$A$3:$A$500,$C33,'DADOS BRUTOS'!DE$3:DE$500)))</f>
        <v/>
      </c>
      <c r="GF33" s="123">
        <f>IF(OR(GF$4="",$B33=""),0,SUMIF('DADOS BRUTOS'!$A$3:$A$500,$B33,'DADOS BRUTOS'!DF$3:DF$500)+IF($C33="",0,SUMIF('DADOS BRUTOS'!$A$3:$A$500,$C33,'DADOS BRUTOS'!DF$3:DF$500)))</f>
        <v/>
      </c>
      <c r="GG33" s="123">
        <f>IF(OR(GG$4="",$B33=""),0,SUMIF('DADOS BRUTOS'!$A$3:$A$500,$B33,'DADOS BRUTOS'!DG$3:DG$500)+IF($C33="",0,SUMIF('DADOS BRUTOS'!$A$3:$A$500,$C33,'DADOS BRUTOS'!DG$3:DG$500)))</f>
        <v/>
      </c>
      <c r="GH33" s="123">
        <f>IF(OR(GH$4="",$B33=""),0,SUMIF('DADOS BRUTOS'!$A$3:$A$500,$B33,'DADOS BRUTOS'!DH$3:DH$500)+IF($C33="",0,SUMIF('DADOS BRUTOS'!$A$3:$A$500,$C33,'DADOS BRUTOS'!DH$3:DH$500)))</f>
        <v/>
      </c>
      <c r="GI33" s="123">
        <f>IF(OR(GI$4="",$B33=""),0,SUMIF('DADOS BRUTOS'!$A$3:$A$500,$B33,'DADOS BRUTOS'!DI$3:DI$500)+IF($C33="",0,SUMIF('DADOS BRUTOS'!$A$3:$A$500,$C33,'DADOS BRUTOS'!DI$3:DI$500)))</f>
        <v/>
      </c>
      <c r="GJ33" s="123">
        <f>IF(OR(GJ$4="",$B33=""),0,SUMIF('DADOS BRUTOS'!$A$3:$A$500,$B33,'DADOS BRUTOS'!DJ$3:DJ$500)+IF($C33="",0,SUMIF('DADOS BRUTOS'!$A$3:$A$500,$C33,'DADOS BRUTOS'!DJ$3:DJ$500)))</f>
        <v/>
      </c>
      <c r="GK33" s="123">
        <f>IF(OR(GK$4="",$B33=""),0,SUMIF('DADOS BRUTOS'!$A$3:$A$500,$B33,'DADOS BRUTOS'!DK$3:DK$500)+IF($C33="",0,SUMIF('DADOS BRUTOS'!$A$3:$A$500,$C33,'DADOS BRUTOS'!DK$3:DK$500)))</f>
        <v/>
      </c>
      <c r="GL33" s="123">
        <f>IF(OR(GL$4="",$B33=""),0,SUMIF('DADOS BRUTOS'!$A$3:$A$500,$B33,'DADOS BRUTOS'!DL$3:DL$500)+IF($C33="",0,SUMIF('DADOS BRUTOS'!$A$3:$A$500,$C33,'DADOS BRUTOS'!DL$3:DL$500)))</f>
        <v/>
      </c>
      <c r="GM33" s="123">
        <f>IF(OR(GM$4="",$B33=""),0,SUMIF('DADOS BRUTOS'!$A$3:$A$500,$B33,'DADOS BRUTOS'!DM$3:DM$500)+IF($C33="",0,SUMIF('DADOS BRUTOS'!$A$3:$A$500,$C33,'DADOS BRUTOS'!DM$3:DM$500)))</f>
        <v/>
      </c>
      <c r="GN33" s="123">
        <f>IF(OR(GN$4="",$B33=""),0,SUMIF('DADOS BRUTOS'!$A$3:$A$500,$B33,'DADOS BRUTOS'!DN$3:DN$500)+IF($C33="",0,SUMIF('DADOS BRUTOS'!$A$3:$A$500,$C33,'DADOS BRUTOS'!DN$3:DN$500)))</f>
        <v/>
      </c>
      <c r="GO33" s="123">
        <f>IF(OR(GO$4="",$B33=""),0,SUMIF('DADOS BRUTOS'!$A$3:$A$500,$B33,'DADOS BRUTOS'!DO$3:DO$500)+IF($C33="",0,SUMIF('DADOS BRUTOS'!$A$3:$A$500,$C33,'DADOS BRUTOS'!DO$3:DO$500)))</f>
        <v/>
      </c>
      <c r="GP33" s="123">
        <f>IF(OR(GP$4="",$B33=""),0,SUMIF('DADOS BRUTOS'!$A$3:$A$500,$B33,'DADOS BRUTOS'!DP$3:DP$500)+IF($C33="",0,SUMIF('DADOS BRUTOS'!$A$3:$A$500,$C33,'DADOS BRUTOS'!DP$3:DP$500)))</f>
        <v/>
      </c>
      <c r="GQ33" s="123">
        <f>IF(OR(GQ$4="",$B33=""),0,SUMIF('DADOS BRUTOS'!$A$3:$A$500,$B33,'DADOS BRUTOS'!DQ$3:DQ$500)+IF($C33="",0,SUMIF('DADOS BRUTOS'!$A$3:$A$500,$C33,'DADOS BRUTOS'!DQ$3:DQ$500)))</f>
        <v/>
      </c>
      <c r="GR33" s="123">
        <f>IF(OR(GR$4="",$B33=""),0,SUMIF('DADOS BRUTOS'!$A$3:$A$500,$B33,'DADOS BRUTOS'!DR$3:DR$500)+IF($C33="",0,SUMIF('DADOS BRUTOS'!$A$3:$A$500,$C33,'DADOS BRUTOS'!DR$3:DR$500)))</f>
        <v/>
      </c>
      <c r="GS33" s="123">
        <f>IF(OR(GS$4="",$B33=""),0,SUMIF('DADOS BRUTOS'!$A$3:$A$500,$B33,'DADOS BRUTOS'!DS$3:DS$500)+IF($C33="",0,SUMIF('DADOS BRUTOS'!$A$3:$A$500,$C33,'DADOS BRUTOS'!DS$3:DS$500)))</f>
        <v/>
      </c>
      <c r="GT33" s="123">
        <f>IF(OR(GT$4="",$B33=""),0,SUMIF('DADOS BRUTOS'!$A$3:$A$500,$B33,'DADOS BRUTOS'!DT$3:DT$500)+IF($C33="",0,SUMIF('DADOS BRUTOS'!$A$3:$A$500,$C33,'DADOS BRUTOS'!DT$3:DT$500)))</f>
        <v/>
      </c>
      <c r="GU33" s="123">
        <f>IF(OR(GU$4="",$B33=""),0,SUMIF('DADOS BRUTOS'!$A$3:$A$500,$B33,'DADOS BRUTOS'!DU$3:DU$500)+IF($C33="",0,SUMIF('DADOS BRUTOS'!$A$3:$A$500,$C33,'DADOS BRUTOS'!DU$3:DU$500)))</f>
        <v/>
      </c>
      <c r="GV33" s="123">
        <f>IF(OR(GV$4="",$B33=""),0,SUMIF('DADOS BRUTOS'!$A$3:$A$500,$B33,'DADOS BRUTOS'!DV$3:DV$500)+IF($C33="",0,SUMIF('DADOS BRUTOS'!$A$3:$A$500,$C33,'DADOS BRUTOS'!DV$3:DV$500)))</f>
        <v/>
      </c>
      <c r="GW33" s="123">
        <f>IF(OR(GW$4="",$B33=""),0,SUMIF('DADOS BRUTOS'!$A$3:$A$500,$B33,'DADOS BRUTOS'!DW$3:DW$500)+IF($C33="",0,SUMIF('DADOS BRUTOS'!$A$3:$A$500,$C33,'DADOS BRUTOS'!DW$3:DW$500)))</f>
        <v/>
      </c>
      <c r="GX33" s="123">
        <f>IF(OR(GX$4="",$B33=""),0,SUMIF('DADOS BRUTOS'!$A$3:$A$500,$B33,'DADOS BRUTOS'!DX$3:DX$500)+IF($C33="",0,SUMIF('DADOS BRUTOS'!$A$3:$A$500,$C33,'DADOS BRUTOS'!DX$3:DX$500)))</f>
        <v/>
      </c>
      <c r="GY33" s="123">
        <f>IF(OR(GY$4="",$B33=""),0,SUMIF('DADOS BRUTOS'!$A$3:$A$500,$B33,'DADOS BRUTOS'!DY$3:DY$500)+IF($C33="",0,SUMIF('DADOS BRUTOS'!$A$3:$A$500,$C33,'DADOS BRUTOS'!DY$3:DY$500)))</f>
        <v/>
      </c>
      <c r="GZ33" s="123">
        <f>IF(OR(GZ$4="",$B33=""),0,SUMIF('DADOS BRUTOS'!$A$3:$A$500,$B33,'DADOS BRUTOS'!DZ$3:DZ$500)+IF($C33="",0,SUMIF('DADOS BRUTOS'!$A$3:$A$500,$C33,'DADOS BRUTOS'!DZ$3:DZ$500)))</f>
        <v/>
      </c>
      <c r="HA33" s="123">
        <f>IF(OR(HA$4="",$B33=""),0,SUMIF('DADOS BRUTOS'!$A$3:$A$500,$B33,'DADOS BRUTOS'!EA$3:EA$500)+IF($C33="",0,SUMIF('DADOS BRUTOS'!$A$3:$A$500,$C33,'DADOS BRUTOS'!EA$3:EA$500)))</f>
        <v/>
      </c>
      <c r="HB33" s="123">
        <f>IF(OR(HB$4="",$B33=""),0,SUMIF('DADOS BRUTOS'!$A$3:$A$500,$B33,'DADOS BRUTOS'!EB$3:EB$500)+IF($C33="",0,SUMIF('DADOS BRUTOS'!$A$3:$A$500,$C33,'DADOS BRUTOS'!EB$3:EB$500)))</f>
        <v/>
      </c>
      <c r="HC33" s="123">
        <f>IF(OR(HC$4="",$B33=""),0,SUMIF('DADOS BRUTOS'!$A$3:$A$500,$B33,'DADOS BRUTOS'!EC$3:EC$500)+IF($C33="",0,SUMIF('DADOS BRUTOS'!$A$3:$A$500,$C33,'DADOS BRUTOS'!EC$3:EC$500)))</f>
        <v/>
      </c>
      <c r="HD33" s="123">
        <f>IF(OR(HD$4="",$B33=""),0,SUMIF('DADOS BRUTOS'!$A$3:$A$500,$B33,'DADOS BRUTOS'!ED$3:ED$500)+IF($C33="",0,SUMIF('DADOS BRUTOS'!$A$3:$A$500,$C33,'DADOS BRUTOS'!ED$3:ED$500)))</f>
        <v/>
      </c>
      <c r="HE33" s="123">
        <f>IF(OR(HE$4="",$B33=""),0,SUMIF('DADOS BRUTOS'!$A$3:$A$500,$B33,'DADOS BRUTOS'!EE$3:EE$500)+IF($C33="",0,SUMIF('DADOS BRUTOS'!$A$3:$A$500,$C33,'DADOS BRUTOS'!EE$3:EE$500)))</f>
        <v/>
      </c>
      <c r="HF33" s="123">
        <f>IF(OR(HF$4="",$B33=""),0,SUMIF('DADOS BRUTOS'!$A$3:$A$500,$B33,'DADOS BRUTOS'!EF$3:EF$500)+IF($C33="",0,SUMIF('DADOS BRUTOS'!$A$3:$A$500,$C33,'DADOS BRUTOS'!EF$3:EF$500)))</f>
        <v/>
      </c>
      <c r="HG33" s="123">
        <f>IF(OR(HG$4="",$B33=""),0,SUMIF('DADOS BRUTOS'!$A$3:$A$500,$B33,'DADOS BRUTOS'!EG$3:EG$500)+IF($C33="",0,SUMIF('DADOS BRUTOS'!$A$3:$A$500,$C33,'DADOS BRUTOS'!EG$3:EG$500)))</f>
        <v/>
      </c>
      <c r="HH33" s="123">
        <f>IF(OR(HH$4="",$B33=""),0,SUMIF('DADOS BRUTOS'!$A$3:$A$500,$B33,'DADOS BRUTOS'!EH$3:EH$500)+IF($C33="",0,SUMIF('DADOS BRUTOS'!$A$3:$A$500,$C33,'DADOS BRUTOS'!EH$3:EH$500)))</f>
        <v/>
      </c>
      <c r="HI33" s="123">
        <f>IF(OR(HI$4="",$B33=""),0,SUMIF('DADOS BRUTOS'!$A$3:$A$500,$B33,'DADOS BRUTOS'!EI$3:EI$500)+IF($C33="",0,SUMIF('DADOS BRUTOS'!$A$3:$A$500,$C33,'DADOS BRUTOS'!EI$3:EI$500)))</f>
        <v/>
      </c>
      <c r="HJ33" s="123">
        <f>IF(OR(HJ$4="",$B33=""),0,SUMIF('DADOS BRUTOS'!$A$3:$A$500,$B33,'DADOS BRUTOS'!EJ$3:EJ$500)+IF($C33="",0,SUMIF('DADOS BRUTOS'!$A$3:$A$500,$C33,'DADOS BRUTOS'!EJ$3:EJ$500)))</f>
        <v/>
      </c>
      <c r="HK33" s="123">
        <f>IF(OR(HK$4="",$B33=""),0,SUMIF('DADOS BRUTOS'!$A$3:$A$500,$B33,'DADOS BRUTOS'!EK$3:EK$500)+IF($C33="",0,SUMIF('DADOS BRUTOS'!$A$3:$A$500,$C33,'DADOS BRUTOS'!EK$3:EK$500)))</f>
        <v/>
      </c>
      <c r="HL33" s="123">
        <f>IF(OR(HL$4="",$B33=""),0,SUMIF('DADOS BRUTOS'!$A$3:$A$500,$B33,'DADOS BRUTOS'!EL$3:EL$500)+IF($C33="",0,SUMIF('DADOS BRUTOS'!$A$3:$A$500,$C33,'DADOS BRUTOS'!EL$3:EL$500)))</f>
        <v/>
      </c>
      <c r="HM33" s="123">
        <f>IF(OR(HM$4="",$B33=""),0,SUMIF('DADOS BRUTOS'!$A$3:$A$500,$B33,'DADOS BRUTOS'!EM$3:EM$500)+IF($C33="",0,SUMIF('DADOS BRUTOS'!$A$3:$A$500,$C33,'DADOS BRUTOS'!EM$3:EM$500)))</f>
        <v/>
      </c>
      <c r="HN33" s="123">
        <f>IF(OR(HN$4="",$B33=""),0,SUMIF('DADOS BRUTOS'!$A$3:$A$500,$B33,'DADOS BRUTOS'!EN$3:EN$500)+IF($C33="",0,SUMIF('DADOS BRUTOS'!$A$3:$A$500,$C33,'DADOS BRUTOS'!EN$3:EN$500)))</f>
        <v/>
      </c>
      <c r="HO33" s="123">
        <f>IF(OR(HO$4="",$B33=""),0,SUMIF('DADOS BRUTOS'!$A$3:$A$500,$B33,'DADOS BRUTOS'!EO$3:EO$500)+IF($C33="",0,SUMIF('DADOS BRUTOS'!$A$3:$A$500,$C33,'DADOS BRUTOS'!EO$3:EO$500)))</f>
        <v/>
      </c>
      <c r="HP33" s="123">
        <f>IF(OR(HP$4="",$B33=""),0,SUMIF('DADOS BRUTOS'!$A$3:$A$500,$B33,'DADOS BRUTOS'!EP$3:EP$500)+IF($C33="",0,SUMIF('DADOS BRUTOS'!$A$3:$A$500,$C33,'DADOS BRUTOS'!EP$3:EP$500)))</f>
        <v/>
      </c>
      <c r="HQ33" s="123">
        <f>IF(OR(HQ$4="",$B33=""),0,SUMIF('DADOS BRUTOS'!$A$3:$A$500,$B33,'DADOS BRUTOS'!EQ$3:EQ$500)+IF($C33="",0,SUMIF('DADOS BRUTOS'!$A$3:$A$500,$C33,'DADOS BRUTOS'!EQ$3:EQ$500)))</f>
        <v/>
      </c>
      <c r="HR33" s="123">
        <f>IF(OR(HR$4="",$B33=""),0,SUMIF('DADOS BRUTOS'!$A$3:$A$500,$B33,'DADOS BRUTOS'!ER$3:ER$500)+IF($C33="",0,SUMIF('DADOS BRUTOS'!$A$3:$A$500,$C33,'DADOS BRUTOS'!ER$3:ER$500)))</f>
        <v/>
      </c>
      <c r="HS33" s="123">
        <f>IF(OR(HS$4="",$B33=""),0,SUMIF('DADOS BRUTOS'!$A$3:$A$500,$B33,'DADOS BRUTOS'!ES$3:ES$500)+IF($C33="",0,SUMIF('DADOS BRUTOS'!$A$3:$A$500,$C33,'DADOS BRUTOS'!ES$3:ES$500)))</f>
        <v/>
      </c>
      <c r="HT33" s="123">
        <f>IF(OR(HT$4="",$B33=""),0,SUMIF('DADOS BRUTOS'!$A$3:$A$500,$B33,'DADOS BRUTOS'!ET$3:ET$500)+IF($C33="",0,SUMIF('DADOS BRUTOS'!$A$3:$A$500,$C33,'DADOS BRUTOS'!ET$3:ET$500)))</f>
        <v/>
      </c>
      <c r="HU33" s="123">
        <f>IF(OR(HU$4="",$B33=""),0,SUMIF('DADOS BRUTOS'!$A$3:$A$500,$B33,'DADOS BRUTOS'!EU$3:EU$500)+IF($C33="",0,SUMIF('DADOS BRUTOS'!$A$3:$A$500,$C33,'DADOS BRUTOS'!EU$3:EU$500)))</f>
        <v/>
      </c>
      <c r="HV33" s="123">
        <f>IF(OR(HV$4="",$B33=""),0,SUMIF('DADOS BRUTOS'!$A$3:$A$500,$B33,'DADOS BRUTOS'!EV$3:EV$500)+IF($C33="",0,SUMIF('DADOS BRUTOS'!$A$3:$A$500,$C33,'DADOS BRUTOS'!EV$3:EV$500)))</f>
        <v/>
      </c>
      <c r="HW33" s="123">
        <f>IF(OR(HW$4="",$B33=""),0,SUMIF('DADOS BRUTOS'!$A$3:$A$500,$B33,'DADOS BRUTOS'!EW$3:EW$500)+IF($C33="",0,SUMIF('DADOS BRUTOS'!$A$3:$A$500,$C33,'DADOS BRUTOS'!EW$3:EW$500)))</f>
        <v/>
      </c>
      <c r="HX33" s="123">
        <f>IF(OR(HX$4="",$B33=""),0,SUMIF('DADOS BRUTOS'!$A$3:$A$500,$B33,'DADOS BRUTOS'!EX$3:EX$500)+IF($C33="",0,SUMIF('DADOS BRUTOS'!$A$3:$A$500,$C33,'DADOS BRUTOS'!EX$3:EX$500)))</f>
        <v/>
      </c>
      <c r="HY33" s="123">
        <f>IF(OR(HY$4="",$B33=""),0,SUMIF('DADOS BRUTOS'!$A$3:$A$500,$B33,'DADOS BRUTOS'!EY$3:EY$500)+IF($C33="",0,SUMIF('DADOS BRUTOS'!$A$3:$A$500,$C33,'DADOS BRUTOS'!EY$3:EY$500)))</f>
        <v/>
      </c>
      <c r="HZ33" s="123">
        <f>IF(OR(HZ$4="",$B33=""),0,SUMIF('DADOS BRUTOS'!$A$3:$A$500,$B33,'DADOS BRUTOS'!EZ$3:EZ$500)+IF($C33="",0,SUMIF('DADOS BRUTOS'!$A$3:$A$500,$C33,'DADOS BRUTOS'!EZ$3:EZ$500)))</f>
        <v/>
      </c>
      <c r="IA33" s="123">
        <f>IF(OR(IA$4="",$B33=""),0,SUMIF('DADOS BRUTOS'!$A$3:$A$500,$B33,'DADOS BRUTOS'!FA$3:FA$500)+IF($C33="",0,SUMIF('DADOS BRUTOS'!$A$3:$A$500,$C33,'DADOS BRUTOS'!FA$3:FA$500)))</f>
        <v/>
      </c>
      <c r="IB33" s="123">
        <f>IF(OR(IB$4="",$B33=""),0,SUMIF('DADOS BRUTOS'!$A$3:$A$500,$B33,'DADOS BRUTOS'!FB$3:FB$500)+IF($C33="",0,SUMIF('DADOS BRUTOS'!$A$3:$A$500,$C33,'DADOS BRUTOS'!FB$3:FB$500)))</f>
        <v/>
      </c>
      <c r="IC33" s="123">
        <f>IF(OR(IC$4="",$B33=""),0,SUMIF('DADOS BRUTOS'!$A$3:$A$500,$B33,'DADOS BRUTOS'!FC$3:FC$500)+IF($C33="",0,SUMIF('DADOS BRUTOS'!$A$3:$A$500,$C33,'DADOS BRUTOS'!FC$3:FC$500)))</f>
        <v/>
      </c>
      <c r="ID33" s="123">
        <f>IF(OR(ID$4="",$B33=""),0,SUMIF('DADOS BRUTOS'!$A$3:$A$500,$B33,'DADOS BRUTOS'!FD$3:FD$500)+IF($C33="",0,SUMIF('DADOS BRUTOS'!$A$3:$A$500,$C33,'DADOS BRUTOS'!FD$3:FD$500)))</f>
        <v/>
      </c>
      <c r="IE33" s="123">
        <f>IF(OR(IE$4="",$B33=""),0,SUMIF('DADOS BRUTOS'!$A$3:$A$500,$B33,'DADOS BRUTOS'!FE$3:FE$500)+IF($C33="",0,SUMIF('DADOS BRUTOS'!$A$3:$A$500,$C33,'DADOS BRUTOS'!FE$3:FE$500)))</f>
        <v/>
      </c>
      <c r="IF33" s="123">
        <f>IF(OR(IF$4="",$B33=""),0,SUMIF('DADOS BRUTOS'!$A$3:$A$500,$B33,'DADOS BRUTOS'!FF$3:FF$500)+IF($C33="",0,SUMIF('DADOS BRUTOS'!$A$3:$A$500,$C33,'DADOS BRUTOS'!FF$3:FF$500)))</f>
        <v/>
      </c>
      <c r="IG33" s="123">
        <f>IF(OR(IG$4="",$B33=""),0,SUMIF('DADOS BRUTOS'!$A$3:$A$500,$B33,'DADOS BRUTOS'!FG$3:FG$500)+IF($C33="",0,SUMIF('DADOS BRUTOS'!$A$3:$A$500,$C33,'DADOS BRUTOS'!FG$3:FG$500)))</f>
        <v/>
      </c>
      <c r="IH33" s="123">
        <f>IF(OR(IH$4="",$B33=""),0,SUMIF('DADOS BRUTOS'!$A$3:$A$500,$B33,'DADOS BRUTOS'!FH$3:FH$500)+IF($C33="",0,SUMIF('DADOS BRUTOS'!$A$3:$A$500,$C33,'DADOS BRUTOS'!FH$3:FH$500)))</f>
        <v/>
      </c>
      <c r="II33" s="123">
        <f>IF(OR(II$4="",$B33=""),0,SUMIF('DADOS BRUTOS'!$A$3:$A$500,$B33,'DADOS BRUTOS'!FI$3:FI$500)+IF($C33="",0,SUMIF('DADOS BRUTOS'!$A$3:$A$500,$C33,'DADOS BRUTOS'!FI$3:FI$500)))</f>
        <v/>
      </c>
      <c r="IJ33" s="123">
        <f>IF(OR(IJ$4="",$B33=""),0,SUMIF('DADOS BRUTOS'!$A$3:$A$500,$B33,'DADOS BRUTOS'!FJ$3:FJ$500)+IF($C33="",0,SUMIF('DADOS BRUTOS'!$A$3:$A$500,$C33,'DADOS BRUTOS'!FJ$3:FJ$500)))</f>
        <v/>
      </c>
      <c r="IK33" s="123">
        <f>IF(OR(IK$4="",$B33=""),0,SUMIF('DADOS BRUTOS'!$A$3:$A$500,$B33,'DADOS BRUTOS'!FK$3:FK$500)+IF($C33="",0,SUMIF('DADOS BRUTOS'!$A$3:$A$500,$C33,'DADOS BRUTOS'!FK$3:FK$500)))</f>
        <v/>
      </c>
      <c r="IL33" s="123">
        <f>IF(OR(IL$4="",$B33=""),0,SUMIF('DADOS BRUTOS'!$A$3:$A$500,$B33,'DADOS BRUTOS'!FL$3:FL$500)+IF($C33="",0,SUMIF('DADOS BRUTOS'!$A$3:$A$500,$C33,'DADOS BRUTOS'!FL$3:FL$500)))</f>
        <v/>
      </c>
      <c r="IM33" s="123">
        <f>IF(OR(IM$4="",$B33=""),0,SUMIF('DADOS BRUTOS'!$A$3:$A$500,$B33,'DADOS BRUTOS'!FM$3:FM$500)+IF($C33="",0,SUMIF('DADOS BRUTOS'!$A$3:$A$500,$C33,'DADOS BRUTOS'!FM$3:FM$500)))</f>
        <v/>
      </c>
      <c r="IN33" s="123">
        <f>IF(OR(IN$4="",$B33=""),0,SUMIF('DADOS BRUTOS'!$A$3:$A$500,$B33,'DADOS BRUTOS'!FN$3:FN$500)+IF($C33="",0,SUMIF('DADOS BRUTOS'!$A$3:$A$500,$C33,'DADOS BRUTOS'!FN$3:FN$500)))</f>
        <v/>
      </c>
      <c r="IO33" s="123">
        <f>IF(OR(IO$4="",$B33=""),0,SUMIF('DADOS BRUTOS'!$A$3:$A$500,$B33,'DADOS BRUTOS'!FO$3:FO$500)+IF($C33="",0,SUMIF('DADOS BRUTOS'!$A$3:$A$500,$C33,'DADOS BRUTOS'!FO$3:FO$500)))</f>
        <v/>
      </c>
      <c r="IP33" s="123">
        <f>IF(OR(IP$4="",$B33=""),0,SUMIF('DADOS BRUTOS'!$A$3:$A$500,$B33,'DADOS BRUTOS'!FP$3:FP$500)+IF($C33="",0,SUMIF('DADOS BRUTOS'!$A$3:$A$500,$C33,'DADOS BRUTOS'!FP$3:FP$500)))</f>
        <v/>
      </c>
      <c r="IQ33" s="123">
        <f>IF(OR(IQ$4="",$B33=""),0,SUMIF('DADOS BRUTOS'!$A$3:$A$500,$B33,'DADOS BRUTOS'!FQ$3:FQ$500)+IF($C33="",0,SUMIF('DADOS BRUTOS'!$A$3:$A$500,$C33,'DADOS BRUTOS'!FQ$3:FQ$500)))</f>
        <v/>
      </c>
      <c r="IR33" s="123">
        <f>IF(OR(IR$4="",$B33=""),0,SUMIF('DADOS BRUTOS'!$A$3:$A$500,$B33,'DADOS BRUTOS'!FR$3:FR$500)+IF($C33="",0,SUMIF('DADOS BRUTOS'!$A$3:$A$500,$C33,'DADOS BRUTOS'!FR$3:FR$500)))</f>
        <v/>
      </c>
      <c r="IS33" s="123">
        <f>IF(OR(IS$4="",$B33=""),0,SUMIF('DADOS BRUTOS'!$A$3:$A$500,$B33,'DADOS BRUTOS'!FS$3:FS$500)+IF($C33="",0,SUMIF('DADOS BRUTOS'!$A$3:$A$500,$C33,'DADOS BRUTOS'!FS$3:FS$500)))</f>
        <v/>
      </c>
      <c r="IT33" s="123">
        <f>IF(OR(IT$4="",$B33=""),0,SUMIF('DADOS BRUTOS'!$A$3:$A$500,$B33,'DADOS BRUTOS'!FT$3:FT$500)+IF($C33="",0,SUMIF('DADOS BRUTOS'!$A$3:$A$500,$C33,'DADOS BRUTOS'!FT$3:FT$500)))</f>
        <v/>
      </c>
      <c r="IU33" s="123">
        <f>IF(OR(IU$4="",$B33=""),0,SUMIF('DADOS BRUTOS'!$A$3:$A$500,$B33,'DADOS BRUTOS'!FU$3:FU$500)+IF($C33="",0,SUMIF('DADOS BRUTOS'!$A$3:$A$500,$C33,'DADOS BRUTOS'!FU$3:FU$500)))</f>
        <v/>
      </c>
      <c r="IV33" s="123">
        <f>IF(OR(IV$4="",$B33=""),0,SUMIF('DADOS BRUTOS'!$A$3:$A$500,$B33,'DADOS BRUTOS'!FV$3:FV$500)+IF($C33="",0,SUMIF('DADOS BRUTOS'!$A$3:$A$500,$C33,'DADOS BRUTOS'!FV$3:FV$500)))</f>
        <v/>
      </c>
      <c r="IW33" s="123">
        <f>IF(OR(IW$4="",$B33=""),0,SUMIF('DADOS BRUTOS'!$A$3:$A$500,$B33,'DADOS BRUTOS'!FW$3:FW$500)+IF($C33="",0,SUMIF('DADOS BRUTOS'!$A$3:$A$500,$C33,'DADOS BRUTOS'!FW$3:FW$500)))</f>
        <v/>
      </c>
      <c r="IX33" s="123">
        <f>IF(OR(IX$4="",$B33=""),0,SUMIF('DADOS BRUTOS'!$A$3:$A$500,$B33,'DADOS BRUTOS'!FX$3:FX$500)+IF($C33="",0,SUMIF('DADOS BRUTOS'!$A$3:$A$500,$C33,'DADOS BRUTOS'!FX$3:FX$500)))</f>
        <v/>
      </c>
      <c r="IY33" s="123">
        <f>IF(OR(IY$4="",$B33=""),0,SUMIF('DADOS BRUTOS'!$A$3:$A$500,$B33,'DADOS BRUTOS'!FY$3:FY$500)+IF($C33="",0,SUMIF('DADOS BRUTOS'!$A$3:$A$500,$C33,'DADOS BRUTOS'!FY$3:FY$500)))</f>
        <v/>
      </c>
      <c r="IZ33" s="123">
        <f>IF(OR(IZ$4="",$B33=""),0,SUMIF('DADOS BRUTOS'!$A$3:$A$500,$B33,'DADOS BRUTOS'!FZ$3:FZ$500)+IF($C33="",0,SUMIF('DADOS BRUTOS'!$A$3:$A$500,$C33,'DADOS BRUTOS'!FZ$3:FZ$500)))</f>
        <v/>
      </c>
      <c r="JA33" s="123">
        <f>IF(OR(JA$4="",$B33=""),0,SUMIF('DADOS BRUTOS'!$A$3:$A$500,$B33,'DADOS BRUTOS'!GA$3:GA$500)+IF($C33="",0,SUMIF('DADOS BRUTOS'!$A$3:$A$500,$C33,'DADOS BRUTOS'!GA$3:GA$500)))</f>
        <v/>
      </c>
      <c r="JB33" s="123">
        <f>IF(OR(JB$4="",$B33=""),0,SUMIF('DADOS BRUTOS'!$A$3:$A$500,$B33,'DADOS BRUTOS'!GB$3:GB$500)+IF($C33="",0,SUMIF('DADOS BRUTOS'!$A$3:$A$500,$C33,'DADOS BRUTOS'!GB$3:GB$500)))</f>
        <v/>
      </c>
      <c r="JC33" s="123">
        <f>IF(OR(JC$4="",$B33=""),0,SUMIF('DADOS BRUTOS'!$A$3:$A$500,$B33,'DADOS BRUTOS'!GC$3:GC$500)+IF($C33="",0,SUMIF('DADOS BRUTOS'!$A$3:$A$500,$C33,'DADOS BRUTOS'!GC$3:GC$500)))</f>
        <v/>
      </c>
      <c r="JD33" s="123">
        <f>IF(OR(JD$4="",$B33=""),0,SUMIF('DADOS BRUTOS'!$A$3:$A$500,$B33,'DADOS BRUTOS'!GD$3:GD$500)+IF($C33="",0,SUMIF('DADOS BRUTOS'!$A$3:$A$500,$C33,'DADOS BRUTOS'!GD$3:GD$500)))</f>
        <v/>
      </c>
      <c r="JE33" s="123">
        <f>IF(OR(JE$4="",$B33=""),0,SUMIF('DADOS BRUTOS'!$A$3:$A$500,$B33,'DADOS BRUTOS'!GE$3:GE$500)+IF($C33="",0,SUMIF('DADOS BRUTOS'!$A$3:$A$500,$C33,'DADOS BRUTOS'!GE$3:GE$500)))</f>
        <v/>
      </c>
      <c r="JF33" s="123">
        <f>IF(OR(JF$4="",$B33=""),0,SUMIF('DADOS BRUTOS'!$A$3:$A$500,$B33,'DADOS BRUTOS'!GF$3:GF$500)+IF($C33="",0,SUMIF('DADOS BRUTOS'!$A$3:$A$500,$C33,'DADOS BRUTOS'!GF$3:GF$500)))</f>
        <v/>
      </c>
      <c r="JG33" s="123">
        <f>IF(OR(JG$4="",$B33=""),0,SUMIF('DADOS BRUTOS'!$A$3:$A$500,$B33,'DADOS BRUTOS'!GG$3:GG$500)+IF($C33="",0,SUMIF('DADOS BRUTOS'!$A$3:$A$500,$C33,'DADOS BRUTOS'!GG$3:GG$500)))</f>
        <v/>
      </c>
      <c r="JH33" s="123">
        <f>IF(OR(JH$4="",$B33=""),0,SUMIF('DADOS BRUTOS'!$A$3:$A$500,$B33,'DADOS BRUTOS'!GH$3:GH$500)+IF($C33="",0,SUMIF('DADOS BRUTOS'!$A$3:$A$500,$C33,'DADOS BRUTOS'!GH$3:GH$500)))</f>
        <v/>
      </c>
      <c r="JI33" s="123">
        <f>IF(OR(JI$4="",$B33=""),0,SUMIF('DADOS BRUTOS'!$A$3:$A$500,$B33,'DADOS BRUTOS'!GI$3:GI$500)+IF($C33="",0,SUMIF('DADOS BRUTOS'!$A$3:$A$500,$C33,'DADOS BRUTOS'!GI$3:GI$500)))</f>
        <v/>
      </c>
      <c r="JJ33" s="123">
        <f>IF(OR(JJ$4="",$B33=""),0,SUMIF('DADOS BRUTOS'!$A$3:$A$500,$B33,'DADOS BRUTOS'!GJ$3:GJ$500)+IF($C33="",0,SUMIF('DADOS BRUTOS'!$A$3:$A$500,$C33,'DADOS BRUTOS'!GJ$3:GJ$500)))</f>
        <v/>
      </c>
      <c r="JK33" s="123">
        <f>IF(OR(JK$4="",$B33=""),0,SUMIF('DADOS BRUTOS'!$A$3:$A$500,$B33,'DADOS BRUTOS'!GK$3:GK$500)+IF($C33="",0,SUMIF('DADOS BRUTOS'!$A$3:$A$500,$C33,'DADOS BRUTOS'!GK$3:GK$500)))</f>
        <v/>
      </c>
      <c r="JL33" s="123">
        <f>IF(OR(JL$4="",$B33=""),0,SUMIF('DADOS BRUTOS'!$A$3:$A$500,$B33,'DADOS BRUTOS'!GL$3:GL$500)+IF($C33="",0,SUMIF('DADOS BRUTOS'!$A$3:$A$500,$C33,'DADOS BRUTOS'!GL$3:GL$500)))</f>
        <v/>
      </c>
      <c r="JM33" s="123">
        <f>IF(OR(JM$4="",$B33=""),0,SUMIF('DADOS BRUTOS'!$A$3:$A$500,$B33,'DADOS BRUTOS'!GM$3:GM$500)+IF($C33="",0,SUMIF('DADOS BRUTOS'!$A$3:$A$500,$C33,'DADOS BRUTOS'!GM$3:GM$500)))</f>
        <v/>
      </c>
      <c r="JN33" s="123">
        <f>IF(OR(JN$4="",$B33=""),0,SUMIF('DADOS BRUTOS'!$A$3:$A$500,$B33,'DADOS BRUTOS'!GN$3:GN$500)+IF($C33="",0,SUMIF('DADOS BRUTOS'!$A$3:$A$500,$C33,'DADOS BRUTOS'!GN$3:GN$500)))</f>
        <v/>
      </c>
      <c r="JO33" s="123">
        <f>IF(OR(JO$4="",$B33=""),0,SUMIF('DADOS BRUTOS'!$A$3:$A$500,$B33,'DADOS BRUTOS'!GO$3:GO$500)+IF($C33="",0,SUMIF('DADOS BRUTOS'!$A$3:$A$500,$C33,'DADOS BRUTOS'!GO$3:GO$500)))</f>
        <v/>
      </c>
      <c r="JP33" s="123">
        <f>IF(OR(JP$4="",$B33=""),0,SUMIF('DADOS BRUTOS'!$A$3:$A$500,$B33,'DADOS BRUTOS'!GP$3:GP$500)+IF($C33="",0,SUMIF('DADOS BRUTOS'!$A$3:$A$500,$C33,'DADOS BRUTOS'!GP$3:GP$500)))</f>
        <v/>
      </c>
      <c r="JQ33" s="123">
        <f>IF(OR(JQ$4="",$B33=""),0,SUMIF('DADOS BRUTOS'!$A$3:$A$500,$B33,'DADOS BRUTOS'!GQ$3:GQ$500)+IF($C33="",0,SUMIF('DADOS BRUTOS'!$A$3:$A$500,$C33,'DADOS BRUTOS'!GQ$3:GQ$500)))</f>
        <v/>
      </c>
      <c r="JR33" s="123">
        <f>IF(OR(JR$4="",$B33=""),0,SUMIF('DADOS BRUTOS'!$A$3:$A$500,$B33,'DADOS BRUTOS'!GR$3:GR$500)+IF($C33="",0,SUMIF('DADOS BRUTOS'!$A$3:$A$500,$C33,'DADOS BRUTOS'!GR$3:GR$500)))</f>
        <v/>
      </c>
      <c r="JS33" s="123">
        <f>IF(OR(JS$4="",$B33=""),0,SUMIF('DADOS BRUTOS'!$A$3:$A$500,$B33,'DADOS BRUTOS'!GS$3:GS$500)+IF($C33="",0,SUMIF('DADOS BRUTOS'!$A$3:$A$500,$C33,'DADOS BRUTOS'!GS$3:GS$500)))</f>
        <v/>
      </c>
    </row>
    <row r="34">
      <c r="A34" s="60">
        <f>'VALOR POR PL'!D40</f>
        <v/>
      </c>
      <c r="B34" s="59" t="inlineStr">
        <is>
          <t>REVESTIMENTOS</t>
        </is>
      </c>
      <c r="C34" s="59" t="n"/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CB34" s="123">
        <f>IF(OR(CB$4="",$B34=""),0,SUMIF('DADOS BRUTOS'!$A$3:$A$500,$B34,'DADOS BRUTOS'!B$3:B$500)+IF($C34="",0,SUMIF('DADOS BRUTOS'!$A$3:$A$500,$C34,'DADOS BRUTOS'!B$3:B$500)))</f>
        <v/>
      </c>
      <c r="CC34" s="123">
        <f>IF(OR(CC$4="",$B34=""),0,SUMIF('DADOS BRUTOS'!$A$3:$A$500,$B34,'DADOS BRUTOS'!C$3:C$500)+IF($C34="",0,SUMIF('DADOS BRUTOS'!$A$3:$A$500,$C34,'DADOS BRUTOS'!C$3:C$500)))</f>
        <v/>
      </c>
      <c r="CD34" s="123">
        <f>IF(OR(CD$4="",$B34=""),0,SUMIF('DADOS BRUTOS'!$A$3:$A$500,$B34,'DADOS BRUTOS'!D$3:D$500)+IF($C34="",0,SUMIF('DADOS BRUTOS'!$A$3:$A$500,$C34,'DADOS BRUTOS'!D$3:D$500)))</f>
        <v/>
      </c>
      <c r="CE34" s="123">
        <f>IF(OR(CE$4="",$B34=""),0,SUMIF('DADOS BRUTOS'!$A$3:$A$500,$B34,'DADOS BRUTOS'!E$3:E$500)+IF($C34="",0,SUMIF('DADOS BRUTOS'!$A$3:$A$500,$C34,'DADOS BRUTOS'!E$3:E$500)))</f>
        <v/>
      </c>
      <c r="CF34" s="123">
        <f>IF(OR(CF$4="",$B34=""),0,SUMIF('DADOS BRUTOS'!$A$3:$A$500,$B34,'DADOS BRUTOS'!F$3:F$500)+IF($C34="",0,SUMIF('DADOS BRUTOS'!$A$3:$A$500,$C34,'DADOS BRUTOS'!F$3:F$500)))</f>
        <v/>
      </c>
      <c r="CG34" s="123">
        <f>IF(OR(CG$4="",$B34=""),0,SUMIF('DADOS BRUTOS'!$A$3:$A$500,$B34,'DADOS BRUTOS'!G$3:G$500)+IF($C34="",0,SUMIF('DADOS BRUTOS'!$A$3:$A$500,$C34,'DADOS BRUTOS'!G$3:G$500)))</f>
        <v/>
      </c>
      <c r="CH34" s="123">
        <f>IF(OR(CH$4="",$B34=""),0,SUMIF('DADOS BRUTOS'!$A$3:$A$500,$B34,'DADOS BRUTOS'!H$3:H$500)+IF($C34="",0,SUMIF('DADOS BRUTOS'!$A$3:$A$500,$C34,'DADOS BRUTOS'!H$3:H$500)))</f>
        <v/>
      </c>
      <c r="CI34" s="123">
        <f>IF(OR(CI$4="",$B34=""),0,SUMIF('DADOS BRUTOS'!$A$3:$A$500,$B34,'DADOS BRUTOS'!I$3:I$500)+IF($C34="",0,SUMIF('DADOS BRUTOS'!$A$3:$A$500,$C34,'DADOS BRUTOS'!I$3:I$500)))</f>
        <v/>
      </c>
      <c r="CJ34" s="123">
        <f>IF(OR(CJ$4="",$B34=""),0,SUMIF('DADOS BRUTOS'!$A$3:$A$500,$B34,'DADOS BRUTOS'!J$3:J$500)+IF($C34="",0,SUMIF('DADOS BRUTOS'!$A$3:$A$500,$C34,'DADOS BRUTOS'!J$3:J$500)))</f>
        <v/>
      </c>
      <c r="CK34" s="123">
        <f>IF(OR(CK$4="",$B34=""),0,SUMIF('DADOS BRUTOS'!$A$3:$A$500,$B34,'DADOS BRUTOS'!K$3:K$500)+IF($C34="",0,SUMIF('DADOS BRUTOS'!$A$3:$A$500,$C34,'DADOS BRUTOS'!K$3:K$500)))</f>
        <v/>
      </c>
      <c r="CL34" s="123">
        <f>IF(OR(CL$4="",$B34=""),0,SUMIF('DADOS BRUTOS'!$A$3:$A$500,$B34,'DADOS BRUTOS'!L$3:L$500)+IF($C34="",0,SUMIF('DADOS BRUTOS'!$A$3:$A$500,$C34,'DADOS BRUTOS'!L$3:L$500)))</f>
        <v/>
      </c>
      <c r="CM34" s="123">
        <f>IF(OR(CM$4="",$B34=""),0,SUMIF('DADOS BRUTOS'!$A$3:$A$500,$B34,'DADOS BRUTOS'!M$3:M$500)+IF($C34="",0,SUMIF('DADOS BRUTOS'!$A$3:$A$500,$C34,'DADOS BRUTOS'!M$3:M$500)))</f>
        <v/>
      </c>
      <c r="CN34" s="123">
        <f>IF(OR(CN$4="",$B34=""),0,SUMIF('DADOS BRUTOS'!$A$3:$A$500,$B34,'DADOS BRUTOS'!N$3:N$500)+IF($C34="",0,SUMIF('DADOS BRUTOS'!$A$3:$A$500,$C34,'DADOS BRUTOS'!N$3:N$500)))</f>
        <v/>
      </c>
      <c r="CO34" s="123">
        <f>IF(OR(CO$4="",$B34=""),0,SUMIF('DADOS BRUTOS'!$A$3:$A$500,$B34,'DADOS BRUTOS'!O$3:O$500)+IF($C34="",0,SUMIF('DADOS BRUTOS'!$A$3:$A$500,$C34,'DADOS BRUTOS'!O$3:O$500)))</f>
        <v/>
      </c>
      <c r="CP34" s="123">
        <f>IF(OR(CP$4="",$B34=""),0,SUMIF('DADOS BRUTOS'!$A$3:$A$500,$B34,'DADOS BRUTOS'!P$3:P$500)+IF($C34="",0,SUMIF('DADOS BRUTOS'!$A$3:$A$500,$C34,'DADOS BRUTOS'!P$3:P$500)))</f>
        <v/>
      </c>
      <c r="CQ34" s="123">
        <f>IF(OR(CQ$4="",$B34=""),0,SUMIF('DADOS BRUTOS'!$A$3:$A$500,$B34,'DADOS BRUTOS'!Q$3:Q$500)+IF($C34="",0,SUMIF('DADOS BRUTOS'!$A$3:$A$500,$C34,'DADOS BRUTOS'!Q$3:Q$500)))</f>
        <v/>
      </c>
      <c r="CR34" s="123">
        <f>IF(OR(CR$4="",$B34=""),0,SUMIF('DADOS BRUTOS'!$A$3:$A$500,$B34,'DADOS BRUTOS'!R$3:R$500)+IF($C34="",0,SUMIF('DADOS BRUTOS'!$A$3:$A$500,$C34,'DADOS BRUTOS'!R$3:R$500)))</f>
        <v/>
      </c>
      <c r="CS34" s="123">
        <f>IF(OR(CS$4="",$B34=""),0,SUMIF('DADOS BRUTOS'!$A$3:$A$500,$B34,'DADOS BRUTOS'!S$3:S$500)+IF($C34="",0,SUMIF('DADOS BRUTOS'!$A$3:$A$500,$C34,'DADOS BRUTOS'!S$3:S$500)))</f>
        <v/>
      </c>
      <c r="CT34" s="123">
        <f>IF(OR(CT$4="",$B34=""),0,SUMIF('DADOS BRUTOS'!$A$3:$A$500,$B34,'DADOS BRUTOS'!T$3:T$500)+IF($C34="",0,SUMIF('DADOS BRUTOS'!$A$3:$A$500,$C34,'DADOS BRUTOS'!T$3:T$500)))</f>
        <v/>
      </c>
      <c r="CU34" s="123">
        <f>IF(OR(CU$4="",$B34=""),0,SUMIF('DADOS BRUTOS'!$A$3:$A$500,$B34,'DADOS BRUTOS'!U$3:U$500)+IF($C34="",0,SUMIF('DADOS BRUTOS'!$A$3:$A$500,$C34,'DADOS BRUTOS'!U$3:U$500)))</f>
        <v/>
      </c>
      <c r="CV34" s="123">
        <f>IF(OR(CV$4="",$B34=""),0,SUMIF('DADOS BRUTOS'!$A$3:$A$500,$B34,'DADOS BRUTOS'!V$3:V$500)+IF($C34="",0,SUMIF('DADOS BRUTOS'!$A$3:$A$500,$C34,'DADOS BRUTOS'!V$3:V$500)))</f>
        <v/>
      </c>
      <c r="CW34" s="123">
        <f>IF(OR(CW$4="",$B34=""),0,SUMIF('DADOS BRUTOS'!$A$3:$A$500,$B34,'DADOS BRUTOS'!W$3:W$500)+IF($C34="",0,SUMIF('DADOS BRUTOS'!$A$3:$A$500,$C34,'DADOS BRUTOS'!W$3:W$500)))</f>
        <v/>
      </c>
      <c r="CX34" s="123">
        <f>IF(OR(CX$4="",$B34=""),0,SUMIF('DADOS BRUTOS'!$A$3:$A$500,$B34,'DADOS BRUTOS'!X$3:X$500)+IF($C34="",0,SUMIF('DADOS BRUTOS'!$A$3:$A$500,$C34,'DADOS BRUTOS'!X$3:X$500)))</f>
        <v/>
      </c>
      <c r="CY34" s="123">
        <f>IF(OR(CY$4="",$B34=""),0,SUMIF('DADOS BRUTOS'!$A$3:$A$500,$B34,'DADOS BRUTOS'!Y$3:Y$500)+IF($C34="",0,SUMIF('DADOS BRUTOS'!$A$3:$A$500,$C34,'DADOS BRUTOS'!Y$3:Y$500)))</f>
        <v/>
      </c>
      <c r="CZ34" s="123">
        <f>IF(OR(CZ$4="",$B34=""),0,SUMIF('DADOS BRUTOS'!$A$3:$A$500,$B34,'DADOS BRUTOS'!Z$3:Z$500)+IF($C34="",0,SUMIF('DADOS BRUTOS'!$A$3:$A$500,$C34,'DADOS BRUTOS'!Z$3:Z$500)))</f>
        <v/>
      </c>
      <c r="DA34" s="123">
        <f>IF(OR(DA$4="",$B34=""),0,SUMIF('DADOS BRUTOS'!$A$3:$A$500,$B34,'DADOS BRUTOS'!AA$3:AA$500)+IF($C34="",0,SUMIF('DADOS BRUTOS'!$A$3:$A$500,$C34,'DADOS BRUTOS'!AA$3:AA$500)))</f>
        <v/>
      </c>
      <c r="DB34" s="123">
        <f>IF(OR(DB$4="",$B34=""),0,SUMIF('DADOS BRUTOS'!$A$3:$A$500,$B34,'DADOS BRUTOS'!AB$3:AB$500)+IF($C34="",0,SUMIF('DADOS BRUTOS'!$A$3:$A$500,$C34,'DADOS BRUTOS'!AB$3:AB$500)))</f>
        <v/>
      </c>
      <c r="DC34" s="123">
        <f>IF(OR(DC$4="",$B34=""),0,SUMIF('DADOS BRUTOS'!$A$3:$A$500,$B34,'DADOS BRUTOS'!AC$3:AC$500)+IF($C34="",0,SUMIF('DADOS BRUTOS'!$A$3:$A$500,$C34,'DADOS BRUTOS'!AC$3:AC$500)))</f>
        <v/>
      </c>
      <c r="DD34" s="123">
        <f>IF(OR(DD$4="",$B34=""),0,SUMIF('DADOS BRUTOS'!$A$3:$A$500,$B34,'DADOS BRUTOS'!AD$3:AD$500)+IF($C34="",0,SUMIF('DADOS BRUTOS'!$A$3:$A$500,$C34,'DADOS BRUTOS'!AD$3:AD$500)))</f>
        <v/>
      </c>
      <c r="DE34" s="123">
        <f>IF(OR(DE$4="",$B34=""),0,SUMIF('DADOS BRUTOS'!$A$3:$A$500,$B34,'DADOS BRUTOS'!AE$3:AE$500)+IF($C34="",0,SUMIF('DADOS BRUTOS'!$A$3:$A$500,$C34,'DADOS BRUTOS'!AE$3:AE$500)))</f>
        <v/>
      </c>
      <c r="DF34" s="123">
        <f>IF(OR(DF$4="",$B34=""),0,SUMIF('DADOS BRUTOS'!$A$3:$A$500,$B34,'DADOS BRUTOS'!AF$3:AF$500)+IF($C34="",0,SUMIF('DADOS BRUTOS'!$A$3:$A$500,$C34,'DADOS BRUTOS'!AF$3:AF$500)))</f>
        <v/>
      </c>
      <c r="DG34" s="123">
        <f>IF(OR(DG$4="",$B34=""),0,SUMIF('DADOS BRUTOS'!$A$3:$A$500,$B34,'DADOS BRUTOS'!AG$3:AG$500)+IF($C34="",0,SUMIF('DADOS BRUTOS'!$A$3:$A$500,$C34,'DADOS BRUTOS'!AG$3:AG$500)))</f>
        <v/>
      </c>
      <c r="DH34" s="123">
        <f>IF(OR(DH$4="",$B34=""),0,SUMIF('DADOS BRUTOS'!$A$3:$A$500,$B34,'DADOS BRUTOS'!AH$3:AH$500)+IF($C34="",0,SUMIF('DADOS BRUTOS'!$A$3:$A$500,$C34,'DADOS BRUTOS'!AH$3:AH$500)))</f>
        <v/>
      </c>
      <c r="DI34" s="123">
        <f>IF(OR(DI$4="",$B34=""),0,SUMIF('DADOS BRUTOS'!$A$3:$A$500,$B34,'DADOS BRUTOS'!AI$3:AI$500)+IF($C34="",0,SUMIF('DADOS BRUTOS'!$A$3:$A$500,$C34,'DADOS BRUTOS'!AI$3:AI$500)))</f>
        <v/>
      </c>
      <c r="DJ34" s="123">
        <f>IF(OR(DJ$4="",$B34=""),0,SUMIF('DADOS BRUTOS'!$A$3:$A$500,$B34,'DADOS BRUTOS'!AJ$3:AJ$500)+IF($C34="",0,SUMIF('DADOS BRUTOS'!$A$3:$A$500,$C34,'DADOS BRUTOS'!AJ$3:AJ$500)))</f>
        <v/>
      </c>
      <c r="DK34" s="123">
        <f>IF(OR(DK$4="",$B34=""),0,SUMIF('DADOS BRUTOS'!$A$3:$A$500,$B34,'DADOS BRUTOS'!AK$3:AK$500)+IF($C34="",0,SUMIF('DADOS BRUTOS'!$A$3:$A$500,$C34,'DADOS BRUTOS'!AK$3:AK$500)))</f>
        <v/>
      </c>
      <c r="DL34" s="123">
        <f>IF(OR(DL$4="",$B34=""),0,SUMIF('DADOS BRUTOS'!$A$3:$A$500,$B34,'DADOS BRUTOS'!AL$3:AL$500)+IF($C34="",0,SUMIF('DADOS BRUTOS'!$A$3:$A$500,$C34,'DADOS BRUTOS'!AL$3:AL$500)))</f>
        <v/>
      </c>
      <c r="DM34" s="123">
        <f>IF(OR(DM$4="",$B34=""),0,SUMIF('DADOS BRUTOS'!$A$3:$A$500,$B34,'DADOS BRUTOS'!AM$3:AM$500)+IF($C34="",0,SUMIF('DADOS BRUTOS'!$A$3:$A$500,$C34,'DADOS BRUTOS'!AM$3:AM$500)))</f>
        <v/>
      </c>
      <c r="DN34" s="123">
        <f>IF(OR(DN$4="",$B34=""),0,SUMIF('DADOS BRUTOS'!$A$3:$A$500,$B34,'DADOS BRUTOS'!AN$3:AN$500)+IF($C34="",0,SUMIF('DADOS BRUTOS'!$A$3:$A$500,$C34,'DADOS BRUTOS'!AN$3:AN$500)))</f>
        <v/>
      </c>
      <c r="DO34" s="123">
        <f>IF(OR(DO$4="",$B34=""),0,SUMIF('DADOS BRUTOS'!$A$3:$A$500,$B34,'DADOS BRUTOS'!AO$3:AO$500)+IF($C34="",0,SUMIF('DADOS BRUTOS'!$A$3:$A$500,$C34,'DADOS BRUTOS'!AO$3:AO$500)))</f>
        <v/>
      </c>
      <c r="DP34" s="123">
        <f>IF(OR(DP$4="",$B34=""),0,SUMIF('DADOS BRUTOS'!$A$3:$A$500,$B34,'DADOS BRUTOS'!AP$3:AP$500)+IF($C34="",0,SUMIF('DADOS BRUTOS'!$A$3:$A$500,$C34,'DADOS BRUTOS'!AP$3:AP$500)))</f>
        <v/>
      </c>
      <c r="DQ34" s="123">
        <f>IF(OR(DQ$4="",$B34=""),0,SUMIF('DADOS BRUTOS'!$A$3:$A$500,$B34,'DADOS BRUTOS'!AQ$3:AQ$500)+IF($C34="",0,SUMIF('DADOS BRUTOS'!$A$3:$A$500,$C34,'DADOS BRUTOS'!AQ$3:AQ$500)))</f>
        <v/>
      </c>
      <c r="DR34" s="123">
        <f>IF(OR(DR$4="",$B34=""),0,SUMIF('DADOS BRUTOS'!$A$3:$A$500,$B34,'DADOS BRUTOS'!AR$3:AR$500)+IF($C34="",0,SUMIF('DADOS BRUTOS'!$A$3:$A$500,$C34,'DADOS BRUTOS'!AR$3:AR$500)))</f>
        <v/>
      </c>
      <c r="DS34" s="123">
        <f>IF(OR(DS$4="",$B34=""),0,SUMIF('DADOS BRUTOS'!$A$3:$A$500,$B34,'DADOS BRUTOS'!AS$3:AS$500)+IF($C34="",0,SUMIF('DADOS BRUTOS'!$A$3:$A$500,$C34,'DADOS BRUTOS'!AS$3:AS$500)))</f>
        <v/>
      </c>
      <c r="DT34" s="123">
        <f>IF(OR(DT$4="",$B34=""),0,SUMIF('DADOS BRUTOS'!$A$3:$A$500,$B34,'DADOS BRUTOS'!AT$3:AT$500)+IF($C34="",0,SUMIF('DADOS BRUTOS'!$A$3:$A$500,$C34,'DADOS BRUTOS'!AT$3:AT$500)))</f>
        <v/>
      </c>
      <c r="DU34" s="123">
        <f>IF(OR(DU$4="",$B34=""),0,SUMIF('DADOS BRUTOS'!$A$3:$A$500,$B34,'DADOS BRUTOS'!AU$3:AU$500)+IF($C34="",0,SUMIF('DADOS BRUTOS'!$A$3:$A$500,$C34,'DADOS BRUTOS'!AU$3:AU$500)))</f>
        <v/>
      </c>
      <c r="DV34" s="123">
        <f>IF(OR(DV$4="",$B34=""),0,SUMIF('DADOS BRUTOS'!$A$3:$A$500,$B34,'DADOS BRUTOS'!AV$3:AV$500)+IF($C34="",0,SUMIF('DADOS BRUTOS'!$A$3:$A$500,$C34,'DADOS BRUTOS'!AV$3:AV$500)))</f>
        <v/>
      </c>
      <c r="DW34" s="123">
        <f>IF(OR(DW$4="",$B34=""),0,SUMIF('DADOS BRUTOS'!$A$3:$A$500,$B34,'DADOS BRUTOS'!AW$3:AW$500)+IF($C34="",0,SUMIF('DADOS BRUTOS'!$A$3:$A$500,$C34,'DADOS BRUTOS'!AW$3:AW$500)))</f>
        <v/>
      </c>
      <c r="DX34" s="123">
        <f>IF(OR(DX$4="",$B34=""),0,SUMIF('DADOS BRUTOS'!$A$3:$A$500,$B34,'DADOS BRUTOS'!AX$3:AX$500)+IF($C34="",0,SUMIF('DADOS BRUTOS'!$A$3:$A$500,$C34,'DADOS BRUTOS'!AX$3:AX$500)))</f>
        <v/>
      </c>
      <c r="DY34" s="123">
        <f>IF(OR(DY$4="",$B34=""),0,SUMIF('DADOS BRUTOS'!$A$3:$A$500,$B34,'DADOS BRUTOS'!AY$3:AY$500)+IF($C34="",0,SUMIF('DADOS BRUTOS'!$A$3:$A$500,$C34,'DADOS BRUTOS'!AY$3:AY$500)))</f>
        <v/>
      </c>
      <c r="DZ34" s="123">
        <f>IF(OR(DZ$4="",$B34=""),0,SUMIF('DADOS BRUTOS'!$A$3:$A$500,$B34,'DADOS BRUTOS'!AZ$3:AZ$500)+IF($C34="",0,SUMIF('DADOS BRUTOS'!$A$3:$A$500,$C34,'DADOS BRUTOS'!AZ$3:AZ$500)))</f>
        <v/>
      </c>
      <c r="EA34" s="123">
        <f>IF(OR(EA$4="",$B34=""),0,SUMIF('DADOS BRUTOS'!$A$3:$A$500,$B34,'DADOS BRUTOS'!BA$3:BA$500)+IF($C34="",0,SUMIF('DADOS BRUTOS'!$A$3:$A$500,$C34,'DADOS BRUTOS'!BA$3:BA$500)))</f>
        <v/>
      </c>
      <c r="EB34" s="123">
        <f>IF(OR(EB$4="",$B34=""),0,SUMIF('DADOS BRUTOS'!$A$3:$A$500,$B34,'DADOS BRUTOS'!BB$3:BB$500)+IF($C34="",0,SUMIF('DADOS BRUTOS'!$A$3:$A$500,$C34,'DADOS BRUTOS'!BB$3:BB$500)))</f>
        <v/>
      </c>
      <c r="EC34" s="123">
        <f>IF(OR(EC$4="",$B34=""),0,SUMIF('DADOS BRUTOS'!$A$3:$A$500,$B34,'DADOS BRUTOS'!BC$3:BC$500)+IF($C34="",0,SUMIF('DADOS BRUTOS'!$A$3:$A$500,$C34,'DADOS BRUTOS'!BC$3:BC$500)))</f>
        <v/>
      </c>
      <c r="ED34" s="123">
        <f>IF(OR(ED$4="",$B34=""),0,SUMIF('DADOS BRUTOS'!$A$3:$A$500,$B34,'DADOS BRUTOS'!BD$3:BD$500)+IF($C34="",0,SUMIF('DADOS BRUTOS'!$A$3:$A$500,$C34,'DADOS BRUTOS'!BD$3:BD$500)))</f>
        <v/>
      </c>
      <c r="EE34" s="123">
        <f>IF(OR(EE$4="",$B34=""),0,SUMIF('DADOS BRUTOS'!$A$3:$A$500,$B34,'DADOS BRUTOS'!BE$3:BE$500)+IF($C34="",0,SUMIF('DADOS BRUTOS'!$A$3:$A$500,$C34,'DADOS BRUTOS'!BE$3:BE$500)))</f>
        <v/>
      </c>
      <c r="EF34" s="123">
        <f>IF(OR(EF$4="",$B34=""),0,SUMIF('DADOS BRUTOS'!$A$3:$A$500,$B34,'DADOS BRUTOS'!BF$3:BF$500)+IF($C34="",0,SUMIF('DADOS BRUTOS'!$A$3:$A$500,$C34,'DADOS BRUTOS'!BF$3:BF$500)))</f>
        <v/>
      </c>
      <c r="EG34" s="123">
        <f>IF(OR(EG$4="",$B34=""),0,SUMIF('DADOS BRUTOS'!$A$3:$A$500,$B34,'DADOS BRUTOS'!BG$3:BG$500)+IF($C34="",0,SUMIF('DADOS BRUTOS'!$A$3:$A$500,$C34,'DADOS BRUTOS'!BG$3:BG$500)))</f>
        <v/>
      </c>
      <c r="EH34" s="123">
        <f>IF(OR(EH$4="",$B34=""),0,SUMIF('DADOS BRUTOS'!$A$3:$A$500,$B34,'DADOS BRUTOS'!BH$3:BH$500)+IF($C34="",0,SUMIF('DADOS BRUTOS'!$A$3:$A$500,$C34,'DADOS BRUTOS'!BH$3:BH$500)))</f>
        <v/>
      </c>
      <c r="EI34" s="123">
        <f>IF(OR(EI$4="",$B34=""),0,SUMIF('DADOS BRUTOS'!$A$3:$A$500,$B34,'DADOS BRUTOS'!BI$3:BI$500)+IF($C34="",0,SUMIF('DADOS BRUTOS'!$A$3:$A$500,$C34,'DADOS BRUTOS'!BI$3:BI$500)))</f>
        <v/>
      </c>
      <c r="EJ34" s="123">
        <f>IF(OR(EJ$4="",$B34=""),0,SUMIF('DADOS BRUTOS'!$A$3:$A$500,$B34,'DADOS BRUTOS'!BJ$3:BJ$500)+IF($C34="",0,SUMIF('DADOS BRUTOS'!$A$3:$A$500,$C34,'DADOS BRUTOS'!BJ$3:BJ$500)))</f>
        <v/>
      </c>
      <c r="EK34" s="123">
        <f>IF(OR(EK$4="",$B34=""),0,SUMIF('DADOS BRUTOS'!$A$3:$A$500,$B34,'DADOS BRUTOS'!BK$3:BK$500)+IF($C34="",0,SUMIF('DADOS BRUTOS'!$A$3:$A$500,$C34,'DADOS BRUTOS'!BK$3:BK$500)))</f>
        <v/>
      </c>
      <c r="EL34" s="123">
        <f>IF(OR(EL$4="",$B34=""),0,SUMIF('DADOS BRUTOS'!$A$3:$A$500,$B34,'DADOS BRUTOS'!BL$3:BL$500)+IF($C34="",0,SUMIF('DADOS BRUTOS'!$A$3:$A$500,$C34,'DADOS BRUTOS'!BL$3:BL$500)))</f>
        <v/>
      </c>
      <c r="EM34" s="123">
        <f>IF(OR(EM$4="",$B34=""),0,SUMIF('DADOS BRUTOS'!$A$3:$A$500,$B34,'DADOS BRUTOS'!BM$3:BM$500)+IF($C34="",0,SUMIF('DADOS BRUTOS'!$A$3:$A$500,$C34,'DADOS BRUTOS'!BM$3:BM$500)))</f>
        <v/>
      </c>
      <c r="EN34" s="123">
        <f>IF(OR(EN$4="",$B34=""),0,SUMIF('DADOS BRUTOS'!$A$3:$A$500,$B34,'DADOS BRUTOS'!BN$3:BN$500)+IF($C34="",0,SUMIF('DADOS BRUTOS'!$A$3:$A$500,$C34,'DADOS BRUTOS'!BN$3:BN$500)))</f>
        <v/>
      </c>
      <c r="EO34" s="123">
        <f>IF(OR(EO$4="",$B34=""),0,SUMIF('DADOS BRUTOS'!$A$3:$A$500,$B34,'DADOS BRUTOS'!BO$3:BO$500)+IF($C34="",0,SUMIF('DADOS BRUTOS'!$A$3:$A$500,$C34,'DADOS BRUTOS'!BO$3:BO$500)))</f>
        <v/>
      </c>
      <c r="EP34" s="123">
        <f>IF(OR(EP$4="",$B34=""),0,SUMIF('DADOS BRUTOS'!$A$3:$A$500,$B34,'DADOS BRUTOS'!BP$3:BP$500)+IF($C34="",0,SUMIF('DADOS BRUTOS'!$A$3:$A$500,$C34,'DADOS BRUTOS'!BP$3:BP$500)))</f>
        <v/>
      </c>
      <c r="EQ34" s="123">
        <f>IF(OR(EQ$4="",$B34=""),0,SUMIF('DADOS BRUTOS'!$A$3:$A$500,$B34,'DADOS BRUTOS'!BQ$3:BQ$500)+IF($C34="",0,SUMIF('DADOS BRUTOS'!$A$3:$A$500,$C34,'DADOS BRUTOS'!BQ$3:BQ$500)))</f>
        <v/>
      </c>
      <c r="ER34" s="123">
        <f>IF(OR(ER$4="",$B34=""),0,SUMIF('DADOS BRUTOS'!$A$3:$A$500,$B34,'DADOS BRUTOS'!BR$3:BR$500)+IF($C34="",0,SUMIF('DADOS BRUTOS'!$A$3:$A$500,$C34,'DADOS BRUTOS'!BR$3:BR$500)))</f>
        <v/>
      </c>
      <c r="ES34" s="123">
        <f>IF(OR(ES$4="",$B34=""),0,SUMIF('DADOS BRUTOS'!$A$3:$A$500,$B34,'DADOS BRUTOS'!BS$3:BS$500)+IF($C34="",0,SUMIF('DADOS BRUTOS'!$A$3:$A$500,$C34,'DADOS BRUTOS'!BS$3:BS$500)))</f>
        <v/>
      </c>
      <c r="ET34" s="123">
        <f>IF(OR(ET$4="",$B34=""),0,SUMIF('DADOS BRUTOS'!$A$3:$A$500,$B34,'DADOS BRUTOS'!BT$3:BT$500)+IF($C34="",0,SUMIF('DADOS BRUTOS'!$A$3:$A$500,$C34,'DADOS BRUTOS'!BT$3:BT$500)))</f>
        <v/>
      </c>
      <c r="EU34" s="123">
        <f>IF(OR(EU$4="",$B34=""),0,SUMIF('DADOS BRUTOS'!$A$3:$A$500,$B34,'DADOS BRUTOS'!BU$3:BU$500)+IF($C34="",0,SUMIF('DADOS BRUTOS'!$A$3:$A$500,$C34,'DADOS BRUTOS'!BU$3:BU$500)))</f>
        <v/>
      </c>
      <c r="EV34" s="123">
        <f>IF(OR(EV$4="",$B34=""),0,SUMIF('DADOS BRUTOS'!$A$3:$A$500,$B34,'DADOS BRUTOS'!BV$3:BV$500)+IF($C34="",0,SUMIF('DADOS BRUTOS'!$A$3:$A$500,$C34,'DADOS BRUTOS'!BV$3:BV$500)))</f>
        <v/>
      </c>
      <c r="EW34" s="123">
        <f>IF(OR(EW$4="",$B34=""),0,SUMIF('DADOS BRUTOS'!$A$3:$A$500,$B34,'DADOS BRUTOS'!BW$3:BW$500)+IF($C34="",0,SUMIF('DADOS BRUTOS'!$A$3:$A$500,$C34,'DADOS BRUTOS'!BW$3:BW$500)))</f>
        <v/>
      </c>
      <c r="EX34" s="123">
        <f>IF(OR(EX$4="",$B34=""),0,SUMIF('DADOS BRUTOS'!$A$3:$A$500,$B34,'DADOS BRUTOS'!BX$3:BX$500)+IF($C34="",0,SUMIF('DADOS BRUTOS'!$A$3:$A$500,$C34,'DADOS BRUTOS'!BX$3:BX$500)))</f>
        <v/>
      </c>
      <c r="EY34" s="123">
        <f>IF(OR(EY$4="",$B34=""),0,SUMIF('DADOS BRUTOS'!$A$3:$A$500,$B34,'DADOS BRUTOS'!BY$3:BY$500)+IF($C34="",0,SUMIF('DADOS BRUTOS'!$A$3:$A$500,$C34,'DADOS BRUTOS'!BY$3:BY$500)))</f>
        <v/>
      </c>
      <c r="EZ34" s="123">
        <f>IF(OR(EZ$4="",$B34=""),0,SUMIF('DADOS BRUTOS'!$A$3:$A$500,$B34,'DADOS BRUTOS'!BZ$3:BZ$500)+IF($C34="",0,SUMIF('DADOS BRUTOS'!$A$3:$A$500,$C34,'DADOS BRUTOS'!BZ$3:BZ$500)))</f>
        <v/>
      </c>
      <c r="FA34" s="123">
        <f>IF(OR(FA$4="",$B34=""),0,SUMIF('DADOS BRUTOS'!$A$3:$A$500,$B34,'DADOS BRUTOS'!CA$3:CA$500)+IF($C34="",0,SUMIF('DADOS BRUTOS'!$A$3:$A$500,$C34,'DADOS BRUTOS'!CA$3:CA$500)))</f>
        <v/>
      </c>
      <c r="FB34" s="123">
        <f>IF(OR(FB$4="",$B34=""),0,SUMIF('DADOS BRUTOS'!$A$3:$A$500,$B34,'DADOS BRUTOS'!CB$3:CB$500)+IF($C34="",0,SUMIF('DADOS BRUTOS'!$A$3:$A$500,$C34,'DADOS BRUTOS'!CB$3:CB$500)))</f>
        <v/>
      </c>
      <c r="FC34" s="123">
        <f>IF(OR(FC$4="",$B34=""),0,SUMIF('DADOS BRUTOS'!$A$3:$A$500,$B34,'DADOS BRUTOS'!CC$3:CC$500)+IF($C34="",0,SUMIF('DADOS BRUTOS'!$A$3:$A$500,$C34,'DADOS BRUTOS'!CC$3:CC$500)))</f>
        <v/>
      </c>
      <c r="FD34" s="123">
        <f>IF(OR(FD$4="",$B34=""),0,SUMIF('DADOS BRUTOS'!$A$3:$A$500,$B34,'DADOS BRUTOS'!CD$3:CD$500)+IF($C34="",0,SUMIF('DADOS BRUTOS'!$A$3:$A$500,$C34,'DADOS BRUTOS'!CD$3:CD$500)))</f>
        <v/>
      </c>
      <c r="FE34" s="123">
        <f>IF(OR(FE$4="",$B34=""),0,SUMIF('DADOS BRUTOS'!$A$3:$A$500,$B34,'DADOS BRUTOS'!CE$3:CE$500)+IF($C34="",0,SUMIF('DADOS BRUTOS'!$A$3:$A$500,$C34,'DADOS BRUTOS'!CE$3:CE$500)))</f>
        <v/>
      </c>
      <c r="FF34" s="123">
        <f>IF(OR(FF$4="",$B34=""),0,SUMIF('DADOS BRUTOS'!$A$3:$A$500,$B34,'DADOS BRUTOS'!CF$3:CF$500)+IF($C34="",0,SUMIF('DADOS BRUTOS'!$A$3:$A$500,$C34,'DADOS BRUTOS'!CF$3:CF$500)))</f>
        <v/>
      </c>
      <c r="FG34" s="123">
        <f>IF(OR(FG$4="",$B34=""),0,SUMIF('DADOS BRUTOS'!$A$3:$A$500,$B34,'DADOS BRUTOS'!CG$3:CG$500)+IF($C34="",0,SUMIF('DADOS BRUTOS'!$A$3:$A$500,$C34,'DADOS BRUTOS'!CG$3:CG$500)))</f>
        <v/>
      </c>
      <c r="FH34" s="123">
        <f>IF(OR(FH$4="",$B34=""),0,SUMIF('DADOS BRUTOS'!$A$3:$A$500,$B34,'DADOS BRUTOS'!CH$3:CH$500)+IF($C34="",0,SUMIF('DADOS BRUTOS'!$A$3:$A$500,$C34,'DADOS BRUTOS'!CH$3:CH$500)))</f>
        <v/>
      </c>
      <c r="FI34" s="123">
        <f>IF(OR(FI$4="",$B34=""),0,SUMIF('DADOS BRUTOS'!$A$3:$A$500,$B34,'DADOS BRUTOS'!CI$3:CI$500)+IF($C34="",0,SUMIF('DADOS BRUTOS'!$A$3:$A$500,$C34,'DADOS BRUTOS'!CI$3:CI$500)))</f>
        <v/>
      </c>
      <c r="FJ34" s="123">
        <f>IF(OR(FJ$4="",$B34=""),0,SUMIF('DADOS BRUTOS'!$A$3:$A$500,$B34,'DADOS BRUTOS'!CJ$3:CJ$500)+IF($C34="",0,SUMIF('DADOS BRUTOS'!$A$3:$A$500,$C34,'DADOS BRUTOS'!CJ$3:CJ$500)))</f>
        <v/>
      </c>
      <c r="FK34" s="123">
        <f>IF(OR(FK$4="",$B34=""),0,SUMIF('DADOS BRUTOS'!$A$3:$A$500,$B34,'DADOS BRUTOS'!CK$3:CK$500)+IF($C34="",0,SUMIF('DADOS BRUTOS'!$A$3:$A$500,$C34,'DADOS BRUTOS'!CK$3:CK$500)))</f>
        <v/>
      </c>
      <c r="FL34" s="123">
        <f>IF(OR(FL$4="",$B34=""),0,SUMIF('DADOS BRUTOS'!$A$3:$A$500,$B34,'DADOS BRUTOS'!CL$3:CL$500)+IF($C34="",0,SUMIF('DADOS BRUTOS'!$A$3:$A$500,$C34,'DADOS BRUTOS'!CL$3:CL$500)))</f>
        <v/>
      </c>
      <c r="FM34" s="123">
        <f>IF(OR(FM$4="",$B34=""),0,SUMIF('DADOS BRUTOS'!$A$3:$A$500,$B34,'DADOS BRUTOS'!CM$3:CM$500)+IF($C34="",0,SUMIF('DADOS BRUTOS'!$A$3:$A$500,$C34,'DADOS BRUTOS'!CM$3:CM$500)))</f>
        <v/>
      </c>
      <c r="FN34" s="123">
        <f>IF(OR(FN$4="",$B34=""),0,SUMIF('DADOS BRUTOS'!$A$3:$A$500,$B34,'DADOS BRUTOS'!CN$3:CN$500)+IF($C34="",0,SUMIF('DADOS BRUTOS'!$A$3:$A$500,$C34,'DADOS BRUTOS'!CN$3:CN$500)))</f>
        <v/>
      </c>
      <c r="FO34" s="123">
        <f>IF(OR(FO$4="",$B34=""),0,SUMIF('DADOS BRUTOS'!$A$3:$A$500,$B34,'DADOS BRUTOS'!CO$3:CO$500)+IF($C34="",0,SUMIF('DADOS BRUTOS'!$A$3:$A$500,$C34,'DADOS BRUTOS'!CO$3:CO$500)))</f>
        <v/>
      </c>
      <c r="FP34" s="123">
        <f>IF(OR(FP$4="",$B34=""),0,SUMIF('DADOS BRUTOS'!$A$3:$A$500,$B34,'DADOS BRUTOS'!CP$3:CP$500)+IF($C34="",0,SUMIF('DADOS BRUTOS'!$A$3:$A$500,$C34,'DADOS BRUTOS'!CP$3:CP$500)))</f>
        <v/>
      </c>
      <c r="FQ34" s="123">
        <f>IF(OR(FQ$4="",$B34=""),0,SUMIF('DADOS BRUTOS'!$A$3:$A$500,$B34,'DADOS BRUTOS'!CQ$3:CQ$500)+IF($C34="",0,SUMIF('DADOS BRUTOS'!$A$3:$A$500,$C34,'DADOS BRUTOS'!CQ$3:CQ$500)))</f>
        <v/>
      </c>
      <c r="FR34" s="123">
        <f>IF(OR(FR$4="",$B34=""),0,SUMIF('DADOS BRUTOS'!$A$3:$A$500,$B34,'DADOS BRUTOS'!CR$3:CR$500)+IF($C34="",0,SUMIF('DADOS BRUTOS'!$A$3:$A$500,$C34,'DADOS BRUTOS'!CR$3:CR$500)))</f>
        <v/>
      </c>
      <c r="FS34" s="123">
        <f>IF(OR(FS$4="",$B34=""),0,SUMIF('DADOS BRUTOS'!$A$3:$A$500,$B34,'DADOS BRUTOS'!CS$3:CS$500)+IF($C34="",0,SUMIF('DADOS BRUTOS'!$A$3:$A$500,$C34,'DADOS BRUTOS'!CS$3:CS$500)))</f>
        <v/>
      </c>
      <c r="FT34" s="123">
        <f>IF(OR(FT$4="",$B34=""),0,SUMIF('DADOS BRUTOS'!$A$3:$A$500,$B34,'DADOS BRUTOS'!CT$3:CT$500)+IF($C34="",0,SUMIF('DADOS BRUTOS'!$A$3:$A$500,$C34,'DADOS BRUTOS'!CT$3:CT$500)))</f>
        <v/>
      </c>
      <c r="FU34" s="123">
        <f>IF(OR(FU$4="",$B34=""),0,SUMIF('DADOS BRUTOS'!$A$3:$A$500,$B34,'DADOS BRUTOS'!CU$3:CU$500)+IF($C34="",0,SUMIF('DADOS BRUTOS'!$A$3:$A$500,$C34,'DADOS BRUTOS'!CU$3:CU$500)))</f>
        <v/>
      </c>
      <c r="FV34" s="123">
        <f>IF(OR(FV$4="",$B34=""),0,SUMIF('DADOS BRUTOS'!$A$3:$A$500,$B34,'DADOS BRUTOS'!CV$3:CV$500)+IF($C34="",0,SUMIF('DADOS BRUTOS'!$A$3:$A$500,$C34,'DADOS BRUTOS'!CV$3:CV$500)))</f>
        <v/>
      </c>
      <c r="FW34" s="123">
        <f>IF(OR(FW$4="",$B34=""),0,SUMIF('DADOS BRUTOS'!$A$3:$A$500,$B34,'DADOS BRUTOS'!CW$3:CW$500)+IF($C34="",0,SUMIF('DADOS BRUTOS'!$A$3:$A$500,$C34,'DADOS BRUTOS'!CW$3:CW$500)))</f>
        <v/>
      </c>
      <c r="FX34" s="123">
        <f>IF(OR(FX$4="",$B34=""),0,SUMIF('DADOS BRUTOS'!$A$3:$A$500,$B34,'DADOS BRUTOS'!CX$3:CX$500)+IF($C34="",0,SUMIF('DADOS BRUTOS'!$A$3:$A$500,$C34,'DADOS BRUTOS'!CX$3:CX$500)))</f>
        <v/>
      </c>
      <c r="FY34" s="123">
        <f>IF(OR(FY$4="",$B34=""),0,SUMIF('DADOS BRUTOS'!$A$3:$A$500,$B34,'DADOS BRUTOS'!CY$3:CY$500)+IF($C34="",0,SUMIF('DADOS BRUTOS'!$A$3:$A$500,$C34,'DADOS BRUTOS'!CY$3:CY$500)))</f>
        <v/>
      </c>
      <c r="FZ34" s="123">
        <f>IF(OR(FZ$4="",$B34=""),0,SUMIF('DADOS BRUTOS'!$A$3:$A$500,$B34,'DADOS BRUTOS'!CZ$3:CZ$500)+IF($C34="",0,SUMIF('DADOS BRUTOS'!$A$3:$A$500,$C34,'DADOS BRUTOS'!CZ$3:CZ$500)))</f>
        <v/>
      </c>
      <c r="GA34" s="123">
        <f>IF(OR(GA$4="",$B34=""),0,SUMIF('DADOS BRUTOS'!$A$3:$A$500,$B34,'DADOS BRUTOS'!DA$3:DA$500)+IF($C34="",0,SUMIF('DADOS BRUTOS'!$A$3:$A$500,$C34,'DADOS BRUTOS'!DA$3:DA$500)))</f>
        <v/>
      </c>
      <c r="GB34" s="123">
        <f>IF(OR(GB$4="",$B34=""),0,SUMIF('DADOS BRUTOS'!$A$3:$A$500,$B34,'DADOS BRUTOS'!DB$3:DB$500)+IF($C34="",0,SUMIF('DADOS BRUTOS'!$A$3:$A$500,$C34,'DADOS BRUTOS'!DB$3:DB$500)))</f>
        <v/>
      </c>
      <c r="GC34" s="123">
        <f>IF(OR(GC$4="",$B34=""),0,SUMIF('DADOS BRUTOS'!$A$3:$A$500,$B34,'DADOS BRUTOS'!DC$3:DC$500)+IF($C34="",0,SUMIF('DADOS BRUTOS'!$A$3:$A$500,$C34,'DADOS BRUTOS'!DC$3:DC$500)))</f>
        <v/>
      </c>
      <c r="GD34" s="123">
        <f>IF(OR(GD$4="",$B34=""),0,SUMIF('DADOS BRUTOS'!$A$3:$A$500,$B34,'DADOS BRUTOS'!DD$3:DD$500)+IF($C34="",0,SUMIF('DADOS BRUTOS'!$A$3:$A$500,$C34,'DADOS BRUTOS'!DD$3:DD$500)))</f>
        <v/>
      </c>
      <c r="GE34" s="123">
        <f>IF(OR(GE$4="",$B34=""),0,SUMIF('DADOS BRUTOS'!$A$3:$A$500,$B34,'DADOS BRUTOS'!DE$3:DE$500)+IF($C34="",0,SUMIF('DADOS BRUTOS'!$A$3:$A$500,$C34,'DADOS BRUTOS'!DE$3:DE$500)))</f>
        <v/>
      </c>
      <c r="GF34" s="123">
        <f>IF(OR(GF$4="",$B34=""),0,SUMIF('DADOS BRUTOS'!$A$3:$A$500,$B34,'DADOS BRUTOS'!DF$3:DF$500)+IF($C34="",0,SUMIF('DADOS BRUTOS'!$A$3:$A$500,$C34,'DADOS BRUTOS'!DF$3:DF$500)))</f>
        <v/>
      </c>
      <c r="GG34" s="123">
        <f>IF(OR(GG$4="",$B34=""),0,SUMIF('DADOS BRUTOS'!$A$3:$A$500,$B34,'DADOS BRUTOS'!DG$3:DG$500)+IF($C34="",0,SUMIF('DADOS BRUTOS'!$A$3:$A$500,$C34,'DADOS BRUTOS'!DG$3:DG$500)))</f>
        <v/>
      </c>
      <c r="GH34" s="123">
        <f>IF(OR(GH$4="",$B34=""),0,SUMIF('DADOS BRUTOS'!$A$3:$A$500,$B34,'DADOS BRUTOS'!DH$3:DH$500)+IF($C34="",0,SUMIF('DADOS BRUTOS'!$A$3:$A$500,$C34,'DADOS BRUTOS'!DH$3:DH$500)))</f>
        <v/>
      </c>
      <c r="GI34" s="123">
        <f>IF(OR(GI$4="",$B34=""),0,SUMIF('DADOS BRUTOS'!$A$3:$A$500,$B34,'DADOS BRUTOS'!DI$3:DI$500)+IF($C34="",0,SUMIF('DADOS BRUTOS'!$A$3:$A$500,$C34,'DADOS BRUTOS'!DI$3:DI$500)))</f>
        <v/>
      </c>
      <c r="GJ34" s="123">
        <f>IF(OR(GJ$4="",$B34=""),0,SUMIF('DADOS BRUTOS'!$A$3:$A$500,$B34,'DADOS BRUTOS'!DJ$3:DJ$500)+IF($C34="",0,SUMIF('DADOS BRUTOS'!$A$3:$A$500,$C34,'DADOS BRUTOS'!DJ$3:DJ$500)))</f>
        <v/>
      </c>
      <c r="GK34" s="123">
        <f>IF(OR(GK$4="",$B34=""),0,SUMIF('DADOS BRUTOS'!$A$3:$A$500,$B34,'DADOS BRUTOS'!DK$3:DK$500)+IF($C34="",0,SUMIF('DADOS BRUTOS'!$A$3:$A$500,$C34,'DADOS BRUTOS'!DK$3:DK$500)))</f>
        <v/>
      </c>
      <c r="GL34" s="123">
        <f>IF(OR(GL$4="",$B34=""),0,SUMIF('DADOS BRUTOS'!$A$3:$A$500,$B34,'DADOS BRUTOS'!DL$3:DL$500)+IF($C34="",0,SUMIF('DADOS BRUTOS'!$A$3:$A$500,$C34,'DADOS BRUTOS'!DL$3:DL$500)))</f>
        <v/>
      </c>
      <c r="GM34" s="123">
        <f>IF(OR(GM$4="",$B34=""),0,SUMIF('DADOS BRUTOS'!$A$3:$A$500,$B34,'DADOS BRUTOS'!DM$3:DM$500)+IF($C34="",0,SUMIF('DADOS BRUTOS'!$A$3:$A$500,$C34,'DADOS BRUTOS'!DM$3:DM$500)))</f>
        <v/>
      </c>
      <c r="GN34" s="123">
        <f>IF(OR(GN$4="",$B34=""),0,SUMIF('DADOS BRUTOS'!$A$3:$A$500,$B34,'DADOS BRUTOS'!DN$3:DN$500)+IF($C34="",0,SUMIF('DADOS BRUTOS'!$A$3:$A$500,$C34,'DADOS BRUTOS'!DN$3:DN$500)))</f>
        <v/>
      </c>
      <c r="GO34" s="123">
        <f>IF(OR(GO$4="",$B34=""),0,SUMIF('DADOS BRUTOS'!$A$3:$A$500,$B34,'DADOS BRUTOS'!DO$3:DO$500)+IF($C34="",0,SUMIF('DADOS BRUTOS'!$A$3:$A$500,$C34,'DADOS BRUTOS'!DO$3:DO$500)))</f>
        <v/>
      </c>
      <c r="GP34" s="123">
        <f>IF(OR(GP$4="",$B34=""),0,SUMIF('DADOS BRUTOS'!$A$3:$A$500,$B34,'DADOS BRUTOS'!DP$3:DP$500)+IF($C34="",0,SUMIF('DADOS BRUTOS'!$A$3:$A$500,$C34,'DADOS BRUTOS'!DP$3:DP$500)))</f>
        <v/>
      </c>
      <c r="GQ34" s="123">
        <f>IF(OR(GQ$4="",$B34=""),0,SUMIF('DADOS BRUTOS'!$A$3:$A$500,$B34,'DADOS BRUTOS'!DQ$3:DQ$500)+IF($C34="",0,SUMIF('DADOS BRUTOS'!$A$3:$A$500,$C34,'DADOS BRUTOS'!DQ$3:DQ$500)))</f>
        <v/>
      </c>
      <c r="GR34" s="123">
        <f>IF(OR(GR$4="",$B34=""),0,SUMIF('DADOS BRUTOS'!$A$3:$A$500,$B34,'DADOS BRUTOS'!DR$3:DR$500)+IF($C34="",0,SUMIF('DADOS BRUTOS'!$A$3:$A$500,$C34,'DADOS BRUTOS'!DR$3:DR$500)))</f>
        <v/>
      </c>
      <c r="GS34" s="123">
        <f>IF(OR(GS$4="",$B34=""),0,SUMIF('DADOS BRUTOS'!$A$3:$A$500,$B34,'DADOS BRUTOS'!DS$3:DS$500)+IF($C34="",0,SUMIF('DADOS BRUTOS'!$A$3:$A$500,$C34,'DADOS BRUTOS'!DS$3:DS$500)))</f>
        <v/>
      </c>
      <c r="GT34" s="123">
        <f>IF(OR(GT$4="",$B34=""),0,SUMIF('DADOS BRUTOS'!$A$3:$A$500,$B34,'DADOS BRUTOS'!DT$3:DT$500)+IF($C34="",0,SUMIF('DADOS BRUTOS'!$A$3:$A$500,$C34,'DADOS BRUTOS'!DT$3:DT$500)))</f>
        <v/>
      </c>
      <c r="GU34" s="123">
        <f>IF(OR(GU$4="",$B34=""),0,SUMIF('DADOS BRUTOS'!$A$3:$A$500,$B34,'DADOS BRUTOS'!DU$3:DU$500)+IF($C34="",0,SUMIF('DADOS BRUTOS'!$A$3:$A$500,$C34,'DADOS BRUTOS'!DU$3:DU$500)))</f>
        <v/>
      </c>
      <c r="GV34" s="123">
        <f>IF(OR(GV$4="",$B34=""),0,SUMIF('DADOS BRUTOS'!$A$3:$A$500,$B34,'DADOS BRUTOS'!DV$3:DV$500)+IF($C34="",0,SUMIF('DADOS BRUTOS'!$A$3:$A$500,$C34,'DADOS BRUTOS'!DV$3:DV$500)))</f>
        <v/>
      </c>
      <c r="GW34" s="123">
        <f>IF(OR(GW$4="",$B34=""),0,SUMIF('DADOS BRUTOS'!$A$3:$A$500,$B34,'DADOS BRUTOS'!DW$3:DW$500)+IF($C34="",0,SUMIF('DADOS BRUTOS'!$A$3:$A$500,$C34,'DADOS BRUTOS'!DW$3:DW$500)))</f>
        <v/>
      </c>
      <c r="GX34" s="123">
        <f>IF(OR(GX$4="",$B34=""),0,SUMIF('DADOS BRUTOS'!$A$3:$A$500,$B34,'DADOS BRUTOS'!DX$3:DX$500)+IF($C34="",0,SUMIF('DADOS BRUTOS'!$A$3:$A$500,$C34,'DADOS BRUTOS'!DX$3:DX$500)))</f>
        <v/>
      </c>
      <c r="GY34" s="123">
        <f>IF(OR(GY$4="",$B34=""),0,SUMIF('DADOS BRUTOS'!$A$3:$A$500,$B34,'DADOS BRUTOS'!DY$3:DY$500)+IF($C34="",0,SUMIF('DADOS BRUTOS'!$A$3:$A$500,$C34,'DADOS BRUTOS'!DY$3:DY$500)))</f>
        <v/>
      </c>
      <c r="GZ34" s="123">
        <f>IF(OR(GZ$4="",$B34=""),0,SUMIF('DADOS BRUTOS'!$A$3:$A$500,$B34,'DADOS BRUTOS'!DZ$3:DZ$500)+IF($C34="",0,SUMIF('DADOS BRUTOS'!$A$3:$A$500,$C34,'DADOS BRUTOS'!DZ$3:DZ$500)))</f>
        <v/>
      </c>
      <c r="HA34" s="123">
        <f>IF(OR(HA$4="",$B34=""),0,SUMIF('DADOS BRUTOS'!$A$3:$A$500,$B34,'DADOS BRUTOS'!EA$3:EA$500)+IF($C34="",0,SUMIF('DADOS BRUTOS'!$A$3:$A$500,$C34,'DADOS BRUTOS'!EA$3:EA$500)))</f>
        <v/>
      </c>
      <c r="HB34" s="123">
        <f>IF(OR(HB$4="",$B34=""),0,SUMIF('DADOS BRUTOS'!$A$3:$A$500,$B34,'DADOS BRUTOS'!EB$3:EB$500)+IF($C34="",0,SUMIF('DADOS BRUTOS'!$A$3:$A$500,$C34,'DADOS BRUTOS'!EB$3:EB$500)))</f>
        <v/>
      </c>
      <c r="HC34" s="123">
        <f>IF(OR(HC$4="",$B34=""),0,SUMIF('DADOS BRUTOS'!$A$3:$A$500,$B34,'DADOS BRUTOS'!EC$3:EC$500)+IF($C34="",0,SUMIF('DADOS BRUTOS'!$A$3:$A$500,$C34,'DADOS BRUTOS'!EC$3:EC$500)))</f>
        <v/>
      </c>
      <c r="HD34" s="123">
        <f>IF(OR(HD$4="",$B34=""),0,SUMIF('DADOS BRUTOS'!$A$3:$A$500,$B34,'DADOS BRUTOS'!ED$3:ED$500)+IF($C34="",0,SUMIF('DADOS BRUTOS'!$A$3:$A$500,$C34,'DADOS BRUTOS'!ED$3:ED$500)))</f>
        <v/>
      </c>
      <c r="HE34" s="123">
        <f>IF(OR(HE$4="",$B34=""),0,SUMIF('DADOS BRUTOS'!$A$3:$A$500,$B34,'DADOS BRUTOS'!EE$3:EE$500)+IF($C34="",0,SUMIF('DADOS BRUTOS'!$A$3:$A$500,$C34,'DADOS BRUTOS'!EE$3:EE$500)))</f>
        <v/>
      </c>
      <c r="HF34" s="123">
        <f>IF(OR(HF$4="",$B34=""),0,SUMIF('DADOS BRUTOS'!$A$3:$A$500,$B34,'DADOS BRUTOS'!EF$3:EF$500)+IF($C34="",0,SUMIF('DADOS BRUTOS'!$A$3:$A$500,$C34,'DADOS BRUTOS'!EF$3:EF$500)))</f>
        <v/>
      </c>
      <c r="HG34" s="123">
        <f>IF(OR(HG$4="",$B34=""),0,SUMIF('DADOS BRUTOS'!$A$3:$A$500,$B34,'DADOS BRUTOS'!EG$3:EG$500)+IF($C34="",0,SUMIF('DADOS BRUTOS'!$A$3:$A$500,$C34,'DADOS BRUTOS'!EG$3:EG$500)))</f>
        <v/>
      </c>
      <c r="HH34" s="123">
        <f>IF(OR(HH$4="",$B34=""),0,SUMIF('DADOS BRUTOS'!$A$3:$A$500,$B34,'DADOS BRUTOS'!EH$3:EH$500)+IF($C34="",0,SUMIF('DADOS BRUTOS'!$A$3:$A$500,$C34,'DADOS BRUTOS'!EH$3:EH$500)))</f>
        <v/>
      </c>
      <c r="HI34" s="123">
        <f>IF(OR(HI$4="",$B34=""),0,SUMIF('DADOS BRUTOS'!$A$3:$A$500,$B34,'DADOS BRUTOS'!EI$3:EI$500)+IF($C34="",0,SUMIF('DADOS BRUTOS'!$A$3:$A$500,$C34,'DADOS BRUTOS'!EI$3:EI$500)))</f>
        <v/>
      </c>
      <c r="HJ34" s="123">
        <f>IF(OR(HJ$4="",$B34=""),0,SUMIF('DADOS BRUTOS'!$A$3:$A$500,$B34,'DADOS BRUTOS'!EJ$3:EJ$500)+IF($C34="",0,SUMIF('DADOS BRUTOS'!$A$3:$A$500,$C34,'DADOS BRUTOS'!EJ$3:EJ$500)))</f>
        <v/>
      </c>
      <c r="HK34" s="123">
        <f>IF(OR(HK$4="",$B34=""),0,SUMIF('DADOS BRUTOS'!$A$3:$A$500,$B34,'DADOS BRUTOS'!EK$3:EK$500)+IF($C34="",0,SUMIF('DADOS BRUTOS'!$A$3:$A$500,$C34,'DADOS BRUTOS'!EK$3:EK$500)))</f>
        <v/>
      </c>
      <c r="HL34" s="123">
        <f>IF(OR(HL$4="",$B34=""),0,SUMIF('DADOS BRUTOS'!$A$3:$A$500,$B34,'DADOS BRUTOS'!EL$3:EL$500)+IF($C34="",0,SUMIF('DADOS BRUTOS'!$A$3:$A$500,$C34,'DADOS BRUTOS'!EL$3:EL$500)))</f>
        <v/>
      </c>
      <c r="HM34" s="123">
        <f>IF(OR(HM$4="",$B34=""),0,SUMIF('DADOS BRUTOS'!$A$3:$A$500,$B34,'DADOS BRUTOS'!EM$3:EM$500)+IF($C34="",0,SUMIF('DADOS BRUTOS'!$A$3:$A$500,$C34,'DADOS BRUTOS'!EM$3:EM$500)))</f>
        <v/>
      </c>
      <c r="HN34" s="123">
        <f>IF(OR(HN$4="",$B34=""),0,SUMIF('DADOS BRUTOS'!$A$3:$A$500,$B34,'DADOS BRUTOS'!EN$3:EN$500)+IF($C34="",0,SUMIF('DADOS BRUTOS'!$A$3:$A$500,$C34,'DADOS BRUTOS'!EN$3:EN$500)))</f>
        <v/>
      </c>
      <c r="HO34" s="123">
        <f>IF(OR(HO$4="",$B34=""),0,SUMIF('DADOS BRUTOS'!$A$3:$A$500,$B34,'DADOS BRUTOS'!EO$3:EO$500)+IF($C34="",0,SUMIF('DADOS BRUTOS'!$A$3:$A$500,$C34,'DADOS BRUTOS'!EO$3:EO$500)))</f>
        <v/>
      </c>
      <c r="HP34" s="123">
        <f>IF(OR(HP$4="",$B34=""),0,SUMIF('DADOS BRUTOS'!$A$3:$A$500,$B34,'DADOS BRUTOS'!EP$3:EP$500)+IF($C34="",0,SUMIF('DADOS BRUTOS'!$A$3:$A$500,$C34,'DADOS BRUTOS'!EP$3:EP$500)))</f>
        <v/>
      </c>
      <c r="HQ34" s="123">
        <f>IF(OR(HQ$4="",$B34=""),0,SUMIF('DADOS BRUTOS'!$A$3:$A$500,$B34,'DADOS BRUTOS'!EQ$3:EQ$500)+IF($C34="",0,SUMIF('DADOS BRUTOS'!$A$3:$A$500,$C34,'DADOS BRUTOS'!EQ$3:EQ$500)))</f>
        <v/>
      </c>
      <c r="HR34" s="123">
        <f>IF(OR(HR$4="",$B34=""),0,SUMIF('DADOS BRUTOS'!$A$3:$A$500,$B34,'DADOS BRUTOS'!ER$3:ER$500)+IF($C34="",0,SUMIF('DADOS BRUTOS'!$A$3:$A$500,$C34,'DADOS BRUTOS'!ER$3:ER$500)))</f>
        <v/>
      </c>
      <c r="HS34" s="123">
        <f>IF(OR(HS$4="",$B34=""),0,SUMIF('DADOS BRUTOS'!$A$3:$A$500,$B34,'DADOS BRUTOS'!ES$3:ES$500)+IF($C34="",0,SUMIF('DADOS BRUTOS'!$A$3:$A$500,$C34,'DADOS BRUTOS'!ES$3:ES$500)))</f>
        <v/>
      </c>
      <c r="HT34" s="123">
        <f>IF(OR(HT$4="",$B34=""),0,SUMIF('DADOS BRUTOS'!$A$3:$A$500,$B34,'DADOS BRUTOS'!ET$3:ET$500)+IF($C34="",0,SUMIF('DADOS BRUTOS'!$A$3:$A$500,$C34,'DADOS BRUTOS'!ET$3:ET$500)))</f>
        <v/>
      </c>
      <c r="HU34" s="123">
        <f>IF(OR(HU$4="",$B34=""),0,SUMIF('DADOS BRUTOS'!$A$3:$A$500,$B34,'DADOS BRUTOS'!EU$3:EU$500)+IF($C34="",0,SUMIF('DADOS BRUTOS'!$A$3:$A$500,$C34,'DADOS BRUTOS'!EU$3:EU$500)))</f>
        <v/>
      </c>
      <c r="HV34" s="123">
        <f>IF(OR(HV$4="",$B34=""),0,SUMIF('DADOS BRUTOS'!$A$3:$A$500,$B34,'DADOS BRUTOS'!EV$3:EV$500)+IF($C34="",0,SUMIF('DADOS BRUTOS'!$A$3:$A$500,$C34,'DADOS BRUTOS'!EV$3:EV$500)))</f>
        <v/>
      </c>
      <c r="HW34" s="123">
        <f>IF(OR(HW$4="",$B34=""),0,SUMIF('DADOS BRUTOS'!$A$3:$A$500,$B34,'DADOS BRUTOS'!EW$3:EW$500)+IF($C34="",0,SUMIF('DADOS BRUTOS'!$A$3:$A$500,$C34,'DADOS BRUTOS'!EW$3:EW$500)))</f>
        <v/>
      </c>
      <c r="HX34" s="123">
        <f>IF(OR(HX$4="",$B34=""),0,SUMIF('DADOS BRUTOS'!$A$3:$A$500,$B34,'DADOS BRUTOS'!EX$3:EX$500)+IF($C34="",0,SUMIF('DADOS BRUTOS'!$A$3:$A$500,$C34,'DADOS BRUTOS'!EX$3:EX$500)))</f>
        <v/>
      </c>
      <c r="HY34" s="123">
        <f>IF(OR(HY$4="",$B34=""),0,SUMIF('DADOS BRUTOS'!$A$3:$A$500,$B34,'DADOS BRUTOS'!EY$3:EY$500)+IF($C34="",0,SUMIF('DADOS BRUTOS'!$A$3:$A$500,$C34,'DADOS BRUTOS'!EY$3:EY$500)))</f>
        <v/>
      </c>
      <c r="HZ34" s="123">
        <f>IF(OR(HZ$4="",$B34=""),0,SUMIF('DADOS BRUTOS'!$A$3:$A$500,$B34,'DADOS BRUTOS'!EZ$3:EZ$500)+IF($C34="",0,SUMIF('DADOS BRUTOS'!$A$3:$A$500,$C34,'DADOS BRUTOS'!EZ$3:EZ$500)))</f>
        <v/>
      </c>
      <c r="IA34" s="123">
        <f>IF(OR(IA$4="",$B34=""),0,SUMIF('DADOS BRUTOS'!$A$3:$A$500,$B34,'DADOS BRUTOS'!FA$3:FA$500)+IF($C34="",0,SUMIF('DADOS BRUTOS'!$A$3:$A$500,$C34,'DADOS BRUTOS'!FA$3:FA$500)))</f>
        <v/>
      </c>
      <c r="IB34" s="123">
        <f>IF(OR(IB$4="",$B34=""),0,SUMIF('DADOS BRUTOS'!$A$3:$A$500,$B34,'DADOS BRUTOS'!FB$3:FB$500)+IF($C34="",0,SUMIF('DADOS BRUTOS'!$A$3:$A$500,$C34,'DADOS BRUTOS'!FB$3:FB$500)))</f>
        <v/>
      </c>
      <c r="IC34" s="123">
        <f>IF(OR(IC$4="",$B34=""),0,SUMIF('DADOS BRUTOS'!$A$3:$A$500,$B34,'DADOS BRUTOS'!FC$3:FC$500)+IF($C34="",0,SUMIF('DADOS BRUTOS'!$A$3:$A$500,$C34,'DADOS BRUTOS'!FC$3:FC$500)))</f>
        <v/>
      </c>
      <c r="ID34" s="123">
        <f>IF(OR(ID$4="",$B34=""),0,SUMIF('DADOS BRUTOS'!$A$3:$A$500,$B34,'DADOS BRUTOS'!FD$3:FD$500)+IF($C34="",0,SUMIF('DADOS BRUTOS'!$A$3:$A$500,$C34,'DADOS BRUTOS'!FD$3:FD$500)))</f>
        <v/>
      </c>
      <c r="IE34" s="123">
        <f>IF(OR(IE$4="",$B34=""),0,SUMIF('DADOS BRUTOS'!$A$3:$A$500,$B34,'DADOS BRUTOS'!FE$3:FE$500)+IF($C34="",0,SUMIF('DADOS BRUTOS'!$A$3:$A$500,$C34,'DADOS BRUTOS'!FE$3:FE$500)))</f>
        <v/>
      </c>
      <c r="IF34" s="123">
        <f>IF(OR(IF$4="",$B34=""),0,SUMIF('DADOS BRUTOS'!$A$3:$A$500,$B34,'DADOS BRUTOS'!FF$3:FF$500)+IF($C34="",0,SUMIF('DADOS BRUTOS'!$A$3:$A$500,$C34,'DADOS BRUTOS'!FF$3:FF$500)))</f>
        <v/>
      </c>
      <c r="IG34" s="123">
        <f>IF(OR(IG$4="",$B34=""),0,SUMIF('DADOS BRUTOS'!$A$3:$A$500,$B34,'DADOS BRUTOS'!FG$3:FG$500)+IF($C34="",0,SUMIF('DADOS BRUTOS'!$A$3:$A$500,$C34,'DADOS BRUTOS'!FG$3:FG$500)))</f>
        <v/>
      </c>
      <c r="IH34" s="123">
        <f>IF(OR(IH$4="",$B34=""),0,SUMIF('DADOS BRUTOS'!$A$3:$A$500,$B34,'DADOS BRUTOS'!FH$3:FH$500)+IF($C34="",0,SUMIF('DADOS BRUTOS'!$A$3:$A$500,$C34,'DADOS BRUTOS'!FH$3:FH$500)))</f>
        <v/>
      </c>
      <c r="II34" s="123">
        <f>IF(OR(II$4="",$B34=""),0,SUMIF('DADOS BRUTOS'!$A$3:$A$500,$B34,'DADOS BRUTOS'!FI$3:FI$500)+IF($C34="",0,SUMIF('DADOS BRUTOS'!$A$3:$A$500,$C34,'DADOS BRUTOS'!FI$3:FI$500)))</f>
        <v/>
      </c>
      <c r="IJ34" s="123">
        <f>IF(OR(IJ$4="",$B34=""),0,SUMIF('DADOS BRUTOS'!$A$3:$A$500,$B34,'DADOS BRUTOS'!FJ$3:FJ$500)+IF($C34="",0,SUMIF('DADOS BRUTOS'!$A$3:$A$500,$C34,'DADOS BRUTOS'!FJ$3:FJ$500)))</f>
        <v/>
      </c>
      <c r="IK34" s="123">
        <f>IF(OR(IK$4="",$B34=""),0,SUMIF('DADOS BRUTOS'!$A$3:$A$500,$B34,'DADOS BRUTOS'!FK$3:FK$500)+IF($C34="",0,SUMIF('DADOS BRUTOS'!$A$3:$A$500,$C34,'DADOS BRUTOS'!FK$3:FK$500)))</f>
        <v/>
      </c>
      <c r="IL34" s="123">
        <f>IF(OR(IL$4="",$B34=""),0,SUMIF('DADOS BRUTOS'!$A$3:$A$500,$B34,'DADOS BRUTOS'!FL$3:FL$500)+IF($C34="",0,SUMIF('DADOS BRUTOS'!$A$3:$A$500,$C34,'DADOS BRUTOS'!FL$3:FL$500)))</f>
        <v/>
      </c>
      <c r="IM34" s="123">
        <f>IF(OR(IM$4="",$B34=""),0,SUMIF('DADOS BRUTOS'!$A$3:$A$500,$B34,'DADOS BRUTOS'!FM$3:FM$500)+IF($C34="",0,SUMIF('DADOS BRUTOS'!$A$3:$A$500,$C34,'DADOS BRUTOS'!FM$3:FM$500)))</f>
        <v/>
      </c>
      <c r="IN34" s="123">
        <f>IF(OR(IN$4="",$B34=""),0,SUMIF('DADOS BRUTOS'!$A$3:$A$500,$B34,'DADOS BRUTOS'!FN$3:FN$500)+IF($C34="",0,SUMIF('DADOS BRUTOS'!$A$3:$A$500,$C34,'DADOS BRUTOS'!FN$3:FN$500)))</f>
        <v/>
      </c>
      <c r="IO34" s="123">
        <f>IF(OR(IO$4="",$B34=""),0,SUMIF('DADOS BRUTOS'!$A$3:$A$500,$B34,'DADOS BRUTOS'!FO$3:FO$500)+IF($C34="",0,SUMIF('DADOS BRUTOS'!$A$3:$A$500,$C34,'DADOS BRUTOS'!FO$3:FO$500)))</f>
        <v/>
      </c>
      <c r="IP34" s="123">
        <f>IF(OR(IP$4="",$B34=""),0,SUMIF('DADOS BRUTOS'!$A$3:$A$500,$B34,'DADOS BRUTOS'!FP$3:FP$500)+IF($C34="",0,SUMIF('DADOS BRUTOS'!$A$3:$A$500,$C34,'DADOS BRUTOS'!FP$3:FP$500)))</f>
        <v/>
      </c>
      <c r="IQ34" s="123">
        <f>IF(OR(IQ$4="",$B34=""),0,SUMIF('DADOS BRUTOS'!$A$3:$A$500,$B34,'DADOS BRUTOS'!FQ$3:FQ$500)+IF($C34="",0,SUMIF('DADOS BRUTOS'!$A$3:$A$500,$C34,'DADOS BRUTOS'!FQ$3:FQ$500)))</f>
        <v/>
      </c>
      <c r="IR34" s="123">
        <f>IF(OR(IR$4="",$B34=""),0,SUMIF('DADOS BRUTOS'!$A$3:$A$500,$B34,'DADOS BRUTOS'!FR$3:FR$500)+IF($C34="",0,SUMIF('DADOS BRUTOS'!$A$3:$A$500,$C34,'DADOS BRUTOS'!FR$3:FR$500)))</f>
        <v/>
      </c>
      <c r="IS34" s="123">
        <f>IF(OR(IS$4="",$B34=""),0,SUMIF('DADOS BRUTOS'!$A$3:$A$500,$B34,'DADOS BRUTOS'!FS$3:FS$500)+IF($C34="",0,SUMIF('DADOS BRUTOS'!$A$3:$A$500,$C34,'DADOS BRUTOS'!FS$3:FS$500)))</f>
        <v/>
      </c>
      <c r="IT34" s="123">
        <f>IF(OR(IT$4="",$B34=""),0,SUMIF('DADOS BRUTOS'!$A$3:$A$500,$B34,'DADOS BRUTOS'!FT$3:FT$500)+IF($C34="",0,SUMIF('DADOS BRUTOS'!$A$3:$A$500,$C34,'DADOS BRUTOS'!FT$3:FT$500)))</f>
        <v/>
      </c>
      <c r="IU34" s="123">
        <f>IF(OR(IU$4="",$B34=""),0,SUMIF('DADOS BRUTOS'!$A$3:$A$500,$B34,'DADOS BRUTOS'!FU$3:FU$500)+IF($C34="",0,SUMIF('DADOS BRUTOS'!$A$3:$A$500,$C34,'DADOS BRUTOS'!FU$3:FU$500)))</f>
        <v/>
      </c>
      <c r="IV34" s="123">
        <f>IF(OR(IV$4="",$B34=""),0,SUMIF('DADOS BRUTOS'!$A$3:$A$500,$B34,'DADOS BRUTOS'!FV$3:FV$500)+IF($C34="",0,SUMIF('DADOS BRUTOS'!$A$3:$A$500,$C34,'DADOS BRUTOS'!FV$3:FV$500)))</f>
        <v/>
      </c>
      <c r="IW34" s="123">
        <f>IF(OR(IW$4="",$B34=""),0,SUMIF('DADOS BRUTOS'!$A$3:$A$500,$B34,'DADOS BRUTOS'!FW$3:FW$500)+IF($C34="",0,SUMIF('DADOS BRUTOS'!$A$3:$A$500,$C34,'DADOS BRUTOS'!FW$3:FW$500)))</f>
        <v/>
      </c>
      <c r="IX34" s="123">
        <f>IF(OR(IX$4="",$B34=""),0,SUMIF('DADOS BRUTOS'!$A$3:$A$500,$B34,'DADOS BRUTOS'!FX$3:FX$500)+IF($C34="",0,SUMIF('DADOS BRUTOS'!$A$3:$A$500,$C34,'DADOS BRUTOS'!FX$3:FX$500)))</f>
        <v/>
      </c>
      <c r="IY34" s="123">
        <f>IF(OR(IY$4="",$B34=""),0,SUMIF('DADOS BRUTOS'!$A$3:$A$500,$B34,'DADOS BRUTOS'!FY$3:FY$500)+IF($C34="",0,SUMIF('DADOS BRUTOS'!$A$3:$A$500,$C34,'DADOS BRUTOS'!FY$3:FY$500)))</f>
        <v/>
      </c>
      <c r="IZ34" s="123">
        <f>IF(OR(IZ$4="",$B34=""),0,SUMIF('DADOS BRUTOS'!$A$3:$A$500,$B34,'DADOS BRUTOS'!FZ$3:FZ$500)+IF($C34="",0,SUMIF('DADOS BRUTOS'!$A$3:$A$500,$C34,'DADOS BRUTOS'!FZ$3:FZ$500)))</f>
        <v/>
      </c>
      <c r="JA34" s="123">
        <f>IF(OR(JA$4="",$B34=""),0,SUMIF('DADOS BRUTOS'!$A$3:$A$500,$B34,'DADOS BRUTOS'!GA$3:GA$500)+IF($C34="",0,SUMIF('DADOS BRUTOS'!$A$3:$A$500,$C34,'DADOS BRUTOS'!GA$3:GA$500)))</f>
        <v/>
      </c>
      <c r="JB34" s="123">
        <f>IF(OR(JB$4="",$B34=""),0,SUMIF('DADOS BRUTOS'!$A$3:$A$500,$B34,'DADOS BRUTOS'!GB$3:GB$500)+IF($C34="",0,SUMIF('DADOS BRUTOS'!$A$3:$A$500,$C34,'DADOS BRUTOS'!GB$3:GB$500)))</f>
        <v/>
      </c>
      <c r="JC34" s="123">
        <f>IF(OR(JC$4="",$B34=""),0,SUMIF('DADOS BRUTOS'!$A$3:$A$500,$B34,'DADOS BRUTOS'!GC$3:GC$500)+IF($C34="",0,SUMIF('DADOS BRUTOS'!$A$3:$A$500,$C34,'DADOS BRUTOS'!GC$3:GC$500)))</f>
        <v/>
      </c>
      <c r="JD34" s="123">
        <f>IF(OR(JD$4="",$B34=""),0,SUMIF('DADOS BRUTOS'!$A$3:$A$500,$B34,'DADOS BRUTOS'!GD$3:GD$500)+IF($C34="",0,SUMIF('DADOS BRUTOS'!$A$3:$A$500,$C34,'DADOS BRUTOS'!GD$3:GD$500)))</f>
        <v/>
      </c>
      <c r="JE34" s="123">
        <f>IF(OR(JE$4="",$B34=""),0,SUMIF('DADOS BRUTOS'!$A$3:$A$500,$B34,'DADOS BRUTOS'!GE$3:GE$500)+IF($C34="",0,SUMIF('DADOS BRUTOS'!$A$3:$A$500,$C34,'DADOS BRUTOS'!GE$3:GE$500)))</f>
        <v/>
      </c>
      <c r="JF34" s="123">
        <f>IF(OR(JF$4="",$B34=""),0,SUMIF('DADOS BRUTOS'!$A$3:$A$500,$B34,'DADOS BRUTOS'!GF$3:GF$500)+IF($C34="",0,SUMIF('DADOS BRUTOS'!$A$3:$A$500,$C34,'DADOS BRUTOS'!GF$3:GF$500)))</f>
        <v/>
      </c>
      <c r="JG34" s="123">
        <f>IF(OR(JG$4="",$B34=""),0,SUMIF('DADOS BRUTOS'!$A$3:$A$500,$B34,'DADOS BRUTOS'!GG$3:GG$500)+IF($C34="",0,SUMIF('DADOS BRUTOS'!$A$3:$A$500,$C34,'DADOS BRUTOS'!GG$3:GG$500)))</f>
        <v/>
      </c>
      <c r="JH34" s="123">
        <f>IF(OR(JH$4="",$B34=""),0,SUMIF('DADOS BRUTOS'!$A$3:$A$500,$B34,'DADOS BRUTOS'!GH$3:GH$500)+IF($C34="",0,SUMIF('DADOS BRUTOS'!$A$3:$A$500,$C34,'DADOS BRUTOS'!GH$3:GH$500)))</f>
        <v/>
      </c>
      <c r="JI34" s="123">
        <f>IF(OR(JI$4="",$B34=""),0,SUMIF('DADOS BRUTOS'!$A$3:$A$500,$B34,'DADOS BRUTOS'!GI$3:GI$500)+IF($C34="",0,SUMIF('DADOS BRUTOS'!$A$3:$A$500,$C34,'DADOS BRUTOS'!GI$3:GI$500)))</f>
        <v/>
      </c>
      <c r="JJ34" s="123">
        <f>IF(OR(JJ$4="",$B34=""),0,SUMIF('DADOS BRUTOS'!$A$3:$A$500,$B34,'DADOS BRUTOS'!GJ$3:GJ$500)+IF($C34="",0,SUMIF('DADOS BRUTOS'!$A$3:$A$500,$C34,'DADOS BRUTOS'!GJ$3:GJ$500)))</f>
        <v/>
      </c>
      <c r="JK34" s="123">
        <f>IF(OR(JK$4="",$B34=""),0,SUMIF('DADOS BRUTOS'!$A$3:$A$500,$B34,'DADOS BRUTOS'!GK$3:GK$500)+IF($C34="",0,SUMIF('DADOS BRUTOS'!$A$3:$A$500,$C34,'DADOS BRUTOS'!GK$3:GK$500)))</f>
        <v/>
      </c>
      <c r="JL34" s="123">
        <f>IF(OR(JL$4="",$B34=""),0,SUMIF('DADOS BRUTOS'!$A$3:$A$500,$B34,'DADOS BRUTOS'!GL$3:GL$500)+IF($C34="",0,SUMIF('DADOS BRUTOS'!$A$3:$A$500,$C34,'DADOS BRUTOS'!GL$3:GL$500)))</f>
        <v/>
      </c>
      <c r="JM34" s="123">
        <f>IF(OR(JM$4="",$B34=""),0,SUMIF('DADOS BRUTOS'!$A$3:$A$500,$B34,'DADOS BRUTOS'!GM$3:GM$500)+IF($C34="",0,SUMIF('DADOS BRUTOS'!$A$3:$A$500,$C34,'DADOS BRUTOS'!GM$3:GM$500)))</f>
        <v/>
      </c>
      <c r="JN34" s="123">
        <f>IF(OR(JN$4="",$B34=""),0,SUMIF('DADOS BRUTOS'!$A$3:$A$500,$B34,'DADOS BRUTOS'!GN$3:GN$500)+IF($C34="",0,SUMIF('DADOS BRUTOS'!$A$3:$A$500,$C34,'DADOS BRUTOS'!GN$3:GN$500)))</f>
        <v/>
      </c>
      <c r="JO34" s="123">
        <f>IF(OR(JO$4="",$B34=""),0,SUMIF('DADOS BRUTOS'!$A$3:$A$500,$B34,'DADOS BRUTOS'!GO$3:GO$500)+IF($C34="",0,SUMIF('DADOS BRUTOS'!$A$3:$A$500,$C34,'DADOS BRUTOS'!GO$3:GO$500)))</f>
        <v/>
      </c>
      <c r="JP34" s="123">
        <f>IF(OR(JP$4="",$B34=""),0,SUMIF('DADOS BRUTOS'!$A$3:$A$500,$B34,'DADOS BRUTOS'!GP$3:GP$500)+IF($C34="",0,SUMIF('DADOS BRUTOS'!$A$3:$A$500,$C34,'DADOS BRUTOS'!GP$3:GP$500)))</f>
        <v/>
      </c>
      <c r="JQ34" s="123">
        <f>IF(OR(JQ$4="",$B34=""),0,SUMIF('DADOS BRUTOS'!$A$3:$A$500,$B34,'DADOS BRUTOS'!GQ$3:GQ$500)+IF($C34="",0,SUMIF('DADOS BRUTOS'!$A$3:$A$500,$C34,'DADOS BRUTOS'!GQ$3:GQ$500)))</f>
        <v/>
      </c>
      <c r="JR34" s="123">
        <f>IF(OR(JR$4="",$B34=""),0,SUMIF('DADOS BRUTOS'!$A$3:$A$500,$B34,'DADOS BRUTOS'!GR$3:GR$500)+IF($C34="",0,SUMIF('DADOS BRUTOS'!$A$3:$A$500,$C34,'DADOS BRUTOS'!GR$3:GR$500)))</f>
        <v/>
      </c>
      <c r="JS34" s="123">
        <f>IF(OR(JS$4="",$B34=""),0,SUMIF('DADOS BRUTOS'!$A$3:$A$500,$B34,'DADOS BRUTOS'!GS$3:GS$500)+IF($C34="",0,SUMIF('DADOS BRUTOS'!$A$3:$A$500,$C34,'DADOS BRUTOS'!GS$3:GS$500)))</f>
        <v/>
      </c>
    </row>
    <row r="35">
      <c r="A35" s="60">
        <f>'VALOR POR PL'!D41</f>
        <v/>
      </c>
      <c r="B35" s="59" t="inlineStr">
        <is>
          <t>PAVIMENTAÇÃO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CB35" s="123">
        <f>IF(OR(CB$4="",$B35=""),0,SUMIF('DADOS BRUTOS'!$A$3:$A$500,$B35,'DADOS BRUTOS'!B$3:B$500)+IF($C35="",0,SUMIF('DADOS BRUTOS'!$A$3:$A$500,$C35,'DADOS BRUTOS'!B$3:B$500)))</f>
        <v/>
      </c>
      <c r="CC35" s="123">
        <f>IF(OR(CC$4="",$B35=""),0,SUMIF('DADOS BRUTOS'!$A$3:$A$500,$B35,'DADOS BRUTOS'!C$3:C$500)+IF($C35="",0,SUMIF('DADOS BRUTOS'!$A$3:$A$500,$C35,'DADOS BRUTOS'!C$3:C$500)))</f>
        <v/>
      </c>
      <c r="CD35" s="123">
        <f>IF(OR(CD$4="",$B35=""),0,SUMIF('DADOS BRUTOS'!$A$3:$A$500,$B35,'DADOS BRUTOS'!D$3:D$500)+IF($C35="",0,SUMIF('DADOS BRUTOS'!$A$3:$A$500,$C35,'DADOS BRUTOS'!D$3:D$500)))</f>
        <v/>
      </c>
      <c r="CE35" s="123">
        <f>IF(OR(CE$4="",$B35=""),0,SUMIF('DADOS BRUTOS'!$A$3:$A$500,$B35,'DADOS BRUTOS'!E$3:E$500)+IF($C35="",0,SUMIF('DADOS BRUTOS'!$A$3:$A$500,$C35,'DADOS BRUTOS'!E$3:E$500)))</f>
        <v/>
      </c>
      <c r="CF35" s="123">
        <f>IF(OR(CF$4="",$B35=""),0,SUMIF('DADOS BRUTOS'!$A$3:$A$500,$B35,'DADOS BRUTOS'!F$3:F$500)+IF($C35="",0,SUMIF('DADOS BRUTOS'!$A$3:$A$500,$C35,'DADOS BRUTOS'!F$3:F$500)))</f>
        <v/>
      </c>
      <c r="CG35" s="123">
        <f>IF(OR(CG$4="",$B35=""),0,SUMIF('DADOS BRUTOS'!$A$3:$A$500,$B35,'DADOS BRUTOS'!G$3:G$500)+IF($C35="",0,SUMIF('DADOS BRUTOS'!$A$3:$A$500,$C35,'DADOS BRUTOS'!G$3:G$500)))</f>
        <v/>
      </c>
      <c r="CH35" s="123">
        <f>IF(OR(CH$4="",$B35=""),0,SUMIF('DADOS BRUTOS'!$A$3:$A$500,$B35,'DADOS BRUTOS'!H$3:H$500)+IF($C35="",0,SUMIF('DADOS BRUTOS'!$A$3:$A$500,$C35,'DADOS BRUTOS'!H$3:H$500)))</f>
        <v/>
      </c>
      <c r="CI35" s="123">
        <f>IF(OR(CI$4="",$B35=""),0,SUMIF('DADOS BRUTOS'!$A$3:$A$500,$B35,'DADOS BRUTOS'!I$3:I$500)+IF($C35="",0,SUMIF('DADOS BRUTOS'!$A$3:$A$500,$C35,'DADOS BRUTOS'!I$3:I$500)))</f>
        <v/>
      </c>
      <c r="CJ35" s="123">
        <f>IF(OR(CJ$4="",$B35=""),0,SUMIF('DADOS BRUTOS'!$A$3:$A$500,$B35,'DADOS BRUTOS'!J$3:J$500)+IF($C35="",0,SUMIF('DADOS BRUTOS'!$A$3:$A$500,$C35,'DADOS BRUTOS'!J$3:J$500)))</f>
        <v/>
      </c>
      <c r="CK35" s="123">
        <f>IF(OR(CK$4="",$B35=""),0,SUMIF('DADOS BRUTOS'!$A$3:$A$500,$B35,'DADOS BRUTOS'!K$3:K$500)+IF($C35="",0,SUMIF('DADOS BRUTOS'!$A$3:$A$500,$C35,'DADOS BRUTOS'!K$3:K$500)))</f>
        <v/>
      </c>
      <c r="CL35" s="123">
        <f>IF(OR(CL$4="",$B35=""),0,SUMIF('DADOS BRUTOS'!$A$3:$A$500,$B35,'DADOS BRUTOS'!L$3:L$500)+IF($C35="",0,SUMIF('DADOS BRUTOS'!$A$3:$A$500,$C35,'DADOS BRUTOS'!L$3:L$500)))</f>
        <v/>
      </c>
      <c r="CM35" s="123">
        <f>IF(OR(CM$4="",$B35=""),0,SUMIF('DADOS BRUTOS'!$A$3:$A$500,$B35,'DADOS BRUTOS'!M$3:M$500)+IF($C35="",0,SUMIF('DADOS BRUTOS'!$A$3:$A$500,$C35,'DADOS BRUTOS'!M$3:M$500)))</f>
        <v/>
      </c>
      <c r="CN35" s="123">
        <f>IF(OR(CN$4="",$B35=""),0,SUMIF('DADOS BRUTOS'!$A$3:$A$500,$B35,'DADOS BRUTOS'!N$3:N$500)+IF($C35="",0,SUMIF('DADOS BRUTOS'!$A$3:$A$500,$C35,'DADOS BRUTOS'!N$3:N$500)))</f>
        <v/>
      </c>
      <c r="CO35" s="123">
        <f>IF(OR(CO$4="",$B35=""),0,SUMIF('DADOS BRUTOS'!$A$3:$A$500,$B35,'DADOS BRUTOS'!O$3:O$500)+IF($C35="",0,SUMIF('DADOS BRUTOS'!$A$3:$A$500,$C35,'DADOS BRUTOS'!O$3:O$500)))</f>
        <v/>
      </c>
      <c r="CP35" s="123">
        <f>IF(OR(CP$4="",$B35=""),0,SUMIF('DADOS BRUTOS'!$A$3:$A$500,$B35,'DADOS BRUTOS'!P$3:P$500)+IF($C35="",0,SUMIF('DADOS BRUTOS'!$A$3:$A$500,$C35,'DADOS BRUTOS'!P$3:P$500)))</f>
        <v/>
      </c>
      <c r="CQ35" s="123">
        <f>IF(OR(CQ$4="",$B35=""),0,SUMIF('DADOS BRUTOS'!$A$3:$A$500,$B35,'DADOS BRUTOS'!Q$3:Q$500)+IF($C35="",0,SUMIF('DADOS BRUTOS'!$A$3:$A$500,$C35,'DADOS BRUTOS'!Q$3:Q$500)))</f>
        <v/>
      </c>
      <c r="CR35" s="123">
        <f>IF(OR(CR$4="",$B35=""),0,SUMIF('DADOS BRUTOS'!$A$3:$A$500,$B35,'DADOS BRUTOS'!R$3:R$500)+IF($C35="",0,SUMIF('DADOS BRUTOS'!$A$3:$A$500,$C35,'DADOS BRUTOS'!R$3:R$500)))</f>
        <v/>
      </c>
      <c r="CS35" s="123">
        <f>IF(OR(CS$4="",$B35=""),0,SUMIF('DADOS BRUTOS'!$A$3:$A$500,$B35,'DADOS BRUTOS'!S$3:S$500)+IF($C35="",0,SUMIF('DADOS BRUTOS'!$A$3:$A$500,$C35,'DADOS BRUTOS'!S$3:S$500)))</f>
        <v/>
      </c>
      <c r="CT35" s="123">
        <f>IF(OR(CT$4="",$B35=""),0,SUMIF('DADOS BRUTOS'!$A$3:$A$500,$B35,'DADOS BRUTOS'!T$3:T$500)+IF($C35="",0,SUMIF('DADOS BRUTOS'!$A$3:$A$500,$C35,'DADOS BRUTOS'!T$3:T$500)))</f>
        <v/>
      </c>
      <c r="CU35" s="123">
        <f>IF(OR(CU$4="",$B35=""),0,SUMIF('DADOS BRUTOS'!$A$3:$A$500,$B35,'DADOS BRUTOS'!U$3:U$500)+IF($C35="",0,SUMIF('DADOS BRUTOS'!$A$3:$A$500,$C35,'DADOS BRUTOS'!U$3:U$500)))</f>
        <v/>
      </c>
      <c r="CV35" s="123">
        <f>IF(OR(CV$4="",$B35=""),0,SUMIF('DADOS BRUTOS'!$A$3:$A$500,$B35,'DADOS BRUTOS'!V$3:V$500)+IF($C35="",0,SUMIF('DADOS BRUTOS'!$A$3:$A$500,$C35,'DADOS BRUTOS'!V$3:V$500)))</f>
        <v/>
      </c>
      <c r="CW35" s="123">
        <f>IF(OR(CW$4="",$B35=""),0,SUMIF('DADOS BRUTOS'!$A$3:$A$500,$B35,'DADOS BRUTOS'!W$3:W$500)+IF($C35="",0,SUMIF('DADOS BRUTOS'!$A$3:$A$500,$C35,'DADOS BRUTOS'!W$3:W$500)))</f>
        <v/>
      </c>
      <c r="CX35" s="123">
        <f>IF(OR(CX$4="",$B35=""),0,SUMIF('DADOS BRUTOS'!$A$3:$A$500,$B35,'DADOS BRUTOS'!X$3:X$500)+IF($C35="",0,SUMIF('DADOS BRUTOS'!$A$3:$A$500,$C35,'DADOS BRUTOS'!X$3:X$500)))</f>
        <v/>
      </c>
      <c r="CY35" s="123">
        <f>IF(OR(CY$4="",$B35=""),0,SUMIF('DADOS BRUTOS'!$A$3:$A$500,$B35,'DADOS BRUTOS'!Y$3:Y$500)+IF($C35="",0,SUMIF('DADOS BRUTOS'!$A$3:$A$500,$C35,'DADOS BRUTOS'!Y$3:Y$500)))</f>
        <v/>
      </c>
      <c r="CZ35" s="123">
        <f>IF(OR(CZ$4="",$B35=""),0,SUMIF('DADOS BRUTOS'!$A$3:$A$500,$B35,'DADOS BRUTOS'!Z$3:Z$500)+IF($C35="",0,SUMIF('DADOS BRUTOS'!$A$3:$A$500,$C35,'DADOS BRUTOS'!Z$3:Z$500)))</f>
        <v/>
      </c>
      <c r="DA35" s="123">
        <f>IF(OR(DA$4="",$B35=""),0,SUMIF('DADOS BRUTOS'!$A$3:$A$500,$B35,'DADOS BRUTOS'!AA$3:AA$500)+IF($C35="",0,SUMIF('DADOS BRUTOS'!$A$3:$A$500,$C35,'DADOS BRUTOS'!AA$3:AA$500)))</f>
        <v/>
      </c>
      <c r="DB35" s="123">
        <f>IF(OR(DB$4="",$B35=""),0,SUMIF('DADOS BRUTOS'!$A$3:$A$500,$B35,'DADOS BRUTOS'!AB$3:AB$500)+IF($C35="",0,SUMIF('DADOS BRUTOS'!$A$3:$A$500,$C35,'DADOS BRUTOS'!AB$3:AB$500)))</f>
        <v/>
      </c>
      <c r="DC35" s="123">
        <f>IF(OR(DC$4="",$B35=""),0,SUMIF('DADOS BRUTOS'!$A$3:$A$500,$B35,'DADOS BRUTOS'!AC$3:AC$500)+IF($C35="",0,SUMIF('DADOS BRUTOS'!$A$3:$A$500,$C35,'DADOS BRUTOS'!AC$3:AC$500)))</f>
        <v/>
      </c>
      <c r="DD35" s="123">
        <f>IF(OR(DD$4="",$B35=""),0,SUMIF('DADOS BRUTOS'!$A$3:$A$500,$B35,'DADOS BRUTOS'!AD$3:AD$500)+IF($C35="",0,SUMIF('DADOS BRUTOS'!$A$3:$A$500,$C35,'DADOS BRUTOS'!AD$3:AD$500)))</f>
        <v/>
      </c>
      <c r="DE35" s="123">
        <f>IF(OR(DE$4="",$B35=""),0,SUMIF('DADOS BRUTOS'!$A$3:$A$500,$B35,'DADOS BRUTOS'!AE$3:AE$500)+IF($C35="",0,SUMIF('DADOS BRUTOS'!$A$3:$A$500,$C35,'DADOS BRUTOS'!AE$3:AE$500)))</f>
        <v/>
      </c>
      <c r="DF35" s="123">
        <f>IF(OR(DF$4="",$B35=""),0,SUMIF('DADOS BRUTOS'!$A$3:$A$500,$B35,'DADOS BRUTOS'!AF$3:AF$500)+IF($C35="",0,SUMIF('DADOS BRUTOS'!$A$3:$A$500,$C35,'DADOS BRUTOS'!AF$3:AF$500)))</f>
        <v/>
      </c>
      <c r="DG35" s="123">
        <f>IF(OR(DG$4="",$B35=""),0,SUMIF('DADOS BRUTOS'!$A$3:$A$500,$B35,'DADOS BRUTOS'!AG$3:AG$500)+IF($C35="",0,SUMIF('DADOS BRUTOS'!$A$3:$A$500,$C35,'DADOS BRUTOS'!AG$3:AG$500)))</f>
        <v/>
      </c>
      <c r="DH35" s="123">
        <f>IF(OR(DH$4="",$B35=""),0,SUMIF('DADOS BRUTOS'!$A$3:$A$500,$B35,'DADOS BRUTOS'!AH$3:AH$500)+IF($C35="",0,SUMIF('DADOS BRUTOS'!$A$3:$A$500,$C35,'DADOS BRUTOS'!AH$3:AH$500)))</f>
        <v/>
      </c>
      <c r="DI35" s="123">
        <f>IF(OR(DI$4="",$B35=""),0,SUMIF('DADOS BRUTOS'!$A$3:$A$500,$B35,'DADOS BRUTOS'!AI$3:AI$500)+IF($C35="",0,SUMIF('DADOS BRUTOS'!$A$3:$A$500,$C35,'DADOS BRUTOS'!AI$3:AI$500)))</f>
        <v/>
      </c>
      <c r="DJ35" s="123">
        <f>IF(OR(DJ$4="",$B35=""),0,SUMIF('DADOS BRUTOS'!$A$3:$A$500,$B35,'DADOS BRUTOS'!AJ$3:AJ$500)+IF($C35="",0,SUMIF('DADOS BRUTOS'!$A$3:$A$500,$C35,'DADOS BRUTOS'!AJ$3:AJ$500)))</f>
        <v/>
      </c>
      <c r="DK35" s="123">
        <f>IF(OR(DK$4="",$B35=""),0,SUMIF('DADOS BRUTOS'!$A$3:$A$500,$B35,'DADOS BRUTOS'!AK$3:AK$500)+IF($C35="",0,SUMIF('DADOS BRUTOS'!$A$3:$A$500,$C35,'DADOS BRUTOS'!AK$3:AK$500)))</f>
        <v/>
      </c>
      <c r="DL35" s="123">
        <f>IF(OR(DL$4="",$B35=""),0,SUMIF('DADOS BRUTOS'!$A$3:$A$500,$B35,'DADOS BRUTOS'!AL$3:AL$500)+IF($C35="",0,SUMIF('DADOS BRUTOS'!$A$3:$A$500,$C35,'DADOS BRUTOS'!AL$3:AL$500)))</f>
        <v/>
      </c>
      <c r="DM35" s="123">
        <f>IF(OR(DM$4="",$B35=""),0,SUMIF('DADOS BRUTOS'!$A$3:$A$500,$B35,'DADOS BRUTOS'!AM$3:AM$500)+IF($C35="",0,SUMIF('DADOS BRUTOS'!$A$3:$A$500,$C35,'DADOS BRUTOS'!AM$3:AM$500)))</f>
        <v/>
      </c>
      <c r="DN35" s="123">
        <f>IF(OR(DN$4="",$B35=""),0,SUMIF('DADOS BRUTOS'!$A$3:$A$500,$B35,'DADOS BRUTOS'!AN$3:AN$500)+IF($C35="",0,SUMIF('DADOS BRUTOS'!$A$3:$A$500,$C35,'DADOS BRUTOS'!AN$3:AN$500)))</f>
        <v/>
      </c>
      <c r="DO35" s="123">
        <f>IF(OR(DO$4="",$B35=""),0,SUMIF('DADOS BRUTOS'!$A$3:$A$500,$B35,'DADOS BRUTOS'!AO$3:AO$500)+IF($C35="",0,SUMIF('DADOS BRUTOS'!$A$3:$A$500,$C35,'DADOS BRUTOS'!AO$3:AO$500)))</f>
        <v/>
      </c>
      <c r="DP35" s="123">
        <f>IF(OR(DP$4="",$B35=""),0,SUMIF('DADOS BRUTOS'!$A$3:$A$500,$B35,'DADOS BRUTOS'!AP$3:AP$500)+IF($C35="",0,SUMIF('DADOS BRUTOS'!$A$3:$A$500,$C35,'DADOS BRUTOS'!AP$3:AP$500)))</f>
        <v/>
      </c>
      <c r="DQ35" s="123">
        <f>IF(OR(DQ$4="",$B35=""),0,SUMIF('DADOS BRUTOS'!$A$3:$A$500,$B35,'DADOS BRUTOS'!AQ$3:AQ$500)+IF($C35="",0,SUMIF('DADOS BRUTOS'!$A$3:$A$500,$C35,'DADOS BRUTOS'!AQ$3:AQ$500)))</f>
        <v/>
      </c>
      <c r="DR35" s="123">
        <f>IF(OR(DR$4="",$B35=""),0,SUMIF('DADOS BRUTOS'!$A$3:$A$500,$B35,'DADOS BRUTOS'!AR$3:AR$500)+IF($C35="",0,SUMIF('DADOS BRUTOS'!$A$3:$A$500,$C35,'DADOS BRUTOS'!AR$3:AR$500)))</f>
        <v/>
      </c>
      <c r="DS35" s="123">
        <f>IF(OR(DS$4="",$B35=""),0,SUMIF('DADOS BRUTOS'!$A$3:$A$500,$B35,'DADOS BRUTOS'!AS$3:AS$500)+IF($C35="",0,SUMIF('DADOS BRUTOS'!$A$3:$A$500,$C35,'DADOS BRUTOS'!AS$3:AS$500)))</f>
        <v/>
      </c>
      <c r="DT35" s="123">
        <f>IF(OR(DT$4="",$B35=""),0,SUMIF('DADOS BRUTOS'!$A$3:$A$500,$B35,'DADOS BRUTOS'!AT$3:AT$500)+IF($C35="",0,SUMIF('DADOS BRUTOS'!$A$3:$A$500,$C35,'DADOS BRUTOS'!AT$3:AT$500)))</f>
        <v/>
      </c>
      <c r="DU35" s="123">
        <f>IF(OR(DU$4="",$B35=""),0,SUMIF('DADOS BRUTOS'!$A$3:$A$500,$B35,'DADOS BRUTOS'!AU$3:AU$500)+IF($C35="",0,SUMIF('DADOS BRUTOS'!$A$3:$A$500,$C35,'DADOS BRUTOS'!AU$3:AU$500)))</f>
        <v/>
      </c>
      <c r="DV35" s="123">
        <f>IF(OR(DV$4="",$B35=""),0,SUMIF('DADOS BRUTOS'!$A$3:$A$500,$B35,'DADOS BRUTOS'!AV$3:AV$500)+IF($C35="",0,SUMIF('DADOS BRUTOS'!$A$3:$A$500,$C35,'DADOS BRUTOS'!AV$3:AV$500)))</f>
        <v/>
      </c>
      <c r="DW35" s="123">
        <f>IF(OR(DW$4="",$B35=""),0,SUMIF('DADOS BRUTOS'!$A$3:$A$500,$B35,'DADOS BRUTOS'!AW$3:AW$500)+IF($C35="",0,SUMIF('DADOS BRUTOS'!$A$3:$A$500,$C35,'DADOS BRUTOS'!AW$3:AW$500)))</f>
        <v/>
      </c>
      <c r="DX35" s="123">
        <f>IF(OR(DX$4="",$B35=""),0,SUMIF('DADOS BRUTOS'!$A$3:$A$500,$B35,'DADOS BRUTOS'!AX$3:AX$500)+IF($C35="",0,SUMIF('DADOS BRUTOS'!$A$3:$A$500,$C35,'DADOS BRUTOS'!AX$3:AX$500)))</f>
        <v/>
      </c>
      <c r="DY35" s="123">
        <f>IF(OR(DY$4="",$B35=""),0,SUMIF('DADOS BRUTOS'!$A$3:$A$500,$B35,'DADOS BRUTOS'!AY$3:AY$500)+IF($C35="",0,SUMIF('DADOS BRUTOS'!$A$3:$A$500,$C35,'DADOS BRUTOS'!AY$3:AY$500)))</f>
        <v/>
      </c>
      <c r="DZ35" s="123">
        <f>IF(OR(DZ$4="",$B35=""),0,SUMIF('DADOS BRUTOS'!$A$3:$A$500,$B35,'DADOS BRUTOS'!AZ$3:AZ$500)+IF($C35="",0,SUMIF('DADOS BRUTOS'!$A$3:$A$500,$C35,'DADOS BRUTOS'!AZ$3:AZ$500)))</f>
        <v/>
      </c>
      <c r="EA35" s="123">
        <f>IF(OR(EA$4="",$B35=""),0,SUMIF('DADOS BRUTOS'!$A$3:$A$500,$B35,'DADOS BRUTOS'!BA$3:BA$500)+IF($C35="",0,SUMIF('DADOS BRUTOS'!$A$3:$A$500,$C35,'DADOS BRUTOS'!BA$3:BA$500)))</f>
        <v/>
      </c>
      <c r="EB35" s="123">
        <f>IF(OR(EB$4="",$B35=""),0,SUMIF('DADOS BRUTOS'!$A$3:$A$500,$B35,'DADOS BRUTOS'!BB$3:BB$500)+IF($C35="",0,SUMIF('DADOS BRUTOS'!$A$3:$A$500,$C35,'DADOS BRUTOS'!BB$3:BB$500)))</f>
        <v/>
      </c>
      <c r="EC35" s="123">
        <f>IF(OR(EC$4="",$B35=""),0,SUMIF('DADOS BRUTOS'!$A$3:$A$500,$B35,'DADOS BRUTOS'!BC$3:BC$500)+IF($C35="",0,SUMIF('DADOS BRUTOS'!$A$3:$A$500,$C35,'DADOS BRUTOS'!BC$3:BC$500)))</f>
        <v/>
      </c>
      <c r="ED35" s="123">
        <f>IF(OR(ED$4="",$B35=""),0,SUMIF('DADOS BRUTOS'!$A$3:$A$500,$B35,'DADOS BRUTOS'!BD$3:BD$500)+IF($C35="",0,SUMIF('DADOS BRUTOS'!$A$3:$A$500,$C35,'DADOS BRUTOS'!BD$3:BD$500)))</f>
        <v/>
      </c>
      <c r="EE35" s="123">
        <f>IF(OR(EE$4="",$B35=""),0,SUMIF('DADOS BRUTOS'!$A$3:$A$500,$B35,'DADOS BRUTOS'!BE$3:BE$500)+IF($C35="",0,SUMIF('DADOS BRUTOS'!$A$3:$A$500,$C35,'DADOS BRUTOS'!BE$3:BE$500)))</f>
        <v/>
      </c>
      <c r="EF35" s="123">
        <f>IF(OR(EF$4="",$B35=""),0,SUMIF('DADOS BRUTOS'!$A$3:$A$500,$B35,'DADOS BRUTOS'!BF$3:BF$500)+IF($C35="",0,SUMIF('DADOS BRUTOS'!$A$3:$A$500,$C35,'DADOS BRUTOS'!BF$3:BF$500)))</f>
        <v/>
      </c>
      <c r="EG35" s="123">
        <f>IF(OR(EG$4="",$B35=""),0,SUMIF('DADOS BRUTOS'!$A$3:$A$500,$B35,'DADOS BRUTOS'!BG$3:BG$500)+IF($C35="",0,SUMIF('DADOS BRUTOS'!$A$3:$A$500,$C35,'DADOS BRUTOS'!BG$3:BG$500)))</f>
        <v/>
      </c>
      <c r="EH35" s="123">
        <f>IF(OR(EH$4="",$B35=""),0,SUMIF('DADOS BRUTOS'!$A$3:$A$500,$B35,'DADOS BRUTOS'!BH$3:BH$500)+IF($C35="",0,SUMIF('DADOS BRUTOS'!$A$3:$A$500,$C35,'DADOS BRUTOS'!BH$3:BH$500)))</f>
        <v/>
      </c>
      <c r="EI35" s="123">
        <f>IF(OR(EI$4="",$B35=""),0,SUMIF('DADOS BRUTOS'!$A$3:$A$500,$B35,'DADOS BRUTOS'!BI$3:BI$500)+IF($C35="",0,SUMIF('DADOS BRUTOS'!$A$3:$A$500,$C35,'DADOS BRUTOS'!BI$3:BI$500)))</f>
        <v/>
      </c>
      <c r="EJ35" s="123">
        <f>IF(OR(EJ$4="",$B35=""),0,SUMIF('DADOS BRUTOS'!$A$3:$A$500,$B35,'DADOS BRUTOS'!BJ$3:BJ$500)+IF($C35="",0,SUMIF('DADOS BRUTOS'!$A$3:$A$500,$C35,'DADOS BRUTOS'!BJ$3:BJ$500)))</f>
        <v/>
      </c>
      <c r="EK35" s="123">
        <f>IF(OR(EK$4="",$B35=""),0,SUMIF('DADOS BRUTOS'!$A$3:$A$500,$B35,'DADOS BRUTOS'!BK$3:BK$500)+IF($C35="",0,SUMIF('DADOS BRUTOS'!$A$3:$A$500,$C35,'DADOS BRUTOS'!BK$3:BK$500)))</f>
        <v/>
      </c>
      <c r="EL35" s="123">
        <f>IF(OR(EL$4="",$B35=""),0,SUMIF('DADOS BRUTOS'!$A$3:$A$500,$B35,'DADOS BRUTOS'!BL$3:BL$500)+IF($C35="",0,SUMIF('DADOS BRUTOS'!$A$3:$A$500,$C35,'DADOS BRUTOS'!BL$3:BL$500)))</f>
        <v/>
      </c>
      <c r="EM35" s="123">
        <f>IF(OR(EM$4="",$B35=""),0,SUMIF('DADOS BRUTOS'!$A$3:$A$500,$B35,'DADOS BRUTOS'!BM$3:BM$500)+IF($C35="",0,SUMIF('DADOS BRUTOS'!$A$3:$A$500,$C35,'DADOS BRUTOS'!BM$3:BM$500)))</f>
        <v/>
      </c>
      <c r="EN35" s="123">
        <f>IF(OR(EN$4="",$B35=""),0,SUMIF('DADOS BRUTOS'!$A$3:$A$500,$B35,'DADOS BRUTOS'!BN$3:BN$500)+IF($C35="",0,SUMIF('DADOS BRUTOS'!$A$3:$A$500,$C35,'DADOS BRUTOS'!BN$3:BN$500)))</f>
        <v/>
      </c>
      <c r="EO35" s="123">
        <f>IF(OR(EO$4="",$B35=""),0,SUMIF('DADOS BRUTOS'!$A$3:$A$500,$B35,'DADOS BRUTOS'!BO$3:BO$500)+IF($C35="",0,SUMIF('DADOS BRUTOS'!$A$3:$A$500,$C35,'DADOS BRUTOS'!BO$3:BO$500)))</f>
        <v/>
      </c>
      <c r="EP35" s="123">
        <f>IF(OR(EP$4="",$B35=""),0,SUMIF('DADOS BRUTOS'!$A$3:$A$500,$B35,'DADOS BRUTOS'!BP$3:BP$500)+IF($C35="",0,SUMIF('DADOS BRUTOS'!$A$3:$A$500,$C35,'DADOS BRUTOS'!BP$3:BP$500)))</f>
        <v/>
      </c>
      <c r="EQ35" s="123">
        <f>IF(OR(EQ$4="",$B35=""),0,SUMIF('DADOS BRUTOS'!$A$3:$A$500,$B35,'DADOS BRUTOS'!BQ$3:BQ$500)+IF($C35="",0,SUMIF('DADOS BRUTOS'!$A$3:$A$500,$C35,'DADOS BRUTOS'!BQ$3:BQ$500)))</f>
        <v/>
      </c>
      <c r="ER35" s="123">
        <f>IF(OR(ER$4="",$B35=""),0,SUMIF('DADOS BRUTOS'!$A$3:$A$500,$B35,'DADOS BRUTOS'!BR$3:BR$500)+IF($C35="",0,SUMIF('DADOS BRUTOS'!$A$3:$A$500,$C35,'DADOS BRUTOS'!BR$3:BR$500)))</f>
        <v/>
      </c>
      <c r="ES35" s="123">
        <f>IF(OR(ES$4="",$B35=""),0,SUMIF('DADOS BRUTOS'!$A$3:$A$500,$B35,'DADOS BRUTOS'!BS$3:BS$500)+IF($C35="",0,SUMIF('DADOS BRUTOS'!$A$3:$A$500,$C35,'DADOS BRUTOS'!BS$3:BS$500)))</f>
        <v/>
      </c>
      <c r="ET35" s="123">
        <f>IF(OR(ET$4="",$B35=""),0,SUMIF('DADOS BRUTOS'!$A$3:$A$500,$B35,'DADOS BRUTOS'!BT$3:BT$500)+IF($C35="",0,SUMIF('DADOS BRUTOS'!$A$3:$A$500,$C35,'DADOS BRUTOS'!BT$3:BT$500)))</f>
        <v/>
      </c>
      <c r="EU35" s="123">
        <f>IF(OR(EU$4="",$B35=""),0,SUMIF('DADOS BRUTOS'!$A$3:$A$500,$B35,'DADOS BRUTOS'!BU$3:BU$500)+IF($C35="",0,SUMIF('DADOS BRUTOS'!$A$3:$A$500,$C35,'DADOS BRUTOS'!BU$3:BU$500)))</f>
        <v/>
      </c>
      <c r="EV35" s="123">
        <f>IF(OR(EV$4="",$B35=""),0,SUMIF('DADOS BRUTOS'!$A$3:$A$500,$B35,'DADOS BRUTOS'!BV$3:BV$500)+IF($C35="",0,SUMIF('DADOS BRUTOS'!$A$3:$A$500,$C35,'DADOS BRUTOS'!BV$3:BV$500)))</f>
        <v/>
      </c>
      <c r="EW35" s="123">
        <f>IF(OR(EW$4="",$B35=""),0,SUMIF('DADOS BRUTOS'!$A$3:$A$500,$B35,'DADOS BRUTOS'!BW$3:BW$500)+IF($C35="",0,SUMIF('DADOS BRUTOS'!$A$3:$A$500,$C35,'DADOS BRUTOS'!BW$3:BW$500)))</f>
        <v/>
      </c>
      <c r="EX35" s="123">
        <f>IF(OR(EX$4="",$B35=""),0,SUMIF('DADOS BRUTOS'!$A$3:$A$500,$B35,'DADOS BRUTOS'!BX$3:BX$500)+IF($C35="",0,SUMIF('DADOS BRUTOS'!$A$3:$A$500,$C35,'DADOS BRUTOS'!BX$3:BX$500)))</f>
        <v/>
      </c>
      <c r="EY35" s="123">
        <f>IF(OR(EY$4="",$B35=""),0,SUMIF('DADOS BRUTOS'!$A$3:$A$500,$B35,'DADOS BRUTOS'!BY$3:BY$500)+IF($C35="",0,SUMIF('DADOS BRUTOS'!$A$3:$A$500,$C35,'DADOS BRUTOS'!BY$3:BY$500)))</f>
        <v/>
      </c>
      <c r="EZ35" s="123">
        <f>IF(OR(EZ$4="",$B35=""),0,SUMIF('DADOS BRUTOS'!$A$3:$A$500,$B35,'DADOS BRUTOS'!BZ$3:BZ$500)+IF($C35="",0,SUMIF('DADOS BRUTOS'!$A$3:$A$500,$C35,'DADOS BRUTOS'!BZ$3:BZ$500)))</f>
        <v/>
      </c>
      <c r="FA35" s="123">
        <f>IF(OR(FA$4="",$B35=""),0,SUMIF('DADOS BRUTOS'!$A$3:$A$500,$B35,'DADOS BRUTOS'!CA$3:CA$500)+IF($C35="",0,SUMIF('DADOS BRUTOS'!$A$3:$A$500,$C35,'DADOS BRUTOS'!CA$3:CA$500)))</f>
        <v/>
      </c>
      <c r="FB35" s="123">
        <f>IF(OR(FB$4="",$B35=""),0,SUMIF('DADOS BRUTOS'!$A$3:$A$500,$B35,'DADOS BRUTOS'!CB$3:CB$500)+IF($C35="",0,SUMIF('DADOS BRUTOS'!$A$3:$A$500,$C35,'DADOS BRUTOS'!CB$3:CB$500)))</f>
        <v/>
      </c>
      <c r="FC35" s="123">
        <f>IF(OR(FC$4="",$B35=""),0,SUMIF('DADOS BRUTOS'!$A$3:$A$500,$B35,'DADOS BRUTOS'!CC$3:CC$500)+IF($C35="",0,SUMIF('DADOS BRUTOS'!$A$3:$A$500,$C35,'DADOS BRUTOS'!CC$3:CC$500)))</f>
        <v/>
      </c>
      <c r="FD35" s="123">
        <f>IF(OR(FD$4="",$B35=""),0,SUMIF('DADOS BRUTOS'!$A$3:$A$500,$B35,'DADOS BRUTOS'!CD$3:CD$500)+IF($C35="",0,SUMIF('DADOS BRUTOS'!$A$3:$A$500,$C35,'DADOS BRUTOS'!CD$3:CD$500)))</f>
        <v/>
      </c>
      <c r="FE35" s="123">
        <f>IF(OR(FE$4="",$B35=""),0,SUMIF('DADOS BRUTOS'!$A$3:$A$500,$B35,'DADOS BRUTOS'!CE$3:CE$500)+IF($C35="",0,SUMIF('DADOS BRUTOS'!$A$3:$A$500,$C35,'DADOS BRUTOS'!CE$3:CE$500)))</f>
        <v/>
      </c>
      <c r="FF35" s="123">
        <f>IF(OR(FF$4="",$B35=""),0,SUMIF('DADOS BRUTOS'!$A$3:$A$500,$B35,'DADOS BRUTOS'!CF$3:CF$500)+IF($C35="",0,SUMIF('DADOS BRUTOS'!$A$3:$A$500,$C35,'DADOS BRUTOS'!CF$3:CF$500)))</f>
        <v/>
      </c>
      <c r="FG35" s="123">
        <f>IF(OR(FG$4="",$B35=""),0,SUMIF('DADOS BRUTOS'!$A$3:$A$500,$B35,'DADOS BRUTOS'!CG$3:CG$500)+IF($C35="",0,SUMIF('DADOS BRUTOS'!$A$3:$A$500,$C35,'DADOS BRUTOS'!CG$3:CG$500)))</f>
        <v/>
      </c>
      <c r="FH35" s="123">
        <f>IF(OR(FH$4="",$B35=""),0,SUMIF('DADOS BRUTOS'!$A$3:$A$500,$B35,'DADOS BRUTOS'!CH$3:CH$500)+IF($C35="",0,SUMIF('DADOS BRUTOS'!$A$3:$A$500,$C35,'DADOS BRUTOS'!CH$3:CH$500)))</f>
        <v/>
      </c>
      <c r="FI35" s="123">
        <f>IF(OR(FI$4="",$B35=""),0,SUMIF('DADOS BRUTOS'!$A$3:$A$500,$B35,'DADOS BRUTOS'!CI$3:CI$500)+IF($C35="",0,SUMIF('DADOS BRUTOS'!$A$3:$A$500,$C35,'DADOS BRUTOS'!CI$3:CI$500)))</f>
        <v/>
      </c>
      <c r="FJ35" s="123">
        <f>IF(OR(FJ$4="",$B35=""),0,SUMIF('DADOS BRUTOS'!$A$3:$A$500,$B35,'DADOS BRUTOS'!CJ$3:CJ$500)+IF($C35="",0,SUMIF('DADOS BRUTOS'!$A$3:$A$500,$C35,'DADOS BRUTOS'!CJ$3:CJ$500)))</f>
        <v/>
      </c>
      <c r="FK35" s="123">
        <f>IF(OR(FK$4="",$B35=""),0,SUMIF('DADOS BRUTOS'!$A$3:$A$500,$B35,'DADOS BRUTOS'!CK$3:CK$500)+IF($C35="",0,SUMIF('DADOS BRUTOS'!$A$3:$A$500,$C35,'DADOS BRUTOS'!CK$3:CK$500)))</f>
        <v/>
      </c>
      <c r="FL35" s="123">
        <f>IF(OR(FL$4="",$B35=""),0,SUMIF('DADOS BRUTOS'!$A$3:$A$500,$B35,'DADOS BRUTOS'!CL$3:CL$500)+IF($C35="",0,SUMIF('DADOS BRUTOS'!$A$3:$A$500,$C35,'DADOS BRUTOS'!CL$3:CL$500)))</f>
        <v/>
      </c>
      <c r="FM35" s="123">
        <f>IF(OR(FM$4="",$B35=""),0,SUMIF('DADOS BRUTOS'!$A$3:$A$500,$B35,'DADOS BRUTOS'!CM$3:CM$500)+IF($C35="",0,SUMIF('DADOS BRUTOS'!$A$3:$A$500,$C35,'DADOS BRUTOS'!CM$3:CM$500)))</f>
        <v/>
      </c>
      <c r="FN35" s="123">
        <f>IF(OR(FN$4="",$B35=""),0,SUMIF('DADOS BRUTOS'!$A$3:$A$500,$B35,'DADOS BRUTOS'!CN$3:CN$500)+IF($C35="",0,SUMIF('DADOS BRUTOS'!$A$3:$A$500,$C35,'DADOS BRUTOS'!CN$3:CN$500)))</f>
        <v/>
      </c>
      <c r="FO35" s="123">
        <f>IF(OR(FO$4="",$B35=""),0,SUMIF('DADOS BRUTOS'!$A$3:$A$500,$B35,'DADOS BRUTOS'!CO$3:CO$500)+IF($C35="",0,SUMIF('DADOS BRUTOS'!$A$3:$A$500,$C35,'DADOS BRUTOS'!CO$3:CO$500)))</f>
        <v/>
      </c>
      <c r="FP35" s="123">
        <f>IF(OR(FP$4="",$B35=""),0,SUMIF('DADOS BRUTOS'!$A$3:$A$500,$B35,'DADOS BRUTOS'!CP$3:CP$500)+IF($C35="",0,SUMIF('DADOS BRUTOS'!$A$3:$A$500,$C35,'DADOS BRUTOS'!CP$3:CP$500)))</f>
        <v/>
      </c>
      <c r="FQ35" s="123">
        <f>IF(OR(FQ$4="",$B35=""),0,SUMIF('DADOS BRUTOS'!$A$3:$A$500,$B35,'DADOS BRUTOS'!CQ$3:CQ$500)+IF($C35="",0,SUMIF('DADOS BRUTOS'!$A$3:$A$500,$C35,'DADOS BRUTOS'!CQ$3:CQ$500)))</f>
        <v/>
      </c>
      <c r="FR35" s="123">
        <f>IF(OR(FR$4="",$B35=""),0,SUMIF('DADOS BRUTOS'!$A$3:$A$500,$B35,'DADOS BRUTOS'!CR$3:CR$500)+IF($C35="",0,SUMIF('DADOS BRUTOS'!$A$3:$A$500,$C35,'DADOS BRUTOS'!CR$3:CR$500)))</f>
        <v/>
      </c>
      <c r="FS35" s="123">
        <f>IF(OR(FS$4="",$B35=""),0,SUMIF('DADOS BRUTOS'!$A$3:$A$500,$B35,'DADOS BRUTOS'!CS$3:CS$500)+IF($C35="",0,SUMIF('DADOS BRUTOS'!$A$3:$A$500,$C35,'DADOS BRUTOS'!CS$3:CS$500)))</f>
        <v/>
      </c>
      <c r="FT35" s="123">
        <f>IF(OR(FT$4="",$B35=""),0,SUMIF('DADOS BRUTOS'!$A$3:$A$500,$B35,'DADOS BRUTOS'!CT$3:CT$500)+IF($C35="",0,SUMIF('DADOS BRUTOS'!$A$3:$A$500,$C35,'DADOS BRUTOS'!CT$3:CT$500)))</f>
        <v/>
      </c>
      <c r="FU35" s="123">
        <f>IF(OR(FU$4="",$B35=""),0,SUMIF('DADOS BRUTOS'!$A$3:$A$500,$B35,'DADOS BRUTOS'!CU$3:CU$500)+IF($C35="",0,SUMIF('DADOS BRUTOS'!$A$3:$A$500,$C35,'DADOS BRUTOS'!CU$3:CU$500)))</f>
        <v/>
      </c>
      <c r="FV35" s="123">
        <f>IF(OR(FV$4="",$B35=""),0,SUMIF('DADOS BRUTOS'!$A$3:$A$500,$B35,'DADOS BRUTOS'!CV$3:CV$500)+IF($C35="",0,SUMIF('DADOS BRUTOS'!$A$3:$A$500,$C35,'DADOS BRUTOS'!CV$3:CV$500)))</f>
        <v/>
      </c>
      <c r="FW35" s="123">
        <f>IF(OR(FW$4="",$B35=""),0,SUMIF('DADOS BRUTOS'!$A$3:$A$500,$B35,'DADOS BRUTOS'!CW$3:CW$500)+IF($C35="",0,SUMIF('DADOS BRUTOS'!$A$3:$A$500,$C35,'DADOS BRUTOS'!CW$3:CW$500)))</f>
        <v/>
      </c>
      <c r="FX35" s="123">
        <f>IF(OR(FX$4="",$B35=""),0,SUMIF('DADOS BRUTOS'!$A$3:$A$500,$B35,'DADOS BRUTOS'!CX$3:CX$500)+IF($C35="",0,SUMIF('DADOS BRUTOS'!$A$3:$A$500,$C35,'DADOS BRUTOS'!CX$3:CX$500)))</f>
        <v/>
      </c>
      <c r="FY35" s="123">
        <f>IF(OR(FY$4="",$B35=""),0,SUMIF('DADOS BRUTOS'!$A$3:$A$500,$B35,'DADOS BRUTOS'!CY$3:CY$500)+IF($C35="",0,SUMIF('DADOS BRUTOS'!$A$3:$A$500,$C35,'DADOS BRUTOS'!CY$3:CY$500)))</f>
        <v/>
      </c>
      <c r="FZ35" s="123">
        <f>IF(OR(FZ$4="",$B35=""),0,SUMIF('DADOS BRUTOS'!$A$3:$A$500,$B35,'DADOS BRUTOS'!CZ$3:CZ$500)+IF($C35="",0,SUMIF('DADOS BRUTOS'!$A$3:$A$500,$C35,'DADOS BRUTOS'!CZ$3:CZ$500)))</f>
        <v/>
      </c>
      <c r="GA35" s="123">
        <f>IF(OR(GA$4="",$B35=""),0,SUMIF('DADOS BRUTOS'!$A$3:$A$500,$B35,'DADOS BRUTOS'!DA$3:DA$500)+IF($C35="",0,SUMIF('DADOS BRUTOS'!$A$3:$A$500,$C35,'DADOS BRUTOS'!DA$3:DA$500)))</f>
        <v/>
      </c>
      <c r="GB35" s="123">
        <f>IF(OR(GB$4="",$B35=""),0,SUMIF('DADOS BRUTOS'!$A$3:$A$500,$B35,'DADOS BRUTOS'!DB$3:DB$500)+IF($C35="",0,SUMIF('DADOS BRUTOS'!$A$3:$A$500,$C35,'DADOS BRUTOS'!DB$3:DB$500)))</f>
        <v/>
      </c>
      <c r="GC35" s="123">
        <f>IF(OR(GC$4="",$B35=""),0,SUMIF('DADOS BRUTOS'!$A$3:$A$500,$B35,'DADOS BRUTOS'!DC$3:DC$500)+IF($C35="",0,SUMIF('DADOS BRUTOS'!$A$3:$A$500,$C35,'DADOS BRUTOS'!DC$3:DC$500)))</f>
        <v/>
      </c>
      <c r="GD35" s="123">
        <f>IF(OR(GD$4="",$B35=""),0,SUMIF('DADOS BRUTOS'!$A$3:$A$500,$B35,'DADOS BRUTOS'!DD$3:DD$500)+IF($C35="",0,SUMIF('DADOS BRUTOS'!$A$3:$A$500,$C35,'DADOS BRUTOS'!DD$3:DD$500)))</f>
        <v/>
      </c>
      <c r="GE35" s="123">
        <f>IF(OR(GE$4="",$B35=""),0,SUMIF('DADOS BRUTOS'!$A$3:$A$500,$B35,'DADOS BRUTOS'!DE$3:DE$500)+IF($C35="",0,SUMIF('DADOS BRUTOS'!$A$3:$A$500,$C35,'DADOS BRUTOS'!DE$3:DE$500)))</f>
        <v/>
      </c>
      <c r="GF35" s="123">
        <f>IF(OR(GF$4="",$B35=""),0,SUMIF('DADOS BRUTOS'!$A$3:$A$500,$B35,'DADOS BRUTOS'!DF$3:DF$500)+IF($C35="",0,SUMIF('DADOS BRUTOS'!$A$3:$A$500,$C35,'DADOS BRUTOS'!DF$3:DF$500)))</f>
        <v/>
      </c>
      <c r="GG35" s="123">
        <f>IF(OR(GG$4="",$B35=""),0,SUMIF('DADOS BRUTOS'!$A$3:$A$500,$B35,'DADOS BRUTOS'!DG$3:DG$500)+IF($C35="",0,SUMIF('DADOS BRUTOS'!$A$3:$A$500,$C35,'DADOS BRUTOS'!DG$3:DG$500)))</f>
        <v/>
      </c>
      <c r="GH35" s="123">
        <f>IF(OR(GH$4="",$B35=""),0,SUMIF('DADOS BRUTOS'!$A$3:$A$500,$B35,'DADOS BRUTOS'!DH$3:DH$500)+IF($C35="",0,SUMIF('DADOS BRUTOS'!$A$3:$A$500,$C35,'DADOS BRUTOS'!DH$3:DH$500)))</f>
        <v/>
      </c>
      <c r="GI35" s="123">
        <f>IF(OR(GI$4="",$B35=""),0,SUMIF('DADOS BRUTOS'!$A$3:$A$500,$B35,'DADOS BRUTOS'!DI$3:DI$500)+IF($C35="",0,SUMIF('DADOS BRUTOS'!$A$3:$A$500,$C35,'DADOS BRUTOS'!DI$3:DI$500)))</f>
        <v/>
      </c>
      <c r="GJ35" s="123">
        <f>IF(OR(GJ$4="",$B35=""),0,SUMIF('DADOS BRUTOS'!$A$3:$A$500,$B35,'DADOS BRUTOS'!DJ$3:DJ$500)+IF($C35="",0,SUMIF('DADOS BRUTOS'!$A$3:$A$500,$C35,'DADOS BRUTOS'!DJ$3:DJ$500)))</f>
        <v/>
      </c>
      <c r="GK35" s="123">
        <f>IF(OR(GK$4="",$B35=""),0,SUMIF('DADOS BRUTOS'!$A$3:$A$500,$B35,'DADOS BRUTOS'!DK$3:DK$500)+IF($C35="",0,SUMIF('DADOS BRUTOS'!$A$3:$A$500,$C35,'DADOS BRUTOS'!DK$3:DK$500)))</f>
        <v/>
      </c>
      <c r="GL35" s="123">
        <f>IF(OR(GL$4="",$B35=""),0,SUMIF('DADOS BRUTOS'!$A$3:$A$500,$B35,'DADOS BRUTOS'!DL$3:DL$500)+IF($C35="",0,SUMIF('DADOS BRUTOS'!$A$3:$A$500,$C35,'DADOS BRUTOS'!DL$3:DL$500)))</f>
        <v/>
      </c>
      <c r="GM35" s="123">
        <f>IF(OR(GM$4="",$B35=""),0,SUMIF('DADOS BRUTOS'!$A$3:$A$500,$B35,'DADOS BRUTOS'!DM$3:DM$500)+IF($C35="",0,SUMIF('DADOS BRUTOS'!$A$3:$A$500,$C35,'DADOS BRUTOS'!DM$3:DM$500)))</f>
        <v/>
      </c>
      <c r="GN35" s="123">
        <f>IF(OR(GN$4="",$B35=""),0,SUMIF('DADOS BRUTOS'!$A$3:$A$500,$B35,'DADOS BRUTOS'!DN$3:DN$500)+IF($C35="",0,SUMIF('DADOS BRUTOS'!$A$3:$A$500,$C35,'DADOS BRUTOS'!DN$3:DN$500)))</f>
        <v/>
      </c>
      <c r="GO35" s="123">
        <f>IF(OR(GO$4="",$B35=""),0,SUMIF('DADOS BRUTOS'!$A$3:$A$500,$B35,'DADOS BRUTOS'!DO$3:DO$500)+IF($C35="",0,SUMIF('DADOS BRUTOS'!$A$3:$A$500,$C35,'DADOS BRUTOS'!DO$3:DO$500)))</f>
        <v/>
      </c>
      <c r="GP35" s="123">
        <f>IF(OR(GP$4="",$B35=""),0,SUMIF('DADOS BRUTOS'!$A$3:$A$500,$B35,'DADOS BRUTOS'!DP$3:DP$500)+IF($C35="",0,SUMIF('DADOS BRUTOS'!$A$3:$A$500,$C35,'DADOS BRUTOS'!DP$3:DP$500)))</f>
        <v/>
      </c>
      <c r="GQ35" s="123">
        <f>IF(OR(GQ$4="",$B35=""),0,SUMIF('DADOS BRUTOS'!$A$3:$A$500,$B35,'DADOS BRUTOS'!DQ$3:DQ$500)+IF($C35="",0,SUMIF('DADOS BRUTOS'!$A$3:$A$500,$C35,'DADOS BRUTOS'!DQ$3:DQ$500)))</f>
        <v/>
      </c>
      <c r="GR35" s="123">
        <f>IF(OR(GR$4="",$B35=""),0,SUMIF('DADOS BRUTOS'!$A$3:$A$500,$B35,'DADOS BRUTOS'!DR$3:DR$500)+IF($C35="",0,SUMIF('DADOS BRUTOS'!$A$3:$A$500,$C35,'DADOS BRUTOS'!DR$3:DR$500)))</f>
        <v/>
      </c>
      <c r="GS35" s="123">
        <f>IF(OR(GS$4="",$B35=""),0,SUMIF('DADOS BRUTOS'!$A$3:$A$500,$B35,'DADOS BRUTOS'!DS$3:DS$500)+IF($C35="",0,SUMIF('DADOS BRUTOS'!$A$3:$A$500,$C35,'DADOS BRUTOS'!DS$3:DS$500)))</f>
        <v/>
      </c>
      <c r="GT35" s="123">
        <f>IF(OR(GT$4="",$B35=""),0,SUMIF('DADOS BRUTOS'!$A$3:$A$500,$B35,'DADOS BRUTOS'!DT$3:DT$500)+IF($C35="",0,SUMIF('DADOS BRUTOS'!$A$3:$A$500,$C35,'DADOS BRUTOS'!DT$3:DT$500)))</f>
        <v/>
      </c>
      <c r="GU35" s="123">
        <f>IF(OR(GU$4="",$B35=""),0,SUMIF('DADOS BRUTOS'!$A$3:$A$500,$B35,'DADOS BRUTOS'!DU$3:DU$500)+IF($C35="",0,SUMIF('DADOS BRUTOS'!$A$3:$A$500,$C35,'DADOS BRUTOS'!DU$3:DU$500)))</f>
        <v/>
      </c>
      <c r="GV35" s="123">
        <f>IF(OR(GV$4="",$B35=""),0,SUMIF('DADOS BRUTOS'!$A$3:$A$500,$B35,'DADOS BRUTOS'!DV$3:DV$500)+IF($C35="",0,SUMIF('DADOS BRUTOS'!$A$3:$A$500,$C35,'DADOS BRUTOS'!DV$3:DV$500)))</f>
        <v/>
      </c>
      <c r="GW35" s="123">
        <f>IF(OR(GW$4="",$B35=""),0,SUMIF('DADOS BRUTOS'!$A$3:$A$500,$B35,'DADOS BRUTOS'!DW$3:DW$500)+IF($C35="",0,SUMIF('DADOS BRUTOS'!$A$3:$A$500,$C35,'DADOS BRUTOS'!DW$3:DW$500)))</f>
        <v/>
      </c>
      <c r="GX35" s="123">
        <f>IF(OR(GX$4="",$B35=""),0,SUMIF('DADOS BRUTOS'!$A$3:$A$500,$B35,'DADOS BRUTOS'!DX$3:DX$500)+IF($C35="",0,SUMIF('DADOS BRUTOS'!$A$3:$A$500,$C35,'DADOS BRUTOS'!DX$3:DX$500)))</f>
        <v/>
      </c>
      <c r="GY35" s="123">
        <f>IF(OR(GY$4="",$B35=""),0,SUMIF('DADOS BRUTOS'!$A$3:$A$500,$B35,'DADOS BRUTOS'!DY$3:DY$500)+IF($C35="",0,SUMIF('DADOS BRUTOS'!$A$3:$A$500,$C35,'DADOS BRUTOS'!DY$3:DY$500)))</f>
        <v/>
      </c>
      <c r="GZ35" s="123">
        <f>IF(OR(GZ$4="",$B35=""),0,SUMIF('DADOS BRUTOS'!$A$3:$A$500,$B35,'DADOS BRUTOS'!DZ$3:DZ$500)+IF($C35="",0,SUMIF('DADOS BRUTOS'!$A$3:$A$500,$C35,'DADOS BRUTOS'!DZ$3:DZ$500)))</f>
        <v/>
      </c>
      <c r="HA35" s="123">
        <f>IF(OR(HA$4="",$B35=""),0,SUMIF('DADOS BRUTOS'!$A$3:$A$500,$B35,'DADOS BRUTOS'!EA$3:EA$500)+IF($C35="",0,SUMIF('DADOS BRUTOS'!$A$3:$A$500,$C35,'DADOS BRUTOS'!EA$3:EA$500)))</f>
        <v/>
      </c>
      <c r="HB35" s="123">
        <f>IF(OR(HB$4="",$B35=""),0,SUMIF('DADOS BRUTOS'!$A$3:$A$500,$B35,'DADOS BRUTOS'!EB$3:EB$500)+IF($C35="",0,SUMIF('DADOS BRUTOS'!$A$3:$A$500,$C35,'DADOS BRUTOS'!EB$3:EB$500)))</f>
        <v/>
      </c>
      <c r="HC35" s="123">
        <f>IF(OR(HC$4="",$B35=""),0,SUMIF('DADOS BRUTOS'!$A$3:$A$500,$B35,'DADOS BRUTOS'!EC$3:EC$500)+IF($C35="",0,SUMIF('DADOS BRUTOS'!$A$3:$A$500,$C35,'DADOS BRUTOS'!EC$3:EC$500)))</f>
        <v/>
      </c>
      <c r="HD35" s="123">
        <f>IF(OR(HD$4="",$B35=""),0,SUMIF('DADOS BRUTOS'!$A$3:$A$500,$B35,'DADOS BRUTOS'!ED$3:ED$500)+IF($C35="",0,SUMIF('DADOS BRUTOS'!$A$3:$A$500,$C35,'DADOS BRUTOS'!ED$3:ED$500)))</f>
        <v/>
      </c>
      <c r="HE35" s="123">
        <f>IF(OR(HE$4="",$B35=""),0,SUMIF('DADOS BRUTOS'!$A$3:$A$500,$B35,'DADOS BRUTOS'!EE$3:EE$500)+IF($C35="",0,SUMIF('DADOS BRUTOS'!$A$3:$A$500,$C35,'DADOS BRUTOS'!EE$3:EE$500)))</f>
        <v/>
      </c>
      <c r="HF35" s="123">
        <f>IF(OR(HF$4="",$B35=""),0,SUMIF('DADOS BRUTOS'!$A$3:$A$500,$B35,'DADOS BRUTOS'!EF$3:EF$500)+IF($C35="",0,SUMIF('DADOS BRUTOS'!$A$3:$A$500,$C35,'DADOS BRUTOS'!EF$3:EF$500)))</f>
        <v/>
      </c>
      <c r="HG35" s="123">
        <f>IF(OR(HG$4="",$B35=""),0,SUMIF('DADOS BRUTOS'!$A$3:$A$500,$B35,'DADOS BRUTOS'!EG$3:EG$500)+IF($C35="",0,SUMIF('DADOS BRUTOS'!$A$3:$A$500,$C35,'DADOS BRUTOS'!EG$3:EG$500)))</f>
        <v/>
      </c>
      <c r="HH35" s="123">
        <f>IF(OR(HH$4="",$B35=""),0,SUMIF('DADOS BRUTOS'!$A$3:$A$500,$B35,'DADOS BRUTOS'!EH$3:EH$500)+IF($C35="",0,SUMIF('DADOS BRUTOS'!$A$3:$A$500,$C35,'DADOS BRUTOS'!EH$3:EH$500)))</f>
        <v/>
      </c>
      <c r="HI35" s="123">
        <f>IF(OR(HI$4="",$B35=""),0,SUMIF('DADOS BRUTOS'!$A$3:$A$500,$B35,'DADOS BRUTOS'!EI$3:EI$500)+IF($C35="",0,SUMIF('DADOS BRUTOS'!$A$3:$A$500,$C35,'DADOS BRUTOS'!EI$3:EI$500)))</f>
        <v/>
      </c>
      <c r="HJ35" s="123">
        <f>IF(OR(HJ$4="",$B35=""),0,SUMIF('DADOS BRUTOS'!$A$3:$A$500,$B35,'DADOS BRUTOS'!EJ$3:EJ$500)+IF($C35="",0,SUMIF('DADOS BRUTOS'!$A$3:$A$500,$C35,'DADOS BRUTOS'!EJ$3:EJ$500)))</f>
        <v/>
      </c>
      <c r="HK35" s="123">
        <f>IF(OR(HK$4="",$B35=""),0,SUMIF('DADOS BRUTOS'!$A$3:$A$500,$B35,'DADOS BRUTOS'!EK$3:EK$500)+IF($C35="",0,SUMIF('DADOS BRUTOS'!$A$3:$A$500,$C35,'DADOS BRUTOS'!EK$3:EK$500)))</f>
        <v/>
      </c>
      <c r="HL35" s="123">
        <f>IF(OR(HL$4="",$B35=""),0,SUMIF('DADOS BRUTOS'!$A$3:$A$500,$B35,'DADOS BRUTOS'!EL$3:EL$500)+IF($C35="",0,SUMIF('DADOS BRUTOS'!$A$3:$A$500,$C35,'DADOS BRUTOS'!EL$3:EL$500)))</f>
        <v/>
      </c>
      <c r="HM35" s="123">
        <f>IF(OR(HM$4="",$B35=""),0,SUMIF('DADOS BRUTOS'!$A$3:$A$500,$B35,'DADOS BRUTOS'!EM$3:EM$500)+IF($C35="",0,SUMIF('DADOS BRUTOS'!$A$3:$A$500,$C35,'DADOS BRUTOS'!EM$3:EM$500)))</f>
        <v/>
      </c>
      <c r="HN35" s="123">
        <f>IF(OR(HN$4="",$B35=""),0,SUMIF('DADOS BRUTOS'!$A$3:$A$500,$B35,'DADOS BRUTOS'!EN$3:EN$500)+IF($C35="",0,SUMIF('DADOS BRUTOS'!$A$3:$A$500,$C35,'DADOS BRUTOS'!EN$3:EN$500)))</f>
        <v/>
      </c>
      <c r="HO35" s="123">
        <f>IF(OR(HO$4="",$B35=""),0,SUMIF('DADOS BRUTOS'!$A$3:$A$500,$B35,'DADOS BRUTOS'!EO$3:EO$500)+IF($C35="",0,SUMIF('DADOS BRUTOS'!$A$3:$A$500,$C35,'DADOS BRUTOS'!EO$3:EO$500)))</f>
        <v/>
      </c>
      <c r="HP35" s="123">
        <f>IF(OR(HP$4="",$B35=""),0,SUMIF('DADOS BRUTOS'!$A$3:$A$500,$B35,'DADOS BRUTOS'!EP$3:EP$500)+IF($C35="",0,SUMIF('DADOS BRUTOS'!$A$3:$A$500,$C35,'DADOS BRUTOS'!EP$3:EP$500)))</f>
        <v/>
      </c>
      <c r="HQ35" s="123">
        <f>IF(OR(HQ$4="",$B35=""),0,SUMIF('DADOS BRUTOS'!$A$3:$A$500,$B35,'DADOS BRUTOS'!EQ$3:EQ$500)+IF($C35="",0,SUMIF('DADOS BRUTOS'!$A$3:$A$500,$C35,'DADOS BRUTOS'!EQ$3:EQ$500)))</f>
        <v/>
      </c>
      <c r="HR35" s="123">
        <f>IF(OR(HR$4="",$B35=""),0,SUMIF('DADOS BRUTOS'!$A$3:$A$500,$B35,'DADOS BRUTOS'!ER$3:ER$500)+IF($C35="",0,SUMIF('DADOS BRUTOS'!$A$3:$A$500,$C35,'DADOS BRUTOS'!ER$3:ER$500)))</f>
        <v/>
      </c>
      <c r="HS35" s="123">
        <f>IF(OR(HS$4="",$B35=""),0,SUMIF('DADOS BRUTOS'!$A$3:$A$500,$B35,'DADOS BRUTOS'!ES$3:ES$500)+IF($C35="",0,SUMIF('DADOS BRUTOS'!$A$3:$A$500,$C35,'DADOS BRUTOS'!ES$3:ES$500)))</f>
        <v/>
      </c>
      <c r="HT35" s="123">
        <f>IF(OR(HT$4="",$B35=""),0,SUMIF('DADOS BRUTOS'!$A$3:$A$500,$B35,'DADOS BRUTOS'!ET$3:ET$500)+IF($C35="",0,SUMIF('DADOS BRUTOS'!$A$3:$A$500,$C35,'DADOS BRUTOS'!ET$3:ET$500)))</f>
        <v/>
      </c>
      <c r="HU35" s="123">
        <f>IF(OR(HU$4="",$B35=""),0,SUMIF('DADOS BRUTOS'!$A$3:$A$500,$B35,'DADOS BRUTOS'!EU$3:EU$500)+IF($C35="",0,SUMIF('DADOS BRUTOS'!$A$3:$A$500,$C35,'DADOS BRUTOS'!EU$3:EU$500)))</f>
        <v/>
      </c>
      <c r="HV35" s="123">
        <f>IF(OR(HV$4="",$B35=""),0,SUMIF('DADOS BRUTOS'!$A$3:$A$500,$B35,'DADOS BRUTOS'!EV$3:EV$500)+IF($C35="",0,SUMIF('DADOS BRUTOS'!$A$3:$A$500,$C35,'DADOS BRUTOS'!EV$3:EV$500)))</f>
        <v/>
      </c>
      <c r="HW35" s="123">
        <f>IF(OR(HW$4="",$B35=""),0,SUMIF('DADOS BRUTOS'!$A$3:$A$500,$B35,'DADOS BRUTOS'!EW$3:EW$500)+IF($C35="",0,SUMIF('DADOS BRUTOS'!$A$3:$A$500,$C35,'DADOS BRUTOS'!EW$3:EW$500)))</f>
        <v/>
      </c>
      <c r="HX35" s="123">
        <f>IF(OR(HX$4="",$B35=""),0,SUMIF('DADOS BRUTOS'!$A$3:$A$500,$B35,'DADOS BRUTOS'!EX$3:EX$500)+IF($C35="",0,SUMIF('DADOS BRUTOS'!$A$3:$A$500,$C35,'DADOS BRUTOS'!EX$3:EX$500)))</f>
        <v/>
      </c>
      <c r="HY35" s="123">
        <f>IF(OR(HY$4="",$B35=""),0,SUMIF('DADOS BRUTOS'!$A$3:$A$500,$B35,'DADOS BRUTOS'!EY$3:EY$500)+IF($C35="",0,SUMIF('DADOS BRUTOS'!$A$3:$A$500,$C35,'DADOS BRUTOS'!EY$3:EY$500)))</f>
        <v/>
      </c>
      <c r="HZ35" s="123">
        <f>IF(OR(HZ$4="",$B35=""),0,SUMIF('DADOS BRUTOS'!$A$3:$A$500,$B35,'DADOS BRUTOS'!EZ$3:EZ$500)+IF($C35="",0,SUMIF('DADOS BRUTOS'!$A$3:$A$500,$C35,'DADOS BRUTOS'!EZ$3:EZ$500)))</f>
        <v/>
      </c>
      <c r="IA35" s="123">
        <f>IF(OR(IA$4="",$B35=""),0,SUMIF('DADOS BRUTOS'!$A$3:$A$500,$B35,'DADOS BRUTOS'!FA$3:FA$500)+IF($C35="",0,SUMIF('DADOS BRUTOS'!$A$3:$A$500,$C35,'DADOS BRUTOS'!FA$3:FA$500)))</f>
        <v/>
      </c>
      <c r="IB35" s="123">
        <f>IF(OR(IB$4="",$B35=""),0,SUMIF('DADOS BRUTOS'!$A$3:$A$500,$B35,'DADOS BRUTOS'!FB$3:FB$500)+IF($C35="",0,SUMIF('DADOS BRUTOS'!$A$3:$A$500,$C35,'DADOS BRUTOS'!FB$3:FB$500)))</f>
        <v/>
      </c>
      <c r="IC35" s="123">
        <f>IF(OR(IC$4="",$B35=""),0,SUMIF('DADOS BRUTOS'!$A$3:$A$500,$B35,'DADOS BRUTOS'!FC$3:FC$500)+IF($C35="",0,SUMIF('DADOS BRUTOS'!$A$3:$A$500,$C35,'DADOS BRUTOS'!FC$3:FC$500)))</f>
        <v/>
      </c>
      <c r="ID35" s="123">
        <f>IF(OR(ID$4="",$B35=""),0,SUMIF('DADOS BRUTOS'!$A$3:$A$500,$B35,'DADOS BRUTOS'!FD$3:FD$500)+IF($C35="",0,SUMIF('DADOS BRUTOS'!$A$3:$A$500,$C35,'DADOS BRUTOS'!FD$3:FD$500)))</f>
        <v/>
      </c>
      <c r="IE35" s="123">
        <f>IF(OR(IE$4="",$B35=""),0,SUMIF('DADOS BRUTOS'!$A$3:$A$500,$B35,'DADOS BRUTOS'!FE$3:FE$500)+IF($C35="",0,SUMIF('DADOS BRUTOS'!$A$3:$A$500,$C35,'DADOS BRUTOS'!FE$3:FE$500)))</f>
        <v/>
      </c>
      <c r="IF35" s="123">
        <f>IF(OR(IF$4="",$B35=""),0,SUMIF('DADOS BRUTOS'!$A$3:$A$500,$B35,'DADOS BRUTOS'!FF$3:FF$500)+IF($C35="",0,SUMIF('DADOS BRUTOS'!$A$3:$A$500,$C35,'DADOS BRUTOS'!FF$3:FF$500)))</f>
        <v/>
      </c>
      <c r="IG35" s="123">
        <f>IF(OR(IG$4="",$B35=""),0,SUMIF('DADOS BRUTOS'!$A$3:$A$500,$B35,'DADOS BRUTOS'!FG$3:FG$500)+IF($C35="",0,SUMIF('DADOS BRUTOS'!$A$3:$A$500,$C35,'DADOS BRUTOS'!FG$3:FG$500)))</f>
        <v/>
      </c>
      <c r="IH35" s="123">
        <f>IF(OR(IH$4="",$B35=""),0,SUMIF('DADOS BRUTOS'!$A$3:$A$500,$B35,'DADOS BRUTOS'!FH$3:FH$500)+IF($C35="",0,SUMIF('DADOS BRUTOS'!$A$3:$A$500,$C35,'DADOS BRUTOS'!FH$3:FH$500)))</f>
        <v/>
      </c>
      <c r="II35" s="123">
        <f>IF(OR(II$4="",$B35=""),0,SUMIF('DADOS BRUTOS'!$A$3:$A$500,$B35,'DADOS BRUTOS'!FI$3:FI$500)+IF($C35="",0,SUMIF('DADOS BRUTOS'!$A$3:$A$500,$C35,'DADOS BRUTOS'!FI$3:FI$500)))</f>
        <v/>
      </c>
      <c r="IJ35" s="123">
        <f>IF(OR(IJ$4="",$B35=""),0,SUMIF('DADOS BRUTOS'!$A$3:$A$500,$B35,'DADOS BRUTOS'!FJ$3:FJ$500)+IF($C35="",0,SUMIF('DADOS BRUTOS'!$A$3:$A$500,$C35,'DADOS BRUTOS'!FJ$3:FJ$500)))</f>
        <v/>
      </c>
      <c r="IK35" s="123">
        <f>IF(OR(IK$4="",$B35=""),0,SUMIF('DADOS BRUTOS'!$A$3:$A$500,$B35,'DADOS BRUTOS'!FK$3:FK$500)+IF($C35="",0,SUMIF('DADOS BRUTOS'!$A$3:$A$500,$C35,'DADOS BRUTOS'!FK$3:FK$500)))</f>
        <v/>
      </c>
      <c r="IL35" s="123">
        <f>IF(OR(IL$4="",$B35=""),0,SUMIF('DADOS BRUTOS'!$A$3:$A$500,$B35,'DADOS BRUTOS'!FL$3:FL$500)+IF($C35="",0,SUMIF('DADOS BRUTOS'!$A$3:$A$500,$C35,'DADOS BRUTOS'!FL$3:FL$500)))</f>
        <v/>
      </c>
      <c r="IM35" s="123">
        <f>IF(OR(IM$4="",$B35=""),0,SUMIF('DADOS BRUTOS'!$A$3:$A$500,$B35,'DADOS BRUTOS'!FM$3:FM$500)+IF($C35="",0,SUMIF('DADOS BRUTOS'!$A$3:$A$500,$C35,'DADOS BRUTOS'!FM$3:FM$500)))</f>
        <v/>
      </c>
      <c r="IN35" s="123">
        <f>IF(OR(IN$4="",$B35=""),0,SUMIF('DADOS BRUTOS'!$A$3:$A$500,$B35,'DADOS BRUTOS'!FN$3:FN$500)+IF($C35="",0,SUMIF('DADOS BRUTOS'!$A$3:$A$500,$C35,'DADOS BRUTOS'!FN$3:FN$500)))</f>
        <v/>
      </c>
      <c r="IO35" s="123">
        <f>IF(OR(IO$4="",$B35=""),0,SUMIF('DADOS BRUTOS'!$A$3:$A$500,$B35,'DADOS BRUTOS'!FO$3:FO$500)+IF($C35="",0,SUMIF('DADOS BRUTOS'!$A$3:$A$500,$C35,'DADOS BRUTOS'!FO$3:FO$500)))</f>
        <v/>
      </c>
      <c r="IP35" s="123">
        <f>IF(OR(IP$4="",$B35=""),0,SUMIF('DADOS BRUTOS'!$A$3:$A$500,$B35,'DADOS BRUTOS'!FP$3:FP$500)+IF($C35="",0,SUMIF('DADOS BRUTOS'!$A$3:$A$500,$C35,'DADOS BRUTOS'!FP$3:FP$500)))</f>
        <v/>
      </c>
      <c r="IQ35" s="123">
        <f>IF(OR(IQ$4="",$B35=""),0,SUMIF('DADOS BRUTOS'!$A$3:$A$500,$B35,'DADOS BRUTOS'!FQ$3:FQ$500)+IF($C35="",0,SUMIF('DADOS BRUTOS'!$A$3:$A$500,$C35,'DADOS BRUTOS'!FQ$3:FQ$500)))</f>
        <v/>
      </c>
      <c r="IR35" s="123">
        <f>IF(OR(IR$4="",$B35=""),0,SUMIF('DADOS BRUTOS'!$A$3:$A$500,$B35,'DADOS BRUTOS'!FR$3:FR$500)+IF($C35="",0,SUMIF('DADOS BRUTOS'!$A$3:$A$500,$C35,'DADOS BRUTOS'!FR$3:FR$500)))</f>
        <v/>
      </c>
      <c r="IS35" s="123">
        <f>IF(OR(IS$4="",$B35=""),0,SUMIF('DADOS BRUTOS'!$A$3:$A$500,$B35,'DADOS BRUTOS'!FS$3:FS$500)+IF($C35="",0,SUMIF('DADOS BRUTOS'!$A$3:$A$500,$C35,'DADOS BRUTOS'!FS$3:FS$500)))</f>
        <v/>
      </c>
      <c r="IT35" s="123">
        <f>IF(OR(IT$4="",$B35=""),0,SUMIF('DADOS BRUTOS'!$A$3:$A$500,$B35,'DADOS BRUTOS'!FT$3:FT$500)+IF($C35="",0,SUMIF('DADOS BRUTOS'!$A$3:$A$500,$C35,'DADOS BRUTOS'!FT$3:FT$500)))</f>
        <v/>
      </c>
      <c r="IU35" s="123">
        <f>IF(OR(IU$4="",$B35=""),0,SUMIF('DADOS BRUTOS'!$A$3:$A$500,$B35,'DADOS BRUTOS'!FU$3:FU$500)+IF($C35="",0,SUMIF('DADOS BRUTOS'!$A$3:$A$500,$C35,'DADOS BRUTOS'!FU$3:FU$500)))</f>
        <v/>
      </c>
      <c r="IV35" s="123">
        <f>IF(OR(IV$4="",$B35=""),0,SUMIF('DADOS BRUTOS'!$A$3:$A$500,$B35,'DADOS BRUTOS'!FV$3:FV$500)+IF($C35="",0,SUMIF('DADOS BRUTOS'!$A$3:$A$500,$C35,'DADOS BRUTOS'!FV$3:FV$500)))</f>
        <v/>
      </c>
      <c r="IW35" s="123">
        <f>IF(OR(IW$4="",$B35=""),0,SUMIF('DADOS BRUTOS'!$A$3:$A$500,$B35,'DADOS BRUTOS'!FW$3:FW$500)+IF($C35="",0,SUMIF('DADOS BRUTOS'!$A$3:$A$500,$C35,'DADOS BRUTOS'!FW$3:FW$500)))</f>
        <v/>
      </c>
      <c r="IX35" s="123">
        <f>IF(OR(IX$4="",$B35=""),0,SUMIF('DADOS BRUTOS'!$A$3:$A$500,$B35,'DADOS BRUTOS'!FX$3:FX$500)+IF($C35="",0,SUMIF('DADOS BRUTOS'!$A$3:$A$500,$C35,'DADOS BRUTOS'!FX$3:FX$500)))</f>
        <v/>
      </c>
      <c r="IY35" s="123">
        <f>IF(OR(IY$4="",$B35=""),0,SUMIF('DADOS BRUTOS'!$A$3:$A$500,$B35,'DADOS BRUTOS'!FY$3:FY$500)+IF($C35="",0,SUMIF('DADOS BRUTOS'!$A$3:$A$500,$C35,'DADOS BRUTOS'!FY$3:FY$500)))</f>
        <v/>
      </c>
      <c r="IZ35" s="123">
        <f>IF(OR(IZ$4="",$B35=""),0,SUMIF('DADOS BRUTOS'!$A$3:$A$500,$B35,'DADOS BRUTOS'!FZ$3:FZ$500)+IF($C35="",0,SUMIF('DADOS BRUTOS'!$A$3:$A$500,$C35,'DADOS BRUTOS'!FZ$3:FZ$500)))</f>
        <v/>
      </c>
      <c r="JA35" s="123">
        <f>IF(OR(JA$4="",$B35=""),0,SUMIF('DADOS BRUTOS'!$A$3:$A$500,$B35,'DADOS BRUTOS'!GA$3:GA$500)+IF($C35="",0,SUMIF('DADOS BRUTOS'!$A$3:$A$500,$C35,'DADOS BRUTOS'!GA$3:GA$500)))</f>
        <v/>
      </c>
      <c r="JB35" s="123">
        <f>IF(OR(JB$4="",$B35=""),0,SUMIF('DADOS BRUTOS'!$A$3:$A$500,$B35,'DADOS BRUTOS'!GB$3:GB$500)+IF($C35="",0,SUMIF('DADOS BRUTOS'!$A$3:$A$500,$C35,'DADOS BRUTOS'!GB$3:GB$500)))</f>
        <v/>
      </c>
      <c r="JC35" s="123">
        <f>IF(OR(JC$4="",$B35=""),0,SUMIF('DADOS BRUTOS'!$A$3:$A$500,$B35,'DADOS BRUTOS'!GC$3:GC$500)+IF($C35="",0,SUMIF('DADOS BRUTOS'!$A$3:$A$500,$C35,'DADOS BRUTOS'!GC$3:GC$500)))</f>
        <v/>
      </c>
      <c r="JD35" s="123">
        <f>IF(OR(JD$4="",$B35=""),0,SUMIF('DADOS BRUTOS'!$A$3:$A$500,$B35,'DADOS BRUTOS'!GD$3:GD$500)+IF($C35="",0,SUMIF('DADOS BRUTOS'!$A$3:$A$500,$C35,'DADOS BRUTOS'!GD$3:GD$500)))</f>
        <v/>
      </c>
      <c r="JE35" s="123">
        <f>IF(OR(JE$4="",$B35=""),0,SUMIF('DADOS BRUTOS'!$A$3:$A$500,$B35,'DADOS BRUTOS'!GE$3:GE$500)+IF($C35="",0,SUMIF('DADOS BRUTOS'!$A$3:$A$500,$C35,'DADOS BRUTOS'!GE$3:GE$500)))</f>
        <v/>
      </c>
      <c r="JF35" s="123">
        <f>IF(OR(JF$4="",$B35=""),0,SUMIF('DADOS BRUTOS'!$A$3:$A$500,$B35,'DADOS BRUTOS'!GF$3:GF$500)+IF($C35="",0,SUMIF('DADOS BRUTOS'!$A$3:$A$500,$C35,'DADOS BRUTOS'!GF$3:GF$500)))</f>
        <v/>
      </c>
      <c r="JG35" s="123">
        <f>IF(OR(JG$4="",$B35=""),0,SUMIF('DADOS BRUTOS'!$A$3:$A$500,$B35,'DADOS BRUTOS'!GG$3:GG$500)+IF($C35="",0,SUMIF('DADOS BRUTOS'!$A$3:$A$500,$C35,'DADOS BRUTOS'!GG$3:GG$500)))</f>
        <v/>
      </c>
      <c r="JH35" s="123">
        <f>IF(OR(JH$4="",$B35=""),0,SUMIF('DADOS BRUTOS'!$A$3:$A$500,$B35,'DADOS BRUTOS'!GH$3:GH$500)+IF($C35="",0,SUMIF('DADOS BRUTOS'!$A$3:$A$500,$C35,'DADOS BRUTOS'!GH$3:GH$500)))</f>
        <v/>
      </c>
      <c r="JI35" s="123">
        <f>IF(OR(JI$4="",$B35=""),0,SUMIF('DADOS BRUTOS'!$A$3:$A$500,$B35,'DADOS BRUTOS'!GI$3:GI$500)+IF($C35="",0,SUMIF('DADOS BRUTOS'!$A$3:$A$500,$C35,'DADOS BRUTOS'!GI$3:GI$500)))</f>
        <v/>
      </c>
      <c r="JJ35" s="123">
        <f>IF(OR(JJ$4="",$B35=""),0,SUMIF('DADOS BRUTOS'!$A$3:$A$500,$B35,'DADOS BRUTOS'!GJ$3:GJ$500)+IF($C35="",0,SUMIF('DADOS BRUTOS'!$A$3:$A$500,$C35,'DADOS BRUTOS'!GJ$3:GJ$500)))</f>
        <v/>
      </c>
      <c r="JK35" s="123">
        <f>IF(OR(JK$4="",$B35=""),0,SUMIF('DADOS BRUTOS'!$A$3:$A$500,$B35,'DADOS BRUTOS'!GK$3:GK$500)+IF($C35="",0,SUMIF('DADOS BRUTOS'!$A$3:$A$500,$C35,'DADOS BRUTOS'!GK$3:GK$500)))</f>
        <v/>
      </c>
      <c r="JL35" s="123">
        <f>IF(OR(JL$4="",$B35=""),0,SUMIF('DADOS BRUTOS'!$A$3:$A$500,$B35,'DADOS BRUTOS'!GL$3:GL$500)+IF($C35="",0,SUMIF('DADOS BRUTOS'!$A$3:$A$500,$C35,'DADOS BRUTOS'!GL$3:GL$500)))</f>
        <v/>
      </c>
      <c r="JM35" s="123">
        <f>IF(OR(JM$4="",$B35=""),0,SUMIF('DADOS BRUTOS'!$A$3:$A$500,$B35,'DADOS BRUTOS'!GM$3:GM$500)+IF($C35="",0,SUMIF('DADOS BRUTOS'!$A$3:$A$500,$C35,'DADOS BRUTOS'!GM$3:GM$500)))</f>
        <v/>
      </c>
      <c r="JN35" s="123">
        <f>IF(OR(JN$4="",$B35=""),0,SUMIF('DADOS BRUTOS'!$A$3:$A$500,$B35,'DADOS BRUTOS'!GN$3:GN$500)+IF($C35="",0,SUMIF('DADOS BRUTOS'!$A$3:$A$500,$C35,'DADOS BRUTOS'!GN$3:GN$500)))</f>
        <v/>
      </c>
      <c r="JO35" s="123">
        <f>IF(OR(JO$4="",$B35=""),0,SUMIF('DADOS BRUTOS'!$A$3:$A$500,$B35,'DADOS BRUTOS'!GO$3:GO$500)+IF($C35="",0,SUMIF('DADOS BRUTOS'!$A$3:$A$500,$C35,'DADOS BRUTOS'!GO$3:GO$500)))</f>
        <v/>
      </c>
      <c r="JP35" s="123">
        <f>IF(OR(JP$4="",$B35=""),0,SUMIF('DADOS BRUTOS'!$A$3:$A$500,$B35,'DADOS BRUTOS'!GP$3:GP$500)+IF($C35="",0,SUMIF('DADOS BRUTOS'!$A$3:$A$500,$C35,'DADOS BRUTOS'!GP$3:GP$500)))</f>
        <v/>
      </c>
      <c r="JQ35" s="123">
        <f>IF(OR(JQ$4="",$B35=""),0,SUMIF('DADOS BRUTOS'!$A$3:$A$500,$B35,'DADOS BRUTOS'!GQ$3:GQ$500)+IF($C35="",0,SUMIF('DADOS BRUTOS'!$A$3:$A$500,$C35,'DADOS BRUTOS'!GQ$3:GQ$500)))</f>
        <v/>
      </c>
      <c r="JR35" s="123">
        <f>IF(OR(JR$4="",$B35=""),0,SUMIF('DADOS BRUTOS'!$A$3:$A$500,$B35,'DADOS BRUTOS'!GR$3:GR$500)+IF($C35="",0,SUMIF('DADOS BRUTOS'!$A$3:$A$500,$C35,'DADOS BRUTOS'!GR$3:GR$500)))</f>
        <v/>
      </c>
      <c r="JS35" s="123">
        <f>IF(OR(JS$4="",$B35=""),0,SUMIF('DADOS BRUTOS'!$A$3:$A$500,$B35,'DADOS BRUTOS'!GS$3:GS$500)+IF($C35="",0,SUMIF('DADOS BRUTOS'!$A$3:$A$500,$C35,'DADOS BRUTOS'!GS$3:GS$500)))</f>
        <v/>
      </c>
    </row>
    <row r="36">
      <c r="A36" s="60">
        <f>'VALOR POR PL'!D42</f>
        <v/>
      </c>
      <c r="B36" s="59" t="inlineStr">
        <is>
          <t>REVESTIMENTO DIVERSOS   FACHADA</t>
        </is>
      </c>
      <c r="C36" s="59" t="n"/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CB36" s="123">
        <f>IF(OR(CB$4="",$B36=""),0,SUMIF('DADOS BRUTOS'!$A$3:$A$500,$B36,'DADOS BRUTOS'!B$3:B$500)+IF($C36="",0,SUMIF('DADOS BRUTOS'!$A$3:$A$500,$C36,'DADOS BRUTOS'!B$3:B$500)))</f>
        <v/>
      </c>
      <c r="CC36" s="123">
        <f>IF(OR(CC$4="",$B36=""),0,SUMIF('DADOS BRUTOS'!$A$3:$A$500,$B36,'DADOS BRUTOS'!C$3:C$500)+IF($C36="",0,SUMIF('DADOS BRUTOS'!$A$3:$A$500,$C36,'DADOS BRUTOS'!C$3:C$500)))</f>
        <v/>
      </c>
      <c r="CD36" s="123">
        <f>IF(OR(CD$4="",$B36=""),0,SUMIF('DADOS BRUTOS'!$A$3:$A$500,$B36,'DADOS BRUTOS'!D$3:D$500)+IF($C36="",0,SUMIF('DADOS BRUTOS'!$A$3:$A$500,$C36,'DADOS BRUTOS'!D$3:D$500)))</f>
        <v/>
      </c>
      <c r="CE36" s="123">
        <f>IF(OR(CE$4="",$B36=""),0,SUMIF('DADOS BRUTOS'!$A$3:$A$500,$B36,'DADOS BRUTOS'!E$3:E$500)+IF($C36="",0,SUMIF('DADOS BRUTOS'!$A$3:$A$500,$C36,'DADOS BRUTOS'!E$3:E$500)))</f>
        <v/>
      </c>
      <c r="CF36" s="123">
        <f>IF(OR(CF$4="",$B36=""),0,SUMIF('DADOS BRUTOS'!$A$3:$A$500,$B36,'DADOS BRUTOS'!F$3:F$500)+IF($C36="",0,SUMIF('DADOS BRUTOS'!$A$3:$A$500,$C36,'DADOS BRUTOS'!F$3:F$500)))</f>
        <v/>
      </c>
      <c r="CG36" s="123">
        <f>IF(OR(CG$4="",$B36=""),0,SUMIF('DADOS BRUTOS'!$A$3:$A$500,$B36,'DADOS BRUTOS'!G$3:G$500)+IF($C36="",0,SUMIF('DADOS BRUTOS'!$A$3:$A$500,$C36,'DADOS BRUTOS'!G$3:G$500)))</f>
        <v/>
      </c>
      <c r="CH36" s="123">
        <f>IF(OR(CH$4="",$B36=""),0,SUMIF('DADOS BRUTOS'!$A$3:$A$500,$B36,'DADOS BRUTOS'!H$3:H$500)+IF($C36="",0,SUMIF('DADOS BRUTOS'!$A$3:$A$500,$C36,'DADOS BRUTOS'!H$3:H$500)))</f>
        <v/>
      </c>
      <c r="CI36" s="123">
        <f>IF(OR(CI$4="",$B36=""),0,SUMIF('DADOS BRUTOS'!$A$3:$A$500,$B36,'DADOS BRUTOS'!I$3:I$500)+IF($C36="",0,SUMIF('DADOS BRUTOS'!$A$3:$A$500,$C36,'DADOS BRUTOS'!I$3:I$500)))</f>
        <v/>
      </c>
      <c r="CJ36" s="123">
        <f>IF(OR(CJ$4="",$B36=""),0,SUMIF('DADOS BRUTOS'!$A$3:$A$500,$B36,'DADOS BRUTOS'!J$3:J$500)+IF($C36="",0,SUMIF('DADOS BRUTOS'!$A$3:$A$500,$C36,'DADOS BRUTOS'!J$3:J$500)))</f>
        <v/>
      </c>
      <c r="CK36" s="123">
        <f>IF(OR(CK$4="",$B36=""),0,SUMIF('DADOS BRUTOS'!$A$3:$A$500,$B36,'DADOS BRUTOS'!K$3:K$500)+IF($C36="",0,SUMIF('DADOS BRUTOS'!$A$3:$A$500,$C36,'DADOS BRUTOS'!K$3:K$500)))</f>
        <v/>
      </c>
      <c r="CL36" s="123">
        <f>IF(OR(CL$4="",$B36=""),0,SUMIF('DADOS BRUTOS'!$A$3:$A$500,$B36,'DADOS BRUTOS'!L$3:L$500)+IF($C36="",0,SUMIF('DADOS BRUTOS'!$A$3:$A$500,$C36,'DADOS BRUTOS'!L$3:L$500)))</f>
        <v/>
      </c>
      <c r="CM36" s="123">
        <f>IF(OR(CM$4="",$B36=""),0,SUMIF('DADOS BRUTOS'!$A$3:$A$500,$B36,'DADOS BRUTOS'!M$3:M$500)+IF($C36="",0,SUMIF('DADOS BRUTOS'!$A$3:$A$500,$C36,'DADOS BRUTOS'!M$3:M$500)))</f>
        <v/>
      </c>
      <c r="CN36" s="123">
        <f>IF(OR(CN$4="",$B36=""),0,SUMIF('DADOS BRUTOS'!$A$3:$A$500,$B36,'DADOS BRUTOS'!N$3:N$500)+IF($C36="",0,SUMIF('DADOS BRUTOS'!$A$3:$A$500,$C36,'DADOS BRUTOS'!N$3:N$500)))</f>
        <v/>
      </c>
      <c r="CO36" s="123">
        <f>IF(OR(CO$4="",$B36=""),0,SUMIF('DADOS BRUTOS'!$A$3:$A$500,$B36,'DADOS BRUTOS'!O$3:O$500)+IF($C36="",0,SUMIF('DADOS BRUTOS'!$A$3:$A$500,$C36,'DADOS BRUTOS'!O$3:O$500)))</f>
        <v/>
      </c>
      <c r="CP36" s="123">
        <f>IF(OR(CP$4="",$B36=""),0,SUMIF('DADOS BRUTOS'!$A$3:$A$500,$B36,'DADOS BRUTOS'!P$3:P$500)+IF($C36="",0,SUMIF('DADOS BRUTOS'!$A$3:$A$500,$C36,'DADOS BRUTOS'!P$3:P$500)))</f>
        <v/>
      </c>
      <c r="CQ36" s="123">
        <f>IF(OR(CQ$4="",$B36=""),0,SUMIF('DADOS BRUTOS'!$A$3:$A$500,$B36,'DADOS BRUTOS'!Q$3:Q$500)+IF($C36="",0,SUMIF('DADOS BRUTOS'!$A$3:$A$500,$C36,'DADOS BRUTOS'!Q$3:Q$500)))</f>
        <v/>
      </c>
      <c r="CR36" s="123">
        <f>IF(OR(CR$4="",$B36=""),0,SUMIF('DADOS BRUTOS'!$A$3:$A$500,$B36,'DADOS BRUTOS'!R$3:R$500)+IF($C36="",0,SUMIF('DADOS BRUTOS'!$A$3:$A$500,$C36,'DADOS BRUTOS'!R$3:R$500)))</f>
        <v/>
      </c>
      <c r="CS36" s="123">
        <f>IF(OR(CS$4="",$B36=""),0,SUMIF('DADOS BRUTOS'!$A$3:$A$500,$B36,'DADOS BRUTOS'!S$3:S$500)+IF($C36="",0,SUMIF('DADOS BRUTOS'!$A$3:$A$500,$C36,'DADOS BRUTOS'!S$3:S$500)))</f>
        <v/>
      </c>
      <c r="CT36" s="123">
        <f>IF(OR(CT$4="",$B36=""),0,SUMIF('DADOS BRUTOS'!$A$3:$A$500,$B36,'DADOS BRUTOS'!T$3:T$500)+IF($C36="",0,SUMIF('DADOS BRUTOS'!$A$3:$A$500,$C36,'DADOS BRUTOS'!T$3:T$500)))</f>
        <v/>
      </c>
      <c r="CU36" s="123">
        <f>IF(OR(CU$4="",$B36=""),0,SUMIF('DADOS BRUTOS'!$A$3:$A$500,$B36,'DADOS BRUTOS'!U$3:U$500)+IF($C36="",0,SUMIF('DADOS BRUTOS'!$A$3:$A$500,$C36,'DADOS BRUTOS'!U$3:U$500)))</f>
        <v/>
      </c>
      <c r="CV36" s="123">
        <f>IF(OR(CV$4="",$B36=""),0,SUMIF('DADOS BRUTOS'!$A$3:$A$500,$B36,'DADOS BRUTOS'!V$3:V$500)+IF($C36="",0,SUMIF('DADOS BRUTOS'!$A$3:$A$500,$C36,'DADOS BRUTOS'!V$3:V$500)))</f>
        <v/>
      </c>
      <c r="CW36" s="123">
        <f>IF(OR(CW$4="",$B36=""),0,SUMIF('DADOS BRUTOS'!$A$3:$A$500,$B36,'DADOS BRUTOS'!W$3:W$500)+IF($C36="",0,SUMIF('DADOS BRUTOS'!$A$3:$A$500,$C36,'DADOS BRUTOS'!W$3:W$500)))</f>
        <v/>
      </c>
      <c r="CX36" s="123">
        <f>IF(OR(CX$4="",$B36=""),0,SUMIF('DADOS BRUTOS'!$A$3:$A$500,$B36,'DADOS BRUTOS'!X$3:X$500)+IF($C36="",0,SUMIF('DADOS BRUTOS'!$A$3:$A$500,$C36,'DADOS BRUTOS'!X$3:X$500)))</f>
        <v/>
      </c>
      <c r="CY36" s="123">
        <f>IF(OR(CY$4="",$B36=""),0,SUMIF('DADOS BRUTOS'!$A$3:$A$500,$B36,'DADOS BRUTOS'!Y$3:Y$500)+IF($C36="",0,SUMIF('DADOS BRUTOS'!$A$3:$A$500,$C36,'DADOS BRUTOS'!Y$3:Y$500)))</f>
        <v/>
      </c>
      <c r="CZ36" s="123">
        <f>IF(OR(CZ$4="",$B36=""),0,SUMIF('DADOS BRUTOS'!$A$3:$A$500,$B36,'DADOS BRUTOS'!Z$3:Z$500)+IF($C36="",0,SUMIF('DADOS BRUTOS'!$A$3:$A$500,$C36,'DADOS BRUTOS'!Z$3:Z$500)))</f>
        <v/>
      </c>
      <c r="DA36" s="123">
        <f>IF(OR(DA$4="",$B36=""),0,SUMIF('DADOS BRUTOS'!$A$3:$A$500,$B36,'DADOS BRUTOS'!AA$3:AA$500)+IF($C36="",0,SUMIF('DADOS BRUTOS'!$A$3:$A$500,$C36,'DADOS BRUTOS'!AA$3:AA$500)))</f>
        <v/>
      </c>
      <c r="DB36" s="123">
        <f>IF(OR(DB$4="",$B36=""),0,SUMIF('DADOS BRUTOS'!$A$3:$A$500,$B36,'DADOS BRUTOS'!AB$3:AB$500)+IF($C36="",0,SUMIF('DADOS BRUTOS'!$A$3:$A$500,$C36,'DADOS BRUTOS'!AB$3:AB$500)))</f>
        <v/>
      </c>
      <c r="DC36" s="123">
        <f>IF(OR(DC$4="",$B36=""),0,SUMIF('DADOS BRUTOS'!$A$3:$A$500,$B36,'DADOS BRUTOS'!AC$3:AC$500)+IF($C36="",0,SUMIF('DADOS BRUTOS'!$A$3:$A$500,$C36,'DADOS BRUTOS'!AC$3:AC$500)))</f>
        <v/>
      </c>
      <c r="DD36" s="123">
        <f>IF(OR(DD$4="",$B36=""),0,SUMIF('DADOS BRUTOS'!$A$3:$A$500,$B36,'DADOS BRUTOS'!AD$3:AD$500)+IF($C36="",0,SUMIF('DADOS BRUTOS'!$A$3:$A$500,$C36,'DADOS BRUTOS'!AD$3:AD$500)))</f>
        <v/>
      </c>
      <c r="DE36" s="123">
        <f>IF(OR(DE$4="",$B36=""),0,SUMIF('DADOS BRUTOS'!$A$3:$A$500,$B36,'DADOS BRUTOS'!AE$3:AE$500)+IF($C36="",0,SUMIF('DADOS BRUTOS'!$A$3:$A$500,$C36,'DADOS BRUTOS'!AE$3:AE$500)))</f>
        <v/>
      </c>
      <c r="DF36" s="123">
        <f>IF(OR(DF$4="",$B36=""),0,SUMIF('DADOS BRUTOS'!$A$3:$A$500,$B36,'DADOS BRUTOS'!AF$3:AF$500)+IF($C36="",0,SUMIF('DADOS BRUTOS'!$A$3:$A$500,$C36,'DADOS BRUTOS'!AF$3:AF$500)))</f>
        <v/>
      </c>
      <c r="DG36" s="123">
        <f>IF(OR(DG$4="",$B36=""),0,SUMIF('DADOS BRUTOS'!$A$3:$A$500,$B36,'DADOS BRUTOS'!AG$3:AG$500)+IF($C36="",0,SUMIF('DADOS BRUTOS'!$A$3:$A$500,$C36,'DADOS BRUTOS'!AG$3:AG$500)))</f>
        <v/>
      </c>
      <c r="DH36" s="123">
        <f>IF(OR(DH$4="",$B36=""),0,SUMIF('DADOS BRUTOS'!$A$3:$A$500,$B36,'DADOS BRUTOS'!AH$3:AH$500)+IF($C36="",0,SUMIF('DADOS BRUTOS'!$A$3:$A$500,$C36,'DADOS BRUTOS'!AH$3:AH$500)))</f>
        <v/>
      </c>
      <c r="DI36" s="123">
        <f>IF(OR(DI$4="",$B36=""),0,SUMIF('DADOS BRUTOS'!$A$3:$A$500,$B36,'DADOS BRUTOS'!AI$3:AI$500)+IF($C36="",0,SUMIF('DADOS BRUTOS'!$A$3:$A$500,$C36,'DADOS BRUTOS'!AI$3:AI$500)))</f>
        <v/>
      </c>
      <c r="DJ36" s="123">
        <f>IF(OR(DJ$4="",$B36=""),0,SUMIF('DADOS BRUTOS'!$A$3:$A$500,$B36,'DADOS BRUTOS'!AJ$3:AJ$500)+IF($C36="",0,SUMIF('DADOS BRUTOS'!$A$3:$A$500,$C36,'DADOS BRUTOS'!AJ$3:AJ$500)))</f>
        <v/>
      </c>
      <c r="DK36" s="123">
        <f>IF(OR(DK$4="",$B36=""),0,SUMIF('DADOS BRUTOS'!$A$3:$A$500,$B36,'DADOS BRUTOS'!AK$3:AK$500)+IF($C36="",0,SUMIF('DADOS BRUTOS'!$A$3:$A$500,$C36,'DADOS BRUTOS'!AK$3:AK$500)))</f>
        <v/>
      </c>
      <c r="DL36" s="123">
        <f>IF(OR(DL$4="",$B36=""),0,SUMIF('DADOS BRUTOS'!$A$3:$A$500,$B36,'DADOS BRUTOS'!AL$3:AL$500)+IF($C36="",0,SUMIF('DADOS BRUTOS'!$A$3:$A$500,$C36,'DADOS BRUTOS'!AL$3:AL$500)))</f>
        <v/>
      </c>
      <c r="DM36" s="123">
        <f>IF(OR(DM$4="",$B36=""),0,SUMIF('DADOS BRUTOS'!$A$3:$A$500,$B36,'DADOS BRUTOS'!AM$3:AM$500)+IF($C36="",0,SUMIF('DADOS BRUTOS'!$A$3:$A$500,$C36,'DADOS BRUTOS'!AM$3:AM$500)))</f>
        <v/>
      </c>
      <c r="DN36" s="123">
        <f>IF(OR(DN$4="",$B36=""),0,SUMIF('DADOS BRUTOS'!$A$3:$A$500,$B36,'DADOS BRUTOS'!AN$3:AN$500)+IF($C36="",0,SUMIF('DADOS BRUTOS'!$A$3:$A$500,$C36,'DADOS BRUTOS'!AN$3:AN$500)))</f>
        <v/>
      </c>
      <c r="DO36" s="123">
        <f>IF(OR(DO$4="",$B36=""),0,SUMIF('DADOS BRUTOS'!$A$3:$A$500,$B36,'DADOS BRUTOS'!AO$3:AO$500)+IF($C36="",0,SUMIF('DADOS BRUTOS'!$A$3:$A$500,$C36,'DADOS BRUTOS'!AO$3:AO$500)))</f>
        <v/>
      </c>
      <c r="DP36" s="123">
        <f>IF(OR(DP$4="",$B36=""),0,SUMIF('DADOS BRUTOS'!$A$3:$A$500,$B36,'DADOS BRUTOS'!AP$3:AP$500)+IF($C36="",0,SUMIF('DADOS BRUTOS'!$A$3:$A$500,$C36,'DADOS BRUTOS'!AP$3:AP$500)))</f>
        <v/>
      </c>
      <c r="DQ36" s="123">
        <f>IF(OR(DQ$4="",$B36=""),0,SUMIF('DADOS BRUTOS'!$A$3:$A$500,$B36,'DADOS BRUTOS'!AQ$3:AQ$500)+IF($C36="",0,SUMIF('DADOS BRUTOS'!$A$3:$A$500,$C36,'DADOS BRUTOS'!AQ$3:AQ$500)))</f>
        <v/>
      </c>
      <c r="DR36" s="123">
        <f>IF(OR(DR$4="",$B36=""),0,SUMIF('DADOS BRUTOS'!$A$3:$A$500,$B36,'DADOS BRUTOS'!AR$3:AR$500)+IF($C36="",0,SUMIF('DADOS BRUTOS'!$A$3:$A$500,$C36,'DADOS BRUTOS'!AR$3:AR$500)))</f>
        <v/>
      </c>
      <c r="DS36" s="123">
        <f>IF(OR(DS$4="",$B36=""),0,SUMIF('DADOS BRUTOS'!$A$3:$A$500,$B36,'DADOS BRUTOS'!AS$3:AS$500)+IF($C36="",0,SUMIF('DADOS BRUTOS'!$A$3:$A$500,$C36,'DADOS BRUTOS'!AS$3:AS$500)))</f>
        <v/>
      </c>
      <c r="DT36" s="123">
        <f>IF(OR(DT$4="",$B36=""),0,SUMIF('DADOS BRUTOS'!$A$3:$A$500,$B36,'DADOS BRUTOS'!AT$3:AT$500)+IF($C36="",0,SUMIF('DADOS BRUTOS'!$A$3:$A$500,$C36,'DADOS BRUTOS'!AT$3:AT$500)))</f>
        <v/>
      </c>
      <c r="DU36" s="123">
        <f>IF(OR(DU$4="",$B36=""),0,SUMIF('DADOS BRUTOS'!$A$3:$A$500,$B36,'DADOS BRUTOS'!AU$3:AU$500)+IF($C36="",0,SUMIF('DADOS BRUTOS'!$A$3:$A$500,$C36,'DADOS BRUTOS'!AU$3:AU$500)))</f>
        <v/>
      </c>
      <c r="DV36" s="123">
        <f>IF(OR(DV$4="",$B36=""),0,SUMIF('DADOS BRUTOS'!$A$3:$A$500,$B36,'DADOS BRUTOS'!AV$3:AV$500)+IF($C36="",0,SUMIF('DADOS BRUTOS'!$A$3:$A$500,$C36,'DADOS BRUTOS'!AV$3:AV$500)))</f>
        <v/>
      </c>
      <c r="DW36" s="123">
        <f>IF(OR(DW$4="",$B36=""),0,SUMIF('DADOS BRUTOS'!$A$3:$A$500,$B36,'DADOS BRUTOS'!AW$3:AW$500)+IF($C36="",0,SUMIF('DADOS BRUTOS'!$A$3:$A$500,$C36,'DADOS BRUTOS'!AW$3:AW$500)))</f>
        <v/>
      </c>
      <c r="DX36" s="123">
        <f>IF(OR(DX$4="",$B36=""),0,SUMIF('DADOS BRUTOS'!$A$3:$A$500,$B36,'DADOS BRUTOS'!AX$3:AX$500)+IF($C36="",0,SUMIF('DADOS BRUTOS'!$A$3:$A$500,$C36,'DADOS BRUTOS'!AX$3:AX$500)))</f>
        <v/>
      </c>
      <c r="DY36" s="123">
        <f>IF(OR(DY$4="",$B36=""),0,SUMIF('DADOS BRUTOS'!$A$3:$A$500,$B36,'DADOS BRUTOS'!AY$3:AY$500)+IF($C36="",0,SUMIF('DADOS BRUTOS'!$A$3:$A$500,$C36,'DADOS BRUTOS'!AY$3:AY$500)))</f>
        <v/>
      </c>
      <c r="DZ36" s="123">
        <f>IF(OR(DZ$4="",$B36=""),0,SUMIF('DADOS BRUTOS'!$A$3:$A$500,$B36,'DADOS BRUTOS'!AZ$3:AZ$500)+IF($C36="",0,SUMIF('DADOS BRUTOS'!$A$3:$A$500,$C36,'DADOS BRUTOS'!AZ$3:AZ$500)))</f>
        <v/>
      </c>
      <c r="EA36" s="123">
        <f>IF(OR(EA$4="",$B36=""),0,SUMIF('DADOS BRUTOS'!$A$3:$A$500,$B36,'DADOS BRUTOS'!BA$3:BA$500)+IF($C36="",0,SUMIF('DADOS BRUTOS'!$A$3:$A$500,$C36,'DADOS BRUTOS'!BA$3:BA$500)))</f>
        <v/>
      </c>
      <c r="EB36" s="123">
        <f>IF(OR(EB$4="",$B36=""),0,SUMIF('DADOS BRUTOS'!$A$3:$A$500,$B36,'DADOS BRUTOS'!BB$3:BB$500)+IF($C36="",0,SUMIF('DADOS BRUTOS'!$A$3:$A$500,$C36,'DADOS BRUTOS'!BB$3:BB$500)))</f>
        <v/>
      </c>
      <c r="EC36" s="123">
        <f>IF(OR(EC$4="",$B36=""),0,SUMIF('DADOS BRUTOS'!$A$3:$A$500,$B36,'DADOS BRUTOS'!BC$3:BC$500)+IF($C36="",0,SUMIF('DADOS BRUTOS'!$A$3:$A$500,$C36,'DADOS BRUTOS'!BC$3:BC$500)))</f>
        <v/>
      </c>
      <c r="ED36" s="123">
        <f>IF(OR(ED$4="",$B36=""),0,SUMIF('DADOS BRUTOS'!$A$3:$A$500,$B36,'DADOS BRUTOS'!BD$3:BD$500)+IF($C36="",0,SUMIF('DADOS BRUTOS'!$A$3:$A$500,$C36,'DADOS BRUTOS'!BD$3:BD$500)))</f>
        <v/>
      </c>
      <c r="EE36" s="123">
        <f>IF(OR(EE$4="",$B36=""),0,SUMIF('DADOS BRUTOS'!$A$3:$A$500,$B36,'DADOS BRUTOS'!BE$3:BE$500)+IF($C36="",0,SUMIF('DADOS BRUTOS'!$A$3:$A$500,$C36,'DADOS BRUTOS'!BE$3:BE$500)))</f>
        <v/>
      </c>
      <c r="EF36" s="123">
        <f>IF(OR(EF$4="",$B36=""),0,SUMIF('DADOS BRUTOS'!$A$3:$A$500,$B36,'DADOS BRUTOS'!BF$3:BF$500)+IF($C36="",0,SUMIF('DADOS BRUTOS'!$A$3:$A$500,$C36,'DADOS BRUTOS'!BF$3:BF$500)))</f>
        <v/>
      </c>
      <c r="EG36" s="123">
        <f>IF(OR(EG$4="",$B36=""),0,SUMIF('DADOS BRUTOS'!$A$3:$A$500,$B36,'DADOS BRUTOS'!BG$3:BG$500)+IF($C36="",0,SUMIF('DADOS BRUTOS'!$A$3:$A$500,$C36,'DADOS BRUTOS'!BG$3:BG$500)))</f>
        <v/>
      </c>
      <c r="EH36" s="123">
        <f>IF(OR(EH$4="",$B36=""),0,SUMIF('DADOS BRUTOS'!$A$3:$A$500,$B36,'DADOS BRUTOS'!BH$3:BH$500)+IF($C36="",0,SUMIF('DADOS BRUTOS'!$A$3:$A$500,$C36,'DADOS BRUTOS'!BH$3:BH$500)))</f>
        <v/>
      </c>
      <c r="EI36" s="123">
        <f>IF(OR(EI$4="",$B36=""),0,SUMIF('DADOS BRUTOS'!$A$3:$A$500,$B36,'DADOS BRUTOS'!BI$3:BI$500)+IF($C36="",0,SUMIF('DADOS BRUTOS'!$A$3:$A$500,$C36,'DADOS BRUTOS'!BI$3:BI$500)))</f>
        <v/>
      </c>
      <c r="EJ36" s="123">
        <f>IF(OR(EJ$4="",$B36=""),0,SUMIF('DADOS BRUTOS'!$A$3:$A$500,$B36,'DADOS BRUTOS'!BJ$3:BJ$500)+IF($C36="",0,SUMIF('DADOS BRUTOS'!$A$3:$A$500,$C36,'DADOS BRUTOS'!BJ$3:BJ$500)))</f>
        <v/>
      </c>
      <c r="EK36" s="123">
        <f>IF(OR(EK$4="",$B36=""),0,SUMIF('DADOS BRUTOS'!$A$3:$A$500,$B36,'DADOS BRUTOS'!BK$3:BK$500)+IF($C36="",0,SUMIF('DADOS BRUTOS'!$A$3:$A$500,$C36,'DADOS BRUTOS'!BK$3:BK$500)))</f>
        <v/>
      </c>
      <c r="EL36" s="123">
        <f>IF(OR(EL$4="",$B36=""),0,SUMIF('DADOS BRUTOS'!$A$3:$A$500,$B36,'DADOS BRUTOS'!BL$3:BL$500)+IF($C36="",0,SUMIF('DADOS BRUTOS'!$A$3:$A$500,$C36,'DADOS BRUTOS'!BL$3:BL$500)))</f>
        <v/>
      </c>
      <c r="EM36" s="123">
        <f>IF(OR(EM$4="",$B36=""),0,SUMIF('DADOS BRUTOS'!$A$3:$A$500,$B36,'DADOS BRUTOS'!BM$3:BM$500)+IF($C36="",0,SUMIF('DADOS BRUTOS'!$A$3:$A$500,$C36,'DADOS BRUTOS'!BM$3:BM$500)))</f>
        <v/>
      </c>
      <c r="EN36" s="123">
        <f>IF(OR(EN$4="",$B36=""),0,SUMIF('DADOS BRUTOS'!$A$3:$A$500,$B36,'DADOS BRUTOS'!BN$3:BN$500)+IF($C36="",0,SUMIF('DADOS BRUTOS'!$A$3:$A$500,$C36,'DADOS BRUTOS'!BN$3:BN$500)))</f>
        <v/>
      </c>
      <c r="EO36" s="123">
        <f>IF(OR(EO$4="",$B36=""),0,SUMIF('DADOS BRUTOS'!$A$3:$A$500,$B36,'DADOS BRUTOS'!BO$3:BO$500)+IF($C36="",0,SUMIF('DADOS BRUTOS'!$A$3:$A$500,$C36,'DADOS BRUTOS'!BO$3:BO$500)))</f>
        <v/>
      </c>
      <c r="EP36" s="123">
        <f>IF(OR(EP$4="",$B36=""),0,SUMIF('DADOS BRUTOS'!$A$3:$A$500,$B36,'DADOS BRUTOS'!BP$3:BP$500)+IF($C36="",0,SUMIF('DADOS BRUTOS'!$A$3:$A$500,$C36,'DADOS BRUTOS'!BP$3:BP$500)))</f>
        <v/>
      </c>
      <c r="EQ36" s="123">
        <f>IF(OR(EQ$4="",$B36=""),0,SUMIF('DADOS BRUTOS'!$A$3:$A$500,$B36,'DADOS BRUTOS'!BQ$3:BQ$500)+IF($C36="",0,SUMIF('DADOS BRUTOS'!$A$3:$A$500,$C36,'DADOS BRUTOS'!BQ$3:BQ$500)))</f>
        <v/>
      </c>
      <c r="ER36" s="123">
        <f>IF(OR(ER$4="",$B36=""),0,SUMIF('DADOS BRUTOS'!$A$3:$A$500,$B36,'DADOS BRUTOS'!BR$3:BR$500)+IF($C36="",0,SUMIF('DADOS BRUTOS'!$A$3:$A$500,$C36,'DADOS BRUTOS'!BR$3:BR$500)))</f>
        <v/>
      </c>
      <c r="ES36" s="123">
        <f>IF(OR(ES$4="",$B36=""),0,SUMIF('DADOS BRUTOS'!$A$3:$A$500,$B36,'DADOS BRUTOS'!BS$3:BS$500)+IF($C36="",0,SUMIF('DADOS BRUTOS'!$A$3:$A$500,$C36,'DADOS BRUTOS'!BS$3:BS$500)))</f>
        <v/>
      </c>
      <c r="ET36" s="123">
        <f>IF(OR(ET$4="",$B36=""),0,SUMIF('DADOS BRUTOS'!$A$3:$A$500,$B36,'DADOS BRUTOS'!BT$3:BT$500)+IF($C36="",0,SUMIF('DADOS BRUTOS'!$A$3:$A$500,$C36,'DADOS BRUTOS'!BT$3:BT$500)))</f>
        <v/>
      </c>
      <c r="EU36" s="123">
        <f>IF(OR(EU$4="",$B36=""),0,SUMIF('DADOS BRUTOS'!$A$3:$A$500,$B36,'DADOS BRUTOS'!BU$3:BU$500)+IF($C36="",0,SUMIF('DADOS BRUTOS'!$A$3:$A$500,$C36,'DADOS BRUTOS'!BU$3:BU$500)))</f>
        <v/>
      </c>
      <c r="EV36" s="123">
        <f>IF(OR(EV$4="",$B36=""),0,SUMIF('DADOS BRUTOS'!$A$3:$A$500,$B36,'DADOS BRUTOS'!BV$3:BV$500)+IF($C36="",0,SUMIF('DADOS BRUTOS'!$A$3:$A$500,$C36,'DADOS BRUTOS'!BV$3:BV$500)))</f>
        <v/>
      </c>
      <c r="EW36" s="123">
        <f>IF(OR(EW$4="",$B36=""),0,SUMIF('DADOS BRUTOS'!$A$3:$A$500,$B36,'DADOS BRUTOS'!BW$3:BW$500)+IF($C36="",0,SUMIF('DADOS BRUTOS'!$A$3:$A$500,$C36,'DADOS BRUTOS'!BW$3:BW$500)))</f>
        <v/>
      </c>
      <c r="EX36" s="123">
        <f>IF(OR(EX$4="",$B36=""),0,SUMIF('DADOS BRUTOS'!$A$3:$A$500,$B36,'DADOS BRUTOS'!BX$3:BX$500)+IF($C36="",0,SUMIF('DADOS BRUTOS'!$A$3:$A$500,$C36,'DADOS BRUTOS'!BX$3:BX$500)))</f>
        <v/>
      </c>
      <c r="EY36" s="123">
        <f>IF(OR(EY$4="",$B36=""),0,SUMIF('DADOS BRUTOS'!$A$3:$A$500,$B36,'DADOS BRUTOS'!BY$3:BY$500)+IF($C36="",0,SUMIF('DADOS BRUTOS'!$A$3:$A$500,$C36,'DADOS BRUTOS'!BY$3:BY$500)))</f>
        <v/>
      </c>
      <c r="EZ36" s="123">
        <f>IF(OR(EZ$4="",$B36=""),0,SUMIF('DADOS BRUTOS'!$A$3:$A$500,$B36,'DADOS BRUTOS'!BZ$3:BZ$500)+IF($C36="",0,SUMIF('DADOS BRUTOS'!$A$3:$A$500,$C36,'DADOS BRUTOS'!BZ$3:BZ$500)))</f>
        <v/>
      </c>
      <c r="FA36" s="123">
        <f>IF(OR(FA$4="",$B36=""),0,SUMIF('DADOS BRUTOS'!$A$3:$A$500,$B36,'DADOS BRUTOS'!CA$3:CA$500)+IF($C36="",0,SUMIF('DADOS BRUTOS'!$A$3:$A$500,$C36,'DADOS BRUTOS'!CA$3:CA$500)))</f>
        <v/>
      </c>
      <c r="FB36" s="123">
        <f>IF(OR(FB$4="",$B36=""),0,SUMIF('DADOS BRUTOS'!$A$3:$A$500,$B36,'DADOS BRUTOS'!CB$3:CB$500)+IF($C36="",0,SUMIF('DADOS BRUTOS'!$A$3:$A$500,$C36,'DADOS BRUTOS'!CB$3:CB$500)))</f>
        <v/>
      </c>
      <c r="FC36" s="123">
        <f>IF(OR(FC$4="",$B36=""),0,SUMIF('DADOS BRUTOS'!$A$3:$A$500,$B36,'DADOS BRUTOS'!CC$3:CC$500)+IF($C36="",0,SUMIF('DADOS BRUTOS'!$A$3:$A$500,$C36,'DADOS BRUTOS'!CC$3:CC$500)))</f>
        <v/>
      </c>
      <c r="FD36" s="123">
        <f>IF(OR(FD$4="",$B36=""),0,SUMIF('DADOS BRUTOS'!$A$3:$A$500,$B36,'DADOS BRUTOS'!CD$3:CD$500)+IF($C36="",0,SUMIF('DADOS BRUTOS'!$A$3:$A$500,$C36,'DADOS BRUTOS'!CD$3:CD$500)))</f>
        <v/>
      </c>
      <c r="FE36" s="123">
        <f>IF(OR(FE$4="",$B36=""),0,SUMIF('DADOS BRUTOS'!$A$3:$A$500,$B36,'DADOS BRUTOS'!CE$3:CE$500)+IF($C36="",0,SUMIF('DADOS BRUTOS'!$A$3:$A$500,$C36,'DADOS BRUTOS'!CE$3:CE$500)))</f>
        <v/>
      </c>
      <c r="FF36" s="123">
        <f>IF(OR(FF$4="",$B36=""),0,SUMIF('DADOS BRUTOS'!$A$3:$A$500,$B36,'DADOS BRUTOS'!CF$3:CF$500)+IF($C36="",0,SUMIF('DADOS BRUTOS'!$A$3:$A$500,$C36,'DADOS BRUTOS'!CF$3:CF$500)))</f>
        <v/>
      </c>
      <c r="FG36" s="123">
        <f>IF(OR(FG$4="",$B36=""),0,SUMIF('DADOS BRUTOS'!$A$3:$A$500,$B36,'DADOS BRUTOS'!CG$3:CG$500)+IF($C36="",0,SUMIF('DADOS BRUTOS'!$A$3:$A$500,$C36,'DADOS BRUTOS'!CG$3:CG$500)))</f>
        <v/>
      </c>
      <c r="FH36" s="123">
        <f>IF(OR(FH$4="",$B36=""),0,SUMIF('DADOS BRUTOS'!$A$3:$A$500,$B36,'DADOS BRUTOS'!CH$3:CH$500)+IF($C36="",0,SUMIF('DADOS BRUTOS'!$A$3:$A$500,$C36,'DADOS BRUTOS'!CH$3:CH$500)))</f>
        <v/>
      </c>
      <c r="FI36" s="123">
        <f>IF(OR(FI$4="",$B36=""),0,SUMIF('DADOS BRUTOS'!$A$3:$A$500,$B36,'DADOS BRUTOS'!CI$3:CI$500)+IF($C36="",0,SUMIF('DADOS BRUTOS'!$A$3:$A$500,$C36,'DADOS BRUTOS'!CI$3:CI$500)))</f>
        <v/>
      </c>
      <c r="FJ36" s="123">
        <f>IF(OR(FJ$4="",$B36=""),0,SUMIF('DADOS BRUTOS'!$A$3:$A$500,$B36,'DADOS BRUTOS'!CJ$3:CJ$500)+IF($C36="",0,SUMIF('DADOS BRUTOS'!$A$3:$A$500,$C36,'DADOS BRUTOS'!CJ$3:CJ$500)))</f>
        <v/>
      </c>
      <c r="FK36" s="123">
        <f>IF(OR(FK$4="",$B36=""),0,SUMIF('DADOS BRUTOS'!$A$3:$A$500,$B36,'DADOS BRUTOS'!CK$3:CK$500)+IF($C36="",0,SUMIF('DADOS BRUTOS'!$A$3:$A$500,$C36,'DADOS BRUTOS'!CK$3:CK$500)))</f>
        <v/>
      </c>
      <c r="FL36" s="123">
        <f>IF(OR(FL$4="",$B36=""),0,SUMIF('DADOS BRUTOS'!$A$3:$A$500,$B36,'DADOS BRUTOS'!CL$3:CL$500)+IF($C36="",0,SUMIF('DADOS BRUTOS'!$A$3:$A$500,$C36,'DADOS BRUTOS'!CL$3:CL$500)))</f>
        <v/>
      </c>
      <c r="FM36" s="123">
        <f>IF(OR(FM$4="",$B36=""),0,SUMIF('DADOS BRUTOS'!$A$3:$A$500,$B36,'DADOS BRUTOS'!CM$3:CM$500)+IF($C36="",0,SUMIF('DADOS BRUTOS'!$A$3:$A$500,$C36,'DADOS BRUTOS'!CM$3:CM$500)))</f>
        <v/>
      </c>
      <c r="FN36" s="123">
        <f>IF(OR(FN$4="",$B36=""),0,SUMIF('DADOS BRUTOS'!$A$3:$A$500,$B36,'DADOS BRUTOS'!CN$3:CN$500)+IF($C36="",0,SUMIF('DADOS BRUTOS'!$A$3:$A$500,$C36,'DADOS BRUTOS'!CN$3:CN$500)))</f>
        <v/>
      </c>
      <c r="FO36" s="123">
        <f>IF(OR(FO$4="",$B36=""),0,SUMIF('DADOS BRUTOS'!$A$3:$A$500,$B36,'DADOS BRUTOS'!CO$3:CO$500)+IF($C36="",0,SUMIF('DADOS BRUTOS'!$A$3:$A$500,$C36,'DADOS BRUTOS'!CO$3:CO$500)))</f>
        <v/>
      </c>
      <c r="FP36" s="123">
        <f>IF(OR(FP$4="",$B36=""),0,SUMIF('DADOS BRUTOS'!$A$3:$A$500,$B36,'DADOS BRUTOS'!CP$3:CP$500)+IF($C36="",0,SUMIF('DADOS BRUTOS'!$A$3:$A$500,$C36,'DADOS BRUTOS'!CP$3:CP$500)))</f>
        <v/>
      </c>
      <c r="FQ36" s="123">
        <f>IF(OR(FQ$4="",$B36=""),0,SUMIF('DADOS BRUTOS'!$A$3:$A$500,$B36,'DADOS BRUTOS'!CQ$3:CQ$500)+IF($C36="",0,SUMIF('DADOS BRUTOS'!$A$3:$A$500,$C36,'DADOS BRUTOS'!CQ$3:CQ$500)))</f>
        <v/>
      </c>
      <c r="FR36" s="123">
        <f>IF(OR(FR$4="",$B36=""),0,SUMIF('DADOS BRUTOS'!$A$3:$A$500,$B36,'DADOS BRUTOS'!CR$3:CR$500)+IF($C36="",0,SUMIF('DADOS BRUTOS'!$A$3:$A$500,$C36,'DADOS BRUTOS'!CR$3:CR$500)))</f>
        <v/>
      </c>
      <c r="FS36" s="123">
        <f>IF(OR(FS$4="",$B36=""),0,SUMIF('DADOS BRUTOS'!$A$3:$A$500,$B36,'DADOS BRUTOS'!CS$3:CS$500)+IF($C36="",0,SUMIF('DADOS BRUTOS'!$A$3:$A$500,$C36,'DADOS BRUTOS'!CS$3:CS$500)))</f>
        <v/>
      </c>
      <c r="FT36" s="123">
        <f>IF(OR(FT$4="",$B36=""),0,SUMIF('DADOS BRUTOS'!$A$3:$A$500,$B36,'DADOS BRUTOS'!CT$3:CT$500)+IF($C36="",0,SUMIF('DADOS BRUTOS'!$A$3:$A$500,$C36,'DADOS BRUTOS'!CT$3:CT$500)))</f>
        <v/>
      </c>
      <c r="FU36" s="123">
        <f>IF(OR(FU$4="",$B36=""),0,SUMIF('DADOS BRUTOS'!$A$3:$A$500,$B36,'DADOS BRUTOS'!CU$3:CU$500)+IF($C36="",0,SUMIF('DADOS BRUTOS'!$A$3:$A$500,$C36,'DADOS BRUTOS'!CU$3:CU$500)))</f>
        <v/>
      </c>
      <c r="FV36" s="123">
        <f>IF(OR(FV$4="",$B36=""),0,SUMIF('DADOS BRUTOS'!$A$3:$A$500,$B36,'DADOS BRUTOS'!CV$3:CV$500)+IF($C36="",0,SUMIF('DADOS BRUTOS'!$A$3:$A$500,$C36,'DADOS BRUTOS'!CV$3:CV$500)))</f>
        <v/>
      </c>
      <c r="FW36" s="123">
        <f>IF(OR(FW$4="",$B36=""),0,SUMIF('DADOS BRUTOS'!$A$3:$A$500,$B36,'DADOS BRUTOS'!CW$3:CW$500)+IF($C36="",0,SUMIF('DADOS BRUTOS'!$A$3:$A$500,$C36,'DADOS BRUTOS'!CW$3:CW$500)))</f>
        <v/>
      </c>
      <c r="FX36" s="123">
        <f>IF(OR(FX$4="",$B36=""),0,SUMIF('DADOS BRUTOS'!$A$3:$A$500,$B36,'DADOS BRUTOS'!CX$3:CX$500)+IF($C36="",0,SUMIF('DADOS BRUTOS'!$A$3:$A$500,$C36,'DADOS BRUTOS'!CX$3:CX$500)))</f>
        <v/>
      </c>
      <c r="FY36" s="123">
        <f>IF(OR(FY$4="",$B36=""),0,SUMIF('DADOS BRUTOS'!$A$3:$A$500,$B36,'DADOS BRUTOS'!CY$3:CY$500)+IF($C36="",0,SUMIF('DADOS BRUTOS'!$A$3:$A$500,$C36,'DADOS BRUTOS'!CY$3:CY$500)))</f>
        <v/>
      </c>
      <c r="FZ36" s="123">
        <f>IF(OR(FZ$4="",$B36=""),0,SUMIF('DADOS BRUTOS'!$A$3:$A$500,$B36,'DADOS BRUTOS'!CZ$3:CZ$500)+IF($C36="",0,SUMIF('DADOS BRUTOS'!$A$3:$A$500,$C36,'DADOS BRUTOS'!CZ$3:CZ$500)))</f>
        <v/>
      </c>
      <c r="GA36" s="123">
        <f>IF(OR(GA$4="",$B36=""),0,SUMIF('DADOS BRUTOS'!$A$3:$A$500,$B36,'DADOS BRUTOS'!DA$3:DA$500)+IF($C36="",0,SUMIF('DADOS BRUTOS'!$A$3:$A$500,$C36,'DADOS BRUTOS'!DA$3:DA$500)))</f>
        <v/>
      </c>
      <c r="GB36" s="123">
        <f>IF(OR(GB$4="",$B36=""),0,SUMIF('DADOS BRUTOS'!$A$3:$A$500,$B36,'DADOS BRUTOS'!DB$3:DB$500)+IF($C36="",0,SUMIF('DADOS BRUTOS'!$A$3:$A$500,$C36,'DADOS BRUTOS'!DB$3:DB$500)))</f>
        <v/>
      </c>
      <c r="GC36" s="123">
        <f>IF(OR(GC$4="",$B36=""),0,SUMIF('DADOS BRUTOS'!$A$3:$A$500,$B36,'DADOS BRUTOS'!DC$3:DC$500)+IF($C36="",0,SUMIF('DADOS BRUTOS'!$A$3:$A$500,$C36,'DADOS BRUTOS'!DC$3:DC$500)))</f>
        <v/>
      </c>
      <c r="GD36" s="123">
        <f>IF(OR(GD$4="",$B36=""),0,SUMIF('DADOS BRUTOS'!$A$3:$A$500,$B36,'DADOS BRUTOS'!DD$3:DD$500)+IF($C36="",0,SUMIF('DADOS BRUTOS'!$A$3:$A$500,$C36,'DADOS BRUTOS'!DD$3:DD$500)))</f>
        <v/>
      </c>
      <c r="GE36" s="123">
        <f>IF(OR(GE$4="",$B36=""),0,SUMIF('DADOS BRUTOS'!$A$3:$A$500,$B36,'DADOS BRUTOS'!DE$3:DE$500)+IF($C36="",0,SUMIF('DADOS BRUTOS'!$A$3:$A$500,$C36,'DADOS BRUTOS'!DE$3:DE$500)))</f>
        <v/>
      </c>
      <c r="GF36" s="123">
        <f>IF(OR(GF$4="",$B36=""),0,SUMIF('DADOS BRUTOS'!$A$3:$A$500,$B36,'DADOS BRUTOS'!DF$3:DF$500)+IF($C36="",0,SUMIF('DADOS BRUTOS'!$A$3:$A$500,$C36,'DADOS BRUTOS'!DF$3:DF$500)))</f>
        <v/>
      </c>
      <c r="GG36" s="123">
        <f>IF(OR(GG$4="",$B36=""),0,SUMIF('DADOS BRUTOS'!$A$3:$A$500,$B36,'DADOS BRUTOS'!DG$3:DG$500)+IF($C36="",0,SUMIF('DADOS BRUTOS'!$A$3:$A$500,$C36,'DADOS BRUTOS'!DG$3:DG$500)))</f>
        <v/>
      </c>
      <c r="GH36" s="123">
        <f>IF(OR(GH$4="",$B36=""),0,SUMIF('DADOS BRUTOS'!$A$3:$A$500,$B36,'DADOS BRUTOS'!DH$3:DH$500)+IF($C36="",0,SUMIF('DADOS BRUTOS'!$A$3:$A$500,$C36,'DADOS BRUTOS'!DH$3:DH$500)))</f>
        <v/>
      </c>
      <c r="GI36" s="123">
        <f>IF(OR(GI$4="",$B36=""),0,SUMIF('DADOS BRUTOS'!$A$3:$A$500,$B36,'DADOS BRUTOS'!DI$3:DI$500)+IF($C36="",0,SUMIF('DADOS BRUTOS'!$A$3:$A$500,$C36,'DADOS BRUTOS'!DI$3:DI$500)))</f>
        <v/>
      </c>
      <c r="GJ36" s="123">
        <f>IF(OR(GJ$4="",$B36=""),0,SUMIF('DADOS BRUTOS'!$A$3:$A$500,$B36,'DADOS BRUTOS'!DJ$3:DJ$500)+IF($C36="",0,SUMIF('DADOS BRUTOS'!$A$3:$A$500,$C36,'DADOS BRUTOS'!DJ$3:DJ$500)))</f>
        <v/>
      </c>
      <c r="GK36" s="123">
        <f>IF(OR(GK$4="",$B36=""),0,SUMIF('DADOS BRUTOS'!$A$3:$A$500,$B36,'DADOS BRUTOS'!DK$3:DK$500)+IF($C36="",0,SUMIF('DADOS BRUTOS'!$A$3:$A$500,$C36,'DADOS BRUTOS'!DK$3:DK$500)))</f>
        <v/>
      </c>
      <c r="GL36" s="123">
        <f>IF(OR(GL$4="",$B36=""),0,SUMIF('DADOS BRUTOS'!$A$3:$A$500,$B36,'DADOS BRUTOS'!DL$3:DL$500)+IF($C36="",0,SUMIF('DADOS BRUTOS'!$A$3:$A$500,$C36,'DADOS BRUTOS'!DL$3:DL$500)))</f>
        <v/>
      </c>
      <c r="GM36" s="123">
        <f>IF(OR(GM$4="",$B36=""),0,SUMIF('DADOS BRUTOS'!$A$3:$A$500,$B36,'DADOS BRUTOS'!DM$3:DM$500)+IF($C36="",0,SUMIF('DADOS BRUTOS'!$A$3:$A$500,$C36,'DADOS BRUTOS'!DM$3:DM$500)))</f>
        <v/>
      </c>
      <c r="GN36" s="123">
        <f>IF(OR(GN$4="",$B36=""),0,SUMIF('DADOS BRUTOS'!$A$3:$A$500,$B36,'DADOS BRUTOS'!DN$3:DN$500)+IF($C36="",0,SUMIF('DADOS BRUTOS'!$A$3:$A$500,$C36,'DADOS BRUTOS'!DN$3:DN$500)))</f>
        <v/>
      </c>
      <c r="GO36" s="123">
        <f>IF(OR(GO$4="",$B36=""),0,SUMIF('DADOS BRUTOS'!$A$3:$A$500,$B36,'DADOS BRUTOS'!DO$3:DO$500)+IF($C36="",0,SUMIF('DADOS BRUTOS'!$A$3:$A$500,$C36,'DADOS BRUTOS'!DO$3:DO$500)))</f>
        <v/>
      </c>
      <c r="GP36" s="123">
        <f>IF(OR(GP$4="",$B36=""),0,SUMIF('DADOS BRUTOS'!$A$3:$A$500,$B36,'DADOS BRUTOS'!DP$3:DP$500)+IF($C36="",0,SUMIF('DADOS BRUTOS'!$A$3:$A$500,$C36,'DADOS BRUTOS'!DP$3:DP$500)))</f>
        <v/>
      </c>
      <c r="GQ36" s="123">
        <f>IF(OR(GQ$4="",$B36=""),0,SUMIF('DADOS BRUTOS'!$A$3:$A$500,$B36,'DADOS BRUTOS'!DQ$3:DQ$500)+IF($C36="",0,SUMIF('DADOS BRUTOS'!$A$3:$A$500,$C36,'DADOS BRUTOS'!DQ$3:DQ$500)))</f>
        <v/>
      </c>
      <c r="GR36" s="123">
        <f>IF(OR(GR$4="",$B36=""),0,SUMIF('DADOS BRUTOS'!$A$3:$A$500,$B36,'DADOS BRUTOS'!DR$3:DR$500)+IF($C36="",0,SUMIF('DADOS BRUTOS'!$A$3:$A$500,$C36,'DADOS BRUTOS'!DR$3:DR$500)))</f>
        <v/>
      </c>
      <c r="GS36" s="123">
        <f>IF(OR(GS$4="",$B36=""),0,SUMIF('DADOS BRUTOS'!$A$3:$A$500,$B36,'DADOS BRUTOS'!DS$3:DS$500)+IF($C36="",0,SUMIF('DADOS BRUTOS'!$A$3:$A$500,$C36,'DADOS BRUTOS'!DS$3:DS$500)))</f>
        <v/>
      </c>
      <c r="GT36" s="123">
        <f>IF(OR(GT$4="",$B36=""),0,SUMIF('DADOS BRUTOS'!$A$3:$A$500,$B36,'DADOS BRUTOS'!DT$3:DT$500)+IF($C36="",0,SUMIF('DADOS BRUTOS'!$A$3:$A$500,$C36,'DADOS BRUTOS'!DT$3:DT$500)))</f>
        <v/>
      </c>
      <c r="GU36" s="123">
        <f>IF(OR(GU$4="",$B36=""),0,SUMIF('DADOS BRUTOS'!$A$3:$A$500,$B36,'DADOS BRUTOS'!DU$3:DU$500)+IF($C36="",0,SUMIF('DADOS BRUTOS'!$A$3:$A$500,$C36,'DADOS BRUTOS'!DU$3:DU$500)))</f>
        <v/>
      </c>
      <c r="GV36" s="123">
        <f>IF(OR(GV$4="",$B36=""),0,SUMIF('DADOS BRUTOS'!$A$3:$A$500,$B36,'DADOS BRUTOS'!DV$3:DV$500)+IF($C36="",0,SUMIF('DADOS BRUTOS'!$A$3:$A$500,$C36,'DADOS BRUTOS'!DV$3:DV$500)))</f>
        <v/>
      </c>
      <c r="GW36" s="123">
        <f>IF(OR(GW$4="",$B36=""),0,SUMIF('DADOS BRUTOS'!$A$3:$A$500,$B36,'DADOS BRUTOS'!DW$3:DW$500)+IF($C36="",0,SUMIF('DADOS BRUTOS'!$A$3:$A$500,$C36,'DADOS BRUTOS'!DW$3:DW$500)))</f>
        <v/>
      </c>
      <c r="GX36" s="123">
        <f>IF(OR(GX$4="",$B36=""),0,SUMIF('DADOS BRUTOS'!$A$3:$A$500,$B36,'DADOS BRUTOS'!DX$3:DX$500)+IF($C36="",0,SUMIF('DADOS BRUTOS'!$A$3:$A$500,$C36,'DADOS BRUTOS'!DX$3:DX$500)))</f>
        <v/>
      </c>
      <c r="GY36" s="123">
        <f>IF(OR(GY$4="",$B36=""),0,SUMIF('DADOS BRUTOS'!$A$3:$A$500,$B36,'DADOS BRUTOS'!DY$3:DY$500)+IF($C36="",0,SUMIF('DADOS BRUTOS'!$A$3:$A$500,$C36,'DADOS BRUTOS'!DY$3:DY$500)))</f>
        <v/>
      </c>
      <c r="GZ36" s="123">
        <f>IF(OR(GZ$4="",$B36=""),0,SUMIF('DADOS BRUTOS'!$A$3:$A$500,$B36,'DADOS BRUTOS'!DZ$3:DZ$500)+IF($C36="",0,SUMIF('DADOS BRUTOS'!$A$3:$A$500,$C36,'DADOS BRUTOS'!DZ$3:DZ$500)))</f>
        <v/>
      </c>
      <c r="HA36" s="123">
        <f>IF(OR(HA$4="",$B36=""),0,SUMIF('DADOS BRUTOS'!$A$3:$A$500,$B36,'DADOS BRUTOS'!EA$3:EA$500)+IF($C36="",0,SUMIF('DADOS BRUTOS'!$A$3:$A$500,$C36,'DADOS BRUTOS'!EA$3:EA$500)))</f>
        <v/>
      </c>
      <c r="HB36" s="123">
        <f>IF(OR(HB$4="",$B36=""),0,SUMIF('DADOS BRUTOS'!$A$3:$A$500,$B36,'DADOS BRUTOS'!EB$3:EB$500)+IF($C36="",0,SUMIF('DADOS BRUTOS'!$A$3:$A$500,$C36,'DADOS BRUTOS'!EB$3:EB$500)))</f>
        <v/>
      </c>
      <c r="HC36" s="123">
        <f>IF(OR(HC$4="",$B36=""),0,SUMIF('DADOS BRUTOS'!$A$3:$A$500,$B36,'DADOS BRUTOS'!EC$3:EC$500)+IF($C36="",0,SUMIF('DADOS BRUTOS'!$A$3:$A$500,$C36,'DADOS BRUTOS'!EC$3:EC$500)))</f>
        <v/>
      </c>
      <c r="HD36" s="123">
        <f>IF(OR(HD$4="",$B36=""),0,SUMIF('DADOS BRUTOS'!$A$3:$A$500,$B36,'DADOS BRUTOS'!ED$3:ED$500)+IF($C36="",0,SUMIF('DADOS BRUTOS'!$A$3:$A$500,$C36,'DADOS BRUTOS'!ED$3:ED$500)))</f>
        <v/>
      </c>
      <c r="HE36" s="123">
        <f>IF(OR(HE$4="",$B36=""),0,SUMIF('DADOS BRUTOS'!$A$3:$A$500,$B36,'DADOS BRUTOS'!EE$3:EE$500)+IF($C36="",0,SUMIF('DADOS BRUTOS'!$A$3:$A$500,$C36,'DADOS BRUTOS'!EE$3:EE$500)))</f>
        <v/>
      </c>
      <c r="HF36" s="123">
        <f>IF(OR(HF$4="",$B36=""),0,SUMIF('DADOS BRUTOS'!$A$3:$A$500,$B36,'DADOS BRUTOS'!EF$3:EF$500)+IF($C36="",0,SUMIF('DADOS BRUTOS'!$A$3:$A$500,$C36,'DADOS BRUTOS'!EF$3:EF$500)))</f>
        <v/>
      </c>
      <c r="HG36" s="123">
        <f>IF(OR(HG$4="",$B36=""),0,SUMIF('DADOS BRUTOS'!$A$3:$A$500,$B36,'DADOS BRUTOS'!EG$3:EG$500)+IF($C36="",0,SUMIF('DADOS BRUTOS'!$A$3:$A$500,$C36,'DADOS BRUTOS'!EG$3:EG$500)))</f>
        <v/>
      </c>
      <c r="HH36" s="123">
        <f>IF(OR(HH$4="",$B36=""),0,SUMIF('DADOS BRUTOS'!$A$3:$A$500,$B36,'DADOS BRUTOS'!EH$3:EH$500)+IF($C36="",0,SUMIF('DADOS BRUTOS'!$A$3:$A$500,$C36,'DADOS BRUTOS'!EH$3:EH$500)))</f>
        <v/>
      </c>
      <c r="HI36" s="123">
        <f>IF(OR(HI$4="",$B36=""),0,SUMIF('DADOS BRUTOS'!$A$3:$A$500,$B36,'DADOS BRUTOS'!EI$3:EI$500)+IF($C36="",0,SUMIF('DADOS BRUTOS'!$A$3:$A$500,$C36,'DADOS BRUTOS'!EI$3:EI$500)))</f>
        <v/>
      </c>
      <c r="HJ36" s="123">
        <f>IF(OR(HJ$4="",$B36=""),0,SUMIF('DADOS BRUTOS'!$A$3:$A$500,$B36,'DADOS BRUTOS'!EJ$3:EJ$500)+IF($C36="",0,SUMIF('DADOS BRUTOS'!$A$3:$A$500,$C36,'DADOS BRUTOS'!EJ$3:EJ$500)))</f>
        <v/>
      </c>
      <c r="HK36" s="123">
        <f>IF(OR(HK$4="",$B36=""),0,SUMIF('DADOS BRUTOS'!$A$3:$A$500,$B36,'DADOS BRUTOS'!EK$3:EK$500)+IF($C36="",0,SUMIF('DADOS BRUTOS'!$A$3:$A$500,$C36,'DADOS BRUTOS'!EK$3:EK$500)))</f>
        <v/>
      </c>
      <c r="HL36" s="123">
        <f>IF(OR(HL$4="",$B36=""),0,SUMIF('DADOS BRUTOS'!$A$3:$A$500,$B36,'DADOS BRUTOS'!EL$3:EL$500)+IF($C36="",0,SUMIF('DADOS BRUTOS'!$A$3:$A$500,$C36,'DADOS BRUTOS'!EL$3:EL$500)))</f>
        <v/>
      </c>
      <c r="HM36" s="123">
        <f>IF(OR(HM$4="",$B36=""),0,SUMIF('DADOS BRUTOS'!$A$3:$A$500,$B36,'DADOS BRUTOS'!EM$3:EM$500)+IF($C36="",0,SUMIF('DADOS BRUTOS'!$A$3:$A$500,$C36,'DADOS BRUTOS'!EM$3:EM$500)))</f>
        <v/>
      </c>
      <c r="HN36" s="123">
        <f>IF(OR(HN$4="",$B36=""),0,SUMIF('DADOS BRUTOS'!$A$3:$A$500,$B36,'DADOS BRUTOS'!EN$3:EN$500)+IF($C36="",0,SUMIF('DADOS BRUTOS'!$A$3:$A$500,$C36,'DADOS BRUTOS'!EN$3:EN$500)))</f>
        <v/>
      </c>
      <c r="HO36" s="123">
        <f>IF(OR(HO$4="",$B36=""),0,SUMIF('DADOS BRUTOS'!$A$3:$A$500,$B36,'DADOS BRUTOS'!EO$3:EO$500)+IF($C36="",0,SUMIF('DADOS BRUTOS'!$A$3:$A$500,$C36,'DADOS BRUTOS'!EO$3:EO$500)))</f>
        <v/>
      </c>
      <c r="HP36" s="123">
        <f>IF(OR(HP$4="",$B36=""),0,SUMIF('DADOS BRUTOS'!$A$3:$A$500,$B36,'DADOS BRUTOS'!EP$3:EP$500)+IF($C36="",0,SUMIF('DADOS BRUTOS'!$A$3:$A$500,$C36,'DADOS BRUTOS'!EP$3:EP$500)))</f>
        <v/>
      </c>
      <c r="HQ36" s="123">
        <f>IF(OR(HQ$4="",$B36=""),0,SUMIF('DADOS BRUTOS'!$A$3:$A$500,$B36,'DADOS BRUTOS'!EQ$3:EQ$500)+IF($C36="",0,SUMIF('DADOS BRUTOS'!$A$3:$A$500,$C36,'DADOS BRUTOS'!EQ$3:EQ$500)))</f>
        <v/>
      </c>
      <c r="HR36" s="123">
        <f>IF(OR(HR$4="",$B36=""),0,SUMIF('DADOS BRUTOS'!$A$3:$A$500,$B36,'DADOS BRUTOS'!ER$3:ER$500)+IF($C36="",0,SUMIF('DADOS BRUTOS'!$A$3:$A$500,$C36,'DADOS BRUTOS'!ER$3:ER$500)))</f>
        <v/>
      </c>
      <c r="HS36" s="123">
        <f>IF(OR(HS$4="",$B36=""),0,SUMIF('DADOS BRUTOS'!$A$3:$A$500,$B36,'DADOS BRUTOS'!ES$3:ES$500)+IF($C36="",0,SUMIF('DADOS BRUTOS'!$A$3:$A$500,$C36,'DADOS BRUTOS'!ES$3:ES$500)))</f>
        <v/>
      </c>
      <c r="HT36" s="123">
        <f>IF(OR(HT$4="",$B36=""),0,SUMIF('DADOS BRUTOS'!$A$3:$A$500,$B36,'DADOS BRUTOS'!ET$3:ET$500)+IF($C36="",0,SUMIF('DADOS BRUTOS'!$A$3:$A$500,$C36,'DADOS BRUTOS'!ET$3:ET$500)))</f>
        <v/>
      </c>
      <c r="HU36" s="123">
        <f>IF(OR(HU$4="",$B36=""),0,SUMIF('DADOS BRUTOS'!$A$3:$A$500,$B36,'DADOS BRUTOS'!EU$3:EU$500)+IF($C36="",0,SUMIF('DADOS BRUTOS'!$A$3:$A$500,$C36,'DADOS BRUTOS'!EU$3:EU$500)))</f>
        <v/>
      </c>
      <c r="HV36" s="123">
        <f>IF(OR(HV$4="",$B36=""),0,SUMIF('DADOS BRUTOS'!$A$3:$A$500,$B36,'DADOS BRUTOS'!EV$3:EV$500)+IF($C36="",0,SUMIF('DADOS BRUTOS'!$A$3:$A$500,$C36,'DADOS BRUTOS'!EV$3:EV$500)))</f>
        <v/>
      </c>
      <c r="HW36" s="123">
        <f>IF(OR(HW$4="",$B36=""),0,SUMIF('DADOS BRUTOS'!$A$3:$A$500,$B36,'DADOS BRUTOS'!EW$3:EW$500)+IF($C36="",0,SUMIF('DADOS BRUTOS'!$A$3:$A$500,$C36,'DADOS BRUTOS'!EW$3:EW$500)))</f>
        <v/>
      </c>
      <c r="HX36" s="123">
        <f>IF(OR(HX$4="",$B36=""),0,SUMIF('DADOS BRUTOS'!$A$3:$A$500,$B36,'DADOS BRUTOS'!EX$3:EX$500)+IF($C36="",0,SUMIF('DADOS BRUTOS'!$A$3:$A$500,$C36,'DADOS BRUTOS'!EX$3:EX$500)))</f>
        <v/>
      </c>
      <c r="HY36" s="123">
        <f>IF(OR(HY$4="",$B36=""),0,SUMIF('DADOS BRUTOS'!$A$3:$A$500,$B36,'DADOS BRUTOS'!EY$3:EY$500)+IF($C36="",0,SUMIF('DADOS BRUTOS'!$A$3:$A$500,$C36,'DADOS BRUTOS'!EY$3:EY$500)))</f>
        <v/>
      </c>
      <c r="HZ36" s="123">
        <f>IF(OR(HZ$4="",$B36=""),0,SUMIF('DADOS BRUTOS'!$A$3:$A$500,$B36,'DADOS BRUTOS'!EZ$3:EZ$500)+IF($C36="",0,SUMIF('DADOS BRUTOS'!$A$3:$A$500,$C36,'DADOS BRUTOS'!EZ$3:EZ$500)))</f>
        <v/>
      </c>
      <c r="IA36" s="123">
        <f>IF(OR(IA$4="",$B36=""),0,SUMIF('DADOS BRUTOS'!$A$3:$A$500,$B36,'DADOS BRUTOS'!FA$3:FA$500)+IF($C36="",0,SUMIF('DADOS BRUTOS'!$A$3:$A$500,$C36,'DADOS BRUTOS'!FA$3:FA$500)))</f>
        <v/>
      </c>
      <c r="IB36" s="123">
        <f>IF(OR(IB$4="",$B36=""),0,SUMIF('DADOS BRUTOS'!$A$3:$A$500,$B36,'DADOS BRUTOS'!FB$3:FB$500)+IF($C36="",0,SUMIF('DADOS BRUTOS'!$A$3:$A$500,$C36,'DADOS BRUTOS'!FB$3:FB$500)))</f>
        <v/>
      </c>
      <c r="IC36" s="123">
        <f>IF(OR(IC$4="",$B36=""),0,SUMIF('DADOS BRUTOS'!$A$3:$A$500,$B36,'DADOS BRUTOS'!FC$3:FC$500)+IF($C36="",0,SUMIF('DADOS BRUTOS'!$A$3:$A$500,$C36,'DADOS BRUTOS'!FC$3:FC$500)))</f>
        <v/>
      </c>
      <c r="ID36" s="123">
        <f>IF(OR(ID$4="",$B36=""),0,SUMIF('DADOS BRUTOS'!$A$3:$A$500,$B36,'DADOS BRUTOS'!FD$3:FD$500)+IF($C36="",0,SUMIF('DADOS BRUTOS'!$A$3:$A$500,$C36,'DADOS BRUTOS'!FD$3:FD$500)))</f>
        <v/>
      </c>
      <c r="IE36" s="123">
        <f>IF(OR(IE$4="",$B36=""),0,SUMIF('DADOS BRUTOS'!$A$3:$A$500,$B36,'DADOS BRUTOS'!FE$3:FE$500)+IF($C36="",0,SUMIF('DADOS BRUTOS'!$A$3:$A$500,$C36,'DADOS BRUTOS'!FE$3:FE$500)))</f>
        <v/>
      </c>
      <c r="IF36" s="123">
        <f>IF(OR(IF$4="",$B36=""),0,SUMIF('DADOS BRUTOS'!$A$3:$A$500,$B36,'DADOS BRUTOS'!FF$3:FF$500)+IF($C36="",0,SUMIF('DADOS BRUTOS'!$A$3:$A$500,$C36,'DADOS BRUTOS'!FF$3:FF$500)))</f>
        <v/>
      </c>
      <c r="IG36" s="123">
        <f>IF(OR(IG$4="",$B36=""),0,SUMIF('DADOS BRUTOS'!$A$3:$A$500,$B36,'DADOS BRUTOS'!FG$3:FG$500)+IF($C36="",0,SUMIF('DADOS BRUTOS'!$A$3:$A$500,$C36,'DADOS BRUTOS'!FG$3:FG$500)))</f>
        <v/>
      </c>
      <c r="IH36" s="123">
        <f>IF(OR(IH$4="",$B36=""),0,SUMIF('DADOS BRUTOS'!$A$3:$A$500,$B36,'DADOS BRUTOS'!FH$3:FH$500)+IF($C36="",0,SUMIF('DADOS BRUTOS'!$A$3:$A$500,$C36,'DADOS BRUTOS'!FH$3:FH$500)))</f>
        <v/>
      </c>
      <c r="II36" s="123">
        <f>IF(OR(II$4="",$B36=""),0,SUMIF('DADOS BRUTOS'!$A$3:$A$500,$B36,'DADOS BRUTOS'!FI$3:FI$500)+IF($C36="",0,SUMIF('DADOS BRUTOS'!$A$3:$A$500,$C36,'DADOS BRUTOS'!FI$3:FI$500)))</f>
        <v/>
      </c>
      <c r="IJ36" s="123">
        <f>IF(OR(IJ$4="",$B36=""),0,SUMIF('DADOS BRUTOS'!$A$3:$A$500,$B36,'DADOS BRUTOS'!FJ$3:FJ$500)+IF($C36="",0,SUMIF('DADOS BRUTOS'!$A$3:$A$500,$C36,'DADOS BRUTOS'!FJ$3:FJ$500)))</f>
        <v/>
      </c>
      <c r="IK36" s="123">
        <f>IF(OR(IK$4="",$B36=""),0,SUMIF('DADOS BRUTOS'!$A$3:$A$500,$B36,'DADOS BRUTOS'!FK$3:FK$500)+IF($C36="",0,SUMIF('DADOS BRUTOS'!$A$3:$A$500,$C36,'DADOS BRUTOS'!FK$3:FK$500)))</f>
        <v/>
      </c>
      <c r="IL36" s="123">
        <f>IF(OR(IL$4="",$B36=""),0,SUMIF('DADOS BRUTOS'!$A$3:$A$500,$B36,'DADOS BRUTOS'!FL$3:FL$500)+IF($C36="",0,SUMIF('DADOS BRUTOS'!$A$3:$A$500,$C36,'DADOS BRUTOS'!FL$3:FL$500)))</f>
        <v/>
      </c>
      <c r="IM36" s="123">
        <f>IF(OR(IM$4="",$B36=""),0,SUMIF('DADOS BRUTOS'!$A$3:$A$500,$B36,'DADOS BRUTOS'!FM$3:FM$500)+IF($C36="",0,SUMIF('DADOS BRUTOS'!$A$3:$A$500,$C36,'DADOS BRUTOS'!FM$3:FM$500)))</f>
        <v/>
      </c>
      <c r="IN36" s="123">
        <f>IF(OR(IN$4="",$B36=""),0,SUMIF('DADOS BRUTOS'!$A$3:$A$500,$B36,'DADOS BRUTOS'!FN$3:FN$500)+IF($C36="",0,SUMIF('DADOS BRUTOS'!$A$3:$A$500,$C36,'DADOS BRUTOS'!FN$3:FN$500)))</f>
        <v/>
      </c>
      <c r="IO36" s="123">
        <f>IF(OR(IO$4="",$B36=""),0,SUMIF('DADOS BRUTOS'!$A$3:$A$500,$B36,'DADOS BRUTOS'!FO$3:FO$500)+IF($C36="",0,SUMIF('DADOS BRUTOS'!$A$3:$A$500,$C36,'DADOS BRUTOS'!FO$3:FO$500)))</f>
        <v/>
      </c>
      <c r="IP36" s="123">
        <f>IF(OR(IP$4="",$B36=""),0,SUMIF('DADOS BRUTOS'!$A$3:$A$500,$B36,'DADOS BRUTOS'!FP$3:FP$500)+IF($C36="",0,SUMIF('DADOS BRUTOS'!$A$3:$A$500,$C36,'DADOS BRUTOS'!FP$3:FP$500)))</f>
        <v/>
      </c>
      <c r="IQ36" s="123">
        <f>IF(OR(IQ$4="",$B36=""),0,SUMIF('DADOS BRUTOS'!$A$3:$A$500,$B36,'DADOS BRUTOS'!FQ$3:FQ$500)+IF($C36="",0,SUMIF('DADOS BRUTOS'!$A$3:$A$500,$C36,'DADOS BRUTOS'!FQ$3:FQ$500)))</f>
        <v/>
      </c>
      <c r="IR36" s="123">
        <f>IF(OR(IR$4="",$B36=""),0,SUMIF('DADOS BRUTOS'!$A$3:$A$500,$B36,'DADOS BRUTOS'!FR$3:FR$500)+IF($C36="",0,SUMIF('DADOS BRUTOS'!$A$3:$A$500,$C36,'DADOS BRUTOS'!FR$3:FR$500)))</f>
        <v/>
      </c>
      <c r="IS36" s="123">
        <f>IF(OR(IS$4="",$B36=""),0,SUMIF('DADOS BRUTOS'!$A$3:$A$500,$B36,'DADOS BRUTOS'!FS$3:FS$500)+IF($C36="",0,SUMIF('DADOS BRUTOS'!$A$3:$A$500,$C36,'DADOS BRUTOS'!FS$3:FS$500)))</f>
        <v/>
      </c>
      <c r="IT36" s="123">
        <f>IF(OR(IT$4="",$B36=""),0,SUMIF('DADOS BRUTOS'!$A$3:$A$500,$B36,'DADOS BRUTOS'!FT$3:FT$500)+IF($C36="",0,SUMIF('DADOS BRUTOS'!$A$3:$A$500,$C36,'DADOS BRUTOS'!FT$3:FT$500)))</f>
        <v/>
      </c>
      <c r="IU36" s="123">
        <f>IF(OR(IU$4="",$B36=""),0,SUMIF('DADOS BRUTOS'!$A$3:$A$500,$B36,'DADOS BRUTOS'!FU$3:FU$500)+IF($C36="",0,SUMIF('DADOS BRUTOS'!$A$3:$A$500,$C36,'DADOS BRUTOS'!FU$3:FU$500)))</f>
        <v/>
      </c>
      <c r="IV36" s="123">
        <f>IF(OR(IV$4="",$B36=""),0,SUMIF('DADOS BRUTOS'!$A$3:$A$500,$B36,'DADOS BRUTOS'!FV$3:FV$500)+IF($C36="",0,SUMIF('DADOS BRUTOS'!$A$3:$A$500,$C36,'DADOS BRUTOS'!FV$3:FV$500)))</f>
        <v/>
      </c>
      <c r="IW36" s="123">
        <f>IF(OR(IW$4="",$B36=""),0,SUMIF('DADOS BRUTOS'!$A$3:$A$500,$B36,'DADOS BRUTOS'!FW$3:FW$500)+IF($C36="",0,SUMIF('DADOS BRUTOS'!$A$3:$A$500,$C36,'DADOS BRUTOS'!FW$3:FW$500)))</f>
        <v/>
      </c>
      <c r="IX36" s="123">
        <f>IF(OR(IX$4="",$B36=""),0,SUMIF('DADOS BRUTOS'!$A$3:$A$500,$B36,'DADOS BRUTOS'!FX$3:FX$500)+IF($C36="",0,SUMIF('DADOS BRUTOS'!$A$3:$A$500,$C36,'DADOS BRUTOS'!FX$3:FX$500)))</f>
        <v/>
      </c>
      <c r="IY36" s="123">
        <f>IF(OR(IY$4="",$B36=""),0,SUMIF('DADOS BRUTOS'!$A$3:$A$500,$B36,'DADOS BRUTOS'!FY$3:FY$500)+IF($C36="",0,SUMIF('DADOS BRUTOS'!$A$3:$A$500,$C36,'DADOS BRUTOS'!FY$3:FY$500)))</f>
        <v/>
      </c>
      <c r="IZ36" s="123">
        <f>IF(OR(IZ$4="",$B36=""),0,SUMIF('DADOS BRUTOS'!$A$3:$A$500,$B36,'DADOS BRUTOS'!FZ$3:FZ$500)+IF($C36="",0,SUMIF('DADOS BRUTOS'!$A$3:$A$500,$C36,'DADOS BRUTOS'!FZ$3:FZ$500)))</f>
        <v/>
      </c>
      <c r="JA36" s="123">
        <f>IF(OR(JA$4="",$B36=""),0,SUMIF('DADOS BRUTOS'!$A$3:$A$500,$B36,'DADOS BRUTOS'!GA$3:GA$500)+IF($C36="",0,SUMIF('DADOS BRUTOS'!$A$3:$A$500,$C36,'DADOS BRUTOS'!GA$3:GA$500)))</f>
        <v/>
      </c>
      <c r="JB36" s="123">
        <f>IF(OR(JB$4="",$B36=""),0,SUMIF('DADOS BRUTOS'!$A$3:$A$500,$B36,'DADOS BRUTOS'!GB$3:GB$500)+IF($C36="",0,SUMIF('DADOS BRUTOS'!$A$3:$A$500,$C36,'DADOS BRUTOS'!GB$3:GB$500)))</f>
        <v/>
      </c>
      <c r="JC36" s="123">
        <f>IF(OR(JC$4="",$B36=""),0,SUMIF('DADOS BRUTOS'!$A$3:$A$500,$B36,'DADOS BRUTOS'!GC$3:GC$500)+IF($C36="",0,SUMIF('DADOS BRUTOS'!$A$3:$A$500,$C36,'DADOS BRUTOS'!GC$3:GC$500)))</f>
        <v/>
      </c>
      <c r="JD36" s="123">
        <f>IF(OR(JD$4="",$B36=""),0,SUMIF('DADOS BRUTOS'!$A$3:$A$500,$B36,'DADOS BRUTOS'!GD$3:GD$500)+IF($C36="",0,SUMIF('DADOS BRUTOS'!$A$3:$A$500,$C36,'DADOS BRUTOS'!GD$3:GD$500)))</f>
        <v/>
      </c>
      <c r="JE36" s="123">
        <f>IF(OR(JE$4="",$B36=""),0,SUMIF('DADOS BRUTOS'!$A$3:$A$500,$B36,'DADOS BRUTOS'!GE$3:GE$500)+IF($C36="",0,SUMIF('DADOS BRUTOS'!$A$3:$A$500,$C36,'DADOS BRUTOS'!GE$3:GE$500)))</f>
        <v/>
      </c>
      <c r="JF36" s="123">
        <f>IF(OR(JF$4="",$B36=""),0,SUMIF('DADOS BRUTOS'!$A$3:$A$500,$B36,'DADOS BRUTOS'!GF$3:GF$500)+IF($C36="",0,SUMIF('DADOS BRUTOS'!$A$3:$A$500,$C36,'DADOS BRUTOS'!GF$3:GF$500)))</f>
        <v/>
      </c>
      <c r="JG36" s="123">
        <f>IF(OR(JG$4="",$B36=""),0,SUMIF('DADOS BRUTOS'!$A$3:$A$500,$B36,'DADOS BRUTOS'!GG$3:GG$500)+IF($C36="",0,SUMIF('DADOS BRUTOS'!$A$3:$A$500,$C36,'DADOS BRUTOS'!GG$3:GG$500)))</f>
        <v/>
      </c>
      <c r="JH36" s="123">
        <f>IF(OR(JH$4="",$B36=""),0,SUMIF('DADOS BRUTOS'!$A$3:$A$500,$B36,'DADOS BRUTOS'!GH$3:GH$500)+IF($C36="",0,SUMIF('DADOS BRUTOS'!$A$3:$A$500,$C36,'DADOS BRUTOS'!GH$3:GH$500)))</f>
        <v/>
      </c>
      <c r="JI36" s="123">
        <f>IF(OR(JI$4="",$B36=""),0,SUMIF('DADOS BRUTOS'!$A$3:$A$500,$B36,'DADOS BRUTOS'!GI$3:GI$500)+IF($C36="",0,SUMIF('DADOS BRUTOS'!$A$3:$A$500,$C36,'DADOS BRUTOS'!GI$3:GI$500)))</f>
        <v/>
      </c>
      <c r="JJ36" s="123">
        <f>IF(OR(JJ$4="",$B36=""),0,SUMIF('DADOS BRUTOS'!$A$3:$A$500,$B36,'DADOS BRUTOS'!GJ$3:GJ$500)+IF($C36="",0,SUMIF('DADOS BRUTOS'!$A$3:$A$500,$C36,'DADOS BRUTOS'!GJ$3:GJ$500)))</f>
        <v/>
      </c>
      <c r="JK36" s="123">
        <f>IF(OR(JK$4="",$B36=""),0,SUMIF('DADOS BRUTOS'!$A$3:$A$500,$B36,'DADOS BRUTOS'!GK$3:GK$500)+IF($C36="",0,SUMIF('DADOS BRUTOS'!$A$3:$A$500,$C36,'DADOS BRUTOS'!GK$3:GK$500)))</f>
        <v/>
      </c>
      <c r="JL36" s="123">
        <f>IF(OR(JL$4="",$B36=""),0,SUMIF('DADOS BRUTOS'!$A$3:$A$500,$B36,'DADOS BRUTOS'!GL$3:GL$500)+IF($C36="",0,SUMIF('DADOS BRUTOS'!$A$3:$A$500,$C36,'DADOS BRUTOS'!GL$3:GL$500)))</f>
        <v/>
      </c>
      <c r="JM36" s="123">
        <f>IF(OR(JM$4="",$B36=""),0,SUMIF('DADOS BRUTOS'!$A$3:$A$500,$B36,'DADOS BRUTOS'!GM$3:GM$500)+IF($C36="",0,SUMIF('DADOS BRUTOS'!$A$3:$A$500,$C36,'DADOS BRUTOS'!GM$3:GM$500)))</f>
        <v/>
      </c>
      <c r="JN36" s="123">
        <f>IF(OR(JN$4="",$B36=""),0,SUMIF('DADOS BRUTOS'!$A$3:$A$500,$B36,'DADOS BRUTOS'!GN$3:GN$500)+IF($C36="",0,SUMIF('DADOS BRUTOS'!$A$3:$A$500,$C36,'DADOS BRUTOS'!GN$3:GN$500)))</f>
        <v/>
      </c>
      <c r="JO36" s="123">
        <f>IF(OR(JO$4="",$B36=""),0,SUMIF('DADOS BRUTOS'!$A$3:$A$500,$B36,'DADOS BRUTOS'!GO$3:GO$500)+IF($C36="",0,SUMIF('DADOS BRUTOS'!$A$3:$A$500,$C36,'DADOS BRUTOS'!GO$3:GO$500)))</f>
        <v/>
      </c>
      <c r="JP36" s="123">
        <f>IF(OR(JP$4="",$B36=""),0,SUMIF('DADOS BRUTOS'!$A$3:$A$500,$B36,'DADOS BRUTOS'!GP$3:GP$500)+IF($C36="",0,SUMIF('DADOS BRUTOS'!$A$3:$A$500,$C36,'DADOS BRUTOS'!GP$3:GP$500)))</f>
        <v/>
      </c>
      <c r="JQ36" s="123">
        <f>IF(OR(JQ$4="",$B36=""),0,SUMIF('DADOS BRUTOS'!$A$3:$A$500,$B36,'DADOS BRUTOS'!GQ$3:GQ$500)+IF($C36="",0,SUMIF('DADOS BRUTOS'!$A$3:$A$500,$C36,'DADOS BRUTOS'!GQ$3:GQ$500)))</f>
        <v/>
      </c>
      <c r="JR36" s="123">
        <f>IF(OR(JR$4="",$B36=""),0,SUMIF('DADOS BRUTOS'!$A$3:$A$500,$B36,'DADOS BRUTOS'!GR$3:GR$500)+IF($C36="",0,SUMIF('DADOS BRUTOS'!$A$3:$A$500,$C36,'DADOS BRUTOS'!GR$3:GR$500)))</f>
        <v/>
      </c>
      <c r="JS36" s="123">
        <f>IF(OR(JS$4="",$B36=""),0,SUMIF('DADOS BRUTOS'!$A$3:$A$500,$B36,'DADOS BRUTOS'!GS$3:GS$500)+IF($C36="",0,SUMIF('DADOS BRUTOS'!$A$3:$A$500,$C36,'DADOS BRUTOS'!GS$3:GS$500)))</f>
        <v/>
      </c>
    </row>
    <row r="37">
      <c r="A37" s="60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CB37" s="123">
        <f>IF(OR(CB$4="",$B37=""),0,SUMIF('DADOS BRUTOS'!$A$3:$A$500,$B37,'DADOS BRUTOS'!B$3:B$500)+IF($C37="",0,SUMIF('DADOS BRUTOS'!$A$3:$A$500,$C37,'DADOS BRUTOS'!B$3:B$500)))</f>
        <v/>
      </c>
      <c r="CC37" s="123">
        <f>IF(OR(CC$4="",$B37=""),0,SUMIF('DADOS BRUTOS'!$A$3:$A$500,$B37,'DADOS BRUTOS'!C$3:C$500)+IF($C37="",0,SUMIF('DADOS BRUTOS'!$A$3:$A$500,$C37,'DADOS BRUTOS'!C$3:C$500)))</f>
        <v/>
      </c>
      <c r="CD37" s="123">
        <f>IF(OR(CD$4="",$B37=""),0,SUMIF('DADOS BRUTOS'!$A$3:$A$500,$B37,'DADOS BRUTOS'!D$3:D$500)+IF($C37="",0,SUMIF('DADOS BRUTOS'!$A$3:$A$500,$C37,'DADOS BRUTOS'!D$3:D$500)))</f>
        <v/>
      </c>
      <c r="CE37" s="123">
        <f>IF(OR(CE$4="",$B37=""),0,SUMIF('DADOS BRUTOS'!$A$3:$A$500,$B37,'DADOS BRUTOS'!E$3:E$500)+IF($C37="",0,SUMIF('DADOS BRUTOS'!$A$3:$A$500,$C37,'DADOS BRUTOS'!E$3:E$500)))</f>
        <v/>
      </c>
      <c r="CF37" s="123">
        <f>IF(OR(CF$4="",$B37=""),0,SUMIF('DADOS BRUTOS'!$A$3:$A$500,$B37,'DADOS BRUTOS'!F$3:F$500)+IF($C37="",0,SUMIF('DADOS BRUTOS'!$A$3:$A$500,$C37,'DADOS BRUTOS'!F$3:F$500)))</f>
        <v/>
      </c>
      <c r="CG37" s="123">
        <f>IF(OR(CG$4="",$B37=""),0,SUMIF('DADOS BRUTOS'!$A$3:$A$500,$B37,'DADOS BRUTOS'!G$3:G$500)+IF($C37="",0,SUMIF('DADOS BRUTOS'!$A$3:$A$500,$C37,'DADOS BRUTOS'!G$3:G$500)))</f>
        <v/>
      </c>
      <c r="CH37" s="123">
        <f>IF(OR(CH$4="",$B37=""),0,SUMIF('DADOS BRUTOS'!$A$3:$A$500,$B37,'DADOS BRUTOS'!H$3:H$500)+IF($C37="",0,SUMIF('DADOS BRUTOS'!$A$3:$A$500,$C37,'DADOS BRUTOS'!H$3:H$500)))</f>
        <v/>
      </c>
      <c r="CI37" s="123">
        <f>IF(OR(CI$4="",$B37=""),0,SUMIF('DADOS BRUTOS'!$A$3:$A$500,$B37,'DADOS BRUTOS'!I$3:I$500)+IF($C37="",0,SUMIF('DADOS BRUTOS'!$A$3:$A$500,$C37,'DADOS BRUTOS'!I$3:I$500)))</f>
        <v/>
      </c>
      <c r="CJ37" s="123">
        <f>IF(OR(CJ$4="",$B37=""),0,SUMIF('DADOS BRUTOS'!$A$3:$A$500,$B37,'DADOS BRUTOS'!J$3:J$500)+IF($C37="",0,SUMIF('DADOS BRUTOS'!$A$3:$A$500,$C37,'DADOS BRUTOS'!J$3:J$500)))</f>
        <v/>
      </c>
      <c r="CK37" s="123">
        <f>IF(OR(CK$4="",$B37=""),0,SUMIF('DADOS BRUTOS'!$A$3:$A$500,$B37,'DADOS BRUTOS'!K$3:K$500)+IF($C37="",0,SUMIF('DADOS BRUTOS'!$A$3:$A$500,$C37,'DADOS BRUTOS'!K$3:K$500)))</f>
        <v/>
      </c>
      <c r="CL37" s="123">
        <f>IF(OR(CL$4="",$B37=""),0,SUMIF('DADOS BRUTOS'!$A$3:$A$500,$B37,'DADOS BRUTOS'!L$3:L$500)+IF($C37="",0,SUMIF('DADOS BRUTOS'!$A$3:$A$500,$C37,'DADOS BRUTOS'!L$3:L$500)))</f>
        <v/>
      </c>
      <c r="CM37" s="123">
        <f>IF(OR(CM$4="",$B37=""),0,SUMIF('DADOS BRUTOS'!$A$3:$A$500,$B37,'DADOS BRUTOS'!M$3:M$500)+IF($C37="",0,SUMIF('DADOS BRUTOS'!$A$3:$A$500,$C37,'DADOS BRUTOS'!M$3:M$500)))</f>
        <v/>
      </c>
      <c r="CN37" s="123">
        <f>IF(OR(CN$4="",$B37=""),0,SUMIF('DADOS BRUTOS'!$A$3:$A$500,$B37,'DADOS BRUTOS'!N$3:N$500)+IF($C37="",0,SUMIF('DADOS BRUTOS'!$A$3:$A$500,$C37,'DADOS BRUTOS'!N$3:N$500)))</f>
        <v/>
      </c>
      <c r="CO37" s="123">
        <f>IF(OR(CO$4="",$B37=""),0,SUMIF('DADOS BRUTOS'!$A$3:$A$500,$B37,'DADOS BRUTOS'!O$3:O$500)+IF($C37="",0,SUMIF('DADOS BRUTOS'!$A$3:$A$500,$C37,'DADOS BRUTOS'!O$3:O$500)))</f>
        <v/>
      </c>
      <c r="CP37" s="123">
        <f>IF(OR(CP$4="",$B37=""),0,SUMIF('DADOS BRUTOS'!$A$3:$A$500,$B37,'DADOS BRUTOS'!P$3:P$500)+IF($C37="",0,SUMIF('DADOS BRUTOS'!$A$3:$A$500,$C37,'DADOS BRUTOS'!P$3:P$500)))</f>
        <v/>
      </c>
      <c r="CQ37" s="123">
        <f>IF(OR(CQ$4="",$B37=""),0,SUMIF('DADOS BRUTOS'!$A$3:$A$500,$B37,'DADOS BRUTOS'!Q$3:Q$500)+IF($C37="",0,SUMIF('DADOS BRUTOS'!$A$3:$A$500,$C37,'DADOS BRUTOS'!Q$3:Q$500)))</f>
        <v/>
      </c>
      <c r="CR37" s="123">
        <f>IF(OR(CR$4="",$B37=""),0,SUMIF('DADOS BRUTOS'!$A$3:$A$500,$B37,'DADOS BRUTOS'!R$3:R$500)+IF($C37="",0,SUMIF('DADOS BRUTOS'!$A$3:$A$500,$C37,'DADOS BRUTOS'!R$3:R$500)))</f>
        <v/>
      </c>
      <c r="CS37" s="123">
        <f>IF(OR(CS$4="",$B37=""),0,SUMIF('DADOS BRUTOS'!$A$3:$A$500,$B37,'DADOS BRUTOS'!S$3:S$500)+IF($C37="",0,SUMIF('DADOS BRUTOS'!$A$3:$A$500,$C37,'DADOS BRUTOS'!S$3:S$500)))</f>
        <v/>
      </c>
      <c r="CT37" s="123">
        <f>IF(OR(CT$4="",$B37=""),0,SUMIF('DADOS BRUTOS'!$A$3:$A$500,$B37,'DADOS BRUTOS'!T$3:T$500)+IF($C37="",0,SUMIF('DADOS BRUTOS'!$A$3:$A$500,$C37,'DADOS BRUTOS'!T$3:T$500)))</f>
        <v/>
      </c>
      <c r="CU37" s="123">
        <f>IF(OR(CU$4="",$B37=""),0,SUMIF('DADOS BRUTOS'!$A$3:$A$500,$B37,'DADOS BRUTOS'!U$3:U$500)+IF($C37="",0,SUMIF('DADOS BRUTOS'!$A$3:$A$500,$C37,'DADOS BRUTOS'!U$3:U$500)))</f>
        <v/>
      </c>
      <c r="CV37" s="123">
        <f>IF(OR(CV$4="",$B37=""),0,SUMIF('DADOS BRUTOS'!$A$3:$A$500,$B37,'DADOS BRUTOS'!V$3:V$500)+IF($C37="",0,SUMIF('DADOS BRUTOS'!$A$3:$A$500,$C37,'DADOS BRUTOS'!V$3:V$500)))</f>
        <v/>
      </c>
      <c r="CW37" s="123">
        <f>IF(OR(CW$4="",$B37=""),0,SUMIF('DADOS BRUTOS'!$A$3:$A$500,$B37,'DADOS BRUTOS'!W$3:W$500)+IF($C37="",0,SUMIF('DADOS BRUTOS'!$A$3:$A$500,$C37,'DADOS BRUTOS'!W$3:W$500)))</f>
        <v/>
      </c>
      <c r="CX37" s="123">
        <f>IF(OR(CX$4="",$B37=""),0,SUMIF('DADOS BRUTOS'!$A$3:$A$500,$B37,'DADOS BRUTOS'!X$3:X$500)+IF($C37="",0,SUMIF('DADOS BRUTOS'!$A$3:$A$500,$C37,'DADOS BRUTOS'!X$3:X$500)))</f>
        <v/>
      </c>
      <c r="CY37" s="123">
        <f>IF(OR(CY$4="",$B37=""),0,SUMIF('DADOS BRUTOS'!$A$3:$A$500,$B37,'DADOS BRUTOS'!Y$3:Y$500)+IF($C37="",0,SUMIF('DADOS BRUTOS'!$A$3:$A$500,$C37,'DADOS BRUTOS'!Y$3:Y$500)))</f>
        <v/>
      </c>
      <c r="CZ37" s="123">
        <f>IF(OR(CZ$4="",$B37=""),0,SUMIF('DADOS BRUTOS'!$A$3:$A$500,$B37,'DADOS BRUTOS'!Z$3:Z$500)+IF($C37="",0,SUMIF('DADOS BRUTOS'!$A$3:$A$500,$C37,'DADOS BRUTOS'!Z$3:Z$500)))</f>
        <v/>
      </c>
      <c r="DA37" s="123">
        <f>IF(OR(DA$4="",$B37=""),0,SUMIF('DADOS BRUTOS'!$A$3:$A$500,$B37,'DADOS BRUTOS'!AA$3:AA$500)+IF($C37="",0,SUMIF('DADOS BRUTOS'!$A$3:$A$500,$C37,'DADOS BRUTOS'!AA$3:AA$500)))</f>
        <v/>
      </c>
      <c r="DB37" s="123">
        <f>IF(OR(DB$4="",$B37=""),0,SUMIF('DADOS BRUTOS'!$A$3:$A$500,$B37,'DADOS BRUTOS'!AB$3:AB$500)+IF($C37="",0,SUMIF('DADOS BRUTOS'!$A$3:$A$500,$C37,'DADOS BRUTOS'!AB$3:AB$500)))</f>
        <v/>
      </c>
      <c r="DC37" s="123">
        <f>IF(OR(DC$4="",$B37=""),0,SUMIF('DADOS BRUTOS'!$A$3:$A$500,$B37,'DADOS BRUTOS'!AC$3:AC$500)+IF($C37="",0,SUMIF('DADOS BRUTOS'!$A$3:$A$500,$C37,'DADOS BRUTOS'!AC$3:AC$500)))</f>
        <v/>
      </c>
      <c r="DD37" s="123">
        <f>IF(OR(DD$4="",$B37=""),0,SUMIF('DADOS BRUTOS'!$A$3:$A$500,$B37,'DADOS BRUTOS'!AD$3:AD$500)+IF($C37="",0,SUMIF('DADOS BRUTOS'!$A$3:$A$500,$C37,'DADOS BRUTOS'!AD$3:AD$500)))</f>
        <v/>
      </c>
      <c r="DE37" s="123">
        <f>IF(OR(DE$4="",$B37=""),0,SUMIF('DADOS BRUTOS'!$A$3:$A$500,$B37,'DADOS BRUTOS'!AE$3:AE$500)+IF($C37="",0,SUMIF('DADOS BRUTOS'!$A$3:$A$500,$C37,'DADOS BRUTOS'!AE$3:AE$500)))</f>
        <v/>
      </c>
      <c r="DF37" s="123">
        <f>IF(OR(DF$4="",$B37=""),0,SUMIF('DADOS BRUTOS'!$A$3:$A$500,$B37,'DADOS BRUTOS'!AF$3:AF$500)+IF($C37="",0,SUMIF('DADOS BRUTOS'!$A$3:$A$500,$C37,'DADOS BRUTOS'!AF$3:AF$500)))</f>
        <v/>
      </c>
      <c r="DG37" s="123">
        <f>IF(OR(DG$4="",$B37=""),0,SUMIF('DADOS BRUTOS'!$A$3:$A$500,$B37,'DADOS BRUTOS'!AG$3:AG$500)+IF($C37="",0,SUMIF('DADOS BRUTOS'!$A$3:$A$500,$C37,'DADOS BRUTOS'!AG$3:AG$500)))</f>
        <v/>
      </c>
      <c r="DH37" s="123">
        <f>IF(OR(DH$4="",$B37=""),0,SUMIF('DADOS BRUTOS'!$A$3:$A$500,$B37,'DADOS BRUTOS'!AH$3:AH$500)+IF($C37="",0,SUMIF('DADOS BRUTOS'!$A$3:$A$500,$C37,'DADOS BRUTOS'!AH$3:AH$500)))</f>
        <v/>
      </c>
      <c r="DI37" s="123">
        <f>IF(OR(DI$4="",$B37=""),0,SUMIF('DADOS BRUTOS'!$A$3:$A$500,$B37,'DADOS BRUTOS'!AI$3:AI$500)+IF($C37="",0,SUMIF('DADOS BRUTOS'!$A$3:$A$500,$C37,'DADOS BRUTOS'!AI$3:AI$500)))</f>
        <v/>
      </c>
      <c r="DJ37" s="123">
        <f>IF(OR(DJ$4="",$B37=""),0,SUMIF('DADOS BRUTOS'!$A$3:$A$500,$B37,'DADOS BRUTOS'!AJ$3:AJ$500)+IF($C37="",0,SUMIF('DADOS BRUTOS'!$A$3:$A$500,$C37,'DADOS BRUTOS'!AJ$3:AJ$500)))</f>
        <v/>
      </c>
      <c r="DK37" s="123">
        <f>IF(OR(DK$4="",$B37=""),0,SUMIF('DADOS BRUTOS'!$A$3:$A$500,$B37,'DADOS BRUTOS'!AK$3:AK$500)+IF($C37="",0,SUMIF('DADOS BRUTOS'!$A$3:$A$500,$C37,'DADOS BRUTOS'!AK$3:AK$500)))</f>
        <v/>
      </c>
      <c r="DL37" s="123">
        <f>IF(OR(DL$4="",$B37=""),0,SUMIF('DADOS BRUTOS'!$A$3:$A$500,$B37,'DADOS BRUTOS'!AL$3:AL$500)+IF($C37="",0,SUMIF('DADOS BRUTOS'!$A$3:$A$500,$C37,'DADOS BRUTOS'!AL$3:AL$500)))</f>
        <v/>
      </c>
      <c r="DM37" s="123">
        <f>IF(OR(DM$4="",$B37=""),0,SUMIF('DADOS BRUTOS'!$A$3:$A$500,$B37,'DADOS BRUTOS'!AM$3:AM$500)+IF($C37="",0,SUMIF('DADOS BRUTOS'!$A$3:$A$500,$C37,'DADOS BRUTOS'!AM$3:AM$500)))</f>
        <v/>
      </c>
      <c r="DN37" s="123">
        <f>IF(OR(DN$4="",$B37=""),0,SUMIF('DADOS BRUTOS'!$A$3:$A$500,$B37,'DADOS BRUTOS'!AN$3:AN$500)+IF($C37="",0,SUMIF('DADOS BRUTOS'!$A$3:$A$500,$C37,'DADOS BRUTOS'!AN$3:AN$500)))</f>
        <v/>
      </c>
      <c r="DO37" s="123">
        <f>IF(OR(DO$4="",$B37=""),0,SUMIF('DADOS BRUTOS'!$A$3:$A$500,$B37,'DADOS BRUTOS'!AO$3:AO$500)+IF($C37="",0,SUMIF('DADOS BRUTOS'!$A$3:$A$500,$C37,'DADOS BRUTOS'!AO$3:AO$500)))</f>
        <v/>
      </c>
      <c r="DP37" s="123">
        <f>IF(OR(DP$4="",$B37=""),0,SUMIF('DADOS BRUTOS'!$A$3:$A$500,$B37,'DADOS BRUTOS'!AP$3:AP$500)+IF($C37="",0,SUMIF('DADOS BRUTOS'!$A$3:$A$500,$C37,'DADOS BRUTOS'!AP$3:AP$500)))</f>
        <v/>
      </c>
      <c r="DQ37" s="123">
        <f>IF(OR(DQ$4="",$B37=""),0,SUMIF('DADOS BRUTOS'!$A$3:$A$500,$B37,'DADOS BRUTOS'!AQ$3:AQ$500)+IF($C37="",0,SUMIF('DADOS BRUTOS'!$A$3:$A$500,$C37,'DADOS BRUTOS'!AQ$3:AQ$500)))</f>
        <v/>
      </c>
      <c r="DR37" s="123">
        <f>IF(OR(DR$4="",$B37=""),0,SUMIF('DADOS BRUTOS'!$A$3:$A$500,$B37,'DADOS BRUTOS'!AR$3:AR$500)+IF($C37="",0,SUMIF('DADOS BRUTOS'!$A$3:$A$500,$C37,'DADOS BRUTOS'!AR$3:AR$500)))</f>
        <v/>
      </c>
      <c r="DS37" s="123">
        <f>IF(OR(DS$4="",$B37=""),0,SUMIF('DADOS BRUTOS'!$A$3:$A$500,$B37,'DADOS BRUTOS'!AS$3:AS$500)+IF($C37="",0,SUMIF('DADOS BRUTOS'!$A$3:$A$500,$C37,'DADOS BRUTOS'!AS$3:AS$500)))</f>
        <v/>
      </c>
      <c r="DT37" s="123">
        <f>IF(OR(DT$4="",$B37=""),0,SUMIF('DADOS BRUTOS'!$A$3:$A$500,$B37,'DADOS BRUTOS'!AT$3:AT$500)+IF($C37="",0,SUMIF('DADOS BRUTOS'!$A$3:$A$500,$C37,'DADOS BRUTOS'!AT$3:AT$500)))</f>
        <v/>
      </c>
      <c r="DU37" s="123">
        <f>IF(OR(DU$4="",$B37=""),0,SUMIF('DADOS BRUTOS'!$A$3:$A$500,$B37,'DADOS BRUTOS'!AU$3:AU$500)+IF($C37="",0,SUMIF('DADOS BRUTOS'!$A$3:$A$500,$C37,'DADOS BRUTOS'!AU$3:AU$500)))</f>
        <v/>
      </c>
      <c r="DV37" s="123">
        <f>IF(OR(DV$4="",$B37=""),0,SUMIF('DADOS BRUTOS'!$A$3:$A$500,$B37,'DADOS BRUTOS'!AV$3:AV$500)+IF($C37="",0,SUMIF('DADOS BRUTOS'!$A$3:$A$500,$C37,'DADOS BRUTOS'!AV$3:AV$500)))</f>
        <v/>
      </c>
      <c r="DW37" s="123">
        <f>IF(OR(DW$4="",$B37=""),0,SUMIF('DADOS BRUTOS'!$A$3:$A$500,$B37,'DADOS BRUTOS'!AW$3:AW$500)+IF($C37="",0,SUMIF('DADOS BRUTOS'!$A$3:$A$500,$C37,'DADOS BRUTOS'!AW$3:AW$500)))</f>
        <v/>
      </c>
      <c r="DX37" s="123">
        <f>IF(OR(DX$4="",$B37=""),0,SUMIF('DADOS BRUTOS'!$A$3:$A$500,$B37,'DADOS BRUTOS'!AX$3:AX$500)+IF($C37="",0,SUMIF('DADOS BRUTOS'!$A$3:$A$500,$C37,'DADOS BRUTOS'!AX$3:AX$500)))</f>
        <v/>
      </c>
      <c r="DY37" s="123">
        <f>IF(OR(DY$4="",$B37=""),0,SUMIF('DADOS BRUTOS'!$A$3:$A$500,$B37,'DADOS BRUTOS'!AY$3:AY$500)+IF($C37="",0,SUMIF('DADOS BRUTOS'!$A$3:$A$500,$C37,'DADOS BRUTOS'!AY$3:AY$500)))</f>
        <v/>
      </c>
      <c r="DZ37" s="123">
        <f>IF(OR(DZ$4="",$B37=""),0,SUMIF('DADOS BRUTOS'!$A$3:$A$500,$B37,'DADOS BRUTOS'!AZ$3:AZ$500)+IF($C37="",0,SUMIF('DADOS BRUTOS'!$A$3:$A$500,$C37,'DADOS BRUTOS'!AZ$3:AZ$500)))</f>
        <v/>
      </c>
      <c r="EA37" s="123">
        <f>IF(OR(EA$4="",$B37=""),0,SUMIF('DADOS BRUTOS'!$A$3:$A$500,$B37,'DADOS BRUTOS'!BA$3:BA$500)+IF($C37="",0,SUMIF('DADOS BRUTOS'!$A$3:$A$500,$C37,'DADOS BRUTOS'!BA$3:BA$500)))</f>
        <v/>
      </c>
      <c r="EB37" s="123">
        <f>IF(OR(EB$4="",$B37=""),0,SUMIF('DADOS BRUTOS'!$A$3:$A$500,$B37,'DADOS BRUTOS'!BB$3:BB$500)+IF($C37="",0,SUMIF('DADOS BRUTOS'!$A$3:$A$500,$C37,'DADOS BRUTOS'!BB$3:BB$500)))</f>
        <v/>
      </c>
      <c r="EC37" s="123">
        <f>IF(OR(EC$4="",$B37=""),0,SUMIF('DADOS BRUTOS'!$A$3:$A$500,$B37,'DADOS BRUTOS'!BC$3:BC$500)+IF($C37="",0,SUMIF('DADOS BRUTOS'!$A$3:$A$500,$C37,'DADOS BRUTOS'!BC$3:BC$500)))</f>
        <v/>
      </c>
      <c r="ED37" s="123">
        <f>IF(OR(ED$4="",$B37=""),0,SUMIF('DADOS BRUTOS'!$A$3:$A$500,$B37,'DADOS BRUTOS'!BD$3:BD$500)+IF($C37="",0,SUMIF('DADOS BRUTOS'!$A$3:$A$500,$C37,'DADOS BRUTOS'!BD$3:BD$500)))</f>
        <v/>
      </c>
      <c r="EE37" s="123">
        <f>IF(OR(EE$4="",$B37=""),0,SUMIF('DADOS BRUTOS'!$A$3:$A$500,$B37,'DADOS BRUTOS'!BE$3:BE$500)+IF($C37="",0,SUMIF('DADOS BRUTOS'!$A$3:$A$500,$C37,'DADOS BRUTOS'!BE$3:BE$500)))</f>
        <v/>
      </c>
      <c r="EF37" s="123">
        <f>IF(OR(EF$4="",$B37=""),0,SUMIF('DADOS BRUTOS'!$A$3:$A$500,$B37,'DADOS BRUTOS'!BF$3:BF$500)+IF($C37="",0,SUMIF('DADOS BRUTOS'!$A$3:$A$500,$C37,'DADOS BRUTOS'!BF$3:BF$500)))</f>
        <v/>
      </c>
      <c r="EG37" s="123">
        <f>IF(OR(EG$4="",$B37=""),0,SUMIF('DADOS BRUTOS'!$A$3:$A$500,$B37,'DADOS BRUTOS'!BG$3:BG$500)+IF($C37="",0,SUMIF('DADOS BRUTOS'!$A$3:$A$500,$C37,'DADOS BRUTOS'!BG$3:BG$500)))</f>
        <v/>
      </c>
      <c r="EH37" s="123">
        <f>IF(OR(EH$4="",$B37=""),0,SUMIF('DADOS BRUTOS'!$A$3:$A$500,$B37,'DADOS BRUTOS'!BH$3:BH$500)+IF($C37="",0,SUMIF('DADOS BRUTOS'!$A$3:$A$500,$C37,'DADOS BRUTOS'!BH$3:BH$500)))</f>
        <v/>
      </c>
      <c r="EI37" s="123">
        <f>IF(OR(EI$4="",$B37=""),0,SUMIF('DADOS BRUTOS'!$A$3:$A$500,$B37,'DADOS BRUTOS'!BI$3:BI$500)+IF($C37="",0,SUMIF('DADOS BRUTOS'!$A$3:$A$500,$C37,'DADOS BRUTOS'!BI$3:BI$500)))</f>
        <v/>
      </c>
      <c r="EJ37" s="123">
        <f>IF(OR(EJ$4="",$B37=""),0,SUMIF('DADOS BRUTOS'!$A$3:$A$500,$B37,'DADOS BRUTOS'!BJ$3:BJ$500)+IF($C37="",0,SUMIF('DADOS BRUTOS'!$A$3:$A$500,$C37,'DADOS BRUTOS'!BJ$3:BJ$500)))</f>
        <v/>
      </c>
      <c r="EK37" s="123">
        <f>IF(OR(EK$4="",$B37=""),0,SUMIF('DADOS BRUTOS'!$A$3:$A$500,$B37,'DADOS BRUTOS'!BK$3:BK$500)+IF($C37="",0,SUMIF('DADOS BRUTOS'!$A$3:$A$500,$C37,'DADOS BRUTOS'!BK$3:BK$500)))</f>
        <v/>
      </c>
      <c r="EL37" s="123">
        <f>IF(OR(EL$4="",$B37=""),0,SUMIF('DADOS BRUTOS'!$A$3:$A$500,$B37,'DADOS BRUTOS'!BL$3:BL$500)+IF($C37="",0,SUMIF('DADOS BRUTOS'!$A$3:$A$500,$C37,'DADOS BRUTOS'!BL$3:BL$500)))</f>
        <v/>
      </c>
      <c r="EM37" s="123">
        <f>IF(OR(EM$4="",$B37=""),0,SUMIF('DADOS BRUTOS'!$A$3:$A$500,$B37,'DADOS BRUTOS'!BM$3:BM$500)+IF($C37="",0,SUMIF('DADOS BRUTOS'!$A$3:$A$500,$C37,'DADOS BRUTOS'!BM$3:BM$500)))</f>
        <v/>
      </c>
      <c r="EN37" s="123">
        <f>IF(OR(EN$4="",$B37=""),0,SUMIF('DADOS BRUTOS'!$A$3:$A$500,$B37,'DADOS BRUTOS'!BN$3:BN$500)+IF($C37="",0,SUMIF('DADOS BRUTOS'!$A$3:$A$500,$C37,'DADOS BRUTOS'!BN$3:BN$500)))</f>
        <v/>
      </c>
      <c r="EO37" s="123">
        <f>IF(OR(EO$4="",$B37=""),0,SUMIF('DADOS BRUTOS'!$A$3:$A$500,$B37,'DADOS BRUTOS'!BO$3:BO$500)+IF($C37="",0,SUMIF('DADOS BRUTOS'!$A$3:$A$500,$C37,'DADOS BRUTOS'!BO$3:BO$500)))</f>
        <v/>
      </c>
      <c r="EP37" s="123">
        <f>IF(OR(EP$4="",$B37=""),0,SUMIF('DADOS BRUTOS'!$A$3:$A$500,$B37,'DADOS BRUTOS'!BP$3:BP$500)+IF($C37="",0,SUMIF('DADOS BRUTOS'!$A$3:$A$500,$C37,'DADOS BRUTOS'!BP$3:BP$500)))</f>
        <v/>
      </c>
      <c r="EQ37" s="123">
        <f>IF(OR(EQ$4="",$B37=""),0,SUMIF('DADOS BRUTOS'!$A$3:$A$500,$B37,'DADOS BRUTOS'!BQ$3:BQ$500)+IF($C37="",0,SUMIF('DADOS BRUTOS'!$A$3:$A$500,$C37,'DADOS BRUTOS'!BQ$3:BQ$500)))</f>
        <v/>
      </c>
      <c r="ER37" s="123">
        <f>IF(OR(ER$4="",$B37=""),0,SUMIF('DADOS BRUTOS'!$A$3:$A$500,$B37,'DADOS BRUTOS'!BR$3:BR$500)+IF($C37="",0,SUMIF('DADOS BRUTOS'!$A$3:$A$500,$C37,'DADOS BRUTOS'!BR$3:BR$500)))</f>
        <v/>
      </c>
      <c r="ES37" s="123">
        <f>IF(OR(ES$4="",$B37=""),0,SUMIF('DADOS BRUTOS'!$A$3:$A$500,$B37,'DADOS BRUTOS'!BS$3:BS$500)+IF($C37="",0,SUMIF('DADOS BRUTOS'!$A$3:$A$500,$C37,'DADOS BRUTOS'!BS$3:BS$500)))</f>
        <v/>
      </c>
      <c r="ET37" s="123">
        <f>IF(OR(ET$4="",$B37=""),0,SUMIF('DADOS BRUTOS'!$A$3:$A$500,$B37,'DADOS BRUTOS'!BT$3:BT$500)+IF($C37="",0,SUMIF('DADOS BRUTOS'!$A$3:$A$500,$C37,'DADOS BRUTOS'!BT$3:BT$500)))</f>
        <v/>
      </c>
      <c r="EU37" s="123">
        <f>IF(OR(EU$4="",$B37=""),0,SUMIF('DADOS BRUTOS'!$A$3:$A$500,$B37,'DADOS BRUTOS'!BU$3:BU$500)+IF($C37="",0,SUMIF('DADOS BRUTOS'!$A$3:$A$500,$C37,'DADOS BRUTOS'!BU$3:BU$500)))</f>
        <v/>
      </c>
      <c r="EV37" s="123">
        <f>IF(OR(EV$4="",$B37=""),0,SUMIF('DADOS BRUTOS'!$A$3:$A$500,$B37,'DADOS BRUTOS'!BV$3:BV$500)+IF($C37="",0,SUMIF('DADOS BRUTOS'!$A$3:$A$500,$C37,'DADOS BRUTOS'!BV$3:BV$500)))</f>
        <v/>
      </c>
      <c r="EW37" s="123">
        <f>IF(OR(EW$4="",$B37=""),0,SUMIF('DADOS BRUTOS'!$A$3:$A$500,$B37,'DADOS BRUTOS'!BW$3:BW$500)+IF($C37="",0,SUMIF('DADOS BRUTOS'!$A$3:$A$500,$C37,'DADOS BRUTOS'!BW$3:BW$500)))</f>
        <v/>
      </c>
      <c r="EX37" s="123">
        <f>IF(OR(EX$4="",$B37=""),0,SUMIF('DADOS BRUTOS'!$A$3:$A$500,$B37,'DADOS BRUTOS'!BX$3:BX$500)+IF($C37="",0,SUMIF('DADOS BRUTOS'!$A$3:$A$500,$C37,'DADOS BRUTOS'!BX$3:BX$500)))</f>
        <v/>
      </c>
      <c r="EY37" s="123">
        <f>IF(OR(EY$4="",$B37=""),0,SUMIF('DADOS BRUTOS'!$A$3:$A$500,$B37,'DADOS BRUTOS'!BY$3:BY$500)+IF($C37="",0,SUMIF('DADOS BRUTOS'!$A$3:$A$500,$C37,'DADOS BRUTOS'!BY$3:BY$500)))</f>
        <v/>
      </c>
      <c r="EZ37" s="123">
        <f>IF(OR(EZ$4="",$B37=""),0,SUMIF('DADOS BRUTOS'!$A$3:$A$500,$B37,'DADOS BRUTOS'!BZ$3:BZ$500)+IF($C37="",0,SUMIF('DADOS BRUTOS'!$A$3:$A$500,$C37,'DADOS BRUTOS'!BZ$3:BZ$500)))</f>
        <v/>
      </c>
      <c r="FA37" s="123">
        <f>IF(OR(FA$4="",$B37=""),0,SUMIF('DADOS BRUTOS'!$A$3:$A$500,$B37,'DADOS BRUTOS'!CA$3:CA$500)+IF($C37="",0,SUMIF('DADOS BRUTOS'!$A$3:$A$500,$C37,'DADOS BRUTOS'!CA$3:CA$500)))</f>
        <v/>
      </c>
      <c r="FB37" s="123">
        <f>IF(OR(FB$4="",$B37=""),0,SUMIF('DADOS BRUTOS'!$A$3:$A$500,$B37,'DADOS BRUTOS'!CB$3:CB$500)+IF($C37="",0,SUMIF('DADOS BRUTOS'!$A$3:$A$500,$C37,'DADOS BRUTOS'!CB$3:CB$500)))</f>
        <v/>
      </c>
      <c r="FC37" s="123">
        <f>IF(OR(FC$4="",$B37=""),0,SUMIF('DADOS BRUTOS'!$A$3:$A$500,$B37,'DADOS BRUTOS'!CC$3:CC$500)+IF($C37="",0,SUMIF('DADOS BRUTOS'!$A$3:$A$500,$C37,'DADOS BRUTOS'!CC$3:CC$500)))</f>
        <v/>
      </c>
      <c r="FD37" s="123">
        <f>IF(OR(FD$4="",$B37=""),0,SUMIF('DADOS BRUTOS'!$A$3:$A$500,$B37,'DADOS BRUTOS'!CD$3:CD$500)+IF($C37="",0,SUMIF('DADOS BRUTOS'!$A$3:$A$500,$C37,'DADOS BRUTOS'!CD$3:CD$500)))</f>
        <v/>
      </c>
      <c r="FE37" s="123">
        <f>IF(OR(FE$4="",$B37=""),0,SUMIF('DADOS BRUTOS'!$A$3:$A$500,$B37,'DADOS BRUTOS'!CE$3:CE$500)+IF($C37="",0,SUMIF('DADOS BRUTOS'!$A$3:$A$500,$C37,'DADOS BRUTOS'!CE$3:CE$500)))</f>
        <v/>
      </c>
      <c r="FF37" s="123">
        <f>IF(OR(FF$4="",$B37=""),0,SUMIF('DADOS BRUTOS'!$A$3:$A$500,$B37,'DADOS BRUTOS'!CF$3:CF$500)+IF($C37="",0,SUMIF('DADOS BRUTOS'!$A$3:$A$500,$C37,'DADOS BRUTOS'!CF$3:CF$500)))</f>
        <v/>
      </c>
      <c r="FG37" s="123">
        <f>IF(OR(FG$4="",$B37=""),0,SUMIF('DADOS BRUTOS'!$A$3:$A$500,$B37,'DADOS BRUTOS'!CG$3:CG$500)+IF($C37="",0,SUMIF('DADOS BRUTOS'!$A$3:$A$500,$C37,'DADOS BRUTOS'!CG$3:CG$500)))</f>
        <v/>
      </c>
      <c r="FH37" s="123">
        <f>IF(OR(FH$4="",$B37=""),0,SUMIF('DADOS BRUTOS'!$A$3:$A$500,$B37,'DADOS BRUTOS'!CH$3:CH$500)+IF($C37="",0,SUMIF('DADOS BRUTOS'!$A$3:$A$500,$C37,'DADOS BRUTOS'!CH$3:CH$500)))</f>
        <v/>
      </c>
      <c r="FI37" s="123">
        <f>IF(OR(FI$4="",$B37=""),0,SUMIF('DADOS BRUTOS'!$A$3:$A$500,$B37,'DADOS BRUTOS'!CI$3:CI$500)+IF($C37="",0,SUMIF('DADOS BRUTOS'!$A$3:$A$500,$C37,'DADOS BRUTOS'!CI$3:CI$500)))</f>
        <v/>
      </c>
      <c r="FJ37" s="123">
        <f>IF(OR(FJ$4="",$B37=""),0,SUMIF('DADOS BRUTOS'!$A$3:$A$500,$B37,'DADOS BRUTOS'!CJ$3:CJ$500)+IF($C37="",0,SUMIF('DADOS BRUTOS'!$A$3:$A$500,$C37,'DADOS BRUTOS'!CJ$3:CJ$500)))</f>
        <v/>
      </c>
      <c r="FK37" s="123">
        <f>IF(OR(FK$4="",$B37=""),0,SUMIF('DADOS BRUTOS'!$A$3:$A$500,$B37,'DADOS BRUTOS'!CK$3:CK$500)+IF($C37="",0,SUMIF('DADOS BRUTOS'!$A$3:$A$500,$C37,'DADOS BRUTOS'!CK$3:CK$500)))</f>
        <v/>
      </c>
      <c r="FL37" s="123">
        <f>IF(OR(FL$4="",$B37=""),0,SUMIF('DADOS BRUTOS'!$A$3:$A$500,$B37,'DADOS BRUTOS'!CL$3:CL$500)+IF($C37="",0,SUMIF('DADOS BRUTOS'!$A$3:$A$500,$C37,'DADOS BRUTOS'!CL$3:CL$500)))</f>
        <v/>
      </c>
      <c r="FM37" s="123">
        <f>IF(OR(FM$4="",$B37=""),0,SUMIF('DADOS BRUTOS'!$A$3:$A$500,$B37,'DADOS BRUTOS'!CM$3:CM$500)+IF($C37="",0,SUMIF('DADOS BRUTOS'!$A$3:$A$500,$C37,'DADOS BRUTOS'!CM$3:CM$500)))</f>
        <v/>
      </c>
      <c r="FN37" s="123">
        <f>IF(OR(FN$4="",$B37=""),0,SUMIF('DADOS BRUTOS'!$A$3:$A$500,$B37,'DADOS BRUTOS'!CN$3:CN$500)+IF($C37="",0,SUMIF('DADOS BRUTOS'!$A$3:$A$500,$C37,'DADOS BRUTOS'!CN$3:CN$500)))</f>
        <v/>
      </c>
      <c r="FO37" s="123">
        <f>IF(OR(FO$4="",$B37=""),0,SUMIF('DADOS BRUTOS'!$A$3:$A$500,$B37,'DADOS BRUTOS'!CO$3:CO$500)+IF($C37="",0,SUMIF('DADOS BRUTOS'!$A$3:$A$500,$C37,'DADOS BRUTOS'!CO$3:CO$500)))</f>
        <v/>
      </c>
      <c r="FP37" s="123">
        <f>IF(OR(FP$4="",$B37=""),0,SUMIF('DADOS BRUTOS'!$A$3:$A$500,$B37,'DADOS BRUTOS'!CP$3:CP$500)+IF($C37="",0,SUMIF('DADOS BRUTOS'!$A$3:$A$500,$C37,'DADOS BRUTOS'!CP$3:CP$500)))</f>
        <v/>
      </c>
      <c r="FQ37" s="123">
        <f>IF(OR(FQ$4="",$B37=""),0,SUMIF('DADOS BRUTOS'!$A$3:$A$500,$B37,'DADOS BRUTOS'!CQ$3:CQ$500)+IF($C37="",0,SUMIF('DADOS BRUTOS'!$A$3:$A$500,$C37,'DADOS BRUTOS'!CQ$3:CQ$500)))</f>
        <v/>
      </c>
      <c r="FR37" s="123">
        <f>IF(OR(FR$4="",$B37=""),0,SUMIF('DADOS BRUTOS'!$A$3:$A$500,$B37,'DADOS BRUTOS'!CR$3:CR$500)+IF($C37="",0,SUMIF('DADOS BRUTOS'!$A$3:$A$500,$C37,'DADOS BRUTOS'!CR$3:CR$500)))</f>
        <v/>
      </c>
      <c r="FS37" s="123">
        <f>IF(OR(FS$4="",$B37=""),0,SUMIF('DADOS BRUTOS'!$A$3:$A$500,$B37,'DADOS BRUTOS'!CS$3:CS$500)+IF($C37="",0,SUMIF('DADOS BRUTOS'!$A$3:$A$500,$C37,'DADOS BRUTOS'!CS$3:CS$500)))</f>
        <v/>
      </c>
      <c r="FT37" s="123">
        <f>IF(OR(FT$4="",$B37=""),0,SUMIF('DADOS BRUTOS'!$A$3:$A$500,$B37,'DADOS BRUTOS'!CT$3:CT$500)+IF($C37="",0,SUMIF('DADOS BRUTOS'!$A$3:$A$500,$C37,'DADOS BRUTOS'!CT$3:CT$500)))</f>
        <v/>
      </c>
      <c r="FU37" s="123">
        <f>IF(OR(FU$4="",$B37=""),0,SUMIF('DADOS BRUTOS'!$A$3:$A$500,$B37,'DADOS BRUTOS'!CU$3:CU$500)+IF($C37="",0,SUMIF('DADOS BRUTOS'!$A$3:$A$500,$C37,'DADOS BRUTOS'!CU$3:CU$500)))</f>
        <v/>
      </c>
      <c r="FV37" s="123">
        <f>IF(OR(FV$4="",$B37=""),0,SUMIF('DADOS BRUTOS'!$A$3:$A$500,$B37,'DADOS BRUTOS'!CV$3:CV$500)+IF($C37="",0,SUMIF('DADOS BRUTOS'!$A$3:$A$500,$C37,'DADOS BRUTOS'!CV$3:CV$500)))</f>
        <v/>
      </c>
      <c r="FW37" s="123">
        <f>IF(OR(FW$4="",$B37=""),0,SUMIF('DADOS BRUTOS'!$A$3:$A$500,$B37,'DADOS BRUTOS'!CW$3:CW$500)+IF($C37="",0,SUMIF('DADOS BRUTOS'!$A$3:$A$500,$C37,'DADOS BRUTOS'!CW$3:CW$500)))</f>
        <v/>
      </c>
      <c r="FX37" s="123">
        <f>IF(OR(FX$4="",$B37=""),0,SUMIF('DADOS BRUTOS'!$A$3:$A$500,$B37,'DADOS BRUTOS'!CX$3:CX$500)+IF($C37="",0,SUMIF('DADOS BRUTOS'!$A$3:$A$500,$C37,'DADOS BRUTOS'!CX$3:CX$500)))</f>
        <v/>
      </c>
      <c r="FY37" s="123">
        <f>IF(OR(FY$4="",$B37=""),0,SUMIF('DADOS BRUTOS'!$A$3:$A$500,$B37,'DADOS BRUTOS'!CY$3:CY$500)+IF($C37="",0,SUMIF('DADOS BRUTOS'!$A$3:$A$500,$C37,'DADOS BRUTOS'!CY$3:CY$500)))</f>
        <v/>
      </c>
      <c r="FZ37" s="123">
        <f>IF(OR(FZ$4="",$B37=""),0,SUMIF('DADOS BRUTOS'!$A$3:$A$500,$B37,'DADOS BRUTOS'!CZ$3:CZ$500)+IF($C37="",0,SUMIF('DADOS BRUTOS'!$A$3:$A$500,$C37,'DADOS BRUTOS'!CZ$3:CZ$500)))</f>
        <v/>
      </c>
      <c r="GA37" s="123">
        <f>IF(OR(GA$4="",$B37=""),0,SUMIF('DADOS BRUTOS'!$A$3:$A$500,$B37,'DADOS BRUTOS'!DA$3:DA$500)+IF($C37="",0,SUMIF('DADOS BRUTOS'!$A$3:$A$500,$C37,'DADOS BRUTOS'!DA$3:DA$500)))</f>
        <v/>
      </c>
      <c r="GB37" s="123">
        <f>IF(OR(GB$4="",$B37=""),0,SUMIF('DADOS BRUTOS'!$A$3:$A$500,$B37,'DADOS BRUTOS'!DB$3:DB$500)+IF($C37="",0,SUMIF('DADOS BRUTOS'!$A$3:$A$500,$C37,'DADOS BRUTOS'!DB$3:DB$500)))</f>
        <v/>
      </c>
      <c r="GC37" s="123">
        <f>IF(OR(GC$4="",$B37=""),0,SUMIF('DADOS BRUTOS'!$A$3:$A$500,$B37,'DADOS BRUTOS'!DC$3:DC$500)+IF($C37="",0,SUMIF('DADOS BRUTOS'!$A$3:$A$500,$C37,'DADOS BRUTOS'!DC$3:DC$500)))</f>
        <v/>
      </c>
      <c r="GD37" s="123">
        <f>IF(OR(GD$4="",$B37=""),0,SUMIF('DADOS BRUTOS'!$A$3:$A$500,$B37,'DADOS BRUTOS'!DD$3:DD$500)+IF($C37="",0,SUMIF('DADOS BRUTOS'!$A$3:$A$500,$C37,'DADOS BRUTOS'!DD$3:DD$500)))</f>
        <v/>
      </c>
      <c r="GE37" s="123">
        <f>IF(OR(GE$4="",$B37=""),0,SUMIF('DADOS BRUTOS'!$A$3:$A$500,$B37,'DADOS BRUTOS'!DE$3:DE$500)+IF($C37="",0,SUMIF('DADOS BRUTOS'!$A$3:$A$500,$C37,'DADOS BRUTOS'!DE$3:DE$500)))</f>
        <v/>
      </c>
      <c r="GF37" s="123">
        <f>IF(OR(GF$4="",$B37=""),0,SUMIF('DADOS BRUTOS'!$A$3:$A$500,$B37,'DADOS BRUTOS'!DF$3:DF$500)+IF($C37="",0,SUMIF('DADOS BRUTOS'!$A$3:$A$500,$C37,'DADOS BRUTOS'!DF$3:DF$500)))</f>
        <v/>
      </c>
      <c r="GG37" s="123">
        <f>IF(OR(GG$4="",$B37=""),0,SUMIF('DADOS BRUTOS'!$A$3:$A$500,$B37,'DADOS BRUTOS'!DG$3:DG$500)+IF($C37="",0,SUMIF('DADOS BRUTOS'!$A$3:$A$500,$C37,'DADOS BRUTOS'!DG$3:DG$500)))</f>
        <v/>
      </c>
      <c r="GH37" s="123">
        <f>IF(OR(GH$4="",$B37=""),0,SUMIF('DADOS BRUTOS'!$A$3:$A$500,$B37,'DADOS BRUTOS'!DH$3:DH$500)+IF($C37="",0,SUMIF('DADOS BRUTOS'!$A$3:$A$500,$C37,'DADOS BRUTOS'!DH$3:DH$500)))</f>
        <v/>
      </c>
      <c r="GI37" s="123">
        <f>IF(OR(GI$4="",$B37=""),0,SUMIF('DADOS BRUTOS'!$A$3:$A$500,$B37,'DADOS BRUTOS'!DI$3:DI$500)+IF($C37="",0,SUMIF('DADOS BRUTOS'!$A$3:$A$500,$C37,'DADOS BRUTOS'!DI$3:DI$500)))</f>
        <v/>
      </c>
      <c r="GJ37" s="123">
        <f>IF(OR(GJ$4="",$B37=""),0,SUMIF('DADOS BRUTOS'!$A$3:$A$500,$B37,'DADOS BRUTOS'!DJ$3:DJ$500)+IF($C37="",0,SUMIF('DADOS BRUTOS'!$A$3:$A$500,$C37,'DADOS BRUTOS'!DJ$3:DJ$500)))</f>
        <v/>
      </c>
      <c r="GK37" s="123">
        <f>IF(OR(GK$4="",$B37=""),0,SUMIF('DADOS BRUTOS'!$A$3:$A$500,$B37,'DADOS BRUTOS'!DK$3:DK$500)+IF($C37="",0,SUMIF('DADOS BRUTOS'!$A$3:$A$500,$C37,'DADOS BRUTOS'!DK$3:DK$500)))</f>
        <v/>
      </c>
      <c r="GL37" s="123">
        <f>IF(OR(GL$4="",$B37=""),0,SUMIF('DADOS BRUTOS'!$A$3:$A$500,$B37,'DADOS BRUTOS'!DL$3:DL$500)+IF($C37="",0,SUMIF('DADOS BRUTOS'!$A$3:$A$500,$C37,'DADOS BRUTOS'!DL$3:DL$500)))</f>
        <v/>
      </c>
      <c r="GM37" s="123">
        <f>IF(OR(GM$4="",$B37=""),0,SUMIF('DADOS BRUTOS'!$A$3:$A$500,$B37,'DADOS BRUTOS'!DM$3:DM$500)+IF($C37="",0,SUMIF('DADOS BRUTOS'!$A$3:$A$500,$C37,'DADOS BRUTOS'!DM$3:DM$500)))</f>
        <v/>
      </c>
      <c r="GN37" s="123">
        <f>IF(OR(GN$4="",$B37=""),0,SUMIF('DADOS BRUTOS'!$A$3:$A$500,$B37,'DADOS BRUTOS'!DN$3:DN$500)+IF($C37="",0,SUMIF('DADOS BRUTOS'!$A$3:$A$500,$C37,'DADOS BRUTOS'!DN$3:DN$500)))</f>
        <v/>
      </c>
      <c r="GO37" s="123">
        <f>IF(OR(GO$4="",$B37=""),0,SUMIF('DADOS BRUTOS'!$A$3:$A$500,$B37,'DADOS BRUTOS'!DO$3:DO$500)+IF($C37="",0,SUMIF('DADOS BRUTOS'!$A$3:$A$500,$C37,'DADOS BRUTOS'!DO$3:DO$500)))</f>
        <v/>
      </c>
      <c r="GP37" s="123">
        <f>IF(OR(GP$4="",$B37=""),0,SUMIF('DADOS BRUTOS'!$A$3:$A$500,$B37,'DADOS BRUTOS'!DP$3:DP$500)+IF($C37="",0,SUMIF('DADOS BRUTOS'!$A$3:$A$500,$C37,'DADOS BRUTOS'!DP$3:DP$500)))</f>
        <v/>
      </c>
      <c r="GQ37" s="123">
        <f>IF(OR(GQ$4="",$B37=""),0,SUMIF('DADOS BRUTOS'!$A$3:$A$500,$B37,'DADOS BRUTOS'!DQ$3:DQ$500)+IF($C37="",0,SUMIF('DADOS BRUTOS'!$A$3:$A$500,$C37,'DADOS BRUTOS'!DQ$3:DQ$500)))</f>
        <v/>
      </c>
      <c r="GR37" s="123">
        <f>IF(OR(GR$4="",$B37=""),0,SUMIF('DADOS BRUTOS'!$A$3:$A$500,$B37,'DADOS BRUTOS'!DR$3:DR$500)+IF($C37="",0,SUMIF('DADOS BRUTOS'!$A$3:$A$500,$C37,'DADOS BRUTOS'!DR$3:DR$500)))</f>
        <v/>
      </c>
      <c r="GS37" s="123">
        <f>IF(OR(GS$4="",$B37=""),0,SUMIF('DADOS BRUTOS'!$A$3:$A$500,$B37,'DADOS BRUTOS'!DS$3:DS$500)+IF($C37="",0,SUMIF('DADOS BRUTOS'!$A$3:$A$500,$C37,'DADOS BRUTOS'!DS$3:DS$500)))</f>
        <v/>
      </c>
      <c r="GT37" s="123">
        <f>IF(OR(GT$4="",$B37=""),0,SUMIF('DADOS BRUTOS'!$A$3:$A$500,$B37,'DADOS BRUTOS'!DT$3:DT$500)+IF($C37="",0,SUMIF('DADOS BRUTOS'!$A$3:$A$500,$C37,'DADOS BRUTOS'!DT$3:DT$500)))</f>
        <v/>
      </c>
      <c r="GU37" s="123">
        <f>IF(OR(GU$4="",$B37=""),0,SUMIF('DADOS BRUTOS'!$A$3:$A$500,$B37,'DADOS BRUTOS'!DU$3:DU$500)+IF($C37="",0,SUMIF('DADOS BRUTOS'!$A$3:$A$500,$C37,'DADOS BRUTOS'!DU$3:DU$500)))</f>
        <v/>
      </c>
      <c r="GV37" s="123">
        <f>IF(OR(GV$4="",$B37=""),0,SUMIF('DADOS BRUTOS'!$A$3:$A$500,$B37,'DADOS BRUTOS'!DV$3:DV$500)+IF($C37="",0,SUMIF('DADOS BRUTOS'!$A$3:$A$500,$C37,'DADOS BRUTOS'!DV$3:DV$500)))</f>
        <v/>
      </c>
      <c r="GW37" s="123">
        <f>IF(OR(GW$4="",$B37=""),0,SUMIF('DADOS BRUTOS'!$A$3:$A$500,$B37,'DADOS BRUTOS'!DW$3:DW$500)+IF($C37="",0,SUMIF('DADOS BRUTOS'!$A$3:$A$500,$C37,'DADOS BRUTOS'!DW$3:DW$500)))</f>
        <v/>
      </c>
      <c r="GX37" s="123">
        <f>IF(OR(GX$4="",$B37=""),0,SUMIF('DADOS BRUTOS'!$A$3:$A$500,$B37,'DADOS BRUTOS'!DX$3:DX$500)+IF($C37="",0,SUMIF('DADOS BRUTOS'!$A$3:$A$500,$C37,'DADOS BRUTOS'!DX$3:DX$500)))</f>
        <v/>
      </c>
      <c r="GY37" s="123">
        <f>IF(OR(GY$4="",$B37=""),0,SUMIF('DADOS BRUTOS'!$A$3:$A$500,$B37,'DADOS BRUTOS'!DY$3:DY$500)+IF($C37="",0,SUMIF('DADOS BRUTOS'!$A$3:$A$500,$C37,'DADOS BRUTOS'!DY$3:DY$500)))</f>
        <v/>
      </c>
      <c r="GZ37" s="123">
        <f>IF(OR(GZ$4="",$B37=""),0,SUMIF('DADOS BRUTOS'!$A$3:$A$500,$B37,'DADOS BRUTOS'!DZ$3:DZ$500)+IF($C37="",0,SUMIF('DADOS BRUTOS'!$A$3:$A$500,$C37,'DADOS BRUTOS'!DZ$3:DZ$500)))</f>
        <v/>
      </c>
      <c r="HA37" s="123">
        <f>IF(OR(HA$4="",$B37=""),0,SUMIF('DADOS BRUTOS'!$A$3:$A$500,$B37,'DADOS BRUTOS'!EA$3:EA$500)+IF($C37="",0,SUMIF('DADOS BRUTOS'!$A$3:$A$500,$C37,'DADOS BRUTOS'!EA$3:EA$500)))</f>
        <v/>
      </c>
      <c r="HB37" s="123">
        <f>IF(OR(HB$4="",$B37=""),0,SUMIF('DADOS BRUTOS'!$A$3:$A$500,$B37,'DADOS BRUTOS'!EB$3:EB$500)+IF($C37="",0,SUMIF('DADOS BRUTOS'!$A$3:$A$500,$C37,'DADOS BRUTOS'!EB$3:EB$500)))</f>
        <v/>
      </c>
      <c r="HC37" s="123">
        <f>IF(OR(HC$4="",$B37=""),0,SUMIF('DADOS BRUTOS'!$A$3:$A$500,$B37,'DADOS BRUTOS'!EC$3:EC$500)+IF($C37="",0,SUMIF('DADOS BRUTOS'!$A$3:$A$500,$C37,'DADOS BRUTOS'!EC$3:EC$500)))</f>
        <v/>
      </c>
      <c r="HD37" s="123">
        <f>IF(OR(HD$4="",$B37=""),0,SUMIF('DADOS BRUTOS'!$A$3:$A$500,$B37,'DADOS BRUTOS'!ED$3:ED$500)+IF($C37="",0,SUMIF('DADOS BRUTOS'!$A$3:$A$500,$C37,'DADOS BRUTOS'!ED$3:ED$500)))</f>
        <v/>
      </c>
      <c r="HE37" s="123">
        <f>IF(OR(HE$4="",$B37=""),0,SUMIF('DADOS BRUTOS'!$A$3:$A$500,$B37,'DADOS BRUTOS'!EE$3:EE$500)+IF($C37="",0,SUMIF('DADOS BRUTOS'!$A$3:$A$500,$C37,'DADOS BRUTOS'!EE$3:EE$500)))</f>
        <v/>
      </c>
      <c r="HF37" s="123">
        <f>IF(OR(HF$4="",$B37=""),0,SUMIF('DADOS BRUTOS'!$A$3:$A$500,$B37,'DADOS BRUTOS'!EF$3:EF$500)+IF($C37="",0,SUMIF('DADOS BRUTOS'!$A$3:$A$500,$C37,'DADOS BRUTOS'!EF$3:EF$500)))</f>
        <v/>
      </c>
      <c r="HG37" s="123">
        <f>IF(OR(HG$4="",$B37=""),0,SUMIF('DADOS BRUTOS'!$A$3:$A$500,$B37,'DADOS BRUTOS'!EG$3:EG$500)+IF($C37="",0,SUMIF('DADOS BRUTOS'!$A$3:$A$500,$C37,'DADOS BRUTOS'!EG$3:EG$500)))</f>
        <v/>
      </c>
      <c r="HH37" s="123">
        <f>IF(OR(HH$4="",$B37=""),0,SUMIF('DADOS BRUTOS'!$A$3:$A$500,$B37,'DADOS BRUTOS'!EH$3:EH$500)+IF($C37="",0,SUMIF('DADOS BRUTOS'!$A$3:$A$500,$C37,'DADOS BRUTOS'!EH$3:EH$500)))</f>
        <v/>
      </c>
      <c r="HI37" s="123">
        <f>IF(OR(HI$4="",$B37=""),0,SUMIF('DADOS BRUTOS'!$A$3:$A$500,$B37,'DADOS BRUTOS'!EI$3:EI$500)+IF($C37="",0,SUMIF('DADOS BRUTOS'!$A$3:$A$500,$C37,'DADOS BRUTOS'!EI$3:EI$500)))</f>
        <v/>
      </c>
      <c r="HJ37" s="123">
        <f>IF(OR(HJ$4="",$B37=""),0,SUMIF('DADOS BRUTOS'!$A$3:$A$500,$B37,'DADOS BRUTOS'!EJ$3:EJ$500)+IF($C37="",0,SUMIF('DADOS BRUTOS'!$A$3:$A$500,$C37,'DADOS BRUTOS'!EJ$3:EJ$500)))</f>
        <v/>
      </c>
      <c r="HK37" s="123">
        <f>IF(OR(HK$4="",$B37=""),0,SUMIF('DADOS BRUTOS'!$A$3:$A$500,$B37,'DADOS BRUTOS'!EK$3:EK$500)+IF($C37="",0,SUMIF('DADOS BRUTOS'!$A$3:$A$500,$C37,'DADOS BRUTOS'!EK$3:EK$500)))</f>
        <v/>
      </c>
      <c r="HL37" s="123">
        <f>IF(OR(HL$4="",$B37=""),0,SUMIF('DADOS BRUTOS'!$A$3:$A$500,$B37,'DADOS BRUTOS'!EL$3:EL$500)+IF($C37="",0,SUMIF('DADOS BRUTOS'!$A$3:$A$500,$C37,'DADOS BRUTOS'!EL$3:EL$500)))</f>
        <v/>
      </c>
      <c r="HM37" s="123">
        <f>IF(OR(HM$4="",$B37=""),0,SUMIF('DADOS BRUTOS'!$A$3:$A$500,$B37,'DADOS BRUTOS'!EM$3:EM$500)+IF($C37="",0,SUMIF('DADOS BRUTOS'!$A$3:$A$500,$C37,'DADOS BRUTOS'!EM$3:EM$500)))</f>
        <v/>
      </c>
      <c r="HN37" s="123">
        <f>IF(OR(HN$4="",$B37=""),0,SUMIF('DADOS BRUTOS'!$A$3:$A$500,$B37,'DADOS BRUTOS'!EN$3:EN$500)+IF($C37="",0,SUMIF('DADOS BRUTOS'!$A$3:$A$500,$C37,'DADOS BRUTOS'!EN$3:EN$500)))</f>
        <v/>
      </c>
      <c r="HO37" s="123">
        <f>IF(OR(HO$4="",$B37=""),0,SUMIF('DADOS BRUTOS'!$A$3:$A$500,$B37,'DADOS BRUTOS'!EO$3:EO$500)+IF($C37="",0,SUMIF('DADOS BRUTOS'!$A$3:$A$500,$C37,'DADOS BRUTOS'!EO$3:EO$500)))</f>
        <v/>
      </c>
      <c r="HP37" s="123">
        <f>IF(OR(HP$4="",$B37=""),0,SUMIF('DADOS BRUTOS'!$A$3:$A$500,$B37,'DADOS BRUTOS'!EP$3:EP$500)+IF($C37="",0,SUMIF('DADOS BRUTOS'!$A$3:$A$500,$C37,'DADOS BRUTOS'!EP$3:EP$500)))</f>
        <v/>
      </c>
      <c r="HQ37" s="123">
        <f>IF(OR(HQ$4="",$B37=""),0,SUMIF('DADOS BRUTOS'!$A$3:$A$500,$B37,'DADOS BRUTOS'!EQ$3:EQ$500)+IF($C37="",0,SUMIF('DADOS BRUTOS'!$A$3:$A$500,$C37,'DADOS BRUTOS'!EQ$3:EQ$500)))</f>
        <v/>
      </c>
      <c r="HR37" s="123">
        <f>IF(OR(HR$4="",$B37=""),0,SUMIF('DADOS BRUTOS'!$A$3:$A$500,$B37,'DADOS BRUTOS'!ER$3:ER$500)+IF($C37="",0,SUMIF('DADOS BRUTOS'!$A$3:$A$500,$C37,'DADOS BRUTOS'!ER$3:ER$500)))</f>
        <v/>
      </c>
      <c r="HS37" s="123">
        <f>IF(OR(HS$4="",$B37=""),0,SUMIF('DADOS BRUTOS'!$A$3:$A$500,$B37,'DADOS BRUTOS'!ES$3:ES$500)+IF($C37="",0,SUMIF('DADOS BRUTOS'!$A$3:$A$500,$C37,'DADOS BRUTOS'!ES$3:ES$500)))</f>
        <v/>
      </c>
      <c r="HT37" s="123">
        <f>IF(OR(HT$4="",$B37=""),0,SUMIF('DADOS BRUTOS'!$A$3:$A$500,$B37,'DADOS BRUTOS'!ET$3:ET$500)+IF($C37="",0,SUMIF('DADOS BRUTOS'!$A$3:$A$500,$C37,'DADOS BRUTOS'!ET$3:ET$500)))</f>
        <v/>
      </c>
      <c r="HU37" s="123">
        <f>IF(OR(HU$4="",$B37=""),0,SUMIF('DADOS BRUTOS'!$A$3:$A$500,$B37,'DADOS BRUTOS'!EU$3:EU$500)+IF($C37="",0,SUMIF('DADOS BRUTOS'!$A$3:$A$500,$C37,'DADOS BRUTOS'!EU$3:EU$500)))</f>
        <v/>
      </c>
      <c r="HV37" s="123">
        <f>IF(OR(HV$4="",$B37=""),0,SUMIF('DADOS BRUTOS'!$A$3:$A$500,$B37,'DADOS BRUTOS'!EV$3:EV$500)+IF($C37="",0,SUMIF('DADOS BRUTOS'!$A$3:$A$500,$C37,'DADOS BRUTOS'!EV$3:EV$500)))</f>
        <v/>
      </c>
      <c r="HW37" s="123">
        <f>IF(OR(HW$4="",$B37=""),0,SUMIF('DADOS BRUTOS'!$A$3:$A$500,$B37,'DADOS BRUTOS'!EW$3:EW$500)+IF($C37="",0,SUMIF('DADOS BRUTOS'!$A$3:$A$500,$C37,'DADOS BRUTOS'!EW$3:EW$500)))</f>
        <v/>
      </c>
      <c r="HX37" s="123">
        <f>IF(OR(HX$4="",$B37=""),0,SUMIF('DADOS BRUTOS'!$A$3:$A$500,$B37,'DADOS BRUTOS'!EX$3:EX$500)+IF($C37="",0,SUMIF('DADOS BRUTOS'!$A$3:$A$500,$C37,'DADOS BRUTOS'!EX$3:EX$500)))</f>
        <v/>
      </c>
      <c r="HY37" s="123">
        <f>IF(OR(HY$4="",$B37=""),0,SUMIF('DADOS BRUTOS'!$A$3:$A$500,$B37,'DADOS BRUTOS'!EY$3:EY$500)+IF($C37="",0,SUMIF('DADOS BRUTOS'!$A$3:$A$500,$C37,'DADOS BRUTOS'!EY$3:EY$500)))</f>
        <v/>
      </c>
      <c r="HZ37" s="123">
        <f>IF(OR(HZ$4="",$B37=""),0,SUMIF('DADOS BRUTOS'!$A$3:$A$500,$B37,'DADOS BRUTOS'!EZ$3:EZ$500)+IF($C37="",0,SUMIF('DADOS BRUTOS'!$A$3:$A$500,$C37,'DADOS BRUTOS'!EZ$3:EZ$500)))</f>
        <v/>
      </c>
      <c r="IA37" s="123">
        <f>IF(OR(IA$4="",$B37=""),0,SUMIF('DADOS BRUTOS'!$A$3:$A$500,$B37,'DADOS BRUTOS'!FA$3:FA$500)+IF($C37="",0,SUMIF('DADOS BRUTOS'!$A$3:$A$500,$C37,'DADOS BRUTOS'!FA$3:FA$500)))</f>
        <v/>
      </c>
      <c r="IB37" s="123">
        <f>IF(OR(IB$4="",$B37=""),0,SUMIF('DADOS BRUTOS'!$A$3:$A$500,$B37,'DADOS BRUTOS'!FB$3:FB$500)+IF($C37="",0,SUMIF('DADOS BRUTOS'!$A$3:$A$500,$C37,'DADOS BRUTOS'!FB$3:FB$500)))</f>
        <v/>
      </c>
      <c r="IC37" s="123">
        <f>IF(OR(IC$4="",$B37=""),0,SUMIF('DADOS BRUTOS'!$A$3:$A$500,$B37,'DADOS BRUTOS'!FC$3:FC$500)+IF($C37="",0,SUMIF('DADOS BRUTOS'!$A$3:$A$500,$C37,'DADOS BRUTOS'!FC$3:FC$500)))</f>
        <v/>
      </c>
      <c r="ID37" s="123">
        <f>IF(OR(ID$4="",$B37=""),0,SUMIF('DADOS BRUTOS'!$A$3:$A$500,$B37,'DADOS BRUTOS'!FD$3:FD$500)+IF($C37="",0,SUMIF('DADOS BRUTOS'!$A$3:$A$500,$C37,'DADOS BRUTOS'!FD$3:FD$500)))</f>
        <v/>
      </c>
      <c r="IE37" s="123">
        <f>IF(OR(IE$4="",$B37=""),0,SUMIF('DADOS BRUTOS'!$A$3:$A$500,$B37,'DADOS BRUTOS'!FE$3:FE$500)+IF($C37="",0,SUMIF('DADOS BRUTOS'!$A$3:$A$500,$C37,'DADOS BRUTOS'!FE$3:FE$500)))</f>
        <v/>
      </c>
      <c r="IF37" s="123">
        <f>IF(OR(IF$4="",$B37=""),0,SUMIF('DADOS BRUTOS'!$A$3:$A$500,$B37,'DADOS BRUTOS'!FF$3:FF$500)+IF($C37="",0,SUMIF('DADOS BRUTOS'!$A$3:$A$500,$C37,'DADOS BRUTOS'!FF$3:FF$500)))</f>
        <v/>
      </c>
      <c r="IG37" s="123">
        <f>IF(OR(IG$4="",$B37=""),0,SUMIF('DADOS BRUTOS'!$A$3:$A$500,$B37,'DADOS BRUTOS'!FG$3:FG$500)+IF($C37="",0,SUMIF('DADOS BRUTOS'!$A$3:$A$500,$C37,'DADOS BRUTOS'!FG$3:FG$500)))</f>
        <v/>
      </c>
      <c r="IH37" s="123">
        <f>IF(OR(IH$4="",$B37=""),0,SUMIF('DADOS BRUTOS'!$A$3:$A$500,$B37,'DADOS BRUTOS'!FH$3:FH$500)+IF($C37="",0,SUMIF('DADOS BRUTOS'!$A$3:$A$500,$C37,'DADOS BRUTOS'!FH$3:FH$500)))</f>
        <v/>
      </c>
      <c r="II37" s="123">
        <f>IF(OR(II$4="",$B37=""),0,SUMIF('DADOS BRUTOS'!$A$3:$A$500,$B37,'DADOS BRUTOS'!FI$3:FI$500)+IF($C37="",0,SUMIF('DADOS BRUTOS'!$A$3:$A$500,$C37,'DADOS BRUTOS'!FI$3:FI$500)))</f>
        <v/>
      </c>
      <c r="IJ37" s="123">
        <f>IF(OR(IJ$4="",$B37=""),0,SUMIF('DADOS BRUTOS'!$A$3:$A$500,$B37,'DADOS BRUTOS'!FJ$3:FJ$500)+IF($C37="",0,SUMIF('DADOS BRUTOS'!$A$3:$A$500,$C37,'DADOS BRUTOS'!FJ$3:FJ$500)))</f>
        <v/>
      </c>
      <c r="IK37" s="123">
        <f>IF(OR(IK$4="",$B37=""),0,SUMIF('DADOS BRUTOS'!$A$3:$A$500,$B37,'DADOS BRUTOS'!FK$3:FK$500)+IF($C37="",0,SUMIF('DADOS BRUTOS'!$A$3:$A$500,$C37,'DADOS BRUTOS'!FK$3:FK$500)))</f>
        <v/>
      </c>
      <c r="IL37" s="123">
        <f>IF(OR(IL$4="",$B37=""),0,SUMIF('DADOS BRUTOS'!$A$3:$A$500,$B37,'DADOS BRUTOS'!FL$3:FL$500)+IF($C37="",0,SUMIF('DADOS BRUTOS'!$A$3:$A$500,$C37,'DADOS BRUTOS'!FL$3:FL$500)))</f>
        <v/>
      </c>
      <c r="IM37" s="123">
        <f>IF(OR(IM$4="",$B37=""),0,SUMIF('DADOS BRUTOS'!$A$3:$A$500,$B37,'DADOS BRUTOS'!FM$3:FM$500)+IF($C37="",0,SUMIF('DADOS BRUTOS'!$A$3:$A$500,$C37,'DADOS BRUTOS'!FM$3:FM$500)))</f>
        <v/>
      </c>
      <c r="IN37" s="123">
        <f>IF(OR(IN$4="",$B37=""),0,SUMIF('DADOS BRUTOS'!$A$3:$A$500,$B37,'DADOS BRUTOS'!FN$3:FN$500)+IF($C37="",0,SUMIF('DADOS BRUTOS'!$A$3:$A$500,$C37,'DADOS BRUTOS'!FN$3:FN$500)))</f>
        <v/>
      </c>
      <c r="IO37" s="123">
        <f>IF(OR(IO$4="",$B37=""),0,SUMIF('DADOS BRUTOS'!$A$3:$A$500,$B37,'DADOS BRUTOS'!FO$3:FO$500)+IF($C37="",0,SUMIF('DADOS BRUTOS'!$A$3:$A$500,$C37,'DADOS BRUTOS'!FO$3:FO$500)))</f>
        <v/>
      </c>
      <c r="IP37" s="123">
        <f>IF(OR(IP$4="",$B37=""),0,SUMIF('DADOS BRUTOS'!$A$3:$A$500,$B37,'DADOS BRUTOS'!FP$3:FP$500)+IF($C37="",0,SUMIF('DADOS BRUTOS'!$A$3:$A$500,$C37,'DADOS BRUTOS'!FP$3:FP$500)))</f>
        <v/>
      </c>
      <c r="IQ37" s="123">
        <f>IF(OR(IQ$4="",$B37=""),0,SUMIF('DADOS BRUTOS'!$A$3:$A$500,$B37,'DADOS BRUTOS'!FQ$3:FQ$500)+IF($C37="",0,SUMIF('DADOS BRUTOS'!$A$3:$A$500,$C37,'DADOS BRUTOS'!FQ$3:FQ$500)))</f>
        <v/>
      </c>
      <c r="IR37" s="123">
        <f>IF(OR(IR$4="",$B37=""),0,SUMIF('DADOS BRUTOS'!$A$3:$A$500,$B37,'DADOS BRUTOS'!FR$3:FR$500)+IF($C37="",0,SUMIF('DADOS BRUTOS'!$A$3:$A$500,$C37,'DADOS BRUTOS'!FR$3:FR$500)))</f>
        <v/>
      </c>
      <c r="IS37" s="123">
        <f>IF(OR(IS$4="",$B37=""),0,SUMIF('DADOS BRUTOS'!$A$3:$A$500,$B37,'DADOS BRUTOS'!FS$3:FS$500)+IF($C37="",0,SUMIF('DADOS BRUTOS'!$A$3:$A$500,$C37,'DADOS BRUTOS'!FS$3:FS$500)))</f>
        <v/>
      </c>
      <c r="IT37" s="123">
        <f>IF(OR(IT$4="",$B37=""),0,SUMIF('DADOS BRUTOS'!$A$3:$A$500,$B37,'DADOS BRUTOS'!FT$3:FT$500)+IF($C37="",0,SUMIF('DADOS BRUTOS'!$A$3:$A$500,$C37,'DADOS BRUTOS'!FT$3:FT$500)))</f>
        <v/>
      </c>
      <c r="IU37" s="123">
        <f>IF(OR(IU$4="",$B37=""),0,SUMIF('DADOS BRUTOS'!$A$3:$A$500,$B37,'DADOS BRUTOS'!FU$3:FU$500)+IF($C37="",0,SUMIF('DADOS BRUTOS'!$A$3:$A$500,$C37,'DADOS BRUTOS'!FU$3:FU$500)))</f>
        <v/>
      </c>
      <c r="IV37" s="123">
        <f>IF(OR(IV$4="",$B37=""),0,SUMIF('DADOS BRUTOS'!$A$3:$A$500,$B37,'DADOS BRUTOS'!FV$3:FV$500)+IF($C37="",0,SUMIF('DADOS BRUTOS'!$A$3:$A$500,$C37,'DADOS BRUTOS'!FV$3:FV$500)))</f>
        <v/>
      </c>
      <c r="IW37" s="123">
        <f>IF(OR(IW$4="",$B37=""),0,SUMIF('DADOS BRUTOS'!$A$3:$A$500,$B37,'DADOS BRUTOS'!FW$3:FW$500)+IF($C37="",0,SUMIF('DADOS BRUTOS'!$A$3:$A$500,$C37,'DADOS BRUTOS'!FW$3:FW$500)))</f>
        <v/>
      </c>
      <c r="IX37" s="123">
        <f>IF(OR(IX$4="",$B37=""),0,SUMIF('DADOS BRUTOS'!$A$3:$A$500,$B37,'DADOS BRUTOS'!FX$3:FX$500)+IF($C37="",0,SUMIF('DADOS BRUTOS'!$A$3:$A$500,$C37,'DADOS BRUTOS'!FX$3:FX$500)))</f>
        <v/>
      </c>
      <c r="IY37" s="123">
        <f>IF(OR(IY$4="",$B37=""),0,SUMIF('DADOS BRUTOS'!$A$3:$A$500,$B37,'DADOS BRUTOS'!FY$3:FY$500)+IF($C37="",0,SUMIF('DADOS BRUTOS'!$A$3:$A$500,$C37,'DADOS BRUTOS'!FY$3:FY$500)))</f>
        <v/>
      </c>
      <c r="IZ37" s="123">
        <f>IF(OR(IZ$4="",$B37=""),0,SUMIF('DADOS BRUTOS'!$A$3:$A$500,$B37,'DADOS BRUTOS'!FZ$3:FZ$500)+IF($C37="",0,SUMIF('DADOS BRUTOS'!$A$3:$A$500,$C37,'DADOS BRUTOS'!FZ$3:FZ$500)))</f>
        <v/>
      </c>
      <c r="JA37" s="123">
        <f>IF(OR(JA$4="",$B37=""),0,SUMIF('DADOS BRUTOS'!$A$3:$A$500,$B37,'DADOS BRUTOS'!GA$3:GA$500)+IF($C37="",0,SUMIF('DADOS BRUTOS'!$A$3:$A$500,$C37,'DADOS BRUTOS'!GA$3:GA$500)))</f>
        <v/>
      </c>
      <c r="JB37" s="123">
        <f>IF(OR(JB$4="",$B37=""),0,SUMIF('DADOS BRUTOS'!$A$3:$A$500,$B37,'DADOS BRUTOS'!GB$3:GB$500)+IF($C37="",0,SUMIF('DADOS BRUTOS'!$A$3:$A$500,$C37,'DADOS BRUTOS'!GB$3:GB$500)))</f>
        <v/>
      </c>
      <c r="JC37" s="123">
        <f>IF(OR(JC$4="",$B37=""),0,SUMIF('DADOS BRUTOS'!$A$3:$A$500,$B37,'DADOS BRUTOS'!GC$3:GC$500)+IF($C37="",0,SUMIF('DADOS BRUTOS'!$A$3:$A$500,$C37,'DADOS BRUTOS'!GC$3:GC$500)))</f>
        <v/>
      </c>
      <c r="JD37" s="123">
        <f>IF(OR(JD$4="",$B37=""),0,SUMIF('DADOS BRUTOS'!$A$3:$A$500,$B37,'DADOS BRUTOS'!GD$3:GD$500)+IF($C37="",0,SUMIF('DADOS BRUTOS'!$A$3:$A$500,$C37,'DADOS BRUTOS'!GD$3:GD$500)))</f>
        <v/>
      </c>
      <c r="JE37" s="123">
        <f>IF(OR(JE$4="",$B37=""),0,SUMIF('DADOS BRUTOS'!$A$3:$A$500,$B37,'DADOS BRUTOS'!GE$3:GE$500)+IF($C37="",0,SUMIF('DADOS BRUTOS'!$A$3:$A$500,$C37,'DADOS BRUTOS'!GE$3:GE$500)))</f>
        <v/>
      </c>
      <c r="JF37" s="123">
        <f>IF(OR(JF$4="",$B37=""),0,SUMIF('DADOS BRUTOS'!$A$3:$A$500,$B37,'DADOS BRUTOS'!GF$3:GF$500)+IF($C37="",0,SUMIF('DADOS BRUTOS'!$A$3:$A$500,$C37,'DADOS BRUTOS'!GF$3:GF$500)))</f>
        <v/>
      </c>
      <c r="JG37" s="123">
        <f>IF(OR(JG$4="",$B37=""),0,SUMIF('DADOS BRUTOS'!$A$3:$A$500,$B37,'DADOS BRUTOS'!GG$3:GG$500)+IF($C37="",0,SUMIF('DADOS BRUTOS'!$A$3:$A$500,$C37,'DADOS BRUTOS'!GG$3:GG$500)))</f>
        <v/>
      </c>
      <c r="JH37" s="123">
        <f>IF(OR(JH$4="",$B37=""),0,SUMIF('DADOS BRUTOS'!$A$3:$A$500,$B37,'DADOS BRUTOS'!GH$3:GH$500)+IF($C37="",0,SUMIF('DADOS BRUTOS'!$A$3:$A$500,$C37,'DADOS BRUTOS'!GH$3:GH$500)))</f>
        <v/>
      </c>
      <c r="JI37" s="123">
        <f>IF(OR(JI$4="",$B37=""),0,SUMIF('DADOS BRUTOS'!$A$3:$A$500,$B37,'DADOS BRUTOS'!GI$3:GI$500)+IF($C37="",0,SUMIF('DADOS BRUTOS'!$A$3:$A$500,$C37,'DADOS BRUTOS'!GI$3:GI$500)))</f>
        <v/>
      </c>
      <c r="JJ37" s="123">
        <f>IF(OR(JJ$4="",$B37=""),0,SUMIF('DADOS BRUTOS'!$A$3:$A$500,$B37,'DADOS BRUTOS'!GJ$3:GJ$500)+IF($C37="",0,SUMIF('DADOS BRUTOS'!$A$3:$A$500,$C37,'DADOS BRUTOS'!GJ$3:GJ$500)))</f>
        <v/>
      </c>
      <c r="JK37" s="123">
        <f>IF(OR(JK$4="",$B37=""),0,SUMIF('DADOS BRUTOS'!$A$3:$A$500,$B37,'DADOS BRUTOS'!GK$3:GK$500)+IF($C37="",0,SUMIF('DADOS BRUTOS'!$A$3:$A$500,$C37,'DADOS BRUTOS'!GK$3:GK$500)))</f>
        <v/>
      </c>
      <c r="JL37" s="123">
        <f>IF(OR(JL$4="",$B37=""),0,SUMIF('DADOS BRUTOS'!$A$3:$A$500,$B37,'DADOS BRUTOS'!GL$3:GL$500)+IF($C37="",0,SUMIF('DADOS BRUTOS'!$A$3:$A$500,$C37,'DADOS BRUTOS'!GL$3:GL$500)))</f>
        <v/>
      </c>
      <c r="JM37" s="123">
        <f>IF(OR(JM$4="",$B37=""),0,SUMIF('DADOS BRUTOS'!$A$3:$A$500,$B37,'DADOS BRUTOS'!GM$3:GM$500)+IF($C37="",0,SUMIF('DADOS BRUTOS'!$A$3:$A$500,$C37,'DADOS BRUTOS'!GM$3:GM$500)))</f>
        <v/>
      </c>
      <c r="JN37" s="123">
        <f>IF(OR(JN$4="",$B37=""),0,SUMIF('DADOS BRUTOS'!$A$3:$A$500,$B37,'DADOS BRUTOS'!GN$3:GN$500)+IF($C37="",0,SUMIF('DADOS BRUTOS'!$A$3:$A$500,$C37,'DADOS BRUTOS'!GN$3:GN$500)))</f>
        <v/>
      </c>
      <c r="JO37" s="123">
        <f>IF(OR(JO$4="",$B37=""),0,SUMIF('DADOS BRUTOS'!$A$3:$A$500,$B37,'DADOS BRUTOS'!GO$3:GO$500)+IF($C37="",0,SUMIF('DADOS BRUTOS'!$A$3:$A$500,$C37,'DADOS BRUTOS'!GO$3:GO$500)))</f>
        <v/>
      </c>
      <c r="JP37" s="123">
        <f>IF(OR(JP$4="",$B37=""),0,SUMIF('DADOS BRUTOS'!$A$3:$A$500,$B37,'DADOS BRUTOS'!GP$3:GP$500)+IF($C37="",0,SUMIF('DADOS BRUTOS'!$A$3:$A$500,$C37,'DADOS BRUTOS'!GP$3:GP$500)))</f>
        <v/>
      </c>
      <c r="JQ37" s="123">
        <f>IF(OR(JQ$4="",$B37=""),0,SUMIF('DADOS BRUTOS'!$A$3:$A$500,$B37,'DADOS BRUTOS'!GQ$3:GQ$500)+IF($C37="",0,SUMIF('DADOS BRUTOS'!$A$3:$A$500,$C37,'DADOS BRUTOS'!GQ$3:GQ$500)))</f>
        <v/>
      </c>
      <c r="JR37" s="123">
        <f>IF(OR(JR$4="",$B37=""),0,SUMIF('DADOS BRUTOS'!$A$3:$A$500,$B37,'DADOS BRUTOS'!GR$3:GR$500)+IF($C37="",0,SUMIF('DADOS BRUTOS'!$A$3:$A$500,$C37,'DADOS BRUTOS'!GR$3:GR$500)))</f>
        <v/>
      </c>
      <c r="JS37" s="123">
        <f>IF(OR(JS$4="",$B37=""),0,SUMIF('DADOS BRUTOS'!$A$3:$A$500,$B37,'DADOS BRUTOS'!GS$3:GS$500)+IF($C37="",0,SUMIF('DADOS BRUTOS'!$A$3:$A$500,$C37,'DADOS BRUTOS'!GS$3:GS$500)))</f>
        <v/>
      </c>
    </row>
    <row r="38">
      <c r="A38" s="60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CB38" s="123">
        <f>IF(OR(CB$4="",$B38=""),0,SUMIF('DADOS BRUTOS'!$A$3:$A$500,$B38,'DADOS BRUTOS'!B$3:B$500)+IF($C38="",0,SUMIF('DADOS BRUTOS'!$A$3:$A$500,$C38,'DADOS BRUTOS'!B$3:B$500)))</f>
        <v/>
      </c>
      <c r="CC38" s="123">
        <f>IF(OR(CC$4="",$B38=""),0,SUMIF('DADOS BRUTOS'!$A$3:$A$500,$B38,'DADOS BRUTOS'!C$3:C$500)+IF($C38="",0,SUMIF('DADOS BRUTOS'!$A$3:$A$500,$C38,'DADOS BRUTOS'!C$3:C$500)))</f>
        <v/>
      </c>
      <c r="CD38" s="123">
        <f>IF(OR(CD$4="",$B38=""),0,SUMIF('DADOS BRUTOS'!$A$3:$A$500,$B38,'DADOS BRUTOS'!D$3:D$500)+IF($C38="",0,SUMIF('DADOS BRUTOS'!$A$3:$A$500,$C38,'DADOS BRUTOS'!D$3:D$500)))</f>
        <v/>
      </c>
      <c r="CE38" s="123">
        <f>IF(OR(CE$4="",$B38=""),0,SUMIF('DADOS BRUTOS'!$A$3:$A$500,$B38,'DADOS BRUTOS'!E$3:E$500)+IF($C38="",0,SUMIF('DADOS BRUTOS'!$A$3:$A$500,$C38,'DADOS BRUTOS'!E$3:E$500)))</f>
        <v/>
      </c>
      <c r="CF38" s="123">
        <f>IF(OR(CF$4="",$B38=""),0,SUMIF('DADOS BRUTOS'!$A$3:$A$500,$B38,'DADOS BRUTOS'!F$3:F$500)+IF($C38="",0,SUMIF('DADOS BRUTOS'!$A$3:$A$500,$C38,'DADOS BRUTOS'!F$3:F$500)))</f>
        <v/>
      </c>
      <c r="CG38" s="123">
        <f>IF(OR(CG$4="",$B38=""),0,SUMIF('DADOS BRUTOS'!$A$3:$A$500,$B38,'DADOS BRUTOS'!G$3:G$500)+IF($C38="",0,SUMIF('DADOS BRUTOS'!$A$3:$A$500,$C38,'DADOS BRUTOS'!G$3:G$500)))</f>
        <v/>
      </c>
      <c r="CH38" s="123">
        <f>IF(OR(CH$4="",$B38=""),0,SUMIF('DADOS BRUTOS'!$A$3:$A$500,$B38,'DADOS BRUTOS'!H$3:H$500)+IF($C38="",0,SUMIF('DADOS BRUTOS'!$A$3:$A$500,$C38,'DADOS BRUTOS'!H$3:H$500)))</f>
        <v/>
      </c>
      <c r="CI38" s="123">
        <f>IF(OR(CI$4="",$B38=""),0,SUMIF('DADOS BRUTOS'!$A$3:$A$500,$B38,'DADOS BRUTOS'!I$3:I$500)+IF($C38="",0,SUMIF('DADOS BRUTOS'!$A$3:$A$500,$C38,'DADOS BRUTOS'!I$3:I$500)))</f>
        <v/>
      </c>
      <c r="CJ38" s="123">
        <f>IF(OR(CJ$4="",$B38=""),0,SUMIF('DADOS BRUTOS'!$A$3:$A$500,$B38,'DADOS BRUTOS'!J$3:J$500)+IF($C38="",0,SUMIF('DADOS BRUTOS'!$A$3:$A$500,$C38,'DADOS BRUTOS'!J$3:J$500)))</f>
        <v/>
      </c>
      <c r="CK38" s="123">
        <f>IF(OR(CK$4="",$B38=""),0,SUMIF('DADOS BRUTOS'!$A$3:$A$500,$B38,'DADOS BRUTOS'!K$3:K$500)+IF($C38="",0,SUMIF('DADOS BRUTOS'!$A$3:$A$500,$C38,'DADOS BRUTOS'!K$3:K$500)))</f>
        <v/>
      </c>
      <c r="CL38" s="123">
        <f>IF(OR(CL$4="",$B38=""),0,SUMIF('DADOS BRUTOS'!$A$3:$A$500,$B38,'DADOS BRUTOS'!L$3:L$500)+IF($C38="",0,SUMIF('DADOS BRUTOS'!$A$3:$A$500,$C38,'DADOS BRUTOS'!L$3:L$500)))</f>
        <v/>
      </c>
      <c r="CM38" s="123">
        <f>IF(OR(CM$4="",$B38=""),0,SUMIF('DADOS BRUTOS'!$A$3:$A$500,$B38,'DADOS BRUTOS'!M$3:M$500)+IF($C38="",0,SUMIF('DADOS BRUTOS'!$A$3:$A$500,$C38,'DADOS BRUTOS'!M$3:M$500)))</f>
        <v/>
      </c>
      <c r="CN38" s="123">
        <f>IF(OR(CN$4="",$B38=""),0,SUMIF('DADOS BRUTOS'!$A$3:$A$500,$B38,'DADOS BRUTOS'!N$3:N$500)+IF($C38="",0,SUMIF('DADOS BRUTOS'!$A$3:$A$500,$C38,'DADOS BRUTOS'!N$3:N$500)))</f>
        <v/>
      </c>
      <c r="CO38" s="123">
        <f>IF(OR(CO$4="",$B38=""),0,SUMIF('DADOS BRUTOS'!$A$3:$A$500,$B38,'DADOS BRUTOS'!O$3:O$500)+IF($C38="",0,SUMIF('DADOS BRUTOS'!$A$3:$A$500,$C38,'DADOS BRUTOS'!O$3:O$500)))</f>
        <v/>
      </c>
      <c r="CP38" s="123">
        <f>IF(OR(CP$4="",$B38=""),0,SUMIF('DADOS BRUTOS'!$A$3:$A$500,$B38,'DADOS BRUTOS'!P$3:P$500)+IF($C38="",0,SUMIF('DADOS BRUTOS'!$A$3:$A$500,$C38,'DADOS BRUTOS'!P$3:P$500)))</f>
        <v/>
      </c>
      <c r="CQ38" s="123">
        <f>IF(OR(CQ$4="",$B38=""),0,SUMIF('DADOS BRUTOS'!$A$3:$A$500,$B38,'DADOS BRUTOS'!Q$3:Q$500)+IF($C38="",0,SUMIF('DADOS BRUTOS'!$A$3:$A$500,$C38,'DADOS BRUTOS'!Q$3:Q$500)))</f>
        <v/>
      </c>
      <c r="CR38" s="123">
        <f>IF(OR(CR$4="",$B38=""),0,SUMIF('DADOS BRUTOS'!$A$3:$A$500,$B38,'DADOS BRUTOS'!R$3:R$500)+IF($C38="",0,SUMIF('DADOS BRUTOS'!$A$3:$A$500,$C38,'DADOS BRUTOS'!R$3:R$500)))</f>
        <v/>
      </c>
      <c r="CS38" s="123">
        <f>IF(OR(CS$4="",$B38=""),0,SUMIF('DADOS BRUTOS'!$A$3:$A$500,$B38,'DADOS BRUTOS'!S$3:S$500)+IF($C38="",0,SUMIF('DADOS BRUTOS'!$A$3:$A$500,$C38,'DADOS BRUTOS'!S$3:S$500)))</f>
        <v/>
      </c>
      <c r="CT38" s="123">
        <f>IF(OR(CT$4="",$B38=""),0,SUMIF('DADOS BRUTOS'!$A$3:$A$500,$B38,'DADOS BRUTOS'!T$3:T$500)+IF($C38="",0,SUMIF('DADOS BRUTOS'!$A$3:$A$500,$C38,'DADOS BRUTOS'!T$3:T$500)))</f>
        <v/>
      </c>
      <c r="CU38" s="123">
        <f>IF(OR(CU$4="",$B38=""),0,SUMIF('DADOS BRUTOS'!$A$3:$A$500,$B38,'DADOS BRUTOS'!U$3:U$500)+IF($C38="",0,SUMIF('DADOS BRUTOS'!$A$3:$A$500,$C38,'DADOS BRUTOS'!U$3:U$500)))</f>
        <v/>
      </c>
      <c r="CV38" s="123">
        <f>IF(OR(CV$4="",$B38=""),0,SUMIF('DADOS BRUTOS'!$A$3:$A$500,$B38,'DADOS BRUTOS'!V$3:V$500)+IF($C38="",0,SUMIF('DADOS BRUTOS'!$A$3:$A$500,$C38,'DADOS BRUTOS'!V$3:V$500)))</f>
        <v/>
      </c>
      <c r="CW38" s="123">
        <f>IF(OR(CW$4="",$B38=""),0,SUMIF('DADOS BRUTOS'!$A$3:$A$500,$B38,'DADOS BRUTOS'!W$3:W$500)+IF($C38="",0,SUMIF('DADOS BRUTOS'!$A$3:$A$500,$C38,'DADOS BRUTOS'!W$3:W$500)))</f>
        <v/>
      </c>
      <c r="CX38" s="123">
        <f>IF(OR(CX$4="",$B38=""),0,SUMIF('DADOS BRUTOS'!$A$3:$A$500,$B38,'DADOS BRUTOS'!X$3:X$500)+IF($C38="",0,SUMIF('DADOS BRUTOS'!$A$3:$A$500,$C38,'DADOS BRUTOS'!X$3:X$500)))</f>
        <v/>
      </c>
      <c r="CY38" s="123">
        <f>IF(OR(CY$4="",$B38=""),0,SUMIF('DADOS BRUTOS'!$A$3:$A$500,$B38,'DADOS BRUTOS'!Y$3:Y$500)+IF($C38="",0,SUMIF('DADOS BRUTOS'!$A$3:$A$500,$C38,'DADOS BRUTOS'!Y$3:Y$500)))</f>
        <v/>
      </c>
      <c r="CZ38" s="123">
        <f>IF(OR(CZ$4="",$B38=""),0,SUMIF('DADOS BRUTOS'!$A$3:$A$500,$B38,'DADOS BRUTOS'!Z$3:Z$500)+IF($C38="",0,SUMIF('DADOS BRUTOS'!$A$3:$A$500,$C38,'DADOS BRUTOS'!Z$3:Z$500)))</f>
        <v/>
      </c>
      <c r="DA38" s="123">
        <f>IF(OR(DA$4="",$B38=""),0,SUMIF('DADOS BRUTOS'!$A$3:$A$500,$B38,'DADOS BRUTOS'!AA$3:AA$500)+IF($C38="",0,SUMIF('DADOS BRUTOS'!$A$3:$A$500,$C38,'DADOS BRUTOS'!AA$3:AA$500)))</f>
        <v/>
      </c>
      <c r="DB38" s="123">
        <f>IF(OR(DB$4="",$B38=""),0,SUMIF('DADOS BRUTOS'!$A$3:$A$500,$B38,'DADOS BRUTOS'!AB$3:AB$500)+IF($C38="",0,SUMIF('DADOS BRUTOS'!$A$3:$A$500,$C38,'DADOS BRUTOS'!AB$3:AB$500)))</f>
        <v/>
      </c>
      <c r="DC38" s="123">
        <f>IF(OR(DC$4="",$B38=""),0,SUMIF('DADOS BRUTOS'!$A$3:$A$500,$B38,'DADOS BRUTOS'!AC$3:AC$500)+IF($C38="",0,SUMIF('DADOS BRUTOS'!$A$3:$A$500,$C38,'DADOS BRUTOS'!AC$3:AC$500)))</f>
        <v/>
      </c>
      <c r="DD38" s="123">
        <f>IF(OR(DD$4="",$B38=""),0,SUMIF('DADOS BRUTOS'!$A$3:$A$500,$B38,'DADOS BRUTOS'!AD$3:AD$500)+IF($C38="",0,SUMIF('DADOS BRUTOS'!$A$3:$A$500,$C38,'DADOS BRUTOS'!AD$3:AD$500)))</f>
        <v/>
      </c>
      <c r="DE38" s="123">
        <f>IF(OR(DE$4="",$B38=""),0,SUMIF('DADOS BRUTOS'!$A$3:$A$500,$B38,'DADOS BRUTOS'!AE$3:AE$500)+IF($C38="",0,SUMIF('DADOS BRUTOS'!$A$3:$A$500,$C38,'DADOS BRUTOS'!AE$3:AE$500)))</f>
        <v/>
      </c>
      <c r="DF38" s="123">
        <f>IF(OR(DF$4="",$B38=""),0,SUMIF('DADOS BRUTOS'!$A$3:$A$500,$B38,'DADOS BRUTOS'!AF$3:AF$500)+IF($C38="",0,SUMIF('DADOS BRUTOS'!$A$3:$A$500,$C38,'DADOS BRUTOS'!AF$3:AF$500)))</f>
        <v/>
      </c>
      <c r="DG38" s="123">
        <f>IF(OR(DG$4="",$B38=""),0,SUMIF('DADOS BRUTOS'!$A$3:$A$500,$B38,'DADOS BRUTOS'!AG$3:AG$500)+IF($C38="",0,SUMIF('DADOS BRUTOS'!$A$3:$A$500,$C38,'DADOS BRUTOS'!AG$3:AG$500)))</f>
        <v/>
      </c>
      <c r="DH38" s="123">
        <f>IF(OR(DH$4="",$B38=""),0,SUMIF('DADOS BRUTOS'!$A$3:$A$500,$B38,'DADOS BRUTOS'!AH$3:AH$500)+IF($C38="",0,SUMIF('DADOS BRUTOS'!$A$3:$A$500,$C38,'DADOS BRUTOS'!AH$3:AH$500)))</f>
        <v/>
      </c>
      <c r="DI38" s="123">
        <f>IF(OR(DI$4="",$B38=""),0,SUMIF('DADOS BRUTOS'!$A$3:$A$500,$B38,'DADOS BRUTOS'!AI$3:AI$500)+IF($C38="",0,SUMIF('DADOS BRUTOS'!$A$3:$A$500,$C38,'DADOS BRUTOS'!AI$3:AI$500)))</f>
        <v/>
      </c>
      <c r="DJ38" s="123">
        <f>IF(OR(DJ$4="",$B38=""),0,SUMIF('DADOS BRUTOS'!$A$3:$A$500,$B38,'DADOS BRUTOS'!AJ$3:AJ$500)+IF($C38="",0,SUMIF('DADOS BRUTOS'!$A$3:$A$500,$C38,'DADOS BRUTOS'!AJ$3:AJ$500)))</f>
        <v/>
      </c>
      <c r="DK38" s="123">
        <f>IF(OR(DK$4="",$B38=""),0,SUMIF('DADOS BRUTOS'!$A$3:$A$500,$B38,'DADOS BRUTOS'!AK$3:AK$500)+IF($C38="",0,SUMIF('DADOS BRUTOS'!$A$3:$A$500,$C38,'DADOS BRUTOS'!AK$3:AK$500)))</f>
        <v/>
      </c>
      <c r="DL38" s="123">
        <f>IF(OR(DL$4="",$B38=""),0,SUMIF('DADOS BRUTOS'!$A$3:$A$500,$B38,'DADOS BRUTOS'!AL$3:AL$500)+IF($C38="",0,SUMIF('DADOS BRUTOS'!$A$3:$A$500,$C38,'DADOS BRUTOS'!AL$3:AL$500)))</f>
        <v/>
      </c>
      <c r="DM38" s="123">
        <f>IF(OR(DM$4="",$B38=""),0,SUMIF('DADOS BRUTOS'!$A$3:$A$500,$B38,'DADOS BRUTOS'!AM$3:AM$500)+IF($C38="",0,SUMIF('DADOS BRUTOS'!$A$3:$A$500,$C38,'DADOS BRUTOS'!AM$3:AM$500)))</f>
        <v/>
      </c>
      <c r="DN38" s="123">
        <f>IF(OR(DN$4="",$B38=""),0,SUMIF('DADOS BRUTOS'!$A$3:$A$500,$B38,'DADOS BRUTOS'!AN$3:AN$500)+IF($C38="",0,SUMIF('DADOS BRUTOS'!$A$3:$A$500,$C38,'DADOS BRUTOS'!AN$3:AN$500)))</f>
        <v/>
      </c>
      <c r="DO38" s="123">
        <f>IF(OR(DO$4="",$B38=""),0,SUMIF('DADOS BRUTOS'!$A$3:$A$500,$B38,'DADOS BRUTOS'!AO$3:AO$500)+IF($C38="",0,SUMIF('DADOS BRUTOS'!$A$3:$A$500,$C38,'DADOS BRUTOS'!AO$3:AO$500)))</f>
        <v/>
      </c>
      <c r="DP38" s="123">
        <f>IF(OR(DP$4="",$B38=""),0,SUMIF('DADOS BRUTOS'!$A$3:$A$500,$B38,'DADOS BRUTOS'!AP$3:AP$500)+IF($C38="",0,SUMIF('DADOS BRUTOS'!$A$3:$A$500,$C38,'DADOS BRUTOS'!AP$3:AP$500)))</f>
        <v/>
      </c>
      <c r="DQ38" s="123">
        <f>IF(OR(DQ$4="",$B38=""),0,SUMIF('DADOS BRUTOS'!$A$3:$A$500,$B38,'DADOS BRUTOS'!AQ$3:AQ$500)+IF($C38="",0,SUMIF('DADOS BRUTOS'!$A$3:$A$500,$C38,'DADOS BRUTOS'!AQ$3:AQ$500)))</f>
        <v/>
      </c>
      <c r="DR38" s="123">
        <f>IF(OR(DR$4="",$B38=""),0,SUMIF('DADOS BRUTOS'!$A$3:$A$500,$B38,'DADOS BRUTOS'!AR$3:AR$500)+IF($C38="",0,SUMIF('DADOS BRUTOS'!$A$3:$A$500,$C38,'DADOS BRUTOS'!AR$3:AR$500)))</f>
        <v/>
      </c>
      <c r="DS38" s="123">
        <f>IF(OR(DS$4="",$B38=""),0,SUMIF('DADOS BRUTOS'!$A$3:$A$500,$B38,'DADOS BRUTOS'!AS$3:AS$500)+IF($C38="",0,SUMIF('DADOS BRUTOS'!$A$3:$A$500,$C38,'DADOS BRUTOS'!AS$3:AS$500)))</f>
        <v/>
      </c>
      <c r="DT38" s="123">
        <f>IF(OR(DT$4="",$B38=""),0,SUMIF('DADOS BRUTOS'!$A$3:$A$500,$B38,'DADOS BRUTOS'!AT$3:AT$500)+IF($C38="",0,SUMIF('DADOS BRUTOS'!$A$3:$A$500,$C38,'DADOS BRUTOS'!AT$3:AT$500)))</f>
        <v/>
      </c>
      <c r="DU38" s="123">
        <f>IF(OR(DU$4="",$B38=""),0,SUMIF('DADOS BRUTOS'!$A$3:$A$500,$B38,'DADOS BRUTOS'!AU$3:AU$500)+IF($C38="",0,SUMIF('DADOS BRUTOS'!$A$3:$A$500,$C38,'DADOS BRUTOS'!AU$3:AU$500)))</f>
        <v/>
      </c>
      <c r="DV38" s="123">
        <f>IF(OR(DV$4="",$B38=""),0,SUMIF('DADOS BRUTOS'!$A$3:$A$500,$B38,'DADOS BRUTOS'!AV$3:AV$500)+IF($C38="",0,SUMIF('DADOS BRUTOS'!$A$3:$A$500,$C38,'DADOS BRUTOS'!AV$3:AV$500)))</f>
        <v/>
      </c>
      <c r="DW38" s="123">
        <f>IF(OR(DW$4="",$B38=""),0,SUMIF('DADOS BRUTOS'!$A$3:$A$500,$B38,'DADOS BRUTOS'!AW$3:AW$500)+IF($C38="",0,SUMIF('DADOS BRUTOS'!$A$3:$A$500,$C38,'DADOS BRUTOS'!AW$3:AW$500)))</f>
        <v/>
      </c>
      <c r="DX38" s="123">
        <f>IF(OR(DX$4="",$B38=""),0,SUMIF('DADOS BRUTOS'!$A$3:$A$500,$B38,'DADOS BRUTOS'!AX$3:AX$500)+IF($C38="",0,SUMIF('DADOS BRUTOS'!$A$3:$A$500,$C38,'DADOS BRUTOS'!AX$3:AX$500)))</f>
        <v/>
      </c>
      <c r="DY38" s="123">
        <f>IF(OR(DY$4="",$B38=""),0,SUMIF('DADOS BRUTOS'!$A$3:$A$500,$B38,'DADOS BRUTOS'!AY$3:AY$500)+IF($C38="",0,SUMIF('DADOS BRUTOS'!$A$3:$A$500,$C38,'DADOS BRUTOS'!AY$3:AY$500)))</f>
        <v/>
      </c>
      <c r="DZ38" s="123">
        <f>IF(OR(DZ$4="",$B38=""),0,SUMIF('DADOS BRUTOS'!$A$3:$A$500,$B38,'DADOS BRUTOS'!AZ$3:AZ$500)+IF($C38="",0,SUMIF('DADOS BRUTOS'!$A$3:$A$500,$C38,'DADOS BRUTOS'!AZ$3:AZ$500)))</f>
        <v/>
      </c>
      <c r="EA38" s="123">
        <f>IF(OR(EA$4="",$B38=""),0,SUMIF('DADOS BRUTOS'!$A$3:$A$500,$B38,'DADOS BRUTOS'!BA$3:BA$500)+IF($C38="",0,SUMIF('DADOS BRUTOS'!$A$3:$A$500,$C38,'DADOS BRUTOS'!BA$3:BA$500)))</f>
        <v/>
      </c>
      <c r="EB38" s="123">
        <f>IF(OR(EB$4="",$B38=""),0,SUMIF('DADOS BRUTOS'!$A$3:$A$500,$B38,'DADOS BRUTOS'!BB$3:BB$500)+IF($C38="",0,SUMIF('DADOS BRUTOS'!$A$3:$A$500,$C38,'DADOS BRUTOS'!BB$3:BB$500)))</f>
        <v/>
      </c>
      <c r="EC38" s="123">
        <f>IF(OR(EC$4="",$B38=""),0,SUMIF('DADOS BRUTOS'!$A$3:$A$500,$B38,'DADOS BRUTOS'!BC$3:BC$500)+IF($C38="",0,SUMIF('DADOS BRUTOS'!$A$3:$A$500,$C38,'DADOS BRUTOS'!BC$3:BC$500)))</f>
        <v/>
      </c>
      <c r="ED38" s="123">
        <f>IF(OR(ED$4="",$B38=""),0,SUMIF('DADOS BRUTOS'!$A$3:$A$500,$B38,'DADOS BRUTOS'!BD$3:BD$500)+IF($C38="",0,SUMIF('DADOS BRUTOS'!$A$3:$A$500,$C38,'DADOS BRUTOS'!BD$3:BD$500)))</f>
        <v/>
      </c>
      <c r="EE38" s="123">
        <f>IF(OR(EE$4="",$B38=""),0,SUMIF('DADOS BRUTOS'!$A$3:$A$500,$B38,'DADOS BRUTOS'!BE$3:BE$500)+IF($C38="",0,SUMIF('DADOS BRUTOS'!$A$3:$A$500,$C38,'DADOS BRUTOS'!BE$3:BE$500)))</f>
        <v/>
      </c>
      <c r="EF38" s="123">
        <f>IF(OR(EF$4="",$B38=""),0,SUMIF('DADOS BRUTOS'!$A$3:$A$500,$B38,'DADOS BRUTOS'!BF$3:BF$500)+IF($C38="",0,SUMIF('DADOS BRUTOS'!$A$3:$A$500,$C38,'DADOS BRUTOS'!BF$3:BF$500)))</f>
        <v/>
      </c>
      <c r="EG38" s="123">
        <f>IF(OR(EG$4="",$B38=""),0,SUMIF('DADOS BRUTOS'!$A$3:$A$500,$B38,'DADOS BRUTOS'!BG$3:BG$500)+IF($C38="",0,SUMIF('DADOS BRUTOS'!$A$3:$A$500,$C38,'DADOS BRUTOS'!BG$3:BG$500)))</f>
        <v/>
      </c>
      <c r="EH38" s="123">
        <f>IF(OR(EH$4="",$B38=""),0,SUMIF('DADOS BRUTOS'!$A$3:$A$500,$B38,'DADOS BRUTOS'!BH$3:BH$500)+IF($C38="",0,SUMIF('DADOS BRUTOS'!$A$3:$A$500,$C38,'DADOS BRUTOS'!BH$3:BH$500)))</f>
        <v/>
      </c>
      <c r="EI38" s="123">
        <f>IF(OR(EI$4="",$B38=""),0,SUMIF('DADOS BRUTOS'!$A$3:$A$500,$B38,'DADOS BRUTOS'!BI$3:BI$500)+IF($C38="",0,SUMIF('DADOS BRUTOS'!$A$3:$A$500,$C38,'DADOS BRUTOS'!BI$3:BI$500)))</f>
        <v/>
      </c>
      <c r="EJ38" s="123">
        <f>IF(OR(EJ$4="",$B38=""),0,SUMIF('DADOS BRUTOS'!$A$3:$A$500,$B38,'DADOS BRUTOS'!BJ$3:BJ$500)+IF($C38="",0,SUMIF('DADOS BRUTOS'!$A$3:$A$500,$C38,'DADOS BRUTOS'!BJ$3:BJ$500)))</f>
        <v/>
      </c>
      <c r="EK38" s="123">
        <f>IF(OR(EK$4="",$B38=""),0,SUMIF('DADOS BRUTOS'!$A$3:$A$500,$B38,'DADOS BRUTOS'!BK$3:BK$500)+IF($C38="",0,SUMIF('DADOS BRUTOS'!$A$3:$A$500,$C38,'DADOS BRUTOS'!BK$3:BK$500)))</f>
        <v/>
      </c>
      <c r="EL38" s="123">
        <f>IF(OR(EL$4="",$B38=""),0,SUMIF('DADOS BRUTOS'!$A$3:$A$500,$B38,'DADOS BRUTOS'!BL$3:BL$500)+IF($C38="",0,SUMIF('DADOS BRUTOS'!$A$3:$A$500,$C38,'DADOS BRUTOS'!BL$3:BL$500)))</f>
        <v/>
      </c>
      <c r="EM38" s="123">
        <f>IF(OR(EM$4="",$B38=""),0,SUMIF('DADOS BRUTOS'!$A$3:$A$500,$B38,'DADOS BRUTOS'!BM$3:BM$500)+IF($C38="",0,SUMIF('DADOS BRUTOS'!$A$3:$A$500,$C38,'DADOS BRUTOS'!BM$3:BM$500)))</f>
        <v/>
      </c>
      <c r="EN38" s="123">
        <f>IF(OR(EN$4="",$B38=""),0,SUMIF('DADOS BRUTOS'!$A$3:$A$500,$B38,'DADOS BRUTOS'!BN$3:BN$500)+IF($C38="",0,SUMIF('DADOS BRUTOS'!$A$3:$A$500,$C38,'DADOS BRUTOS'!BN$3:BN$500)))</f>
        <v/>
      </c>
      <c r="EO38" s="123">
        <f>IF(OR(EO$4="",$B38=""),0,SUMIF('DADOS BRUTOS'!$A$3:$A$500,$B38,'DADOS BRUTOS'!BO$3:BO$500)+IF($C38="",0,SUMIF('DADOS BRUTOS'!$A$3:$A$500,$C38,'DADOS BRUTOS'!BO$3:BO$500)))</f>
        <v/>
      </c>
      <c r="EP38" s="123">
        <f>IF(OR(EP$4="",$B38=""),0,SUMIF('DADOS BRUTOS'!$A$3:$A$500,$B38,'DADOS BRUTOS'!BP$3:BP$500)+IF($C38="",0,SUMIF('DADOS BRUTOS'!$A$3:$A$500,$C38,'DADOS BRUTOS'!BP$3:BP$500)))</f>
        <v/>
      </c>
      <c r="EQ38" s="123">
        <f>IF(OR(EQ$4="",$B38=""),0,SUMIF('DADOS BRUTOS'!$A$3:$A$500,$B38,'DADOS BRUTOS'!BQ$3:BQ$500)+IF($C38="",0,SUMIF('DADOS BRUTOS'!$A$3:$A$500,$C38,'DADOS BRUTOS'!BQ$3:BQ$500)))</f>
        <v/>
      </c>
      <c r="ER38" s="123">
        <f>IF(OR(ER$4="",$B38=""),0,SUMIF('DADOS BRUTOS'!$A$3:$A$500,$B38,'DADOS BRUTOS'!BR$3:BR$500)+IF($C38="",0,SUMIF('DADOS BRUTOS'!$A$3:$A$500,$C38,'DADOS BRUTOS'!BR$3:BR$500)))</f>
        <v/>
      </c>
      <c r="ES38" s="123">
        <f>IF(OR(ES$4="",$B38=""),0,SUMIF('DADOS BRUTOS'!$A$3:$A$500,$B38,'DADOS BRUTOS'!BS$3:BS$500)+IF($C38="",0,SUMIF('DADOS BRUTOS'!$A$3:$A$500,$C38,'DADOS BRUTOS'!BS$3:BS$500)))</f>
        <v/>
      </c>
      <c r="ET38" s="123">
        <f>IF(OR(ET$4="",$B38=""),0,SUMIF('DADOS BRUTOS'!$A$3:$A$500,$B38,'DADOS BRUTOS'!BT$3:BT$500)+IF($C38="",0,SUMIF('DADOS BRUTOS'!$A$3:$A$500,$C38,'DADOS BRUTOS'!BT$3:BT$500)))</f>
        <v/>
      </c>
      <c r="EU38" s="123">
        <f>IF(OR(EU$4="",$B38=""),0,SUMIF('DADOS BRUTOS'!$A$3:$A$500,$B38,'DADOS BRUTOS'!BU$3:BU$500)+IF($C38="",0,SUMIF('DADOS BRUTOS'!$A$3:$A$500,$C38,'DADOS BRUTOS'!BU$3:BU$500)))</f>
        <v/>
      </c>
      <c r="EV38" s="123">
        <f>IF(OR(EV$4="",$B38=""),0,SUMIF('DADOS BRUTOS'!$A$3:$A$500,$B38,'DADOS BRUTOS'!BV$3:BV$500)+IF($C38="",0,SUMIF('DADOS BRUTOS'!$A$3:$A$500,$C38,'DADOS BRUTOS'!BV$3:BV$500)))</f>
        <v/>
      </c>
      <c r="EW38" s="123">
        <f>IF(OR(EW$4="",$B38=""),0,SUMIF('DADOS BRUTOS'!$A$3:$A$500,$B38,'DADOS BRUTOS'!BW$3:BW$500)+IF($C38="",0,SUMIF('DADOS BRUTOS'!$A$3:$A$500,$C38,'DADOS BRUTOS'!BW$3:BW$500)))</f>
        <v/>
      </c>
      <c r="EX38" s="123">
        <f>IF(OR(EX$4="",$B38=""),0,SUMIF('DADOS BRUTOS'!$A$3:$A$500,$B38,'DADOS BRUTOS'!BX$3:BX$500)+IF($C38="",0,SUMIF('DADOS BRUTOS'!$A$3:$A$500,$C38,'DADOS BRUTOS'!BX$3:BX$500)))</f>
        <v/>
      </c>
      <c r="EY38" s="123">
        <f>IF(OR(EY$4="",$B38=""),0,SUMIF('DADOS BRUTOS'!$A$3:$A$500,$B38,'DADOS BRUTOS'!BY$3:BY$500)+IF($C38="",0,SUMIF('DADOS BRUTOS'!$A$3:$A$500,$C38,'DADOS BRUTOS'!BY$3:BY$500)))</f>
        <v/>
      </c>
      <c r="EZ38" s="123">
        <f>IF(OR(EZ$4="",$B38=""),0,SUMIF('DADOS BRUTOS'!$A$3:$A$500,$B38,'DADOS BRUTOS'!BZ$3:BZ$500)+IF($C38="",0,SUMIF('DADOS BRUTOS'!$A$3:$A$500,$C38,'DADOS BRUTOS'!BZ$3:BZ$500)))</f>
        <v/>
      </c>
      <c r="FA38" s="123">
        <f>IF(OR(FA$4="",$B38=""),0,SUMIF('DADOS BRUTOS'!$A$3:$A$500,$B38,'DADOS BRUTOS'!CA$3:CA$500)+IF($C38="",0,SUMIF('DADOS BRUTOS'!$A$3:$A$500,$C38,'DADOS BRUTOS'!CA$3:CA$500)))</f>
        <v/>
      </c>
      <c r="FB38" s="123">
        <f>IF(OR(FB$4="",$B38=""),0,SUMIF('DADOS BRUTOS'!$A$3:$A$500,$B38,'DADOS BRUTOS'!CB$3:CB$500)+IF($C38="",0,SUMIF('DADOS BRUTOS'!$A$3:$A$500,$C38,'DADOS BRUTOS'!CB$3:CB$500)))</f>
        <v/>
      </c>
      <c r="FC38" s="123">
        <f>IF(OR(FC$4="",$B38=""),0,SUMIF('DADOS BRUTOS'!$A$3:$A$500,$B38,'DADOS BRUTOS'!CC$3:CC$500)+IF($C38="",0,SUMIF('DADOS BRUTOS'!$A$3:$A$500,$C38,'DADOS BRUTOS'!CC$3:CC$500)))</f>
        <v/>
      </c>
      <c r="FD38" s="123">
        <f>IF(OR(FD$4="",$B38=""),0,SUMIF('DADOS BRUTOS'!$A$3:$A$500,$B38,'DADOS BRUTOS'!CD$3:CD$500)+IF($C38="",0,SUMIF('DADOS BRUTOS'!$A$3:$A$500,$C38,'DADOS BRUTOS'!CD$3:CD$500)))</f>
        <v/>
      </c>
      <c r="FE38" s="123">
        <f>IF(OR(FE$4="",$B38=""),0,SUMIF('DADOS BRUTOS'!$A$3:$A$500,$B38,'DADOS BRUTOS'!CE$3:CE$500)+IF($C38="",0,SUMIF('DADOS BRUTOS'!$A$3:$A$500,$C38,'DADOS BRUTOS'!CE$3:CE$500)))</f>
        <v/>
      </c>
      <c r="FF38" s="123">
        <f>IF(OR(FF$4="",$B38=""),0,SUMIF('DADOS BRUTOS'!$A$3:$A$500,$B38,'DADOS BRUTOS'!CF$3:CF$500)+IF($C38="",0,SUMIF('DADOS BRUTOS'!$A$3:$A$500,$C38,'DADOS BRUTOS'!CF$3:CF$500)))</f>
        <v/>
      </c>
      <c r="FG38" s="123">
        <f>IF(OR(FG$4="",$B38=""),0,SUMIF('DADOS BRUTOS'!$A$3:$A$500,$B38,'DADOS BRUTOS'!CG$3:CG$500)+IF($C38="",0,SUMIF('DADOS BRUTOS'!$A$3:$A$500,$C38,'DADOS BRUTOS'!CG$3:CG$500)))</f>
        <v/>
      </c>
      <c r="FH38" s="123">
        <f>IF(OR(FH$4="",$B38=""),0,SUMIF('DADOS BRUTOS'!$A$3:$A$500,$B38,'DADOS BRUTOS'!CH$3:CH$500)+IF($C38="",0,SUMIF('DADOS BRUTOS'!$A$3:$A$500,$C38,'DADOS BRUTOS'!CH$3:CH$500)))</f>
        <v/>
      </c>
      <c r="FI38" s="123">
        <f>IF(OR(FI$4="",$B38=""),0,SUMIF('DADOS BRUTOS'!$A$3:$A$500,$B38,'DADOS BRUTOS'!CI$3:CI$500)+IF($C38="",0,SUMIF('DADOS BRUTOS'!$A$3:$A$500,$C38,'DADOS BRUTOS'!CI$3:CI$500)))</f>
        <v/>
      </c>
      <c r="FJ38" s="123">
        <f>IF(OR(FJ$4="",$B38=""),0,SUMIF('DADOS BRUTOS'!$A$3:$A$500,$B38,'DADOS BRUTOS'!CJ$3:CJ$500)+IF($C38="",0,SUMIF('DADOS BRUTOS'!$A$3:$A$500,$C38,'DADOS BRUTOS'!CJ$3:CJ$500)))</f>
        <v/>
      </c>
      <c r="FK38" s="123">
        <f>IF(OR(FK$4="",$B38=""),0,SUMIF('DADOS BRUTOS'!$A$3:$A$500,$B38,'DADOS BRUTOS'!CK$3:CK$500)+IF($C38="",0,SUMIF('DADOS BRUTOS'!$A$3:$A$500,$C38,'DADOS BRUTOS'!CK$3:CK$500)))</f>
        <v/>
      </c>
      <c r="FL38" s="123">
        <f>IF(OR(FL$4="",$B38=""),0,SUMIF('DADOS BRUTOS'!$A$3:$A$500,$B38,'DADOS BRUTOS'!CL$3:CL$500)+IF($C38="",0,SUMIF('DADOS BRUTOS'!$A$3:$A$500,$C38,'DADOS BRUTOS'!CL$3:CL$500)))</f>
        <v/>
      </c>
      <c r="FM38" s="123">
        <f>IF(OR(FM$4="",$B38=""),0,SUMIF('DADOS BRUTOS'!$A$3:$A$500,$B38,'DADOS BRUTOS'!CM$3:CM$500)+IF($C38="",0,SUMIF('DADOS BRUTOS'!$A$3:$A$500,$C38,'DADOS BRUTOS'!CM$3:CM$500)))</f>
        <v/>
      </c>
      <c r="FN38" s="123">
        <f>IF(OR(FN$4="",$B38=""),0,SUMIF('DADOS BRUTOS'!$A$3:$A$500,$B38,'DADOS BRUTOS'!CN$3:CN$500)+IF($C38="",0,SUMIF('DADOS BRUTOS'!$A$3:$A$500,$C38,'DADOS BRUTOS'!CN$3:CN$500)))</f>
        <v/>
      </c>
      <c r="FO38" s="123">
        <f>IF(OR(FO$4="",$B38=""),0,SUMIF('DADOS BRUTOS'!$A$3:$A$500,$B38,'DADOS BRUTOS'!CO$3:CO$500)+IF($C38="",0,SUMIF('DADOS BRUTOS'!$A$3:$A$500,$C38,'DADOS BRUTOS'!CO$3:CO$500)))</f>
        <v/>
      </c>
      <c r="FP38" s="123">
        <f>IF(OR(FP$4="",$B38=""),0,SUMIF('DADOS BRUTOS'!$A$3:$A$500,$B38,'DADOS BRUTOS'!CP$3:CP$500)+IF($C38="",0,SUMIF('DADOS BRUTOS'!$A$3:$A$500,$C38,'DADOS BRUTOS'!CP$3:CP$500)))</f>
        <v/>
      </c>
      <c r="FQ38" s="123">
        <f>IF(OR(FQ$4="",$B38=""),0,SUMIF('DADOS BRUTOS'!$A$3:$A$500,$B38,'DADOS BRUTOS'!CQ$3:CQ$500)+IF($C38="",0,SUMIF('DADOS BRUTOS'!$A$3:$A$500,$C38,'DADOS BRUTOS'!CQ$3:CQ$500)))</f>
        <v/>
      </c>
      <c r="FR38" s="123">
        <f>IF(OR(FR$4="",$B38=""),0,SUMIF('DADOS BRUTOS'!$A$3:$A$500,$B38,'DADOS BRUTOS'!CR$3:CR$500)+IF($C38="",0,SUMIF('DADOS BRUTOS'!$A$3:$A$500,$C38,'DADOS BRUTOS'!CR$3:CR$500)))</f>
        <v/>
      </c>
      <c r="FS38" s="123">
        <f>IF(OR(FS$4="",$B38=""),0,SUMIF('DADOS BRUTOS'!$A$3:$A$500,$B38,'DADOS BRUTOS'!CS$3:CS$500)+IF($C38="",0,SUMIF('DADOS BRUTOS'!$A$3:$A$500,$C38,'DADOS BRUTOS'!CS$3:CS$500)))</f>
        <v/>
      </c>
      <c r="FT38" s="123">
        <f>IF(OR(FT$4="",$B38=""),0,SUMIF('DADOS BRUTOS'!$A$3:$A$500,$B38,'DADOS BRUTOS'!CT$3:CT$500)+IF($C38="",0,SUMIF('DADOS BRUTOS'!$A$3:$A$500,$C38,'DADOS BRUTOS'!CT$3:CT$500)))</f>
        <v/>
      </c>
      <c r="FU38" s="123">
        <f>IF(OR(FU$4="",$B38=""),0,SUMIF('DADOS BRUTOS'!$A$3:$A$500,$B38,'DADOS BRUTOS'!CU$3:CU$500)+IF($C38="",0,SUMIF('DADOS BRUTOS'!$A$3:$A$500,$C38,'DADOS BRUTOS'!CU$3:CU$500)))</f>
        <v/>
      </c>
      <c r="FV38" s="123">
        <f>IF(OR(FV$4="",$B38=""),0,SUMIF('DADOS BRUTOS'!$A$3:$A$500,$B38,'DADOS BRUTOS'!CV$3:CV$500)+IF($C38="",0,SUMIF('DADOS BRUTOS'!$A$3:$A$500,$C38,'DADOS BRUTOS'!CV$3:CV$500)))</f>
        <v/>
      </c>
      <c r="FW38" s="123">
        <f>IF(OR(FW$4="",$B38=""),0,SUMIF('DADOS BRUTOS'!$A$3:$A$500,$B38,'DADOS BRUTOS'!CW$3:CW$500)+IF($C38="",0,SUMIF('DADOS BRUTOS'!$A$3:$A$500,$C38,'DADOS BRUTOS'!CW$3:CW$500)))</f>
        <v/>
      </c>
      <c r="FX38" s="123">
        <f>IF(OR(FX$4="",$B38=""),0,SUMIF('DADOS BRUTOS'!$A$3:$A$500,$B38,'DADOS BRUTOS'!CX$3:CX$500)+IF($C38="",0,SUMIF('DADOS BRUTOS'!$A$3:$A$500,$C38,'DADOS BRUTOS'!CX$3:CX$500)))</f>
        <v/>
      </c>
      <c r="FY38" s="123">
        <f>IF(OR(FY$4="",$B38=""),0,SUMIF('DADOS BRUTOS'!$A$3:$A$500,$B38,'DADOS BRUTOS'!CY$3:CY$500)+IF($C38="",0,SUMIF('DADOS BRUTOS'!$A$3:$A$500,$C38,'DADOS BRUTOS'!CY$3:CY$500)))</f>
        <v/>
      </c>
      <c r="FZ38" s="123">
        <f>IF(OR(FZ$4="",$B38=""),0,SUMIF('DADOS BRUTOS'!$A$3:$A$500,$B38,'DADOS BRUTOS'!CZ$3:CZ$500)+IF($C38="",0,SUMIF('DADOS BRUTOS'!$A$3:$A$500,$C38,'DADOS BRUTOS'!CZ$3:CZ$500)))</f>
        <v/>
      </c>
      <c r="GA38" s="123">
        <f>IF(OR(GA$4="",$B38=""),0,SUMIF('DADOS BRUTOS'!$A$3:$A$500,$B38,'DADOS BRUTOS'!DA$3:DA$500)+IF($C38="",0,SUMIF('DADOS BRUTOS'!$A$3:$A$500,$C38,'DADOS BRUTOS'!DA$3:DA$500)))</f>
        <v/>
      </c>
      <c r="GB38" s="123">
        <f>IF(OR(GB$4="",$B38=""),0,SUMIF('DADOS BRUTOS'!$A$3:$A$500,$B38,'DADOS BRUTOS'!DB$3:DB$500)+IF($C38="",0,SUMIF('DADOS BRUTOS'!$A$3:$A$500,$C38,'DADOS BRUTOS'!DB$3:DB$500)))</f>
        <v/>
      </c>
      <c r="GC38" s="123">
        <f>IF(OR(GC$4="",$B38=""),0,SUMIF('DADOS BRUTOS'!$A$3:$A$500,$B38,'DADOS BRUTOS'!DC$3:DC$500)+IF($C38="",0,SUMIF('DADOS BRUTOS'!$A$3:$A$500,$C38,'DADOS BRUTOS'!DC$3:DC$500)))</f>
        <v/>
      </c>
      <c r="GD38" s="123">
        <f>IF(OR(GD$4="",$B38=""),0,SUMIF('DADOS BRUTOS'!$A$3:$A$500,$B38,'DADOS BRUTOS'!DD$3:DD$500)+IF($C38="",0,SUMIF('DADOS BRUTOS'!$A$3:$A$500,$C38,'DADOS BRUTOS'!DD$3:DD$500)))</f>
        <v/>
      </c>
      <c r="GE38" s="123">
        <f>IF(OR(GE$4="",$B38=""),0,SUMIF('DADOS BRUTOS'!$A$3:$A$500,$B38,'DADOS BRUTOS'!DE$3:DE$500)+IF($C38="",0,SUMIF('DADOS BRUTOS'!$A$3:$A$500,$C38,'DADOS BRUTOS'!DE$3:DE$500)))</f>
        <v/>
      </c>
      <c r="GF38" s="123">
        <f>IF(OR(GF$4="",$B38=""),0,SUMIF('DADOS BRUTOS'!$A$3:$A$500,$B38,'DADOS BRUTOS'!DF$3:DF$500)+IF($C38="",0,SUMIF('DADOS BRUTOS'!$A$3:$A$500,$C38,'DADOS BRUTOS'!DF$3:DF$500)))</f>
        <v/>
      </c>
      <c r="GG38" s="123">
        <f>IF(OR(GG$4="",$B38=""),0,SUMIF('DADOS BRUTOS'!$A$3:$A$500,$B38,'DADOS BRUTOS'!DG$3:DG$500)+IF($C38="",0,SUMIF('DADOS BRUTOS'!$A$3:$A$500,$C38,'DADOS BRUTOS'!DG$3:DG$500)))</f>
        <v/>
      </c>
      <c r="GH38" s="123">
        <f>IF(OR(GH$4="",$B38=""),0,SUMIF('DADOS BRUTOS'!$A$3:$A$500,$B38,'DADOS BRUTOS'!DH$3:DH$500)+IF($C38="",0,SUMIF('DADOS BRUTOS'!$A$3:$A$500,$C38,'DADOS BRUTOS'!DH$3:DH$500)))</f>
        <v/>
      </c>
      <c r="GI38" s="123">
        <f>IF(OR(GI$4="",$B38=""),0,SUMIF('DADOS BRUTOS'!$A$3:$A$500,$B38,'DADOS BRUTOS'!DI$3:DI$500)+IF($C38="",0,SUMIF('DADOS BRUTOS'!$A$3:$A$500,$C38,'DADOS BRUTOS'!DI$3:DI$500)))</f>
        <v/>
      </c>
      <c r="GJ38" s="123">
        <f>IF(OR(GJ$4="",$B38=""),0,SUMIF('DADOS BRUTOS'!$A$3:$A$500,$B38,'DADOS BRUTOS'!DJ$3:DJ$500)+IF($C38="",0,SUMIF('DADOS BRUTOS'!$A$3:$A$500,$C38,'DADOS BRUTOS'!DJ$3:DJ$500)))</f>
        <v/>
      </c>
      <c r="GK38" s="123">
        <f>IF(OR(GK$4="",$B38=""),0,SUMIF('DADOS BRUTOS'!$A$3:$A$500,$B38,'DADOS BRUTOS'!DK$3:DK$500)+IF($C38="",0,SUMIF('DADOS BRUTOS'!$A$3:$A$500,$C38,'DADOS BRUTOS'!DK$3:DK$500)))</f>
        <v/>
      </c>
      <c r="GL38" s="123">
        <f>IF(OR(GL$4="",$B38=""),0,SUMIF('DADOS BRUTOS'!$A$3:$A$500,$B38,'DADOS BRUTOS'!DL$3:DL$500)+IF($C38="",0,SUMIF('DADOS BRUTOS'!$A$3:$A$500,$C38,'DADOS BRUTOS'!DL$3:DL$500)))</f>
        <v/>
      </c>
      <c r="GM38" s="123">
        <f>IF(OR(GM$4="",$B38=""),0,SUMIF('DADOS BRUTOS'!$A$3:$A$500,$B38,'DADOS BRUTOS'!DM$3:DM$500)+IF($C38="",0,SUMIF('DADOS BRUTOS'!$A$3:$A$500,$C38,'DADOS BRUTOS'!DM$3:DM$500)))</f>
        <v/>
      </c>
      <c r="GN38" s="123">
        <f>IF(OR(GN$4="",$B38=""),0,SUMIF('DADOS BRUTOS'!$A$3:$A$500,$B38,'DADOS BRUTOS'!DN$3:DN$500)+IF($C38="",0,SUMIF('DADOS BRUTOS'!$A$3:$A$500,$C38,'DADOS BRUTOS'!DN$3:DN$500)))</f>
        <v/>
      </c>
      <c r="GO38" s="123">
        <f>IF(OR(GO$4="",$B38=""),0,SUMIF('DADOS BRUTOS'!$A$3:$A$500,$B38,'DADOS BRUTOS'!DO$3:DO$500)+IF($C38="",0,SUMIF('DADOS BRUTOS'!$A$3:$A$500,$C38,'DADOS BRUTOS'!DO$3:DO$500)))</f>
        <v/>
      </c>
      <c r="GP38" s="123">
        <f>IF(OR(GP$4="",$B38=""),0,SUMIF('DADOS BRUTOS'!$A$3:$A$500,$B38,'DADOS BRUTOS'!DP$3:DP$500)+IF($C38="",0,SUMIF('DADOS BRUTOS'!$A$3:$A$500,$C38,'DADOS BRUTOS'!DP$3:DP$500)))</f>
        <v/>
      </c>
      <c r="GQ38" s="123">
        <f>IF(OR(GQ$4="",$B38=""),0,SUMIF('DADOS BRUTOS'!$A$3:$A$500,$B38,'DADOS BRUTOS'!DQ$3:DQ$500)+IF($C38="",0,SUMIF('DADOS BRUTOS'!$A$3:$A$500,$C38,'DADOS BRUTOS'!DQ$3:DQ$500)))</f>
        <v/>
      </c>
      <c r="GR38" s="123">
        <f>IF(OR(GR$4="",$B38=""),0,SUMIF('DADOS BRUTOS'!$A$3:$A$500,$B38,'DADOS BRUTOS'!DR$3:DR$500)+IF($C38="",0,SUMIF('DADOS BRUTOS'!$A$3:$A$500,$C38,'DADOS BRUTOS'!DR$3:DR$500)))</f>
        <v/>
      </c>
      <c r="GS38" s="123">
        <f>IF(OR(GS$4="",$B38=""),0,SUMIF('DADOS BRUTOS'!$A$3:$A$500,$B38,'DADOS BRUTOS'!DS$3:DS$500)+IF($C38="",0,SUMIF('DADOS BRUTOS'!$A$3:$A$500,$C38,'DADOS BRUTOS'!DS$3:DS$500)))</f>
        <v/>
      </c>
      <c r="GT38" s="123">
        <f>IF(OR(GT$4="",$B38=""),0,SUMIF('DADOS BRUTOS'!$A$3:$A$500,$B38,'DADOS BRUTOS'!DT$3:DT$500)+IF($C38="",0,SUMIF('DADOS BRUTOS'!$A$3:$A$500,$C38,'DADOS BRUTOS'!DT$3:DT$500)))</f>
        <v/>
      </c>
      <c r="GU38" s="123">
        <f>IF(OR(GU$4="",$B38=""),0,SUMIF('DADOS BRUTOS'!$A$3:$A$500,$B38,'DADOS BRUTOS'!DU$3:DU$500)+IF($C38="",0,SUMIF('DADOS BRUTOS'!$A$3:$A$500,$C38,'DADOS BRUTOS'!DU$3:DU$500)))</f>
        <v/>
      </c>
      <c r="GV38" s="123">
        <f>IF(OR(GV$4="",$B38=""),0,SUMIF('DADOS BRUTOS'!$A$3:$A$500,$B38,'DADOS BRUTOS'!DV$3:DV$500)+IF($C38="",0,SUMIF('DADOS BRUTOS'!$A$3:$A$500,$C38,'DADOS BRUTOS'!DV$3:DV$500)))</f>
        <v/>
      </c>
      <c r="GW38" s="123">
        <f>IF(OR(GW$4="",$B38=""),0,SUMIF('DADOS BRUTOS'!$A$3:$A$500,$B38,'DADOS BRUTOS'!DW$3:DW$500)+IF($C38="",0,SUMIF('DADOS BRUTOS'!$A$3:$A$500,$C38,'DADOS BRUTOS'!DW$3:DW$500)))</f>
        <v/>
      </c>
      <c r="GX38" s="123">
        <f>IF(OR(GX$4="",$B38=""),0,SUMIF('DADOS BRUTOS'!$A$3:$A$500,$B38,'DADOS BRUTOS'!DX$3:DX$500)+IF($C38="",0,SUMIF('DADOS BRUTOS'!$A$3:$A$500,$C38,'DADOS BRUTOS'!DX$3:DX$500)))</f>
        <v/>
      </c>
      <c r="GY38" s="123">
        <f>IF(OR(GY$4="",$B38=""),0,SUMIF('DADOS BRUTOS'!$A$3:$A$500,$B38,'DADOS BRUTOS'!DY$3:DY$500)+IF($C38="",0,SUMIF('DADOS BRUTOS'!$A$3:$A$500,$C38,'DADOS BRUTOS'!DY$3:DY$500)))</f>
        <v/>
      </c>
      <c r="GZ38" s="123">
        <f>IF(OR(GZ$4="",$B38=""),0,SUMIF('DADOS BRUTOS'!$A$3:$A$500,$B38,'DADOS BRUTOS'!DZ$3:DZ$500)+IF($C38="",0,SUMIF('DADOS BRUTOS'!$A$3:$A$500,$C38,'DADOS BRUTOS'!DZ$3:DZ$500)))</f>
        <v/>
      </c>
      <c r="HA38" s="123">
        <f>IF(OR(HA$4="",$B38=""),0,SUMIF('DADOS BRUTOS'!$A$3:$A$500,$B38,'DADOS BRUTOS'!EA$3:EA$500)+IF($C38="",0,SUMIF('DADOS BRUTOS'!$A$3:$A$500,$C38,'DADOS BRUTOS'!EA$3:EA$500)))</f>
        <v/>
      </c>
      <c r="HB38" s="123">
        <f>IF(OR(HB$4="",$B38=""),0,SUMIF('DADOS BRUTOS'!$A$3:$A$500,$B38,'DADOS BRUTOS'!EB$3:EB$500)+IF($C38="",0,SUMIF('DADOS BRUTOS'!$A$3:$A$500,$C38,'DADOS BRUTOS'!EB$3:EB$500)))</f>
        <v/>
      </c>
      <c r="HC38" s="123">
        <f>IF(OR(HC$4="",$B38=""),0,SUMIF('DADOS BRUTOS'!$A$3:$A$500,$B38,'DADOS BRUTOS'!EC$3:EC$500)+IF($C38="",0,SUMIF('DADOS BRUTOS'!$A$3:$A$500,$C38,'DADOS BRUTOS'!EC$3:EC$500)))</f>
        <v/>
      </c>
      <c r="HD38" s="123">
        <f>IF(OR(HD$4="",$B38=""),0,SUMIF('DADOS BRUTOS'!$A$3:$A$500,$B38,'DADOS BRUTOS'!ED$3:ED$500)+IF($C38="",0,SUMIF('DADOS BRUTOS'!$A$3:$A$500,$C38,'DADOS BRUTOS'!ED$3:ED$500)))</f>
        <v/>
      </c>
      <c r="HE38" s="123">
        <f>IF(OR(HE$4="",$B38=""),0,SUMIF('DADOS BRUTOS'!$A$3:$A$500,$B38,'DADOS BRUTOS'!EE$3:EE$500)+IF($C38="",0,SUMIF('DADOS BRUTOS'!$A$3:$A$500,$C38,'DADOS BRUTOS'!EE$3:EE$500)))</f>
        <v/>
      </c>
      <c r="HF38" s="123">
        <f>IF(OR(HF$4="",$B38=""),0,SUMIF('DADOS BRUTOS'!$A$3:$A$500,$B38,'DADOS BRUTOS'!EF$3:EF$500)+IF($C38="",0,SUMIF('DADOS BRUTOS'!$A$3:$A$500,$C38,'DADOS BRUTOS'!EF$3:EF$500)))</f>
        <v/>
      </c>
      <c r="HG38" s="123">
        <f>IF(OR(HG$4="",$B38=""),0,SUMIF('DADOS BRUTOS'!$A$3:$A$500,$B38,'DADOS BRUTOS'!EG$3:EG$500)+IF($C38="",0,SUMIF('DADOS BRUTOS'!$A$3:$A$500,$C38,'DADOS BRUTOS'!EG$3:EG$500)))</f>
        <v/>
      </c>
      <c r="HH38" s="123">
        <f>IF(OR(HH$4="",$B38=""),0,SUMIF('DADOS BRUTOS'!$A$3:$A$500,$B38,'DADOS BRUTOS'!EH$3:EH$500)+IF($C38="",0,SUMIF('DADOS BRUTOS'!$A$3:$A$500,$C38,'DADOS BRUTOS'!EH$3:EH$500)))</f>
        <v/>
      </c>
      <c r="HI38" s="123">
        <f>IF(OR(HI$4="",$B38=""),0,SUMIF('DADOS BRUTOS'!$A$3:$A$500,$B38,'DADOS BRUTOS'!EI$3:EI$500)+IF($C38="",0,SUMIF('DADOS BRUTOS'!$A$3:$A$500,$C38,'DADOS BRUTOS'!EI$3:EI$500)))</f>
        <v/>
      </c>
      <c r="HJ38" s="123">
        <f>IF(OR(HJ$4="",$B38=""),0,SUMIF('DADOS BRUTOS'!$A$3:$A$500,$B38,'DADOS BRUTOS'!EJ$3:EJ$500)+IF($C38="",0,SUMIF('DADOS BRUTOS'!$A$3:$A$500,$C38,'DADOS BRUTOS'!EJ$3:EJ$500)))</f>
        <v/>
      </c>
      <c r="HK38" s="123">
        <f>IF(OR(HK$4="",$B38=""),0,SUMIF('DADOS BRUTOS'!$A$3:$A$500,$B38,'DADOS BRUTOS'!EK$3:EK$500)+IF($C38="",0,SUMIF('DADOS BRUTOS'!$A$3:$A$500,$C38,'DADOS BRUTOS'!EK$3:EK$500)))</f>
        <v/>
      </c>
      <c r="HL38" s="123">
        <f>IF(OR(HL$4="",$B38=""),0,SUMIF('DADOS BRUTOS'!$A$3:$A$500,$B38,'DADOS BRUTOS'!EL$3:EL$500)+IF($C38="",0,SUMIF('DADOS BRUTOS'!$A$3:$A$500,$C38,'DADOS BRUTOS'!EL$3:EL$500)))</f>
        <v/>
      </c>
      <c r="HM38" s="123">
        <f>IF(OR(HM$4="",$B38=""),0,SUMIF('DADOS BRUTOS'!$A$3:$A$500,$B38,'DADOS BRUTOS'!EM$3:EM$500)+IF($C38="",0,SUMIF('DADOS BRUTOS'!$A$3:$A$500,$C38,'DADOS BRUTOS'!EM$3:EM$500)))</f>
        <v/>
      </c>
      <c r="HN38" s="123">
        <f>IF(OR(HN$4="",$B38=""),0,SUMIF('DADOS BRUTOS'!$A$3:$A$500,$B38,'DADOS BRUTOS'!EN$3:EN$500)+IF($C38="",0,SUMIF('DADOS BRUTOS'!$A$3:$A$500,$C38,'DADOS BRUTOS'!EN$3:EN$500)))</f>
        <v/>
      </c>
      <c r="HO38" s="123">
        <f>IF(OR(HO$4="",$B38=""),0,SUMIF('DADOS BRUTOS'!$A$3:$A$500,$B38,'DADOS BRUTOS'!EO$3:EO$500)+IF($C38="",0,SUMIF('DADOS BRUTOS'!$A$3:$A$500,$C38,'DADOS BRUTOS'!EO$3:EO$500)))</f>
        <v/>
      </c>
      <c r="HP38" s="123">
        <f>IF(OR(HP$4="",$B38=""),0,SUMIF('DADOS BRUTOS'!$A$3:$A$500,$B38,'DADOS BRUTOS'!EP$3:EP$500)+IF($C38="",0,SUMIF('DADOS BRUTOS'!$A$3:$A$500,$C38,'DADOS BRUTOS'!EP$3:EP$500)))</f>
        <v/>
      </c>
      <c r="HQ38" s="123">
        <f>IF(OR(HQ$4="",$B38=""),0,SUMIF('DADOS BRUTOS'!$A$3:$A$500,$B38,'DADOS BRUTOS'!EQ$3:EQ$500)+IF($C38="",0,SUMIF('DADOS BRUTOS'!$A$3:$A$500,$C38,'DADOS BRUTOS'!EQ$3:EQ$500)))</f>
        <v/>
      </c>
      <c r="HR38" s="123">
        <f>IF(OR(HR$4="",$B38=""),0,SUMIF('DADOS BRUTOS'!$A$3:$A$500,$B38,'DADOS BRUTOS'!ER$3:ER$500)+IF($C38="",0,SUMIF('DADOS BRUTOS'!$A$3:$A$500,$C38,'DADOS BRUTOS'!ER$3:ER$500)))</f>
        <v/>
      </c>
      <c r="HS38" s="123">
        <f>IF(OR(HS$4="",$B38=""),0,SUMIF('DADOS BRUTOS'!$A$3:$A$500,$B38,'DADOS BRUTOS'!ES$3:ES$500)+IF($C38="",0,SUMIF('DADOS BRUTOS'!$A$3:$A$500,$C38,'DADOS BRUTOS'!ES$3:ES$500)))</f>
        <v/>
      </c>
      <c r="HT38" s="123">
        <f>IF(OR(HT$4="",$B38=""),0,SUMIF('DADOS BRUTOS'!$A$3:$A$500,$B38,'DADOS BRUTOS'!ET$3:ET$500)+IF($C38="",0,SUMIF('DADOS BRUTOS'!$A$3:$A$500,$C38,'DADOS BRUTOS'!ET$3:ET$500)))</f>
        <v/>
      </c>
      <c r="HU38" s="123">
        <f>IF(OR(HU$4="",$B38=""),0,SUMIF('DADOS BRUTOS'!$A$3:$A$500,$B38,'DADOS BRUTOS'!EU$3:EU$500)+IF($C38="",0,SUMIF('DADOS BRUTOS'!$A$3:$A$500,$C38,'DADOS BRUTOS'!EU$3:EU$500)))</f>
        <v/>
      </c>
      <c r="HV38" s="123">
        <f>IF(OR(HV$4="",$B38=""),0,SUMIF('DADOS BRUTOS'!$A$3:$A$500,$B38,'DADOS BRUTOS'!EV$3:EV$500)+IF($C38="",0,SUMIF('DADOS BRUTOS'!$A$3:$A$500,$C38,'DADOS BRUTOS'!EV$3:EV$500)))</f>
        <v/>
      </c>
      <c r="HW38" s="123">
        <f>IF(OR(HW$4="",$B38=""),0,SUMIF('DADOS BRUTOS'!$A$3:$A$500,$B38,'DADOS BRUTOS'!EW$3:EW$500)+IF($C38="",0,SUMIF('DADOS BRUTOS'!$A$3:$A$500,$C38,'DADOS BRUTOS'!EW$3:EW$500)))</f>
        <v/>
      </c>
      <c r="HX38" s="123">
        <f>IF(OR(HX$4="",$B38=""),0,SUMIF('DADOS BRUTOS'!$A$3:$A$500,$B38,'DADOS BRUTOS'!EX$3:EX$500)+IF($C38="",0,SUMIF('DADOS BRUTOS'!$A$3:$A$500,$C38,'DADOS BRUTOS'!EX$3:EX$500)))</f>
        <v/>
      </c>
      <c r="HY38" s="123">
        <f>IF(OR(HY$4="",$B38=""),0,SUMIF('DADOS BRUTOS'!$A$3:$A$500,$B38,'DADOS BRUTOS'!EY$3:EY$500)+IF($C38="",0,SUMIF('DADOS BRUTOS'!$A$3:$A$500,$C38,'DADOS BRUTOS'!EY$3:EY$500)))</f>
        <v/>
      </c>
      <c r="HZ38" s="123">
        <f>IF(OR(HZ$4="",$B38=""),0,SUMIF('DADOS BRUTOS'!$A$3:$A$500,$B38,'DADOS BRUTOS'!EZ$3:EZ$500)+IF($C38="",0,SUMIF('DADOS BRUTOS'!$A$3:$A$500,$C38,'DADOS BRUTOS'!EZ$3:EZ$500)))</f>
        <v/>
      </c>
      <c r="IA38" s="123">
        <f>IF(OR(IA$4="",$B38=""),0,SUMIF('DADOS BRUTOS'!$A$3:$A$500,$B38,'DADOS BRUTOS'!FA$3:FA$500)+IF($C38="",0,SUMIF('DADOS BRUTOS'!$A$3:$A$500,$C38,'DADOS BRUTOS'!FA$3:FA$500)))</f>
        <v/>
      </c>
      <c r="IB38" s="123">
        <f>IF(OR(IB$4="",$B38=""),0,SUMIF('DADOS BRUTOS'!$A$3:$A$500,$B38,'DADOS BRUTOS'!FB$3:FB$500)+IF($C38="",0,SUMIF('DADOS BRUTOS'!$A$3:$A$500,$C38,'DADOS BRUTOS'!FB$3:FB$500)))</f>
        <v/>
      </c>
      <c r="IC38" s="123">
        <f>IF(OR(IC$4="",$B38=""),0,SUMIF('DADOS BRUTOS'!$A$3:$A$500,$B38,'DADOS BRUTOS'!FC$3:FC$500)+IF($C38="",0,SUMIF('DADOS BRUTOS'!$A$3:$A$500,$C38,'DADOS BRUTOS'!FC$3:FC$500)))</f>
        <v/>
      </c>
      <c r="ID38" s="123">
        <f>IF(OR(ID$4="",$B38=""),0,SUMIF('DADOS BRUTOS'!$A$3:$A$500,$B38,'DADOS BRUTOS'!FD$3:FD$500)+IF($C38="",0,SUMIF('DADOS BRUTOS'!$A$3:$A$500,$C38,'DADOS BRUTOS'!FD$3:FD$500)))</f>
        <v/>
      </c>
      <c r="IE38" s="123">
        <f>IF(OR(IE$4="",$B38=""),0,SUMIF('DADOS BRUTOS'!$A$3:$A$500,$B38,'DADOS BRUTOS'!FE$3:FE$500)+IF($C38="",0,SUMIF('DADOS BRUTOS'!$A$3:$A$500,$C38,'DADOS BRUTOS'!FE$3:FE$500)))</f>
        <v/>
      </c>
      <c r="IF38" s="123">
        <f>IF(OR(IF$4="",$B38=""),0,SUMIF('DADOS BRUTOS'!$A$3:$A$500,$B38,'DADOS BRUTOS'!FF$3:FF$500)+IF($C38="",0,SUMIF('DADOS BRUTOS'!$A$3:$A$500,$C38,'DADOS BRUTOS'!FF$3:FF$500)))</f>
        <v/>
      </c>
      <c r="IG38" s="123">
        <f>IF(OR(IG$4="",$B38=""),0,SUMIF('DADOS BRUTOS'!$A$3:$A$500,$B38,'DADOS BRUTOS'!FG$3:FG$500)+IF($C38="",0,SUMIF('DADOS BRUTOS'!$A$3:$A$500,$C38,'DADOS BRUTOS'!FG$3:FG$500)))</f>
        <v/>
      </c>
      <c r="IH38" s="123">
        <f>IF(OR(IH$4="",$B38=""),0,SUMIF('DADOS BRUTOS'!$A$3:$A$500,$B38,'DADOS BRUTOS'!FH$3:FH$500)+IF($C38="",0,SUMIF('DADOS BRUTOS'!$A$3:$A$500,$C38,'DADOS BRUTOS'!FH$3:FH$500)))</f>
        <v/>
      </c>
      <c r="II38" s="123">
        <f>IF(OR(II$4="",$B38=""),0,SUMIF('DADOS BRUTOS'!$A$3:$A$500,$B38,'DADOS BRUTOS'!FI$3:FI$500)+IF($C38="",0,SUMIF('DADOS BRUTOS'!$A$3:$A$500,$C38,'DADOS BRUTOS'!FI$3:FI$500)))</f>
        <v/>
      </c>
      <c r="IJ38" s="123">
        <f>IF(OR(IJ$4="",$B38=""),0,SUMIF('DADOS BRUTOS'!$A$3:$A$500,$B38,'DADOS BRUTOS'!FJ$3:FJ$500)+IF($C38="",0,SUMIF('DADOS BRUTOS'!$A$3:$A$500,$C38,'DADOS BRUTOS'!FJ$3:FJ$500)))</f>
        <v/>
      </c>
      <c r="IK38" s="123">
        <f>IF(OR(IK$4="",$B38=""),0,SUMIF('DADOS BRUTOS'!$A$3:$A$500,$B38,'DADOS BRUTOS'!FK$3:FK$500)+IF($C38="",0,SUMIF('DADOS BRUTOS'!$A$3:$A$500,$C38,'DADOS BRUTOS'!FK$3:FK$500)))</f>
        <v/>
      </c>
      <c r="IL38" s="123">
        <f>IF(OR(IL$4="",$B38=""),0,SUMIF('DADOS BRUTOS'!$A$3:$A$500,$B38,'DADOS BRUTOS'!FL$3:FL$500)+IF($C38="",0,SUMIF('DADOS BRUTOS'!$A$3:$A$500,$C38,'DADOS BRUTOS'!FL$3:FL$500)))</f>
        <v/>
      </c>
      <c r="IM38" s="123">
        <f>IF(OR(IM$4="",$B38=""),0,SUMIF('DADOS BRUTOS'!$A$3:$A$500,$B38,'DADOS BRUTOS'!FM$3:FM$500)+IF($C38="",0,SUMIF('DADOS BRUTOS'!$A$3:$A$500,$C38,'DADOS BRUTOS'!FM$3:FM$500)))</f>
        <v/>
      </c>
      <c r="IN38" s="123">
        <f>IF(OR(IN$4="",$B38=""),0,SUMIF('DADOS BRUTOS'!$A$3:$A$500,$B38,'DADOS BRUTOS'!FN$3:FN$500)+IF($C38="",0,SUMIF('DADOS BRUTOS'!$A$3:$A$500,$C38,'DADOS BRUTOS'!FN$3:FN$500)))</f>
        <v/>
      </c>
      <c r="IO38" s="123">
        <f>IF(OR(IO$4="",$B38=""),0,SUMIF('DADOS BRUTOS'!$A$3:$A$500,$B38,'DADOS BRUTOS'!FO$3:FO$500)+IF($C38="",0,SUMIF('DADOS BRUTOS'!$A$3:$A$500,$C38,'DADOS BRUTOS'!FO$3:FO$500)))</f>
        <v/>
      </c>
      <c r="IP38" s="123">
        <f>IF(OR(IP$4="",$B38=""),0,SUMIF('DADOS BRUTOS'!$A$3:$A$500,$B38,'DADOS BRUTOS'!FP$3:FP$500)+IF($C38="",0,SUMIF('DADOS BRUTOS'!$A$3:$A$500,$C38,'DADOS BRUTOS'!FP$3:FP$500)))</f>
        <v/>
      </c>
      <c r="IQ38" s="123">
        <f>IF(OR(IQ$4="",$B38=""),0,SUMIF('DADOS BRUTOS'!$A$3:$A$500,$B38,'DADOS BRUTOS'!FQ$3:FQ$500)+IF($C38="",0,SUMIF('DADOS BRUTOS'!$A$3:$A$500,$C38,'DADOS BRUTOS'!FQ$3:FQ$500)))</f>
        <v/>
      </c>
      <c r="IR38" s="123">
        <f>IF(OR(IR$4="",$B38=""),0,SUMIF('DADOS BRUTOS'!$A$3:$A$500,$B38,'DADOS BRUTOS'!FR$3:FR$500)+IF($C38="",0,SUMIF('DADOS BRUTOS'!$A$3:$A$500,$C38,'DADOS BRUTOS'!FR$3:FR$500)))</f>
        <v/>
      </c>
      <c r="IS38" s="123">
        <f>IF(OR(IS$4="",$B38=""),0,SUMIF('DADOS BRUTOS'!$A$3:$A$500,$B38,'DADOS BRUTOS'!FS$3:FS$500)+IF($C38="",0,SUMIF('DADOS BRUTOS'!$A$3:$A$500,$C38,'DADOS BRUTOS'!FS$3:FS$500)))</f>
        <v/>
      </c>
      <c r="IT38" s="123">
        <f>IF(OR(IT$4="",$B38=""),0,SUMIF('DADOS BRUTOS'!$A$3:$A$500,$B38,'DADOS BRUTOS'!FT$3:FT$500)+IF($C38="",0,SUMIF('DADOS BRUTOS'!$A$3:$A$500,$C38,'DADOS BRUTOS'!FT$3:FT$500)))</f>
        <v/>
      </c>
      <c r="IU38" s="123">
        <f>IF(OR(IU$4="",$B38=""),0,SUMIF('DADOS BRUTOS'!$A$3:$A$500,$B38,'DADOS BRUTOS'!FU$3:FU$500)+IF($C38="",0,SUMIF('DADOS BRUTOS'!$A$3:$A$500,$C38,'DADOS BRUTOS'!FU$3:FU$500)))</f>
        <v/>
      </c>
      <c r="IV38" s="123">
        <f>IF(OR(IV$4="",$B38=""),0,SUMIF('DADOS BRUTOS'!$A$3:$A$500,$B38,'DADOS BRUTOS'!FV$3:FV$500)+IF($C38="",0,SUMIF('DADOS BRUTOS'!$A$3:$A$500,$C38,'DADOS BRUTOS'!FV$3:FV$500)))</f>
        <v/>
      </c>
      <c r="IW38" s="123">
        <f>IF(OR(IW$4="",$B38=""),0,SUMIF('DADOS BRUTOS'!$A$3:$A$500,$B38,'DADOS BRUTOS'!FW$3:FW$500)+IF($C38="",0,SUMIF('DADOS BRUTOS'!$A$3:$A$500,$C38,'DADOS BRUTOS'!FW$3:FW$500)))</f>
        <v/>
      </c>
      <c r="IX38" s="123">
        <f>IF(OR(IX$4="",$B38=""),0,SUMIF('DADOS BRUTOS'!$A$3:$A$500,$B38,'DADOS BRUTOS'!FX$3:FX$500)+IF($C38="",0,SUMIF('DADOS BRUTOS'!$A$3:$A$500,$C38,'DADOS BRUTOS'!FX$3:FX$500)))</f>
        <v/>
      </c>
      <c r="IY38" s="123">
        <f>IF(OR(IY$4="",$B38=""),0,SUMIF('DADOS BRUTOS'!$A$3:$A$500,$B38,'DADOS BRUTOS'!FY$3:FY$500)+IF($C38="",0,SUMIF('DADOS BRUTOS'!$A$3:$A$500,$C38,'DADOS BRUTOS'!FY$3:FY$500)))</f>
        <v/>
      </c>
      <c r="IZ38" s="123">
        <f>IF(OR(IZ$4="",$B38=""),0,SUMIF('DADOS BRUTOS'!$A$3:$A$500,$B38,'DADOS BRUTOS'!FZ$3:FZ$500)+IF($C38="",0,SUMIF('DADOS BRUTOS'!$A$3:$A$500,$C38,'DADOS BRUTOS'!FZ$3:FZ$500)))</f>
        <v/>
      </c>
      <c r="JA38" s="123">
        <f>IF(OR(JA$4="",$B38=""),0,SUMIF('DADOS BRUTOS'!$A$3:$A$500,$B38,'DADOS BRUTOS'!GA$3:GA$500)+IF($C38="",0,SUMIF('DADOS BRUTOS'!$A$3:$A$500,$C38,'DADOS BRUTOS'!GA$3:GA$500)))</f>
        <v/>
      </c>
      <c r="JB38" s="123">
        <f>IF(OR(JB$4="",$B38=""),0,SUMIF('DADOS BRUTOS'!$A$3:$A$500,$B38,'DADOS BRUTOS'!GB$3:GB$500)+IF($C38="",0,SUMIF('DADOS BRUTOS'!$A$3:$A$500,$C38,'DADOS BRUTOS'!GB$3:GB$500)))</f>
        <v/>
      </c>
      <c r="JC38" s="123">
        <f>IF(OR(JC$4="",$B38=""),0,SUMIF('DADOS BRUTOS'!$A$3:$A$500,$B38,'DADOS BRUTOS'!GC$3:GC$500)+IF($C38="",0,SUMIF('DADOS BRUTOS'!$A$3:$A$500,$C38,'DADOS BRUTOS'!GC$3:GC$500)))</f>
        <v/>
      </c>
      <c r="JD38" s="123">
        <f>IF(OR(JD$4="",$B38=""),0,SUMIF('DADOS BRUTOS'!$A$3:$A$500,$B38,'DADOS BRUTOS'!GD$3:GD$500)+IF($C38="",0,SUMIF('DADOS BRUTOS'!$A$3:$A$500,$C38,'DADOS BRUTOS'!GD$3:GD$500)))</f>
        <v/>
      </c>
      <c r="JE38" s="123">
        <f>IF(OR(JE$4="",$B38=""),0,SUMIF('DADOS BRUTOS'!$A$3:$A$500,$B38,'DADOS BRUTOS'!GE$3:GE$500)+IF($C38="",0,SUMIF('DADOS BRUTOS'!$A$3:$A$500,$C38,'DADOS BRUTOS'!GE$3:GE$500)))</f>
        <v/>
      </c>
      <c r="JF38" s="123">
        <f>IF(OR(JF$4="",$B38=""),0,SUMIF('DADOS BRUTOS'!$A$3:$A$500,$B38,'DADOS BRUTOS'!GF$3:GF$500)+IF($C38="",0,SUMIF('DADOS BRUTOS'!$A$3:$A$500,$C38,'DADOS BRUTOS'!GF$3:GF$500)))</f>
        <v/>
      </c>
      <c r="JG38" s="123">
        <f>IF(OR(JG$4="",$B38=""),0,SUMIF('DADOS BRUTOS'!$A$3:$A$500,$B38,'DADOS BRUTOS'!GG$3:GG$500)+IF($C38="",0,SUMIF('DADOS BRUTOS'!$A$3:$A$500,$C38,'DADOS BRUTOS'!GG$3:GG$500)))</f>
        <v/>
      </c>
      <c r="JH38" s="123">
        <f>IF(OR(JH$4="",$B38=""),0,SUMIF('DADOS BRUTOS'!$A$3:$A$500,$B38,'DADOS BRUTOS'!GH$3:GH$500)+IF($C38="",0,SUMIF('DADOS BRUTOS'!$A$3:$A$500,$C38,'DADOS BRUTOS'!GH$3:GH$500)))</f>
        <v/>
      </c>
      <c r="JI38" s="123">
        <f>IF(OR(JI$4="",$B38=""),0,SUMIF('DADOS BRUTOS'!$A$3:$A$500,$B38,'DADOS BRUTOS'!GI$3:GI$500)+IF($C38="",0,SUMIF('DADOS BRUTOS'!$A$3:$A$500,$C38,'DADOS BRUTOS'!GI$3:GI$500)))</f>
        <v/>
      </c>
      <c r="JJ38" s="123">
        <f>IF(OR(JJ$4="",$B38=""),0,SUMIF('DADOS BRUTOS'!$A$3:$A$500,$B38,'DADOS BRUTOS'!GJ$3:GJ$500)+IF($C38="",0,SUMIF('DADOS BRUTOS'!$A$3:$A$500,$C38,'DADOS BRUTOS'!GJ$3:GJ$500)))</f>
        <v/>
      </c>
      <c r="JK38" s="123">
        <f>IF(OR(JK$4="",$B38=""),0,SUMIF('DADOS BRUTOS'!$A$3:$A$500,$B38,'DADOS BRUTOS'!GK$3:GK$500)+IF($C38="",0,SUMIF('DADOS BRUTOS'!$A$3:$A$500,$C38,'DADOS BRUTOS'!GK$3:GK$500)))</f>
        <v/>
      </c>
      <c r="JL38" s="123">
        <f>IF(OR(JL$4="",$B38=""),0,SUMIF('DADOS BRUTOS'!$A$3:$A$500,$B38,'DADOS BRUTOS'!GL$3:GL$500)+IF($C38="",0,SUMIF('DADOS BRUTOS'!$A$3:$A$500,$C38,'DADOS BRUTOS'!GL$3:GL$500)))</f>
        <v/>
      </c>
      <c r="JM38" s="123">
        <f>IF(OR(JM$4="",$B38=""),0,SUMIF('DADOS BRUTOS'!$A$3:$A$500,$B38,'DADOS BRUTOS'!GM$3:GM$500)+IF($C38="",0,SUMIF('DADOS BRUTOS'!$A$3:$A$500,$C38,'DADOS BRUTOS'!GM$3:GM$500)))</f>
        <v/>
      </c>
      <c r="JN38" s="123">
        <f>IF(OR(JN$4="",$B38=""),0,SUMIF('DADOS BRUTOS'!$A$3:$A$500,$B38,'DADOS BRUTOS'!GN$3:GN$500)+IF($C38="",0,SUMIF('DADOS BRUTOS'!$A$3:$A$500,$C38,'DADOS BRUTOS'!GN$3:GN$500)))</f>
        <v/>
      </c>
      <c r="JO38" s="123">
        <f>IF(OR(JO$4="",$B38=""),0,SUMIF('DADOS BRUTOS'!$A$3:$A$500,$B38,'DADOS BRUTOS'!GO$3:GO$500)+IF($C38="",0,SUMIF('DADOS BRUTOS'!$A$3:$A$500,$C38,'DADOS BRUTOS'!GO$3:GO$500)))</f>
        <v/>
      </c>
      <c r="JP38" s="123">
        <f>IF(OR(JP$4="",$B38=""),0,SUMIF('DADOS BRUTOS'!$A$3:$A$500,$B38,'DADOS BRUTOS'!GP$3:GP$500)+IF($C38="",0,SUMIF('DADOS BRUTOS'!$A$3:$A$500,$C38,'DADOS BRUTOS'!GP$3:GP$500)))</f>
        <v/>
      </c>
      <c r="JQ38" s="123">
        <f>IF(OR(JQ$4="",$B38=""),0,SUMIF('DADOS BRUTOS'!$A$3:$A$500,$B38,'DADOS BRUTOS'!GQ$3:GQ$500)+IF($C38="",0,SUMIF('DADOS BRUTOS'!$A$3:$A$500,$C38,'DADOS BRUTOS'!GQ$3:GQ$500)))</f>
        <v/>
      </c>
      <c r="JR38" s="123">
        <f>IF(OR(JR$4="",$B38=""),0,SUMIF('DADOS BRUTOS'!$A$3:$A$500,$B38,'DADOS BRUTOS'!GR$3:GR$500)+IF($C38="",0,SUMIF('DADOS BRUTOS'!$A$3:$A$500,$C38,'DADOS BRUTOS'!GR$3:GR$500)))</f>
        <v/>
      </c>
      <c r="JS38" s="123">
        <f>IF(OR(JS$4="",$B38=""),0,SUMIF('DADOS BRUTOS'!$A$3:$A$500,$B38,'DADOS BRUTOS'!GS$3:GS$500)+IF($C38="",0,SUMIF('DADOS BRUTOS'!$A$3:$A$500,$C38,'DADOS BRUTOS'!GS$3:GS$500)))</f>
        <v/>
      </c>
    </row>
    <row r="39">
      <c r="A39" s="60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CB39" s="123">
        <f>IF(OR(CB$4="",$B39=""),0,SUMIF('DADOS BRUTOS'!$A$3:$A$500,$B39,'DADOS BRUTOS'!B$3:B$500)+IF($C39="",0,SUMIF('DADOS BRUTOS'!$A$3:$A$500,$C39,'DADOS BRUTOS'!B$3:B$500)))</f>
        <v/>
      </c>
      <c r="CC39" s="123">
        <f>IF(OR(CC$4="",$B39=""),0,SUMIF('DADOS BRUTOS'!$A$3:$A$500,$B39,'DADOS BRUTOS'!C$3:C$500)+IF($C39="",0,SUMIF('DADOS BRUTOS'!$A$3:$A$500,$C39,'DADOS BRUTOS'!C$3:C$500)))</f>
        <v/>
      </c>
      <c r="CD39" s="123">
        <f>IF(OR(CD$4="",$B39=""),0,SUMIF('DADOS BRUTOS'!$A$3:$A$500,$B39,'DADOS BRUTOS'!D$3:D$500)+IF($C39="",0,SUMIF('DADOS BRUTOS'!$A$3:$A$500,$C39,'DADOS BRUTOS'!D$3:D$500)))</f>
        <v/>
      </c>
      <c r="CE39" s="123">
        <f>IF(OR(CE$4="",$B39=""),0,SUMIF('DADOS BRUTOS'!$A$3:$A$500,$B39,'DADOS BRUTOS'!E$3:E$500)+IF($C39="",0,SUMIF('DADOS BRUTOS'!$A$3:$A$500,$C39,'DADOS BRUTOS'!E$3:E$500)))</f>
        <v/>
      </c>
      <c r="CF39" s="123">
        <f>IF(OR(CF$4="",$B39=""),0,SUMIF('DADOS BRUTOS'!$A$3:$A$500,$B39,'DADOS BRUTOS'!F$3:F$500)+IF($C39="",0,SUMIF('DADOS BRUTOS'!$A$3:$A$500,$C39,'DADOS BRUTOS'!F$3:F$500)))</f>
        <v/>
      </c>
      <c r="CG39" s="123">
        <f>IF(OR(CG$4="",$B39=""),0,SUMIF('DADOS BRUTOS'!$A$3:$A$500,$B39,'DADOS BRUTOS'!G$3:G$500)+IF($C39="",0,SUMIF('DADOS BRUTOS'!$A$3:$A$500,$C39,'DADOS BRUTOS'!G$3:G$500)))</f>
        <v/>
      </c>
      <c r="CH39" s="123">
        <f>IF(OR(CH$4="",$B39=""),0,SUMIF('DADOS BRUTOS'!$A$3:$A$500,$B39,'DADOS BRUTOS'!H$3:H$500)+IF($C39="",0,SUMIF('DADOS BRUTOS'!$A$3:$A$500,$C39,'DADOS BRUTOS'!H$3:H$500)))</f>
        <v/>
      </c>
      <c r="CI39" s="123">
        <f>IF(OR(CI$4="",$B39=""),0,SUMIF('DADOS BRUTOS'!$A$3:$A$500,$B39,'DADOS BRUTOS'!I$3:I$500)+IF($C39="",0,SUMIF('DADOS BRUTOS'!$A$3:$A$500,$C39,'DADOS BRUTOS'!I$3:I$500)))</f>
        <v/>
      </c>
      <c r="CJ39" s="123">
        <f>IF(OR(CJ$4="",$B39=""),0,SUMIF('DADOS BRUTOS'!$A$3:$A$500,$B39,'DADOS BRUTOS'!J$3:J$500)+IF($C39="",0,SUMIF('DADOS BRUTOS'!$A$3:$A$500,$C39,'DADOS BRUTOS'!J$3:J$500)))</f>
        <v/>
      </c>
      <c r="CK39" s="123">
        <f>IF(OR(CK$4="",$B39=""),0,SUMIF('DADOS BRUTOS'!$A$3:$A$500,$B39,'DADOS BRUTOS'!K$3:K$500)+IF($C39="",0,SUMIF('DADOS BRUTOS'!$A$3:$A$500,$C39,'DADOS BRUTOS'!K$3:K$500)))</f>
        <v/>
      </c>
      <c r="CL39" s="123">
        <f>IF(OR(CL$4="",$B39=""),0,SUMIF('DADOS BRUTOS'!$A$3:$A$500,$B39,'DADOS BRUTOS'!L$3:L$500)+IF($C39="",0,SUMIF('DADOS BRUTOS'!$A$3:$A$500,$C39,'DADOS BRUTOS'!L$3:L$500)))</f>
        <v/>
      </c>
      <c r="CM39" s="123">
        <f>IF(OR(CM$4="",$B39=""),0,SUMIF('DADOS BRUTOS'!$A$3:$A$500,$B39,'DADOS BRUTOS'!M$3:M$500)+IF($C39="",0,SUMIF('DADOS BRUTOS'!$A$3:$A$500,$C39,'DADOS BRUTOS'!M$3:M$500)))</f>
        <v/>
      </c>
      <c r="CN39" s="123">
        <f>IF(OR(CN$4="",$B39=""),0,SUMIF('DADOS BRUTOS'!$A$3:$A$500,$B39,'DADOS BRUTOS'!N$3:N$500)+IF($C39="",0,SUMIF('DADOS BRUTOS'!$A$3:$A$500,$C39,'DADOS BRUTOS'!N$3:N$500)))</f>
        <v/>
      </c>
      <c r="CO39" s="123">
        <f>IF(OR(CO$4="",$B39=""),0,SUMIF('DADOS BRUTOS'!$A$3:$A$500,$B39,'DADOS BRUTOS'!O$3:O$500)+IF($C39="",0,SUMIF('DADOS BRUTOS'!$A$3:$A$500,$C39,'DADOS BRUTOS'!O$3:O$500)))</f>
        <v/>
      </c>
      <c r="CP39" s="123">
        <f>IF(OR(CP$4="",$B39=""),0,SUMIF('DADOS BRUTOS'!$A$3:$A$500,$B39,'DADOS BRUTOS'!P$3:P$500)+IF($C39="",0,SUMIF('DADOS BRUTOS'!$A$3:$A$500,$C39,'DADOS BRUTOS'!P$3:P$500)))</f>
        <v/>
      </c>
      <c r="CQ39" s="123">
        <f>IF(OR(CQ$4="",$B39=""),0,SUMIF('DADOS BRUTOS'!$A$3:$A$500,$B39,'DADOS BRUTOS'!Q$3:Q$500)+IF($C39="",0,SUMIF('DADOS BRUTOS'!$A$3:$A$500,$C39,'DADOS BRUTOS'!Q$3:Q$500)))</f>
        <v/>
      </c>
      <c r="CR39" s="123">
        <f>IF(OR(CR$4="",$B39=""),0,SUMIF('DADOS BRUTOS'!$A$3:$A$500,$B39,'DADOS BRUTOS'!R$3:R$500)+IF($C39="",0,SUMIF('DADOS BRUTOS'!$A$3:$A$500,$C39,'DADOS BRUTOS'!R$3:R$500)))</f>
        <v/>
      </c>
      <c r="CS39" s="123">
        <f>IF(OR(CS$4="",$B39=""),0,SUMIF('DADOS BRUTOS'!$A$3:$A$500,$B39,'DADOS BRUTOS'!S$3:S$500)+IF($C39="",0,SUMIF('DADOS BRUTOS'!$A$3:$A$500,$C39,'DADOS BRUTOS'!S$3:S$500)))</f>
        <v/>
      </c>
      <c r="CT39" s="123">
        <f>IF(OR(CT$4="",$B39=""),0,SUMIF('DADOS BRUTOS'!$A$3:$A$500,$B39,'DADOS BRUTOS'!T$3:T$500)+IF($C39="",0,SUMIF('DADOS BRUTOS'!$A$3:$A$500,$C39,'DADOS BRUTOS'!T$3:T$500)))</f>
        <v/>
      </c>
      <c r="CU39" s="123">
        <f>IF(OR(CU$4="",$B39=""),0,SUMIF('DADOS BRUTOS'!$A$3:$A$500,$B39,'DADOS BRUTOS'!U$3:U$500)+IF($C39="",0,SUMIF('DADOS BRUTOS'!$A$3:$A$500,$C39,'DADOS BRUTOS'!U$3:U$500)))</f>
        <v/>
      </c>
      <c r="CV39" s="123">
        <f>IF(OR(CV$4="",$B39=""),0,SUMIF('DADOS BRUTOS'!$A$3:$A$500,$B39,'DADOS BRUTOS'!V$3:V$500)+IF($C39="",0,SUMIF('DADOS BRUTOS'!$A$3:$A$500,$C39,'DADOS BRUTOS'!V$3:V$500)))</f>
        <v/>
      </c>
      <c r="CW39" s="123">
        <f>IF(OR(CW$4="",$B39=""),0,SUMIF('DADOS BRUTOS'!$A$3:$A$500,$B39,'DADOS BRUTOS'!W$3:W$500)+IF($C39="",0,SUMIF('DADOS BRUTOS'!$A$3:$A$500,$C39,'DADOS BRUTOS'!W$3:W$500)))</f>
        <v/>
      </c>
      <c r="CX39" s="123">
        <f>IF(OR(CX$4="",$B39=""),0,SUMIF('DADOS BRUTOS'!$A$3:$A$500,$B39,'DADOS BRUTOS'!X$3:X$500)+IF($C39="",0,SUMIF('DADOS BRUTOS'!$A$3:$A$500,$C39,'DADOS BRUTOS'!X$3:X$500)))</f>
        <v/>
      </c>
      <c r="CY39" s="123">
        <f>IF(OR(CY$4="",$B39=""),0,SUMIF('DADOS BRUTOS'!$A$3:$A$500,$B39,'DADOS BRUTOS'!Y$3:Y$500)+IF($C39="",0,SUMIF('DADOS BRUTOS'!$A$3:$A$500,$C39,'DADOS BRUTOS'!Y$3:Y$500)))</f>
        <v/>
      </c>
      <c r="CZ39" s="123">
        <f>IF(OR(CZ$4="",$B39=""),0,SUMIF('DADOS BRUTOS'!$A$3:$A$500,$B39,'DADOS BRUTOS'!Z$3:Z$500)+IF($C39="",0,SUMIF('DADOS BRUTOS'!$A$3:$A$500,$C39,'DADOS BRUTOS'!Z$3:Z$500)))</f>
        <v/>
      </c>
      <c r="DA39" s="123">
        <f>IF(OR(DA$4="",$B39=""),0,SUMIF('DADOS BRUTOS'!$A$3:$A$500,$B39,'DADOS BRUTOS'!AA$3:AA$500)+IF($C39="",0,SUMIF('DADOS BRUTOS'!$A$3:$A$500,$C39,'DADOS BRUTOS'!AA$3:AA$500)))</f>
        <v/>
      </c>
      <c r="DB39" s="123">
        <f>IF(OR(DB$4="",$B39=""),0,SUMIF('DADOS BRUTOS'!$A$3:$A$500,$B39,'DADOS BRUTOS'!AB$3:AB$500)+IF($C39="",0,SUMIF('DADOS BRUTOS'!$A$3:$A$500,$C39,'DADOS BRUTOS'!AB$3:AB$500)))</f>
        <v/>
      </c>
      <c r="DC39" s="123">
        <f>IF(OR(DC$4="",$B39=""),0,SUMIF('DADOS BRUTOS'!$A$3:$A$500,$B39,'DADOS BRUTOS'!AC$3:AC$500)+IF($C39="",0,SUMIF('DADOS BRUTOS'!$A$3:$A$500,$C39,'DADOS BRUTOS'!AC$3:AC$500)))</f>
        <v/>
      </c>
      <c r="DD39" s="123">
        <f>IF(OR(DD$4="",$B39=""),0,SUMIF('DADOS BRUTOS'!$A$3:$A$500,$B39,'DADOS BRUTOS'!AD$3:AD$500)+IF($C39="",0,SUMIF('DADOS BRUTOS'!$A$3:$A$500,$C39,'DADOS BRUTOS'!AD$3:AD$500)))</f>
        <v/>
      </c>
      <c r="DE39" s="123">
        <f>IF(OR(DE$4="",$B39=""),0,SUMIF('DADOS BRUTOS'!$A$3:$A$500,$B39,'DADOS BRUTOS'!AE$3:AE$500)+IF($C39="",0,SUMIF('DADOS BRUTOS'!$A$3:$A$500,$C39,'DADOS BRUTOS'!AE$3:AE$500)))</f>
        <v/>
      </c>
      <c r="DF39" s="123">
        <f>IF(OR(DF$4="",$B39=""),0,SUMIF('DADOS BRUTOS'!$A$3:$A$500,$B39,'DADOS BRUTOS'!AF$3:AF$500)+IF($C39="",0,SUMIF('DADOS BRUTOS'!$A$3:$A$500,$C39,'DADOS BRUTOS'!AF$3:AF$500)))</f>
        <v/>
      </c>
      <c r="DG39" s="123">
        <f>IF(OR(DG$4="",$B39=""),0,SUMIF('DADOS BRUTOS'!$A$3:$A$500,$B39,'DADOS BRUTOS'!AG$3:AG$500)+IF($C39="",0,SUMIF('DADOS BRUTOS'!$A$3:$A$500,$C39,'DADOS BRUTOS'!AG$3:AG$500)))</f>
        <v/>
      </c>
      <c r="DH39" s="123">
        <f>IF(OR(DH$4="",$B39=""),0,SUMIF('DADOS BRUTOS'!$A$3:$A$500,$B39,'DADOS BRUTOS'!AH$3:AH$500)+IF($C39="",0,SUMIF('DADOS BRUTOS'!$A$3:$A$500,$C39,'DADOS BRUTOS'!AH$3:AH$500)))</f>
        <v/>
      </c>
      <c r="DI39" s="123">
        <f>IF(OR(DI$4="",$B39=""),0,SUMIF('DADOS BRUTOS'!$A$3:$A$500,$B39,'DADOS BRUTOS'!AI$3:AI$500)+IF($C39="",0,SUMIF('DADOS BRUTOS'!$A$3:$A$500,$C39,'DADOS BRUTOS'!AI$3:AI$500)))</f>
        <v/>
      </c>
      <c r="DJ39" s="123">
        <f>IF(OR(DJ$4="",$B39=""),0,SUMIF('DADOS BRUTOS'!$A$3:$A$500,$B39,'DADOS BRUTOS'!AJ$3:AJ$500)+IF($C39="",0,SUMIF('DADOS BRUTOS'!$A$3:$A$500,$C39,'DADOS BRUTOS'!AJ$3:AJ$500)))</f>
        <v/>
      </c>
      <c r="DK39" s="123">
        <f>IF(OR(DK$4="",$B39=""),0,SUMIF('DADOS BRUTOS'!$A$3:$A$500,$B39,'DADOS BRUTOS'!AK$3:AK$500)+IF($C39="",0,SUMIF('DADOS BRUTOS'!$A$3:$A$500,$C39,'DADOS BRUTOS'!AK$3:AK$500)))</f>
        <v/>
      </c>
      <c r="DL39" s="123">
        <f>IF(OR(DL$4="",$B39=""),0,SUMIF('DADOS BRUTOS'!$A$3:$A$500,$B39,'DADOS BRUTOS'!AL$3:AL$500)+IF($C39="",0,SUMIF('DADOS BRUTOS'!$A$3:$A$500,$C39,'DADOS BRUTOS'!AL$3:AL$500)))</f>
        <v/>
      </c>
      <c r="DM39" s="123">
        <f>IF(OR(DM$4="",$B39=""),0,SUMIF('DADOS BRUTOS'!$A$3:$A$500,$B39,'DADOS BRUTOS'!AM$3:AM$500)+IF($C39="",0,SUMIF('DADOS BRUTOS'!$A$3:$A$500,$C39,'DADOS BRUTOS'!AM$3:AM$500)))</f>
        <v/>
      </c>
      <c r="DN39" s="123">
        <f>IF(OR(DN$4="",$B39=""),0,SUMIF('DADOS BRUTOS'!$A$3:$A$500,$B39,'DADOS BRUTOS'!AN$3:AN$500)+IF($C39="",0,SUMIF('DADOS BRUTOS'!$A$3:$A$500,$C39,'DADOS BRUTOS'!AN$3:AN$500)))</f>
        <v/>
      </c>
      <c r="DO39" s="123">
        <f>IF(OR(DO$4="",$B39=""),0,SUMIF('DADOS BRUTOS'!$A$3:$A$500,$B39,'DADOS BRUTOS'!AO$3:AO$500)+IF($C39="",0,SUMIF('DADOS BRUTOS'!$A$3:$A$500,$C39,'DADOS BRUTOS'!AO$3:AO$500)))</f>
        <v/>
      </c>
      <c r="DP39" s="123">
        <f>IF(OR(DP$4="",$B39=""),0,SUMIF('DADOS BRUTOS'!$A$3:$A$500,$B39,'DADOS BRUTOS'!AP$3:AP$500)+IF($C39="",0,SUMIF('DADOS BRUTOS'!$A$3:$A$500,$C39,'DADOS BRUTOS'!AP$3:AP$500)))</f>
        <v/>
      </c>
      <c r="DQ39" s="123">
        <f>IF(OR(DQ$4="",$B39=""),0,SUMIF('DADOS BRUTOS'!$A$3:$A$500,$B39,'DADOS BRUTOS'!AQ$3:AQ$500)+IF($C39="",0,SUMIF('DADOS BRUTOS'!$A$3:$A$500,$C39,'DADOS BRUTOS'!AQ$3:AQ$500)))</f>
        <v/>
      </c>
      <c r="DR39" s="123">
        <f>IF(OR(DR$4="",$B39=""),0,SUMIF('DADOS BRUTOS'!$A$3:$A$500,$B39,'DADOS BRUTOS'!AR$3:AR$500)+IF($C39="",0,SUMIF('DADOS BRUTOS'!$A$3:$A$500,$C39,'DADOS BRUTOS'!AR$3:AR$500)))</f>
        <v/>
      </c>
      <c r="DS39" s="123">
        <f>IF(OR(DS$4="",$B39=""),0,SUMIF('DADOS BRUTOS'!$A$3:$A$500,$B39,'DADOS BRUTOS'!AS$3:AS$500)+IF($C39="",0,SUMIF('DADOS BRUTOS'!$A$3:$A$500,$C39,'DADOS BRUTOS'!AS$3:AS$500)))</f>
        <v/>
      </c>
      <c r="DT39" s="123">
        <f>IF(OR(DT$4="",$B39=""),0,SUMIF('DADOS BRUTOS'!$A$3:$A$500,$B39,'DADOS BRUTOS'!AT$3:AT$500)+IF($C39="",0,SUMIF('DADOS BRUTOS'!$A$3:$A$500,$C39,'DADOS BRUTOS'!AT$3:AT$500)))</f>
        <v/>
      </c>
      <c r="DU39" s="123">
        <f>IF(OR(DU$4="",$B39=""),0,SUMIF('DADOS BRUTOS'!$A$3:$A$500,$B39,'DADOS BRUTOS'!AU$3:AU$500)+IF($C39="",0,SUMIF('DADOS BRUTOS'!$A$3:$A$500,$C39,'DADOS BRUTOS'!AU$3:AU$500)))</f>
        <v/>
      </c>
      <c r="DV39" s="123">
        <f>IF(OR(DV$4="",$B39=""),0,SUMIF('DADOS BRUTOS'!$A$3:$A$500,$B39,'DADOS BRUTOS'!AV$3:AV$500)+IF($C39="",0,SUMIF('DADOS BRUTOS'!$A$3:$A$500,$C39,'DADOS BRUTOS'!AV$3:AV$500)))</f>
        <v/>
      </c>
      <c r="DW39" s="123">
        <f>IF(OR(DW$4="",$B39=""),0,SUMIF('DADOS BRUTOS'!$A$3:$A$500,$B39,'DADOS BRUTOS'!AW$3:AW$500)+IF($C39="",0,SUMIF('DADOS BRUTOS'!$A$3:$A$500,$C39,'DADOS BRUTOS'!AW$3:AW$500)))</f>
        <v/>
      </c>
      <c r="DX39" s="123">
        <f>IF(OR(DX$4="",$B39=""),0,SUMIF('DADOS BRUTOS'!$A$3:$A$500,$B39,'DADOS BRUTOS'!AX$3:AX$500)+IF($C39="",0,SUMIF('DADOS BRUTOS'!$A$3:$A$500,$C39,'DADOS BRUTOS'!AX$3:AX$500)))</f>
        <v/>
      </c>
      <c r="DY39" s="123">
        <f>IF(OR(DY$4="",$B39=""),0,SUMIF('DADOS BRUTOS'!$A$3:$A$500,$B39,'DADOS BRUTOS'!AY$3:AY$500)+IF($C39="",0,SUMIF('DADOS BRUTOS'!$A$3:$A$500,$C39,'DADOS BRUTOS'!AY$3:AY$500)))</f>
        <v/>
      </c>
      <c r="DZ39" s="123">
        <f>IF(OR(DZ$4="",$B39=""),0,SUMIF('DADOS BRUTOS'!$A$3:$A$500,$B39,'DADOS BRUTOS'!AZ$3:AZ$500)+IF($C39="",0,SUMIF('DADOS BRUTOS'!$A$3:$A$500,$C39,'DADOS BRUTOS'!AZ$3:AZ$500)))</f>
        <v/>
      </c>
      <c r="EA39" s="123">
        <f>IF(OR(EA$4="",$B39=""),0,SUMIF('DADOS BRUTOS'!$A$3:$A$500,$B39,'DADOS BRUTOS'!BA$3:BA$500)+IF($C39="",0,SUMIF('DADOS BRUTOS'!$A$3:$A$500,$C39,'DADOS BRUTOS'!BA$3:BA$500)))</f>
        <v/>
      </c>
      <c r="EB39" s="123">
        <f>IF(OR(EB$4="",$B39=""),0,SUMIF('DADOS BRUTOS'!$A$3:$A$500,$B39,'DADOS BRUTOS'!BB$3:BB$500)+IF($C39="",0,SUMIF('DADOS BRUTOS'!$A$3:$A$500,$C39,'DADOS BRUTOS'!BB$3:BB$500)))</f>
        <v/>
      </c>
      <c r="EC39" s="123">
        <f>IF(OR(EC$4="",$B39=""),0,SUMIF('DADOS BRUTOS'!$A$3:$A$500,$B39,'DADOS BRUTOS'!BC$3:BC$500)+IF($C39="",0,SUMIF('DADOS BRUTOS'!$A$3:$A$500,$C39,'DADOS BRUTOS'!BC$3:BC$500)))</f>
        <v/>
      </c>
      <c r="ED39" s="123">
        <f>IF(OR(ED$4="",$B39=""),0,SUMIF('DADOS BRUTOS'!$A$3:$A$500,$B39,'DADOS BRUTOS'!BD$3:BD$500)+IF($C39="",0,SUMIF('DADOS BRUTOS'!$A$3:$A$500,$C39,'DADOS BRUTOS'!BD$3:BD$500)))</f>
        <v/>
      </c>
      <c r="EE39" s="123">
        <f>IF(OR(EE$4="",$B39=""),0,SUMIF('DADOS BRUTOS'!$A$3:$A$500,$B39,'DADOS BRUTOS'!BE$3:BE$500)+IF($C39="",0,SUMIF('DADOS BRUTOS'!$A$3:$A$500,$C39,'DADOS BRUTOS'!BE$3:BE$500)))</f>
        <v/>
      </c>
      <c r="EF39" s="123">
        <f>IF(OR(EF$4="",$B39=""),0,SUMIF('DADOS BRUTOS'!$A$3:$A$500,$B39,'DADOS BRUTOS'!BF$3:BF$500)+IF($C39="",0,SUMIF('DADOS BRUTOS'!$A$3:$A$500,$C39,'DADOS BRUTOS'!BF$3:BF$500)))</f>
        <v/>
      </c>
      <c r="EG39" s="123">
        <f>IF(OR(EG$4="",$B39=""),0,SUMIF('DADOS BRUTOS'!$A$3:$A$500,$B39,'DADOS BRUTOS'!BG$3:BG$500)+IF($C39="",0,SUMIF('DADOS BRUTOS'!$A$3:$A$500,$C39,'DADOS BRUTOS'!BG$3:BG$500)))</f>
        <v/>
      </c>
      <c r="EH39" s="123">
        <f>IF(OR(EH$4="",$B39=""),0,SUMIF('DADOS BRUTOS'!$A$3:$A$500,$B39,'DADOS BRUTOS'!BH$3:BH$500)+IF($C39="",0,SUMIF('DADOS BRUTOS'!$A$3:$A$500,$C39,'DADOS BRUTOS'!BH$3:BH$500)))</f>
        <v/>
      </c>
      <c r="EI39" s="123">
        <f>IF(OR(EI$4="",$B39=""),0,SUMIF('DADOS BRUTOS'!$A$3:$A$500,$B39,'DADOS BRUTOS'!BI$3:BI$500)+IF($C39="",0,SUMIF('DADOS BRUTOS'!$A$3:$A$500,$C39,'DADOS BRUTOS'!BI$3:BI$500)))</f>
        <v/>
      </c>
      <c r="EJ39" s="123">
        <f>IF(OR(EJ$4="",$B39=""),0,SUMIF('DADOS BRUTOS'!$A$3:$A$500,$B39,'DADOS BRUTOS'!BJ$3:BJ$500)+IF($C39="",0,SUMIF('DADOS BRUTOS'!$A$3:$A$500,$C39,'DADOS BRUTOS'!BJ$3:BJ$500)))</f>
        <v/>
      </c>
      <c r="EK39" s="123">
        <f>IF(OR(EK$4="",$B39=""),0,SUMIF('DADOS BRUTOS'!$A$3:$A$500,$B39,'DADOS BRUTOS'!BK$3:BK$500)+IF($C39="",0,SUMIF('DADOS BRUTOS'!$A$3:$A$500,$C39,'DADOS BRUTOS'!BK$3:BK$500)))</f>
        <v/>
      </c>
      <c r="EL39" s="123">
        <f>IF(OR(EL$4="",$B39=""),0,SUMIF('DADOS BRUTOS'!$A$3:$A$500,$B39,'DADOS BRUTOS'!BL$3:BL$500)+IF($C39="",0,SUMIF('DADOS BRUTOS'!$A$3:$A$500,$C39,'DADOS BRUTOS'!BL$3:BL$500)))</f>
        <v/>
      </c>
      <c r="EM39" s="123">
        <f>IF(OR(EM$4="",$B39=""),0,SUMIF('DADOS BRUTOS'!$A$3:$A$500,$B39,'DADOS BRUTOS'!BM$3:BM$500)+IF($C39="",0,SUMIF('DADOS BRUTOS'!$A$3:$A$500,$C39,'DADOS BRUTOS'!BM$3:BM$500)))</f>
        <v/>
      </c>
      <c r="EN39" s="123">
        <f>IF(OR(EN$4="",$B39=""),0,SUMIF('DADOS BRUTOS'!$A$3:$A$500,$B39,'DADOS BRUTOS'!BN$3:BN$500)+IF($C39="",0,SUMIF('DADOS BRUTOS'!$A$3:$A$500,$C39,'DADOS BRUTOS'!BN$3:BN$500)))</f>
        <v/>
      </c>
      <c r="EO39" s="123">
        <f>IF(OR(EO$4="",$B39=""),0,SUMIF('DADOS BRUTOS'!$A$3:$A$500,$B39,'DADOS BRUTOS'!BO$3:BO$500)+IF($C39="",0,SUMIF('DADOS BRUTOS'!$A$3:$A$500,$C39,'DADOS BRUTOS'!BO$3:BO$500)))</f>
        <v/>
      </c>
      <c r="EP39" s="123">
        <f>IF(OR(EP$4="",$B39=""),0,SUMIF('DADOS BRUTOS'!$A$3:$A$500,$B39,'DADOS BRUTOS'!BP$3:BP$500)+IF($C39="",0,SUMIF('DADOS BRUTOS'!$A$3:$A$500,$C39,'DADOS BRUTOS'!BP$3:BP$500)))</f>
        <v/>
      </c>
      <c r="EQ39" s="123">
        <f>IF(OR(EQ$4="",$B39=""),0,SUMIF('DADOS BRUTOS'!$A$3:$A$500,$B39,'DADOS BRUTOS'!BQ$3:BQ$500)+IF($C39="",0,SUMIF('DADOS BRUTOS'!$A$3:$A$500,$C39,'DADOS BRUTOS'!BQ$3:BQ$500)))</f>
        <v/>
      </c>
      <c r="ER39" s="123">
        <f>IF(OR(ER$4="",$B39=""),0,SUMIF('DADOS BRUTOS'!$A$3:$A$500,$B39,'DADOS BRUTOS'!BR$3:BR$500)+IF($C39="",0,SUMIF('DADOS BRUTOS'!$A$3:$A$500,$C39,'DADOS BRUTOS'!BR$3:BR$500)))</f>
        <v/>
      </c>
      <c r="ES39" s="123">
        <f>IF(OR(ES$4="",$B39=""),0,SUMIF('DADOS BRUTOS'!$A$3:$A$500,$B39,'DADOS BRUTOS'!BS$3:BS$500)+IF($C39="",0,SUMIF('DADOS BRUTOS'!$A$3:$A$500,$C39,'DADOS BRUTOS'!BS$3:BS$500)))</f>
        <v/>
      </c>
      <c r="ET39" s="123">
        <f>IF(OR(ET$4="",$B39=""),0,SUMIF('DADOS BRUTOS'!$A$3:$A$500,$B39,'DADOS BRUTOS'!BT$3:BT$500)+IF($C39="",0,SUMIF('DADOS BRUTOS'!$A$3:$A$500,$C39,'DADOS BRUTOS'!BT$3:BT$500)))</f>
        <v/>
      </c>
      <c r="EU39" s="123">
        <f>IF(OR(EU$4="",$B39=""),0,SUMIF('DADOS BRUTOS'!$A$3:$A$500,$B39,'DADOS BRUTOS'!BU$3:BU$500)+IF($C39="",0,SUMIF('DADOS BRUTOS'!$A$3:$A$500,$C39,'DADOS BRUTOS'!BU$3:BU$500)))</f>
        <v/>
      </c>
      <c r="EV39" s="123">
        <f>IF(OR(EV$4="",$B39=""),0,SUMIF('DADOS BRUTOS'!$A$3:$A$500,$B39,'DADOS BRUTOS'!BV$3:BV$500)+IF($C39="",0,SUMIF('DADOS BRUTOS'!$A$3:$A$500,$C39,'DADOS BRUTOS'!BV$3:BV$500)))</f>
        <v/>
      </c>
      <c r="EW39" s="123">
        <f>IF(OR(EW$4="",$B39=""),0,SUMIF('DADOS BRUTOS'!$A$3:$A$500,$B39,'DADOS BRUTOS'!BW$3:BW$500)+IF($C39="",0,SUMIF('DADOS BRUTOS'!$A$3:$A$500,$C39,'DADOS BRUTOS'!BW$3:BW$500)))</f>
        <v/>
      </c>
      <c r="EX39" s="123">
        <f>IF(OR(EX$4="",$B39=""),0,SUMIF('DADOS BRUTOS'!$A$3:$A$500,$B39,'DADOS BRUTOS'!BX$3:BX$500)+IF($C39="",0,SUMIF('DADOS BRUTOS'!$A$3:$A$500,$C39,'DADOS BRUTOS'!BX$3:BX$500)))</f>
        <v/>
      </c>
      <c r="EY39" s="123">
        <f>IF(OR(EY$4="",$B39=""),0,SUMIF('DADOS BRUTOS'!$A$3:$A$500,$B39,'DADOS BRUTOS'!BY$3:BY$500)+IF($C39="",0,SUMIF('DADOS BRUTOS'!$A$3:$A$500,$C39,'DADOS BRUTOS'!BY$3:BY$500)))</f>
        <v/>
      </c>
      <c r="EZ39" s="123">
        <f>IF(OR(EZ$4="",$B39=""),0,SUMIF('DADOS BRUTOS'!$A$3:$A$500,$B39,'DADOS BRUTOS'!BZ$3:BZ$500)+IF($C39="",0,SUMIF('DADOS BRUTOS'!$A$3:$A$500,$C39,'DADOS BRUTOS'!BZ$3:BZ$500)))</f>
        <v/>
      </c>
      <c r="FA39" s="123">
        <f>IF(OR(FA$4="",$B39=""),0,SUMIF('DADOS BRUTOS'!$A$3:$A$500,$B39,'DADOS BRUTOS'!CA$3:CA$500)+IF($C39="",0,SUMIF('DADOS BRUTOS'!$A$3:$A$500,$C39,'DADOS BRUTOS'!CA$3:CA$500)))</f>
        <v/>
      </c>
      <c r="FB39" s="123">
        <f>IF(OR(FB$4="",$B39=""),0,SUMIF('DADOS BRUTOS'!$A$3:$A$500,$B39,'DADOS BRUTOS'!CB$3:CB$500)+IF($C39="",0,SUMIF('DADOS BRUTOS'!$A$3:$A$500,$C39,'DADOS BRUTOS'!CB$3:CB$500)))</f>
        <v/>
      </c>
      <c r="FC39" s="123">
        <f>IF(OR(FC$4="",$B39=""),0,SUMIF('DADOS BRUTOS'!$A$3:$A$500,$B39,'DADOS BRUTOS'!CC$3:CC$500)+IF($C39="",0,SUMIF('DADOS BRUTOS'!$A$3:$A$500,$C39,'DADOS BRUTOS'!CC$3:CC$500)))</f>
        <v/>
      </c>
      <c r="FD39" s="123">
        <f>IF(OR(FD$4="",$B39=""),0,SUMIF('DADOS BRUTOS'!$A$3:$A$500,$B39,'DADOS BRUTOS'!CD$3:CD$500)+IF($C39="",0,SUMIF('DADOS BRUTOS'!$A$3:$A$500,$C39,'DADOS BRUTOS'!CD$3:CD$500)))</f>
        <v/>
      </c>
      <c r="FE39" s="123">
        <f>IF(OR(FE$4="",$B39=""),0,SUMIF('DADOS BRUTOS'!$A$3:$A$500,$B39,'DADOS BRUTOS'!CE$3:CE$500)+IF($C39="",0,SUMIF('DADOS BRUTOS'!$A$3:$A$500,$C39,'DADOS BRUTOS'!CE$3:CE$500)))</f>
        <v/>
      </c>
      <c r="FF39" s="123">
        <f>IF(OR(FF$4="",$B39=""),0,SUMIF('DADOS BRUTOS'!$A$3:$A$500,$B39,'DADOS BRUTOS'!CF$3:CF$500)+IF($C39="",0,SUMIF('DADOS BRUTOS'!$A$3:$A$500,$C39,'DADOS BRUTOS'!CF$3:CF$500)))</f>
        <v/>
      </c>
      <c r="FG39" s="123">
        <f>IF(OR(FG$4="",$B39=""),0,SUMIF('DADOS BRUTOS'!$A$3:$A$500,$B39,'DADOS BRUTOS'!CG$3:CG$500)+IF($C39="",0,SUMIF('DADOS BRUTOS'!$A$3:$A$500,$C39,'DADOS BRUTOS'!CG$3:CG$500)))</f>
        <v/>
      </c>
      <c r="FH39" s="123">
        <f>IF(OR(FH$4="",$B39=""),0,SUMIF('DADOS BRUTOS'!$A$3:$A$500,$B39,'DADOS BRUTOS'!CH$3:CH$500)+IF($C39="",0,SUMIF('DADOS BRUTOS'!$A$3:$A$500,$C39,'DADOS BRUTOS'!CH$3:CH$500)))</f>
        <v/>
      </c>
      <c r="FI39" s="123">
        <f>IF(OR(FI$4="",$B39=""),0,SUMIF('DADOS BRUTOS'!$A$3:$A$500,$B39,'DADOS BRUTOS'!CI$3:CI$500)+IF($C39="",0,SUMIF('DADOS BRUTOS'!$A$3:$A$500,$C39,'DADOS BRUTOS'!CI$3:CI$500)))</f>
        <v/>
      </c>
      <c r="FJ39" s="123">
        <f>IF(OR(FJ$4="",$B39=""),0,SUMIF('DADOS BRUTOS'!$A$3:$A$500,$B39,'DADOS BRUTOS'!CJ$3:CJ$500)+IF($C39="",0,SUMIF('DADOS BRUTOS'!$A$3:$A$500,$C39,'DADOS BRUTOS'!CJ$3:CJ$500)))</f>
        <v/>
      </c>
      <c r="FK39" s="123">
        <f>IF(OR(FK$4="",$B39=""),0,SUMIF('DADOS BRUTOS'!$A$3:$A$500,$B39,'DADOS BRUTOS'!CK$3:CK$500)+IF($C39="",0,SUMIF('DADOS BRUTOS'!$A$3:$A$500,$C39,'DADOS BRUTOS'!CK$3:CK$500)))</f>
        <v/>
      </c>
      <c r="FL39" s="123">
        <f>IF(OR(FL$4="",$B39=""),0,SUMIF('DADOS BRUTOS'!$A$3:$A$500,$B39,'DADOS BRUTOS'!CL$3:CL$500)+IF($C39="",0,SUMIF('DADOS BRUTOS'!$A$3:$A$500,$C39,'DADOS BRUTOS'!CL$3:CL$500)))</f>
        <v/>
      </c>
      <c r="FM39" s="123">
        <f>IF(OR(FM$4="",$B39=""),0,SUMIF('DADOS BRUTOS'!$A$3:$A$500,$B39,'DADOS BRUTOS'!CM$3:CM$500)+IF($C39="",0,SUMIF('DADOS BRUTOS'!$A$3:$A$500,$C39,'DADOS BRUTOS'!CM$3:CM$500)))</f>
        <v/>
      </c>
      <c r="FN39" s="123">
        <f>IF(OR(FN$4="",$B39=""),0,SUMIF('DADOS BRUTOS'!$A$3:$A$500,$B39,'DADOS BRUTOS'!CN$3:CN$500)+IF($C39="",0,SUMIF('DADOS BRUTOS'!$A$3:$A$500,$C39,'DADOS BRUTOS'!CN$3:CN$500)))</f>
        <v/>
      </c>
      <c r="FO39" s="123">
        <f>IF(OR(FO$4="",$B39=""),0,SUMIF('DADOS BRUTOS'!$A$3:$A$500,$B39,'DADOS BRUTOS'!CO$3:CO$500)+IF($C39="",0,SUMIF('DADOS BRUTOS'!$A$3:$A$500,$C39,'DADOS BRUTOS'!CO$3:CO$500)))</f>
        <v/>
      </c>
      <c r="FP39" s="123">
        <f>IF(OR(FP$4="",$B39=""),0,SUMIF('DADOS BRUTOS'!$A$3:$A$500,$B39,'DADOS BRUTOS'!CP$3:CP$500)+IF($C39="",0,SUMIF('DADOS BRUTOS'!$A$3:$A$500,$C39,'DADOS BRUTOS'!CP$3:CP$500)))</f>
        <v/>
      </c>
      <c r="FQ39" s="123">
        <f>IF(OR(FQ$4="",$B39=""),0,SUMIF('DADOS BRUTOS'!$A$3:$A$500,$B39,'DADOS BRUTOS'!CQ$3:CQ$500)+IF($C39="",0,SUMIF('DADOS BRUTOS'!$A$3:$A$500,$C39,'DADOS BRUTOS'!CQ$3:CQ$500)))</f>
        <v/>
      </c>
      <c r="FR39" s="123">
        <f>IF(OR(FR$4="",$B39=""),0,SUMIF('DADOS BRUTOS'!$A$3:$A$500,$B39,'DADOS BRUTOS'!CR$3:CR$500)+IF($C39="",0,SUMIF('DADOS BRUTOS'!$A$3:$A$500,$C39,'DADOS BRUTOS'!CR$3:CR$500)))</f>
        <v/>
      </c>
      <c r="FS39" s="123">
        <f>IF(OR(FS$4="",$B39=""),0,SUMIF('DADOS BRUTOS'!$A$3:$A$500,$B39,'DADOS BRUTOS'!CS$3:CS$500)+IF($C39="",0,SUMIF('DADOS BRUTOS'!$A$3:$A$500,$C39,'DADOS BRUTOS'!CS$3:CS$500)))</f>
        <v/>
      </c>
      <c r="FT39" s="123">
        <f>IF(OR(FT$4="",$B39=""),0,SUMIF('DADOS BRUTOS'!$A$3:$A$500,$B39,'DADOS BRUTOS'!CT$3:CT$500)+IF($C39="",0,SUMIF('DADOS BRUTOS'!$A$3:$A$500,$C39,'DADOS BRUTOS'!CT$3:CT$500)))</f>
        <v/>
      </c>
      <c r="FU39" s="123">
        <f>IF(OR(FU$4="",$B39=""),0,SUMIF('DADOS BRUTOS'!$A$3:$A$500,$B39,'DADOS BRUTOS'!CU$3:CU$500)+IF($C39="",0,SUMIF('DADOS BRUTOS'!$A$3:$A$500,$C39,'DADOS BRUTOS'!CU$3:CU$500)))</f>
        <v/>
      </c>
      <c r="FV39" s="123">
        <f>IF(OR(FV$4="",$B39=""),0,SUMIF('DADOS BRUTOS'!$A$3:$A$500,$B39,'DADOS BRUTOS'!CV$3:CV$500)+IF($C39="",0,SUMIF('DADOS BRUTOS'!$A$3:$A$500,$C39,'DADOS BRUTOS'!CV$3:CV$500)))</f>
        <v/>
      </c>
      <c r="FW39" s="123">
        <f>IF(OR(FW$4="",$B39=""),0,SUMIF('DADOS BRUTOS'!$A$3:$A$500,$B39,'DADOS BRUTOS'!CW$3:CW$500)+IF($C39="",0,SUMIF('DADOS BRUTOS'!$A$3:$A$500,$C39,'DADOS BRUTOS'!CW$3:CW$500)))</f>
        <v/>
      </c>
      <c r="FX39" s="123">
        <f>IF(OR(FX$4="",$B39=""),0,SUMIF('DADOS BRUTOS'!$A$3:$A$500,$B39,'DADOS BRUTOS'!CX$3:CX$500)+IF($C39="",0,SUMIF('DADOS BRUTOS'!$A$3:$A$500,$C39,'DADOS BRUTOS'!CX$3:CX$500)))</f>
        <v/>
      </c>
      <c r="FY39" s="123">
        <f>IF(OR(FY$4="",$B39=""),0,SUMIF('DADOS BRUTOS'!$A$3:$A$500,$B39,'DADOS BRUTOS'!CY$3:CY$500)+IF($C39="",0,SUMIF('DADOS BRUTOS'!$A$3:$A$500,$C39,'DADOS BRUTOS'!CY$3:CY$500)))</f>
        <v/>
      </c>
      <c r="FZ39" s="123">
        <f>IF(OR(FZ$4="",$B39=""),0,SUMIF('DADOS BRUTOS'!$A$3:$A$500,$B39,'DADOS BRUTOS'!CZ$3:CZ$500)+IF($C39="",0,SUMIF('DADOS BRUTOS'!$A$3:$A$500,$C39,'DADOS BRUTOS'!CZ$3:CZ$500)))</f>
        <v/>
      </c>
      <c r="GA39" s="123">
        <f>IF(OR(GA$4="",$B39=""),0,SUMIF('DADOS BRUTOS'!$A$3:$A$500,$B39,'DADOS BRUTOS'!DA$3:DA$500)+IF($C39="",0,SUMIF('DADOS BRUTOS'!$A$3:$A$500,$C39,'DADOS BRUTOS'!DA$3:DA$500)))</f>
        <v/>
      </c>
      <c r="GB39" s="123">
        <f>IF(OR(GB$4="",$B39=""),0,SUMIF('DADOS BRUTOS'!$A$3:$A$500,$B39,'DADOS BRUTOS'!DB$3:DB$500)+IF($C39="",0,SUMIF('DADOS BRUTOS'!$A$3:$A$500,$C39,'DADOS BRUTOS'!DB$3:DB$500)))</f>
        <v/>
      </c>
      <c r="GC39" s="123">
        <f>IF(OR(GC$4="",$B39=""),0,SUMIF('DADOS BRUTOS'!$A$3:$A$500,$B39,'DADOS BRUTOS'!DC$3:DC$500)+IF($C39="",0,SUMIF('DADOS BRUTOS'!$A$3:$A$500,$C39,'DADOS BRUTOS'!DC$3:DC$500)))</f>
        <v/>
      </c>
      <c r="GD39" s="123">
        <f>IF(OR(GD$4="",$B39=""),0,SUMIF('DADOS BRUTOS'!$A$3:$A$500,$B39,'DADOS BRUTOS'!DD$3:DD$500)+IF($C39="",0,SUMIF('DADOS BRUTOS'!$A$3:$A$500,$C39,'DADOS BRUTOS'!DD$3:DD$500)))</f>
        <v/>
      </c>
      <c r="GE39" s="123">
        <f>IF(OR(GE$4="",$B39=""),0,SUMIF('DADOS BRUTOS'!$A$3:$A$500,$B39,'DADOS BRUTOS'!DE$3:DE$500)+IF($C39="",0,SUMIF('DADOS BRUTOS'!$A$3:$A$500,$C39,'DADOS BRUTOS'!DE$3:DE$500)))</f>
        <v/>
      </c>
      <c r="GF39" s="123">
        <f>IF(OR(GF$4="",$B39=""),0,SUMIF('DADOS BRUTOS'!$A$3:$A$500,$B39,'DADOS BRUTOS'!DF$3:DF$500)+IF($C39="",0,SUMIF('DADOS BRUTOS'!$A$3:$A$500,$C39,'DADOS BRUTOS'!DF$3:DF$500)))</f>
        <v/>
      </c>
      <c r="GG39" s="123">
        <f>IF(OR(GG$4="",$B39=""),0,SUMIF('DADOS BRUTOS'!$A$3:$A$500,$B39,'DADOS BRUTOS'!DG$3:DG$500)+IF($C39="",0,SUMIF('DADOS BRUTOS'!$A$3:$A$500,$C39,'DADOS BRUTOS'!DG$3:DG$500)))</f>
        <v/>
      </c>
      <c r="GH39" s="123">
        <f>IF(OR(GH$4="",$B39=""),0,SUMIF('DADOS BRUTOS'!$A$3:$A$500,$B39,'DADOS BRUTOS'!DH$3:DH$500)+IF($C39="",0,SUMIF('DADOS BRUTOS'!$A$3:$A$500,$C39,'DADOS BRUTOS'!DH$3:DH$500)))</f>
        <v/>
      </c>
      <c r="GI39" s="123">
        <f>IF(OR(GI$4="",$B39=""),0,SUMIF('DADOS BRUTOS'!$A$3:$A$500,$B39,'DADOS BRUTOS'!DI$3:DI$500)+IF($C39="",0,SUMIF('DADOS BRUTOS'!$A$3:$A$500,$C39,'DADOS BRUTOS'!DI$3:DI$500)))</f>
        <v/>
      </c>
      <c r="GJ39" s="123">
        <f>IF(OR(GJ$4="",$B39=""),0,SUMIF('DADOS BRUTOS'!$A$3:$A$500,$B39,'DADOS BRUTOS'!DJ$3:DJ$500)+IF($C39="",0,SUMIF('DADOS BRUTOS'!$A$3:$A$500,$C39,'DADOS BRUTOS'!DJ$3:DJ$500)))</f>
        <v/>
      </c>
      <c r="GK39" s="123">
        <f>IF(OR(GK$4="",$B39=""),0,SUMIF('DADOS BRUTOS'!$A$3:$A$500,$B39,'DADOS BRUTOS'!DK$3:DK$500)+IF($C39="",0,SUMIF('DADOS BRUTOS'!$A$3:$A$500,$C39,'DADOS BRUTOS'!DK$3:DK$500)))</f>
        <v/>
      </c>
      <c r="GL39" s="123">
        <f>IF(OR(GL$4="",$B39=""),0,SUMIF('DADOS BRUTOS'!$A$3:$A$500,$B39,'DADOS BRUTOS'!DL$3:DL$500)+IF($C39="",0,SUMIF('DADOS BRUTOS'!$A$3:$A$500,$C39,'DADOS BRUTOS'!DL$3:DL$500)))</f>
        <v/>
      </c>
      <c r="GM39" s="123">
        <f>IF(OR(GM$4="",$B39=""),0,SUMIF('DADOS BRUTOS'!$A$3:$A$500,$B39,'DADOS BRUTOS'!DM$3:DM$500)+IF($C39="",0,SUMIF('DADOS BRUTOS'!$A$3:$A$500,$C39,'DADOS BRUTOS'!DM$3:DM$500)))</f>
        <v/>
      </c>
      <c r="GN39" s="123">
        <f>IF(OR(GN$4="",$B39=""),0,SUMIF('DADOS BRUTOS'!$A$3:$A$500,$B39,'DADOS BRUTOS'!DN$3:DN$500)+IF($C39="",0,SUMIF('DADOS BRUTOS'!$A$3:$A$500,$C39,'DADOS BRUTOS'!DN$3:DN$500)))</f>
        <v/>
      </c>
      <c r="GO39" s="123">
        <f>IF(OR(GO$4="",$B39=""),0,SUMIF('DADOS BRUTOS'!$A$3:$A$500,$B39,'DADOS BRUTOS'!DO$3:DO$500)+IF($C39="",0,SUMIF('DADOS BRUTOS'!$A$3:$A$500,$C39,'DADOS BRUTOS'!DO$3:DO$500)))</f>
        <v/>
      </c>
      <c r="GP39" s="123">
        <f>IF(OR(GP$4="",$B39=""),0,SUMIF('DADOS BRUTOS'!$A$3:$A$500,$B39,'DADOS BRUTOS'!DP$3:DP$500)+IF($C39="",0,SUMIF('DADOS BRUTOS'!$A$3:$A$500,$C39,'DADOS BRUTOS'!DP$3:DP$500)))</f>
        <v/>
      </c>
      <c r="GQ39" s="123">
        <f>IF(OR(GQ$4="",$B39=""),0,SUMIF('DADOS BRUTOS'!$A$3:$A$500,$B39,'DADOS BRUTOS'!DQ$3:DQ$500)+IF($C39="",0,SUMIF('DADOS BRUTOS'!$A$3:$A$500,$C39,'DADOS BRUTOS'!DQ$3:DQ$500)))</f>
        <v/>
      </c>
      <c r="GR39" s="123">
        <f>IF(OR(GR$4="",$B39=""),0,SUMIF('DADOS BRUTOS'!$A$3:$A$500,$B39,'DADOS BRUTOS'!DR$3:DR$500)+IF($C39="",0,SUMIF('DADOS BRUTOS'!$A$3:$A$500,$C39,'DADOS BRUTOS'!DR$3:DR$500)))</f>
        <v/>
      </c>
      <c r="GS39" s="123">
        <f>IF(OR(GS$4="",$B39=""),0,SUMIF('DADOS BRUTOS'!$A$3:$A$500,$B39,'DADOS BRUTOS'!DS$3:DS$500)+IF($C39="",0,SUMIF('DADOS BRUTOS'!$A$3:$A$500,$C39,'DADOS BRUTOS'!DS$3:DS$500)))</f>
        <v/>
      </c>
      <c r="GT39" s="123">
        <f>IF(OR(GT$4="",$B39=""),0,SUMIF('DADOS BRUTOS'!$A$3:$A$500,$B39,'DADOS BRUTOS'!DT$3:DT$500)+IF($C39="",0,SUMIF('DADOS BRUTOS'!$A$3:$A$500,$C39,'DADOS BRUTOS'!DT$3:DT$500)))</f>
        <v/>
      </c>
      <c r="GU39" s="123">
        <f>IF(OR(GU$4="",$B39=""),0,SUMIF('DADOS BRUTOS'!$A$3:$A$500,$B39,'DADOS BRUTOS'!DU$3:DU$500)+IF($C39="",0,SUMIF('DADOS BRUTOS'!$A$3:$A$500,$C39,'DADOS BRUTOS'!DU$3:DU$500)))</f>
        <v/>
      </c>
      <c r="GV39" s="123">
        <f>IF(OR(GV$4="",$B39=""),0,SUMIF('DADOS BRUTOS'!$A$3:$A$500,$B39,'DADOS BRUTOS'!DV$3:DV$500)+IF($C39="",0,SUMIF('DADOS BRUTOS'!$A$3:$A$500,$C39,'DADOS BRUTOS'!DV$3:DV$500)))</f>
        <v/>
      </c>
      <c r="GW39" s="123">
        <f>IF(OR(GW$4="",$B39=""),0,SUMIF('DADOS BRUTOS'!$A$3:$A$500,$B39,'DADOS BRUTOS'!DW$3:DW$500)+IF($C39="",0,SUMIF('DADOS BRUTOS'!$A$3:$A$500,$C39,'DADOS BRUTOS'!DW$3:DW$500)))</f>
        <v/>
      </c>
      <c r="GX39" s="123">
        <f>IF(OR(GX$4="",$B39=""),0,SUMIF('DADOS BRUTOS'!$A$3:$A$500,$B39,'DADOS BRUTOS'!DX$3:DX$500)+IF($C39="",0,SUMIF('DADOS BRUTOS'!$A$3:$A$500,$C39,'DADOS BRUTOS'!DX$3:DX$500)))</f>
        <v/>
      </c>
      <c r="GY39" s="123">
        <f>IF(OR(GY$4="",$B39=""),0,SUMIF('DADOS BRUTOS'!$A$3:$A$500,$B39,'DADOS BRUTOS'!DY$3:DY$500)+IF($C39="",0,SUMIF('DADOS BRUTOS'!$A$3:$A$500,$C39,'DADOS BRUTOS'!DY$3:DY$500)))</f>
        <v/>
      </c>
      <c r="GZ39" s="123">
        <f>IF(OR(GZ$4="",$B39=""),0,SUMIF('DADOS BRUTOS'!$A$3:$A$500,$B39,'DADOS BRUTOS'!DZ$3:DZ$500)+IF($C39="",0,SUMIF('DADOS BRUTOS'!$A$3:$A$500,$C39,'DADOS BRUTOS'!DZ$3:DZ$500)))</f>
        <v/>
      </c>
      <c r="HA39" s="123">
        <f>IF(OR(HA$4="",$B39=""),0,SUMIF('DADOS BRUTOS'!$A$3:$A$500,$B39,'DADOS BRUTOS'!EA$3:EA$500)+IF($C39="",0,SUMIF('DADOS BRUTOS'!$A$3:$A$500,$C39,'DADOS BRUTOS'!EA$3:EA$500)))</f>
        <v/>
      </c>
      <c r="HB39" s="123">
        <f>IF(OR(HB$4="",$B39=""),0,SUMIF('DADOS BRUTOS'!$A$3:$A$500,$B39,'DADOS BRUTOS'!EB$3:EB$500)+IF($C39="",0,SUMIF('DADOS BRUTOS'!$A$3:$A$500,$C39,'DADOS BRUTOS'!EB$3:EB$500)))</f>
        <v/>
      </c>
      <c r="HC39" s="123">
        <f>IF(OR(HC$4="",$B39=""),0,SUMIF('DADOS BRUTOS'!$A$3:$A$500,$B39,'DADOS BRUTOS'!EC$3:EC$500)+IF($C39="",0,SUMIF('DADOS BRUTOS'!$A$3:$A$500,$C39,'DADOS BRUTOS'!EC$3:EC$500)))</f>
        <v/>
      </c>
      <c r="HD39" s="123">
        <f>IF(OR(HD$4="",$B39=""),0,SUMIF('DADOS BRUTOS'!$A$3:$A$500,$B39,'DADOS BRUTOS'!ED$3:ED$500)+IF($C39="",0,SUMIF('DADOS BRUTOS'!$A$3:$A$500,$C39,'DADOS BRUTOS'!ED$3:ED$500)))</f>
        <v/>
      </c>
      <c r="HE39" s="123">
        <f>IF(OR(HE$4="",$B39=""),0,SUMIF('DADOS BRUTOS'!$A$3:$A$500,$B39,'DADOS BRUTOS'!EE$3:EE$500)+IF($C39="",0,SUMIF('DADOS BRUTOS'!$A$3:$A$500,$C39,'DADOS BRUTOS'!EE$3:EE$500)))</f>
        <v/>
      </c>
      <c r="HF39" s="123">
        <f>IF(OR(HF$4="",$B39=""),0,SUMIF('DADOS BRUTOS'!$A$3:$A$500,$B39,'DADOS BRUTOS'!EF$3:EF$500)+IF($C39="",0,SUMIF('DADOS BRUTOS'!$A$3:$A$500,$C39,'DADOS BRUTOS'!EF$3:EF$500)))</f>
        <v/>
      </c>
      <c r="HG39" s="123">
        <f>IF(OR(HG$4="",$B39=""),0,SUMIF('DADOS BRUTOS'!$A$3:$A$500,$B39,'DADOS BRUTOS'!EG$3:EG$500)+IF($C39="",0,SUMIF('DADOS BRUTOS'!$A$3:$A$500,$C39,'DADOS BRUTOS'!EG$3:EG$500)))</f>
        <v/>
      </c>
      <c r="HH39" s="123">
        <f>IF(OR(HH$4="",$B39=""),0,SUMIF('DADOS BRUTOS'!$A$3:$A$500,$B39,'DADOS BRUTOS'!EH$3:EH$500)+IF($C39="",0,SUMIF('DADOS BRUTOS'!$A$3:$A$500,$C39,'DADOS BRUTOS'!EH$3:EH$500)))</f>
        <v/>
      </c>
      <c r="HI39" s="123">
        <f>IF(OR(HI$4="",$B39=""),0,SUMIF('DADOS BRUTOS'!$A$3:$A$500,$B39,'DADOS BRUTOS'!EI$3:EI$500)+IF($C39="",0,SUMIF('DADOS BRUTOS'!$A$3:$A$500,$C39,'DADOS BRUTOS'!EI$3:EI$500)))</f>
        <v/>
      </c>
      <c r="HJ39" s="123">
        <f>IF(OR(HJ$4="",$B39=""),0,SUMIF('DADOS BRUTOS'!$A$3:$A$500,$B39,'DADOS BRUTOS'!EJ$3:EJ$500)+IF($C39="",0,SUMIF('DADOS BRUTOS'!$A$3:$A$500,$C39,'DADOS BRUTOS'!EJ$3:EJ$500)))</f>
        <v/>
      </c>
      <c r="HK39" s="123">
        <f>IF(OR(HK$4="",$B39=""),0,SUMIF('DADOS BRUTOS'!$A$3:$A$500,$B39,'DADOS BRUTOS'!EK$3:EK$500)+IF($C39="",0,SUMIF('DADOS BRUTOS'!$A$3:$A$500,$C39,'DADOS BRUTOS'!EK$3:EK$500)))</f>
        <v/>
      </c>
      <c r="HL39" s="123">
        <f>IF(OR(HL$4="",$B39=""),0,SUMIF('DADOS BRUTOS'!$A$3:$A$500,$B39,'DADOS BRUTOS'!EL$3:EL$500)+IF($C39="",0,SUMIF('DADOS BRUTOS'!$A$3:$A$500,$C39,'DADOS BRUTOS'!EL$3:EL$500)))</f>
        <v/>
      </c>
      <c r="HM39" s="123">
        <f>IF(OR(HM$4="",$B39=""),0,SUMIF('DADOS BRUTOS'!$A$3:$A$500,$B39,'DADOS BRUTOS'!EM$3:EM$500)+IF($C39="",0,SUMIF('DADOS BRUTOS'!$A$3:$A$500,$C39,'DADOS BRUTOS'!EM$3:EM$500)))</f>
        <v/>
      </c>
      <c r="HN39" s="123">
        <f>IF(OR(HN$4="",$B39=""),0,SUMIF('DADOS BRUTOS'!$A$3:$A$500,$B39,'DADOS BRUTOS'!EN$3:EN$500)+IF($C39="",0,SUMIF('DADOS BRUTOS'!$A$3:$A$500,$C39,'DADOS BRUTOS'!EN$3:EN$500)))</f>
        <v/>
      </c>
      <c r="HO39" s="123">
        <f>IF(OR(HO$4="",$B39=""),0,SUMIF('DADOS BRUTOS'!$A$3:$A$500,$B39,'DADOS BRUTOS'!EO$3:EO$500)+IF($C39="",0,SUMIF('DADOS BRUTOS'!$A$3:$A$500,$C39,'DADOS BRUTOS'!EO$3:EO$500)))</f>
        <v/>
      </c>
      <c r="HP39" s="123">
        <f>IF(OR(HP$4="",$B39=""),0,SUMIF('DADOS BRUTOS'!$A$3:$A$500,$B39,'DADOS BRUTOS'!EP$3:EP$500)+IF($C39="",0,SUMIF('DADOS BRUTOS'!$A$3:$A$500,$C39,'DADOS BRUTOS'!EP$3:EP$500)))</f>
        <v/>
      </c>
      <c r="HQ39" s="123">
        <f>IF(OR(HQ$4="",$B39=""),0,SUMIF('DADOS BRUTOS'!$A$3:$A$500,$B39,'DADOS BRUTOS'!EQ$3:EQ$500)+IF($C39="",0,SUMIF('DADOS BRUTOS'!$A$3:$A$500,$C39,'DADOS BRUTOS'!EQ$3:EQ$500)))</f>
        <v/>
      </c>
      <c r="HR39" s="123">
        <f>IF(OR(HR$4="",$B39=""),0,SUMIF('DADOS BRUTOS'!$A$3:$A$500,$B39,'DADOS BRUTOS'!ER$3:ER$500)+IF($C39="",0,SUMIF('DADOS BRUTOS'!$A$3:$A$500,$C39,'DADOS BRUTOS'!ER$3:ER$500)))</f>
        <v/>
      </c>
      <c r="HS39" s="123">
        <f>IF(OR(HS$4="",$B39=""),0,SUMIF('DADOS BRUTOS'!$A$3:$A$500,$B39,'DADOS BRUTOS'!ES$3:ES$500)+IF($C39="",0,SUMIF('DADOS BRUTOS'!$A$3:$A$500,$C39,'DADOS BRUTOS'!ES$3:ES$500)))</f>
        <v/>
      </c>
      <c r="HT39" s="123">
        <f>IF(OR(HT$4="",$B39=""),0,SUMIF('DADOS BRUTOS'!$A$3:$A$500,$B39,'DADOS BRUTOS'!ET$3:ET$500)+IF($C39="",0,SUMIF('DADOS BRUTOS'!$A$3:$A$500,$C39,'DADOS BRUTOS'!ET$3:ET$500)))</f>
        <v/>
      </c>
      <c r="HU39" s="123">
        <f>IF(OR(HU$4="",$B39=""),0,SUMIF('DADOS BRUTOS'!$A$3:$A$500,$B39,'DADOS BRUTOS'!EU$3:EU$500)+IF($C39="",0,SUMIF('DADOS BRUTOS'!$A$3:$A$500,$C39,'DADOS BRUTOS'!EU$3:EU$500)))</f>
        <v/>
      </c>
      <c r="HV39" s="123">
        <f>IF(OR(HV$4="",$B39=""),0,SUMIF('DADOS BRUTOS'!$A$3:$A$500,$B39,'DADOS BRUTOS'!EV$3:EV$500)+IF($C39="",0,SUMIF('DADOS BRUTOS'!$A$3:$A$500,$C39,'DADOS BRUTOS'!EV$3:EV$500)))</f>
        <v/>
      </c>
      <c r="HW39" s="123">
        <f>IF(OR(HW$4="",$B39=""),0,SUMIF('DADOS BRUTOS'!$A$3:$A$500,$B39,'DADOS BRUTOS'!EW$3:EW$500)+IF($C39="",0,SUMIF('DADOS BRUTOS'!$A$3:$A$500,$C39,'DADOS BRUTOS'!EW$3:EW$500)))</f>
        <v/>
      </c>
      <c r="HX39" s="123">
        <f>IF(OR(HX$4="",$B39=""),0,SUMIF('DADOS BRUTOS'!$A$3:$A$500,$B39,'DADOS BRUTOS'!EX$3:EX$500)+IF($C39="",0,SUMIF('DADOS BRUTOS'!$A$3:$A$500,$C39,'DADOS BRUTOS'!EX$3:EX$500)))</f>
        <v/>
      </c>
      <c r="HY39" s="123">
        <f>IF(OR(HY$4="",$B39=""),0,SUMIF('DADOS BRUTOS'!$A$3:$A$500,$B39,'DADOS BRUTOS'!EY$3:EY$500)+IF($C39="",0,SUMIF('DADOS BRUTOS'!$A$3:$A$500,$C39,'DADOS BRUTOS'!EY$3:EY$500)))</f>
        <v/>
      </c>
      <c r="HZ39" s="123">
        <f>IF(OR(HZ$4="",$B39=""),0,SUMIF('DADOS BRUTOS'!$A$3:$A$500,$B39,'DADOS BRUTOS'!EZ$3:EZ$500)+IF($C39="",0,SUMIF('DADOS BRUTOS'!$A$3:$A$500,$C39,'DADOS BRUTOS'!EZ$3:EZ$500)))</f>
        <v/>
      </c>
      <c r="IA39" s="123">
        <f>IF(OR(IA$4="",$B39=""),0,SUMIF('DADOS BRUTOS'!$A$3:$A$500,$B39,'DADOS BRUTOS'!FA$3:FA$500)+IF($C39="",0,SUMIF('DADOS BRUTOS'!$A$3:$A$500,$C39,'DADOS BRUTOS'!FA$3:FA$500)))</f>
        <v/>
      </c>
      <c r="IB39" s="123">
        <f>IF(OR(IB$4="",$B39=""),0,SUMIF('DADOS BRUTOS'!$A$3:$A$500,$B39,'DADOS BRUTOS'!FB$3:FB$500)+IF($C39="",0,SUMIF('DADOS BRUTOS'!$A$3:$A$500,$C39,'DADOS BRUTOS'!FB$3:FB$500)))</f>
        <v/>
      </c>
      <c r="IC39" s="123">
        <f>IF(OR(IC$4="",$B39=""),0,SUMIF('DADOS BRUTOS'!$A$3:$A$500,$B39,'DADOS BRUTOS'!FC$3:FC$500)+IF($C39="",0,SUMIF('DADOS BRUTOS'!$A$3:$A$500,$C39,'DADOS BRUTOS'!FC$3:FC$500)))</f>
        <v/>
      </c>
      <c r="ID39" s="123">
        <f>IF(OR(ID$4="",$B39=""),0,SUMIF('DADOS BRUTOS'!$A$3:$A$500,$B39,'DADOS BRUTOS'!FD$3:FD$500)+IF($C39="",0,SUMIF('DADOS BRUTOS'!$A$3:$A$500,$C39,'DADOS BRUTOS'!FD$3:FD$500)))</f>
        <v/>
      </c>
      <c r="IE39" s="123">
        <f>IF(OR(IE$4="",$B39=""),0,SUMIF('DADOS BRUTOS'!$A$3:$A$500,$B39,'DADOS BRUTOS'!FE$3:FE$500)+IF($C39="",0,SUMIF('DADOS BRUTOS'!$A$3:$A$500,$C39,'DADOS BRUTOS'!FE$3:FE$500)))</f>
        <v/>
      </c>
      <c r="IF39" s="123">
        <f>IF(OR(IF$4="",$B39=""),0,SUMIF('DADOS BRUTOS'!$A$3:$A$500,$B39,'DADOS BRUTOS'!FF$3:FF$500)+IF($C39="",0,SUMIF('DADOS BRUTOS'!$A$3:$A$500,$C39,'DADOS BRUTOS'!FF$3:FF$500)))</f>
        <v/>
      </c>
      <c r="IG39" s="123">
        <f>IF(OR(IG$4="",$B39=""),0,SUMIF('DADOS BRUTOS'!$A$3:$A$500,$B39,'DADOS BRUTOS'!FG$3:FG$500)+IF($C39="",0,SUMIF('DADOS BRUTOS'!$A$3:$A$500,$C39,'DADOS BRUTOS'!FG$3:FG$500)))</f>
        <v/>
      </c>
      <c r="IH39" s="123">
        <f>IF(OR(IH$4="",$B39=""),0,SUMIF('DADOS BRUTOS'!$A$3:$A$500,$B39,'DADOS BRUTOS'!FH$3:FH$500)+IF($C39="",0,SUMIF('DADOS BRUTOS'!$A$3:$A$500,$C39,'DADOS BRUTOS'!FH$3:FH$500)))</f>
        <v/>
      </c>
      <c r="II39" s="123">
        <f>IF(OR(II$4="",$B39=""),0,SUMIF('DADOS BRUTOS'!$A$3:$A$500,$B39,'DADOS BRUTOS'!FI$3:FI$500)+IF($C39="",0,SUMIF('DADOS BRUTOS'!$A$3:$A$500,$C39,'DADOS BRUTOS'!FI$3:FI$500)))</f>
        <v/>
      </c>
      <c r="IJ39" s="123">
        <f>IF(OR(IJ$4="",$B39=""),0,SUMIF('DADOS BRUTOS'!$A$3:$A$500,$B39,'DADOS BRUTOS'!FJ$3:FJ$500)+IF($C39="",0,SUMIF('DADOS BRUTOS'!$A$3:$A$500,$C39,'DADOS BRUTOS'!FJ$3:FJ$500)))</f>
        <v/>
      </c>
      <c r="IK39" s="123">
        <f>IF(OR(IK$4="",$B39=""),0,SUMIF('DADOS BRUTOS'!$A$3:$A$500,$B39,'DADOS BRUTOS'!FK$3:FK$500)+IF($C39="",0,SUMIF('DADOS BRUTOS'!$A$3:$A$500,$C39,'DADOS BRUTOS'!FK$3:FK$500)))</f>
        <v/>
      </c>
      <c r="IL39" s="123">
        <f>IF(OR(IL$4="",$B39=""),0,SUMIF('DADOS BRUTOS'!$A$3:$A$500,$B39,'DADOS BRUTOS'!FL$3:FL$500)+IF($C39="",0,SUMIF('DADOS BRUTOS'!$A$3:$A$500,$C39,'DADOS BRUTOS'!FL$3:FL$500)))</f>
        <v/>
      </c>
      <c r="IM39" s="123">
        <f>IF(OR(IM$4="",$B39=""),0,SUMIF('DADOS BRUTOS'!$A$3:$A$500,$B39,'DADOS BRUTOS'!FM$3:FM$500)+IF($C39="",0,SUMIF('DADOS BRUTOS'!$A$3:$A$500,$C39,'DADOS BRUTOS'!FM$3:FM$500)))</f>
        <v/>
      </c>
      <c r="IN39" s="123">
        <f>IF(OR(IN$4="",$B39=""),0,SUMIF('DADOS BRUTOS'!$A$3:$A$500,$B39,'DADOS BRUTOS'!FN$3:FN$500)+IF($C39="",0,SUMIF('DADOS BRUTOS'!$A$3:$A$500,$C39,'DADOS BRUTOS'!FN$3:FN$500)))</f>
        <v/>
      </c>
      <c r="IO39" s="123">
        <f>IF(OR(IO$4="",$B39=""),0,SUMIF('DADOS BRUTOS'!$A$3:$A$500,$B39,'DADOS BRUTOS'!FO$3:FO$500)+IF($C39="",0,SUMIF('DADOS BRUTOS'!$A$3:$A$500,$C39,'DADOS BRUTOS'!FO$3:FO$500)))</f>
        <v/>
      </c>
      <c r="IP39" s="123">
        <f>IF(OR(IP$4="",$B39=""),0,SUMIF('DADOS BRUTOS'!$A$3:$A$500,$B39,'DADOS BRUTOS'!FP$3:FP$500)+IF($C39="",0,SUMIF('DADOS BRUTOS'!$A$3:$A$500,$C39,'DADOS BRUTOS'!FP$3:FP$500)))</f>
        <v/>
      </c>
      <c r="IQ39" s="123">
        <f>IF(OR(IQ$4="",$B39=""),0,SUMIF('DADOS BRUTOS'!$A$3:$A$500,$B39,'DADOS BRUTOS'!FQ$3:FQ$500)+IF($C39="",0,SUMIF('DADOS BRUTOS'!$A$3:$A$500,$C39,'DADOS BRUTOS'!FQ$3:FQ$500)))</f>
        <v/>
      </c>
      <c r="IR39" s="123">
        <f>IF(OR(IR$4="",$B39=""),0,SUMIF('DADOS BRUTOS'!$A$3:$A$500,$B39,'DADOS BRUTOS'!FR$3:FR$500)+IF($C39="",0,SUMIF('DADOS BRUTOS'!$A$3:$A$500,$C39,'DADOS BRUTOS'!FR$3:FR$500)))</f>
        <v/>
      </c>
      <c r="IS39" s="123">
        <f>IF(OR(IS$4="",$B39=""),0,SUMIF('DADOS BRUTOS'!$A$3:$A$500,$B39,'DADOS BRUTOS'!FS$3:FS$500)+IF($C39="",0,SUMIF('DADOS BRUTOS'!$A$3:$A$500,$C39,'DADOS BRUTOS'!FS$3:FS$500)))</f>
        <v/>
      </c>
      <c r="IT39" s="123">
        <f>IF(OR(IT$4="",$B39=""),0,SUMIF('DADOS BRUTOS'!$A$3:$A$500,$B39,'DADOS BRUTOS'!FT$3:FT$500)+IF($C39="",0,SUMIF('DADOS BRUTOS'!$A$3:$A$500,$C39,'DADOS BRUTOS'!FT$3:FT$500)))</f>
        <v/>
      </c>
      <c r="IU39" s="123">
        <f>IF(OR(IU$4="",$B39=""),0,SUMIF('DADOS BRUTOS'!$A$3:$A$500,$B39,'DADOS BRUTOS'!FU$3:FU$500)+IF($C39="",0,SUMIF('DADOS BRUTOS'!$A$3:$A$500,$C39,'DADOS BRUTOS'!FU$3:FU$500)))</f>
        <v/>
      </c>
      <c r="IV39" s="123">
        <f>IF(OR(IV$4="",$B39=""),0,SUMIF('DADOS BRUTOS'!$A$3:$A$500,$B39,'DADOS BRUTOS'!FV$3:FV$500)+IF($C39="",0,SUMIF('DADOS BRUTOS'!$A$3:$A$500,$C39,'DADOS BRUTOS'!FV$3:FV$500)))</f>
        <v/>
      </c>
      <c r="IW39" s="123">
        <f>IF(OR(IW$4="",$B39=""),0,SUMIF('DADOS BRUTOS'!$A$3:$A$500,$B39,'DADOS BRUTOS'!FW$3:FW$500)+IF($C39="",0,SUMIF('DADOS BRUTOS'!$A$3:$A$500,$C39,'DADOS BRUTOS'!FW$3:FW$500)))</f>
        <v/>
      </c>
      <c r="IX39" s="123">
        <f>IF(OR(IX$4="",$B39=""),0,SUMIF('DADOS BRUTOS'!$A$3:$A$500,$B39,'DADOS BRUTOS'!FX$3:FX$500)+IF($C39="",0,SUMIF('DADOS BRUTOS'!$A$3:$A$500,$C39,'DADOS BRUTOS'!FX$3:FX$500)))</f>
        <v/>
      </c>
      <c r="IY39" s="123">
        <f>IF(OR(IY$4="",$B39=""),0,SUMIF('DADOS BRUTOS'!$A$3:$A$500,$B39,'DADOS BRUTOS'!FY$3:FY$500)+IF($C39="",0,SUMIF('DADOS BRUTOS'!$A$3:$A$500,$C39,'DADOS BRUTOS'!FY$3:FY$500)))</f>
        <v/>
      </c>
      <c r="IZ39" s="123">
        <f>IF(OR(IZ$4="",$B39=""),0,SUMIF('DADOS BRUTOS'!$A$3:$A$500,$B39,'DADOS BRUTOS'!FZ$3:FZ$500)+IF($C39="",0,SUMIF('DADOS BRUTOS'!$A$3:$A$500,$C39,'DADOS BRUTOS'!FZ$3:FZ$500)))</f>
        <v/>
      </c>
      <c r="JA39" s="123">
        <f>IF(OR(JA$4="",$B39=""),0,SUMIF('DADOS BRUTOS'!$A$3:$A$500,$B39,'DADOS BRUTOS'!GA$3:GA$500)+IF($C39="",0,SUMIF('DADOS BRUTOS'!$A$3:$A$500,$C39,'DADOS BRUTOS'!GA$3:GA$500)))</f>
        <v/>
      </c>
      <c r="JB39" s="123">
        <f>IF(OR(JB$4="",$B39=""),0,SUMIF('DADOS BRUTOS'!$A$3:$A$500,$B39,'DADOS BRUTOS'!GB$3:GB$500)+IF($C39="",0,SUMIF('DADOS BRUTOS'!$A$3:$A$500,$C39,'DADOS BRUTOS'!GB$3:GB$500)))</f>
        <v/>
      </c>
      <c r="JC39" s="123">
        <f>IF(OR(JC$4="",$B39=""),0,SUMIF('DADOS BRUTOS'!$A$3:$A$500,$B39,'DADOS BRUTOS'!GC$3:GC$500)+IF($C39="",0,SUMIF('DADOS BRUTOS'!$A$3:$A$500,$C39,'DADOS BRUTOS'!GC$3:GC$500)))</f>
        <v/>
      </c>
      <c r="JD39" s="123">
        <f>IF(OR(JD$4="",$B39=""),0,SUMIF('DADOS BRUTOS'!$A$3:$A$500,$B39,'DADOS BRUTOS'!GD$3:GD$500)+IF($C39="",0,SUMIF('DADOS BRUTOS'!$A$3:$A$500,$C39,'DADOS BRUTOS'!GD$3:GD$500)))</f>
        <v/>
      </c>
      <c r="JE39" s="123">
        <f>IF(OR(JE$4="",$B39=""),0,SUMIF('DADOS BRUTOS'!$A$3:$A$500,$B39,'DADOS BRUTOS'!GE$3:GE$500)+IF($C39="",0,SUMIF('DADOS BRUTOS'!$A$3:$A$500,$C39,'DADOS BRUTOS'!GE$3:GE$500)))</f>
        <v/>
      </c>
      <c r="JF39" s="123">
        <f>IF(OR(JF$4="",$B39=""),0,SUMIF('DADOS BRUTOS'!$A$3:$A$500,$B39,'DADOS BRUTOS'!GF$3:GF$500)+IF($C39="",0,SUMIF('DADOS BRUTOS'!$A$3:$A$500,$C39,'DADOS BRUTOS'!GF$3:GF$500)))</f>
        <v/>
      </c>
      <c r="JG39" s="123">
        <f>IF(OR(JG$4="",$B39=""),0,SUMIF('DADOS BRUTOS'!$A$3:$A$500,$B39,'DADOS BRUTOS'!GG$3:GG$500)+IF($C39="",0,SUMIF('DADOS BRUTOS'!$A$3:$A$500,$C39,'DADOS BRUTOS'!GG$3:GG$500)))</f>
        <v/>
      </c>
      <c r="JH39" s="123">
        <f>IF(OR(JH$4="",$B39=""),0,SUMIF('DADOS BRUTOS'!$A$3:$A$500,$B39,'DADOS BRUTOS'!GH$3:GH$500)+IF($C39="",0,SUMIF('DADOS BRUTOS'!$A$3:$A$500,$C39,'DADOS BRUTOS'!GH$3:GH$500)))</f>
        <v/>
      </c>
      <c r="JI39" s="123">
        <f>IF(OR(JI$4="",$B39=""),0,SUMIF('DADOS BRUTOS'!$A$3:$A$500,$B39,'DADOS BRUTOS'!GI$3:GI$500)+IF($C39="",0,SUMIF('DADOS BRUTOS'!$A$3:$A$500,$C39,'DADOS BRUTOS'!GI$3:GI$500)))</f>
        <v/>
      </c>
      <c r="JJ39" s="123">
        <f>IF(OR(JJ$4="",$B39=""),0,SUMIF('DADOS BRUTOS'!$A$3:$A$500,$B39,'DADOS BRUTOS'!GJ$3:GJ$500)+IF($C39="",0,SUMIF('DADOS BRUTOS'!$A$3:$A$500,$C39,'DADOS BRUTOS'!GJ$3:GJ$500)))</f>
        <v/>
      </c>
      <c r="JK39" s="123">
        <f>IF(OR(JK$4="",$B39=""),0,SUMIF('DADOS BRUTOS'!$A$3:$A$500,$B39,'DADOS BRUTOS'!GK$3:GK$500)+IF($C39="",0,SUMIF('DADOS BRUTOS'!$A$3:$A$500,$C39,'DADOS BRUTOS'!GK$3:GK$500)))</f>
        <v/>
      </c>
      <c r="JL39" s="123">
        <f>IF(OR(JL$4="",$B39=""),0,SUMIF('DADOS BRUTOS'!$A$3:$A$500,$B39,'DADOS BRUTOS'!GL$3:GL$500)+IF($C39="",0,SUMIF('DADOS BRUTOS'!$A$3:$A$500,$C39,'DADOS BRUTOS'!GL$3:GL$500)))</f>
        <v/>
      </c>
      <c r="JM39" s="123">
        <f>IF(OR(JM$4="",$B39=""),0,SUMIF('DADOS BRUTOS'!$A$3:$A$500,$B39,'DADOS BRUTOS'!GM$3:GM$500)+IF($C39="",0,SUMIF('DADOS BRUTOS'!$A$3:$A$500,$C39,'DADOS BRUTOS'!GM$3:GM$500)))</f>
        <v/>
      </c>
      <c r="JN39" s="123">
        <f>IF(OR(JN$4="",$B39=""),0,SUMIF('DADOS BRUTOS'!$A$3:$A$500,$B39,'DADOS BRUTOS'!GN$3:GN$500)+IF($C39="",0,SUMIF('DADOS BRUTOS'!$A$3:$A$500,$C39,'DADOS BRUTOS'!GN$3:GN$500)))</f>
        <v/>
      </c>
      <c r="JO39" s="123">
        <f>IF(OR(JO$4="",$B39=""),0,SUMIF('DADOS BRUTOS'!$A$3:$A$500,$B39,'DADOS BRUTOS'!GO$3:GO$500)+IF($C39="",0,SUMIF('DADOS BRUTOS'!$A$3:$A$500,$C39,'DADOS BRUTOS'!GO$3:GO$500)))</f>
        <v/>
      </c>
      <c r="JP39" s="123">
        <f>IF(OR(JP$4="",$B39=""),0,SUMIF('DADOS BRUTOS'!$A$3:$A$500,$B39,'DADOS BRUTOS'!GP$3:GP$500)+IF($C39="",0,SUMIF('DADOS BRUTOS'!$A$3:$A$500,$C39,'DADOS BRUTOS'!GP$3:GP$500)))</f>
        <v/>
      </c>
      <c r="JQ39" s="123">
        <f>IF(OR(JQ$4="",$B39=""),0,SUMIF('DADOS BRUTOS'!$A$3:$A$500,$B39,'DADOS BRUTOS'!GQ$3:GQ$500)+IF($C39="",0,SUMIF('DADOS BRUTOS'!$A$3:$A$500,$C39,'DADOS BRUTOS'!GQ$3:GQ$500)))</f>
        <v/>
      </c>
      <c r="JR39" s="123">
        <f>IF(OR(JR$4="",$B39=""),0,SUMIF('DADOS BRUTOS'!$A$3:$A$500,$B39,'DADOS BRUTOS'!GR$3:GR$500)+IF($C39="",0,SUMIF('DADOS BRUTOS'!$A$3:$A$500,$C39,'DADOS BRUTOS'!GR$3:GR$500)))</f>
        <v/>
      </c>
      <c r="JS39" s="123">
        <f>IF(OR(JS$4="",$B39=""),0,SUMIF('DADOS BRUTOS'!$A$3:$A$500,$B39,'DADOS BRUTOS'!GS$3:GS$500)+IF($C39="",0,SUMIF('DADOS BRUTOS'!$A$3:$A$500,$C39,'DADOS BRUTOS'!GS$3:GS$500)))</f>
        <v/>
      </c>
    </row>
    <row r="40">
      <c r="A40" s="60">
        <f>'VALOR POR PL'!D46</f>
        <v/>
      </c>
      <c r="B40" s="59" t="inlineStr">
        <is>
          <t>PAISAGISMO</t>
        </is>
      </c>
      <c r="C40" s="59" t="n"/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CB40" s="123">
        <f>IF(OR(CB$4="",$B40=""),0,SUMIF('DADOS BRUTOS'!$A$3:$A$500,$B40,'DADOS BRUTOS'!B$3:B$500)+IF($C40="",0,SUMIF('DADOS BRUTOS'!$A$3:$A$500,$C40,'DADOS BRUTOS'!B$3:B$500)))</f>
        <v/>
      </c>
      <c r="CC40" s="123">
        <f>IF(OR(CC$4="",$B40=""),0,SUMIF('DADOS BRUTOS'!$A$3:$A$500,$B40,'DADOS BRUTOS'!C$3:C$500)+IF($C40="",0,SUMIF('DADOS BRUTOS'!$A$3:$A$500,$C40,'DADOS BRUTOS'!C$3:C$500)))</f>
        <v/>
      </c>
      <c r="CD40" s="123">
        <f>IF(OR(CD$4="",$B40=""),0,SUMIF('DADOS BRUTOS'!$A$3:$A$500,$B40,'DADOS BRUTOS'!D$3:D$500)+IF($C40="",0,SUMIF('DADOS BRUTOS'!$A$3:$A$500,$C40,'DADOS BRUTOS'!D$3:D$500)))</f>
        <v/>
      </c>
      <c r="CE40" s="123">
        <f>IF(OR(CE$4="",$B40=""),0,SUMIF('DADOS BRUTOS'!$A$3:$A$500,$B40,'DADOS BRUTOS'!E$3:E$500)+IF($C40="",0,SUMIF('DADOS BRUTOS'!$A$3:$A$500,$C40,'DADOS BRUTOS'!E$3:E$500)))</f>
        <v/>
      </c>
      <c r="CF40" s="123">
        <f>IF(OR(CF$4="",$B40=""),0,SUMIF('DADOS BRUTOS'!$A$3:$A$500,$B40,'DADOS BRUTOS'!F$3:F$500)+IF($C40="",0,SUMIF('DADOS BRUTOS'!$A$3:$A$500,$C40,'DADOS BRUTOS'!F$3:F$500)))</f>
        <v/>
      </c>
      <c r="CG40" s="123">
        <f>IF(OR(CG$4="",$B40=""),0,SUMIF('DADOS BRUTOS'!$A$3:$A$500,$B40,'DADOS BRUTOS'!G$3:G$500)+IF($C40="",0,SUMIF('DADOS BRUTOS'!$A$3:$A$500,$C40,'DADOS BRUTOS'!G$3:G$500)))</f>
        <v/>
      </c>
      <c r="CH40" s="123">
        <f>IF(OR(CH$4="",$B40=""),0,SUMIF('DADOS BRUTOS'!$A$3:$A$500,$B40,'DADOS BRUTOS'!H$3:H$500)+IF($C40="",0,SUMIF('DADOS BRUTOS'!$A$3:$A$500,$C40,'DADOS BRUTOS'!H$3:H$500)))</f>
        <v/>
      </c>
      <c r="CI40" s="123">
        <f>IF(OR(CI$4="",$B40=""),0,SUMIF('DADOS BRUTOS'!$A$3:$A$500,$B40,'DADOS BRUTOS'!I$3:I$500)+IF($C40="",0,SUMIF('DADOS BRUTOS'!$A$3:$A$500,$C40,'DADOS BRUTOS'!I$3:I$500)))</f>
        <v/>
      </c>
      <c r="CJ40" s="123">
        <f>IF(OR(CJ$4="",$B40=""),0,SUMIF('DADOS BRUTOS'!$A$3:$A$500,$B40,'DADOS BRUTOS'!J$3:J$500)+IF($C40="",0,SUMIF('DADOS BRUTOS'!$A$3:$A$500,$C40,'DADOS BRUTOS'!J$3:J$500)))</f>
        <v/>
      </c>
      <c r="CK40" s="123">
        <f>IF(OR(CK$4="",$B40=""),0,SUMIF('DADOS BRUTOS'!$A$3:$A$500,$B40,'DADOS BRUTOS'!K$3:K$500)+IF($C40="",0,SUMIF('DADOS BRUTOS'!$A$3:$A$500,$C40,'DADOS BRUTOS'!K$3:K$500)))</f>
        <v/>
      </c>
      <c r="CL40" s="123">
        <f>IF(OR(CL$4="",$B40=""),0,SUMIF('DADOS BRUTOS'!$A$3:$A$500,$B40,'DADOS BRUTOS'!L$3:L$500)+IF($C40="",0,SUMIF('DADOS BRUTOS'!$A$3:$A$500,$C40,'DADOS BRUTOS'!L$3:L$500)))</f>
        <v/>
      </c>
      <c r="CM40" s="123">
        <f>IF(OR(CM$4="",$B40=""),0,SUMIF('DADOS BRUTOS'!$A$3:$A$500,$B40,'DADOS BRUTOS'!M$3:M$500)+IF($C40="",0,SUMIF('DADOS BRUTOS'!$A$3:$A$500,$C40,'DADOS BRUTOS'!M$3:M$500)))</f>
        <v/>
      </c>
      <c r="CN40" s="123">
        <f>IF(OR(CN$4="",$B40=""),0,SUMIF('DADOS BRUTOS'!$A$3:$A$500,$B40,'DADOS BRUTOS'!N$3:N$500)+IF($C40="",0,SUMIF('DADOS BRUTOS'!$A$3:$A$500,$C40,'DADOS BRUTOS'!N$3:N$500)))</f>
        <v/>
      </c>
      <c r="CO40" s="123">
        <f>IF(OR(CO$4="",$B40=""),0,SUMIF('DADOS BRUTOS'!$A$3:$A$500,$B40,'DADOS BRUTOS'!O$3:O$500)+IF($C40="",0,SUMIF('DADOS BRUTOS'!$A$3:$A$500,$C40,'DADOS BRUTOS'!O$3:O$500)))</f>
        <v/>
      </c>
      <c r="CP40" s="123">
        <f>IF(OR(CP$4="",$B40=""),0,SUMIF('DADOS BRUTOS'!$A$3:$A$500,$B40,'DADOS BRUTOS'!P$3:P$500)+IF($C40="",0,SUMIF('DADOS BRUTOS'!$A$3:$A$500,$C40,'DADOS BRUTOS'!P$3:P$500)))</f>
        <v/>
      </c>
      <c r="CQ40" s="123">
        <f>IF(OR(CQ$4="",$B40=""),0,SUMIF('DADOS BRUTOS'!$A$3:$A$500,$B40,'DADOS BRUTOS'!Q$3:Q$500)+IF($C40="",0,SUMIF('DADOS BRUTOS'!$A$3:$A$500,$C40,'DADOS BRUTOS'!Q$3:Q$500)))</f>
        <v/>
      </c>
      <c r="CR40" s="123">
        <f>IF(OR(CR$4="",$B40=""),0,SUMIF('DADOS BRUTOS'!$A$3:$A$500,$B40,'DADOS BRUTOS'!R$3:R$500)+IF($C40="",0,SUMIF('DADOS BRUTOS'!$A$3:$A$500,$C40,'DADOS BRUTOS'!R$3:R$500)))</f>
        <v/>
      </c>
      <c r="CS40" s="123">
        <f>IF(OR(CS$4="",$B40=""),0,SUMIF('DADOS BRUTOS'!$A$3:$A$500,$B40,'DADOS BRUTOS'!S$3:S$500)+IF($C40="",0,SUMIF('DADOS BRUTOS'!$A$3:$A$500,$C40,'DADOS BRUTOS'!S$3:S$500)))</f>
        <v/>
      </c>
      <c r="CT40" s="123">
        <f>IF(OR(CT$4="",$B40=""),0,SUMIF('DADOS BRUTOS'!$A$3:$A$500,$B40,'DADOS BRUTOS'!T$3:T$500)+IF($C40="",0,SUMIF('DADOS BRUTOS'!$A$3:$A$500,$C40,'DADOS BRUTOS'!T$3:T$500)))</f>
        <v/>
      </c>
      <c r="CU40" s="123">
        <f>IF(OR(CU$4="",$B40=""),0,SUMIF('DADOS BRUTOS'!$A$3:$A$500,$B40,'DADOS BRUTOS'!U$3:U$500)+IF($C40="",0,SUMIF('DADOS BRUTOS'!$A$3:$A$500,$C40,'DADOS BRUTOS'!U$3:U$500)))</f>
        <v/>
      </c>
      <c r="CV40" s="123">
        <f>IF(OR(CV$4="",$B40=""),0,SUMIF('DADOS BRUTOS'!$A$3:$A$500,$B40,'DADOS BRUTOS'!V$3:V$500)+IF($C40="",0,SUMIF('DADOS BRUTOS'!$A$3:$A$500,$C40,'DADOS BRUTOS'!V$3:V$500)))</f>
        <v/>
      </c>
      <c r="CW40" s="123">
        <f>IF(OR(CW$4="",$B40=""),0,SUMIF('DADOS BRUTOS'!$A$3:$A$500,$B40,'DADOS BRUTOS'!W$3:W$500)+IF($C40="",0,SUMIF('DADOS BRUTOS'!$A$3:$A$500,$C40,'DADOS BRUTOS'!W$3:W$500)))</f>
        <v/>
      </c>
      <c r="CX40" s="123">
        <f>IF(OR(CX$4="",$B40=""),0,SUMIF('DADOS BRUTOS'!$A$3:$A$500,$B40,'DADOS BRUTOS'!X$3:X$500)+IF($C40="",0,SUMIF('DADOS BRUTOS'!$A$3:$A$500,$C40,'DADOS BRUTOS'!X$3:X$500)))</f>
        <v/>
      </c>
      <c r="CY40" s="123">
        <f>IF(OR(CY$4="",$B40=""),0,SUMIF('DADOS BRUTOS'!$A$3:$A$500,$B40,'DADOS BRUTOS'!Y$3:Y$500)+IF($C40="",0,SUMIF('DADOS BRUTOS'!$A$3:$A$500,$C40,'DADOS BRUTOS'!Y$3:Y$500)))</f>
        <v/>
      </c>
      <c r="CZ40" s="123">
        <f>IF(OR(CZ$4="",$B40=""),0,SUMIF('DADOS BRUTOS'!$A$3:$A$500,$B40,'DADOS BRUTOS'!Z$3:Z$500)+IF($C40="",0,SUMIF('DADOS BRUTOS'!$A$3:$A$500,$C40,'DADOS BRUTOS'!Z$3:Z$500)))</f>
        <v/>
      </c>
      <c r="DA40" s="123">
        <f>IF(OR(DA$4="",$B40=""),0,SUMIF('DADOS BRUTOS'!$A$3:$A$500,$B40,'DADOS BRUTOS'!AA$3:AA$500)+IF($C40="",0,SUMIF('DADOS BRUTOS'!$A$3:$A$500,$C40,'DADOS BRUTOS'!AA$3:AA$500)))</f>
        <v/>
      </c>
      <c r="DB40" s="123">
        <f>IF(OR(DB$4="",$B40=""),0,SUMIF('DADOS BRUTOS'!$A$3:$A$500,$B40,'DADOS BRUTOS'!AB$3:AB$500)+IF($C40="",0,SUMIF('DADOS BRUTOS'!$A$3:$A$500,$C40,'DADOS BRUTOS'!AB$3:AB$500)))</f>
        <v/>
      </c>
      <c r="DC40" s="123">
        <f>IF(OR(DC$4="",$B40=""),0,SUMIF('DADOS BRUTOS'!$A$3:$A$500,$B40,'DADOS BRUTOS'!AC$3:AC$500)+IF($C40="",0,SUMIF('DADOS BRUTOS'!$A$3:$A$500,$C40,'DADOS BRUTOS'!AC$3:AC$500)))</f>
        <v/>
      </c>
      <c r="DD40" s="123">
        <f>IF(OR(DD$4="",$B40=""),0,SUMIF('DADOS BRUTOS'!$A$3:$A$500,$B40,'DADOS BRUTOS'!AD$3:AD$500)+IF($C40="",0,SUMIF('DADOS BRUTOS'!$A$3:$A$500,$C40,'DADOS BRUTOS'!AD$3:AD$500)))</f>
        <v/>
      </c>
      <c r="DE40" s="123">
        <f>IF(OR(DE$4="",$B40=""),0,SUMIF('DADOS BRUTOS'!$A$3:$A$500,$B40,'DADOS BRUTOS'!AE$3:AE$500)+IF($C40="",0,SUMIF('DADOS BRUTOS'!$A$3:$A$500,$C40,'DADOS BRUTOS'!AE$3:AE$500)))</f>
        <v/>
      </c>
      <c r="DF40" s="123">
        <f>IF(OR(DF$4="",$B40=""),0,SUMIF('DADOS BRUTOS'!$A$3:$A$500,$B40,'DADOS BRUTOS'!AF$3:AF$500)+IF($C40="",0,SUMIF('DADOS BRUTOS'!$A$3:$A$500,$C40,'DADOS BRUTOS'!AF$3:AF$500)))</f>
        <v/>
      </c>
      <c r="DG40" s="123">
        <f>IF(OR(DG$4="",$B40=""),0,SUMIF('DADOS BRUTOS'!$A$3:$A$500,$B40,'DADOS BRUTOS'!AG$3:AG$500)+IF($C40="",0,SUMIF('DADOS BRUTOS'!$A$3:$A$500,$C40,'DADOS BRUTOS'!AG$3:AG$500)))</f>
        <v/>
      </c>
      <c r="DH40" s="123">
        <f>IF(OR(DH$4="",$B40=""),0,SUMIF('DADOS BRUTOS'!$A$3:$A$500,$B40,'DADOS BRUTOS'!AH$3:AH$500)+IF($C40="",0,SUMIF('DADOS BRUTOS'!$A$3:$A$500,$C40,'DADOS BRUTOS'!AH$3:AH$500)))</f>
        <v/>
      </c>
      <c r="DI40" s="123">
        <f>IF(OR(DI$4="",$B40=""),0,SUMIF('DADOS BRUTOS'!$A$3:$A$500,$B40,'DADOS BRUTOS'!AI$3:AI$500)+IF($C40="",0,SUMIF('DADOS BRUTOS'!$A$3:$A$500,$C40,'DADOS BRUTOS'!AI$3:AI$500)))</f>
        <v/>
      </c>
      <c r="DJ40" s="123">
        <f>IF(OR(DJ$4="",$B40=""),0,SUMIF('DADOS BRUTOS'!$A$3:$A$500,$B40,'DADOS BRUTOS'!AJ$3:AJ$500)+IF($C40="",0,SUMIF('DADOS BRUTOS'!$A$3:$A$500,$C40,'DADOS BRUTOS'!AJ$3:AJ$500)))</f>
        <v/>
      </c>
      <c r="DK40" s="123">
        <f>IF(OR(DK$4="",$B40=""),0,SUMIF('DADOS BRUTOS'!$A$3:$A$500,$B40,'DADOS BRUTOS'!AK$3:AK$500)+IF($C40="",0,SUMIF('DADOS BRUTOS'!$A$3:$A$500,$C40,'DADOS BRUTOS'!AK$3:AK$500)))</f>
        <v/>
      </c>
      <c r="DL40" s="123">
        <f>IF(OR(DL$4="",$B40=""),0,SUMIF('DADOS BRUTOS'!$A$3:$A$500,$B40,'DADOS BRUTOS'!AL$3:AL$500)+IF($C40="",0,SUMIF('DADOS BRUTOS'!$A$3:$A$500,$C40,'DADOS BRUTOS'!AL$3:AL$500)))</f>
        <v/>
      </c>
      <c r="DM40" s="123">
        <f>IF(OR(DM$4="",$B40=""),0,SUMIF('DADOS BRUTOS'!$A$3:$A$500,$B40,'DADOS BRUTOS'!AM$3:AM$500)+IF($C40="",0,SUMIF('DADOS BRUTOS'!$A$3:$A$500,$C40,'DADOS BRUTOS'!AM$3:AM$500)))</f>
        <v/>
      </c>
      <c r="DN40" s="123">
        <f>IF(OR(DN$4="",$B40=""),0,SUMIF('DADOS BRUTOS'!$A$3:$A$500,$B40,'DADOS BRUTOS'!AN$3:AN$500)+IF($C40="",0,SUMIF('DADOS BRUTOS'!$A$3:$A$500,$C40,'DADOS BRUTOS'!AN$3:AN$500)))</f>
        <v/>
      </c>
      <c r="DO40" s="123">
        <f>IF(OR(DO$4="",$B40=""),0,SUMIF('DADOS BRUTOS'!$A$3:$A$500,$B40,'DADOS BRUTOS'!AO$3:AO$500)+IF($C40="",0,SUMIF('DADOS BRUTOS'!$A$3:$A$500,$C40,'DADOS BRUTOS'!AO$3:AO$500)))</f>
        <v/>
      </c>
      <c r="DP40" s="123">
        <f>IF(OR(DP$4="",$B40=""),0,SUMIF('DADOS BRUTOS'!$A$3:$A$500,$B40,'DADOS BRUTOS'!AP$3:AP$500)+IF($C40="",0,SUMIF('DADOS BRUTOS'!$A$3:$A$500,$C40,'DADOS BRUTOS'!AP$3:AP$500)))</f>
        <v/>
      </c>
      <c r="DQ40" s="123">
        <f>IF(OR(DQ$4="",$B40=""),0,SUMIF('DADOS BRUTOS'!$A$3:$A$500,$B40,'DADOS BRUTOS'!AQ$3:AQ$500)+IF($C40="",0,SUMIF('DADOS BRUTOS'!$A$3:$A$500,$C40,'DADOS BRUTOS'!AQ$3:AQ$500)))</f>
        <v/>
      </c>
      <c r="DR40" s="123">
        <f>IF(OR(DR$4="",$B40=""),0,SUMIF('DADOS BRUTOS'!$A$3:$A$500,$B40,'DADOS BRUTOS'!AR$3:AR$500)+IF($C40="",0,SUMIF('DADOS BRUTOS'!$A$3:$A$500,$C40,'DADOS BRUTOS'!AR$3:AR$500)))</f>
        <v/>
      </c>
      <c r="DS40" s="123">
        <f>IF(OR(DS$4="",$B40=""),0,SUMIF('DADOS BRUTOS'!$A$3:$A$500,$B40,'DADOS BRUTOS'!AS$3:AS$500)+IF($C40="",0,SUMIF('DADOS BRUTOS'!$A$3:$A$500,$C40,'DADOS BRUTOS'!AS$3:AS$500)))</f>
        <v/>
      </c>
      <c r="DT40" s="123">
        <f>IF(OR(DT$4="",$B40=""),0,SUMIF('DADOS BRUTOS'!$A$3:$A$500,$B40,'DADOS BRUTOS'!AT$3:AT$500)+IF($C40="",0,SUMIF('DADOS BRUTOS'!$A$3:$A$500,$C40,'DADOS BRUTOS'!AT$3:AT$500)))</f>
        <v/>
      </c>
      <c r="DU40" s="123">
        <f>IF(OR(DU$4="",$B40=""),0,SUMIF('DADOS BRUTOS'!$A$3:$A$500,$B40,'DADOS BRUTOS'!AU$3:AU$500)+IF($C40="",0,SUMIF('DADOS BRUTOS'!$A$3:$A$500,$C40,'DADOS BRUTOS'!AU$3:AU$500)))</f>
        <v/>
      </c>
      <c r="DV40" s="123">
        <f>IF(OR(DV$4="",$B40=""),0,SUMIF('DADOS BRUTOS'!$A$3:$A$500,$B40,'DADOS BRUTOS'!AV$3:AV$500)+IF($C40="",0,SUMIF('DADOS BRUTOS'!$A$3:$A$500,$C40,'DADOS BRUTOS'!AV$3:AV$500)))</f>
        <v/>
      </c>
      <c r="DW40" s="123">
        <f>IF(OR(DW$4="",$B40=""),0,SUMIF('DADOS BRUTOS'!$A$3:$A$500,$B40,'DADOS BRUTOS'!AW$3:AW$500)+IF($C40="",0,SUMIF('DADOS BRUTOS'!$A$3:$A$500,$C40,'DADOS BRUTOS'!AW$3:AW$500)))</f>
        <v/>
      </c>
      <c r="DX40" s="123">
        <f>IF(OR(DX$4="",$B40=""),0,SUMIF('DADOS BRUTOS'!$A$3:$A$500,$B40,'DADOS BRUTOS'!AX$3:AX$500)+IF($C40="",0,SUMIF('DADOS BRUTOS'!$A$3:$A$500,$C40,'DADOS BRUTOS'!AX$3:AX$500)))</f>
        <v/>
      </c>
      <c r="DY40" s="123">
        <f>IF(OR(DY$4="",$B40=""),0,SUMIF('DADOS BRUTOS'!$A$3:$A$500,$B40,'DADOS BRUTOS'!AY$3:AY$500)+IF($C40="",0,SUMIF('DADOS BRUTOS'!$A$3:$A$500,$C40,'DADOS BRUTOS'!AY$3:AY$500)))</f>
        <v/>
      </c>
      <c r="DZ40" s="123">
        <f>IF(OR(DZ$4="",$B40=""),0,SUMIF('DADOS BRUTOS'!$A$3:$A$500,$B40,'DADOS BRUTOS'!AZ$3:AZ$500)+IF($C40="",0,SUMIF('DADOS BRUTOS'!$A$3:$A$500,$C40,'DADOS BRUTOS'!AZ$3:AZ$500)))</f>
        <v/>
      </c>
      <c r="EA40" s="123">
        <f>IF(OR(EA$4="",$B40=""),0,SUMIF('DADOS BRUTOS'!$A$3:$A$500,$B40,'DADOS BRUTOS'!BA$3:BA$500)+IF($C40="",0,SUMIF('DADOS BRUTOS'!$A$3:$A$500,$C40,'DADOS BRUTOS'!BA$3:BA$500)))</f>
        <v/>
      </c>
      <c r="EB40" s="123">
        <f>IF(OR(EB$4="",$B40=""),0,SUMIF('DADOS BRUTOS'!$A$3:$A$500,$B40,'DADOS BRUTOS'!BB$3:BB$500)+IF($C40="",0,SUMIF('DADOS BRUTOS'!$A$3:$A$500,$C40,'DADOS BRUTOS'!BB$3:BB$500)))</f>
        <v/>
      </c>
      <c r="EC40" s="123">
        <f>IF(OR(EC$4="",$B40=""),0,SUMIF('DADOS BRUTOS'!$A$3:$A$500,$B40,'DADOS BRUTOS'!BC$3:BC$500)+IF($C40="",0,SUMIF('DADOS BRUTOS'!$A$3:$A$500,$C40,'DADOS BRUTOS'!BC$3:BC$500)))</f>
        <v/>
      </c>
      <c r="ED40" s="123">
        <f>IF(OR(ED$4="",$B40=""),0,SUMIF('DADOS BRUTOS'!$A$3:$A$500,$B40,'DADOS BRUTOS'!BD$3:BD$500)+IF($C40="",0,SUMIF('DADOS BRUTOS'!$A$3:$A$500,$C40,'DADOS BRUTOS'!BD$3:BD$500)))</f>
        <v/>
      </c>
      <c r="EE40" s="123">
        <f>IF(OR(EE$4="",$B40=""),0,SUMIF('DADOS BRUTOS'!$A$3:$A$500,$B40,'DADOS BRUTOS'!BE$3:BE$500)+IF($C40="",0,SUMIF('DADOS BRUTOS'!$A$3:$A$500,$C40,'DADOS BRUTOS'!BE$3:BE$500)))</f>
        <v/>
      </c>
      <c r="EF40" s="123">
        <f>IF(OR(EF$4="",$B40=""),0,SUMIF('DADOS BRUTOS'!$A$3:$A$500,$B40,'DADOS BRUTOS'!BF$3:BF$500)+IF($C40="",0,SUMIF('DADOS BRUTOS'!$A$3:$A$500,$C40,'DADOS BRUTOS'!BF$3:BF$500)))</f>
        <v/>
      </c>
      <c r="EG40" s="123">
        <f>IF(OR(EG$4="",$B40=""),0,SUMIF('DADOS BRUTOS'!$A$3:$A$500,$B40,'DADOS BRUTOS'!BG$3:BG$500)+IF($C40="",0,SUMIF('DADOS BRUTOS'!$A$3:$A$500,$C40,'DADOS BRUTOS'!BG$3:BG$500)))</f>
        <v/>
      </c>
      <c r="EH40" s="123">
        <f>IF(OR(EH$4="",$B40=""),0,SUMIF('DADOS BRUTOS'!$A$3:$A$500,$B40,'DADOS BRUTOS'!BH$3:BH$500)+IF($C40="",0,SUMIF('DADOS BRUTOS'!$A$3:$A$500,$C40,'DADOS BRUTOS'!BH$3:BH$500)))</f>
        <v/>
      </c>
      <c r="EI40" s="123">
        <f>IF(OR(EI$4="",$B40=""),0,SUMIF('DADOS BRUTOS'!$A$3:$A$500,$B40,'DADOS BRUTOS'!BI$3:BI$500)+IF($C40="",0,SUMIF('DADOS BRUTOS'!$A$3:$A$500,$C40,'DADOS BRUTOS'!BI$3:BI$500)))</f>
        <v/>
      </c>
      <c r="EJ40" s="123">
        <f>IF(OR(EJ$4="",$B40=""),0,SUMIF('DADOS BRUTOS'!$A$3:$A$500,$B40,'DADOS BRUTOS'!BJ$3:BJ$500)+IF($C40="",0,SUMIF('DADOS BRUTOS'!$A$3:$A$500,$C40,'DADOS BRUTOS'!BJ$3:BJ$500)))</f>
        <v/>
      </c>
      <c r="EK40" s="123">
        <f>IF(OR(EK$4="",$B40=""),0,SUMIF('DADOS BRUTOS'!$A$3:$A$500,$B40,'DADOS BRUTOS'!BK$3:BK$500)+IF($C40="",0,SUMIF('DADOS BRUTOS'!$A$3:$A$500,$C40,'DADOS BRUTOS'!BK$3:BK$500)))</f>
        <v/>
      </c>
      <c r="EL40" s="123">
        <f>IF(OR(EL$4="",$B40=""),0,SUMIF('DADOS BRUTOS'!$A$3:$A$500,$B40,'DADOS BRUTOS'!BL$3:BL$500)+IF($C40="",0,SUMIF('DADOS BRUTOS'!$A$3:$A$500,$C40,'DADOS BRUTOS'!BL$3:BL$500)))</f>
        <v/>
      </c>
      <c r="EM40" s="123">
        <f>IF(OR(EM$4="",$B40=""),0,SUMIF('DADOS BRUTOS'!$A$3:$A$500,$B40,'DADOS BRUTOS'!BM$3:BM$500)+IF($C40="",0,SUMIF('DADOS BRUTOS'!$A$3:$A$500,$C40,'DADOS BRUTOS'!BM$3:BM$500)))</f>
        <v/>
      </c>
      <c r="EN40" s="123">
        <f>IF(OR(EN$4="",$B40=""),0,SUMIF('DADOS BRUTOS'!$A$3:$A$500,$B40,'DADOS BRUTOS'!BN$3:BN$500)+IF($C40="",0,SUMIF('DADOS BRUTOS'!$A$3:$A$500,$C40,'DADOS BRUTOS'!BN$3:BN$500)))</f>
        <v/>
      </c>
      <c r="EO40" s="123">
        <f>IF(OR(EO$4="",$B40=""),0,SUMIF('DADOS BRUTOS'!$A$3:$A$500,$B40,'DADOS BRUTOS'!BO$3:BO$500)+IF($C40="",0,SUMIF('DADOS BRUTOS'!$A$3:$A$500,$C40,'DADOS BRUTOS'!BO$3:BO$500)))</f>
        <v/>
      </c>
      <c r="EP40" s="123">
        <f>IF(OR(EP$4="",$B40=""),0,SUMIF('DADOS BRUTOS'!$A$3:$A$500,$B40,'DADOS BRUTOS'!BP$3:BP$500)+IF($C40="",0,SUMIF('DADOS BRUTOS'!$A$3:$A$500,$C40,'DADOS BRUTOS'!BP$3:BP$500)))</f>
        <v/>
      </c>
      <c r="EQ40" s="123">
        <f>IF(OR(EQ$4="",$B40=""),0,SUMIF('DADOS BRUTOS'!$A$3:$A$500,$B40,'DADOS BRUTOS'!BQ$3:BQ$500)+IF($C40="",0,SUMIF('DADOS BRUTOS'!$A$3:$A$500,$C40,'DADOS BRUTOS'!BQ$3:BQ$500)))</f>
        <v/>
      </c>
      <c r="ER40" s="123">
        <f>IF(OR(ER$4="",$B40=""),0,SUMIF('DADOS BRUTOS'!$A$3:$A$500,$B40,'DADOS BRUTOS'!BR$3:BR$500)+IF($C40="",0,SUMIF('DADOS BRUTOS'!$A$3:$A$500,$C40,'DADOS BRUTOS'!BR$3:BR$500)))</f>
        <v/>
      </c>
      <c r="ES40" s="123">
        <f>IF(OR(ES$4="",$B40=""),0,SUMIF('DADOS BRUTOS'!$A$3:$A$500,$B40,'DADOS BRUTOS'!BS$3:BS$500)+IF($C40="",0,SUMIF('DADOS BRUTOS'!$A$3:$A$500,$C40,'DADOS BRUTOS'!BS$3:BS$500)))</f>
        <v/>
      </c>
      <c r="ET40" s="123">
        <f>IF(OR(ET$4="",$B40=""),0,SUMIF('DADOS BRUTOS'!$A$3:$A$500,$B40,'DADOS BRUTOS'!BT$3:BT$500)+IF($C40="",0,SUMIF('DADOS BRUTOS'!$A$3:$A$500,$C40,'DADOS BRUTOS'!BT$3:BT$500)))</f>
        <v/>
      </c>
      <c r="EU40" s="123">
        <f>IF(OR(EU$4="",$B40=""),0,SUMIF('DADOS BRUTOS'!$A$3:$A$500,$B40,'DADOS BRUTOS'!BU$3:BU$500)+IF($C40="",0,SUMIF('DADOS BRUTOS'!$A$3:$A$500,$C40,'DADOS BRUTOS'!BU$3:BU$500)))</f>
        <v/>
      </c>
      <c r="EV40" s="123">
        <f>IF(OR(EV$4="",$B40=""),0,SUMIF('DADOS BRUTOS'!$A$3:$A$500,$B40,'DADOS BRUTOS'!BV$3:BV$500)+IF($C40="",0,SUMIF('DADOS BRUTOS'!$A$3:$A$500,$C40,'DADOS BRUTOS'!BV$3:BV$500)))</f>
        <v/>
      </c>
      <c r="EW40" s="123">
        <f>IF(OR(EW$4="",$B40=""),0,SUMIF('DADOS BRUTOS'!$A$3:$A$500,$B40,'DADOS BRUTOS'!BW$3:BW$500)+IF($C40="",0,SUMIF('DADOS BRUTOS'!$A$3:$A$500,$C40,'DADOS BRUTOS'!BW$3:BW$500)))</f>
        <v/>
      </c>
      <c r="EX40" s="123">
        <f>IF(OR(EX$4="",$B40=""),0,SUMIF('DADOS BRUTOS'!$A$3:$A$500,$B40,'DADOS BRUTOS'!BX$3:BX$500)+IF($C40="",0,SUMIF('DADOS BRUTOS'!$A$3:$A$500,$C40,'DADOS BRUTOS'!BX$3:BX$500)))</f>
        <v/>
      </c>
      <c r="EY40" s="123">
        <f>IF(OR(EY$4="",$B40=""),0,SUMIF('DADOS BRUTOS'!$A$3:$A$500,$B40,'DADOS BRUTOS'!BY$3:BY$500)+IF($C40="",0,SUMIF('DADOS BRUTOS'!$A$3:$A$500,$C40,'DADOS BRUTOS'!BY$3:BY$500)))</f>
        <v/>
      </c>
      <c r="EZ40" s="123">
        <f>IF(OR(EZ$4="",$B40=""),0,SUMIF('DADOS BRUTOS'!$A$3:$A$500,$B40,'DADOS BRUTOS'!BZ$3:BZ$500)+IF($C40="",0,SUMIF('DADOS BRUTOS'!$A$3:$A$500,$C40,'DADOS BRUTOS'!BZ$3:BZ$500)))</f>
        <v/>
      </c>
      <c r="FA40" s="123">
        <f>IF(OR(FA$4="",$B40=""),0,SUMIF('DADOS BRUTOS'!$A$3:$A$500,$B40,'DADOS BRUTOS'!CA$3:CA$500)+IF($C40="",0,SUMIF('DADOS BRUTOS'!$A$3:$A$500,$C40,'DADOS BRUTOS'!CA$3:CA$500)))</f>
        <v/>
      </c>
      <c r="FB40" s="123">
        <f>IF(OR(FB$4="",$B40=""),0,SUMIF('DADOS BRUTOS'!$A$3:$A$500,$B40,'DADOS BRUTOS'!CB$3:CB$500)+IF($C40="",0,SUMIF('DADOS BRUTOS'!$A$3:$A$500,$C40,'DADOS BRUTOS'!CB$3:CB$500)))</f>
        <v/>
      </c>
      <c r="FC40" s="123">
        <f>IF(OR(FC$4="",$B40=""),0,SUMIF('DADOS BRUTOS'!$A$3:$A$500,$B40,'DADOS BRUTOS'!CC$3:CC$500)+IF($C40="",0,SUMIF('DADOS BRUTOS'!$A$3:$A$500,$C40,'DADOS BRUTOS'!CC$3:CC$500)))</f>
        <v/>
      </c>
      <c r="FD40" s="123">
        <f>IF(OR(FD$4="",$B40=""),0,SUMIF('DADOS BRUTOS'!$A$3:$A$500,$B40,'DADOS BRUTOS'!CD$3:CD$500)+IF($C40="",0,SUMIF('DADOS BRUTOS'!$A$3:$A$500,$C40,'DADOS BRUTOS'!CD$3:CD$500)))</f>
        <v/>
      </c>
      <c r="FE40" s="123">
        <f>IF(OR(FE$4="",$B40=""),0,SUMIF('DADOS BRUTOS'!$A$3:$A$500,$B40,'DADOS BRUTOS'!CE$3:CE$500)+IF($C40="",0,SUMIF('DADOS BRUTOS'!$A$3:$A$500,$C40,'DADOS BRUTOS'!CE$3:CE$500)))</f>
        <v/>
      </c>
      <c r="FF40" s="123">
        <f>IF(OR(FF$4="",$B40=""),0,SUMIF('DADOS BRUTOS'!$A$3:$A$500,$B40,'DADOS BRUTOS'!CF$3:CF$500)+IF($C40="",0,SUMIF('DADOS BRUTOS'!$A$3:$A$500,$C40,'DADOS BRUTOS'!CF$3:CF$500)))</f>
        <v/>
      </c>
      <c r="FG40" s="123">
        <f>IF(OR(FG$4="",$B40=""),0,SUMIF('DADOS BRUTOS'!$A$3:$A$500,$B40,'DADOS BRUTOS'!CG$3:CG$500)+IF($C40="",0,SUMIF('DADOS BRUTOS'!$A$3:$A$500,$C40,'DADOS BRUTOS'!CG$3:CG$500)))</f>
        <v/>
      </c>
      <c r="FH40" s="123">
        <f>IF(OR(FH$4="",$B40=""),0,SUMIF('DADOS BRUTOS'!$A$3:$A$500,$B40,'DADOS BRUTOS'!CH$3:CH$500)+IF($C40="",0,SUMIF('DADOS BRUTOS'!$A$3:$A$500,$C40,'DADOS BRUTOS'!CH$3:CH$500)))</f>
        <v/>
      </c>
      <c r="FI40" s="123">
        <f>IF(OR(FI$4="",$B40=""),0,SUMIF('DADOS BRUTOS'!$A$3:$A$500,$B40,'DADOS BRUTOS'!CI$3:CI$500)+IF($C40="",0,SUMIF('DADOS BRUTOS'!$A$3:$A$500,$C40,'DADOS BRUTOS'!CI$3:CI$500)))</f>
        <v/>
      </c>
      <c r="FJ40" s="123">
        <f>IF(OR(FJ$4="",$B40=""),0,SUMIF('DADOS BRUTOS'!$A$3:$A$500,$B40,'DADOS BRUTOS'!CJ$3:CJ$500)+IF($C40="",0,SUMIF('DADOS BRUTOS'!$A$3:$A$500,$C40,'DADOS BRUTOS'!CJ$3:CJ$500)))</f>
        <v/>
      </c>
      <c r="FK40" s="123">
        <f>IF(OR(FK$4="",$B40=""),0,SUMIF('DADOS BRUTOS'!$A$3:$A$500,$B40,'DADOS BRUTOS'!CK$3:CK$500)+IF($C40="",0,SUMIF('DADOS BRUTOS'!$A$3:$A$500,$C40,'DADOS BRUTOS'!CK$3:CK$500)))</f>
        <v/>
      </c>
      <c r="FL40" s="123">
        <f>IF(OR(FL$4="",$B40=""),0,SUMIF('DADOS BRUTOS'!$A$3:$A$500,$B40,'DADOS BRUTOS'!CL$3:CL$500)+IF($C40="",0,SUMIF('DADOS BRUTOS'!$A$3:$A$500,$C40,'DADOS BRUTOS'!CL$3:CL$500)))</f>
        <v/>
      </c>
      <c r="FM40" s="123">
        <f>IF(OR(FM$4="",$B40=""),0,SUMIF('DADOS BRUTOS'!$A$3:$A$500,$B40,'DADOS BRUTOS'!CM$3:CM$500)+IF($C40="",0,SUMIF('DADOS BRUTOS'!$A$3:$A$500,$C40,'DADOS BRUTOS'!CM$3:CM$500)))</f>
        <v/>
      </c>
      <c r="FN40" s="123">
        <f>IF(OR(FN$4="",$B40=""),0,SUMIF('DADOS BRUTOS'!$A$3:$A$500,$B40,'DADOS BRUTOS'!CN$3:CN$500)+IF($C40="",0,SUMIF('DADOS BRUTOS'!$A$3:$A$500,$C40,'DADOS BRUTOS'!CN$3:CN$500)))</f>
        <v/>
      </c>
      <c r="FO40" s="123">
        <f>IF(OR(FO$4="",$B40=""),0,SUMIF('DADOS BRUTOS'!$A$3:$A$500,$B40,'DADOS BRUTOS'!CO$3:CO$500)+IF($C40="",0,SUMIF('DADOS BRUTOS'!$A$3:$A$500,$C40,'DADOS BRUTOS'!CO$3:CO$500)))</f>
        <v/>
      </c>
      <c r="FP40" s="123">
        <f>IF(OR(FP$4="",$B40=""),0,SUMIF('DADOS BRUTOS'!$A$3:$A$500,$B40,'DADOS BRUTOS'!CP$3:CP$500)+IF($C40="",0,SUMIF('DADOS BRUTOS'!$A$3:$A$500,$C40,'DADOS BRUTOS'!CP$3:CP$500)))</f>
        <v/>
      </c>
      <c r="FQ40" s="123">
        <f>IF(OR(FQ$4="",$B40=""),0,SUMIF('DADOS BRUTOS'!$A$3:$A$500,$B40,'DADOS BRUTOS'!CQ$3:CQ$500)+IF($C40="",0,SUMIF('DADOS BRUTOS'!$A$3:$A$500,$C40,'DADOS BRUTOS'!CQ$3:CQ$500)))</f>
        <v/>
      </c>
      <c r="FR40" s="123">
        <f>IF(OR(FR$4="",$B40=""),0,SUMIF('DADOS BRUTOS'!$A$3:$A$500,$B40,'DADOS BRUTOS'!CR$3:CR$500)+IF($C40="",0,SUMIF('DADOS BRUTOS'!$A$3:$A$500,$C40,'DADOS BRUTOS'!CR$3:CR$500)))</f>
        <v/>
      </c>
      <c r="FS40" s="123">
        <f>IF(OR(FS$4="",$B40=""),0,SUMIF('DADOS BRUTOS'!$A$3:$A$500,$B40,'DADOS BRUTOS'!CS$3:CS$500)+IF($C40="",0,SUMIF('DADOS BRUTOS'!$A$3:$A$500,$C40,'DADOS BRUTOS'!CS$3:CS$500)))</f>
        <v/>
      </c>
      <c r="FT40" s="123">
        <f>IF(OR(FT$4="",$B40=""),0,SUMIF('DADOS BRUTOS'!$A$3:$A$500,$B40,'DADOS BRUTOS'!CT$3:CT$500)+IF($C40="",0,SUMIF('DADOS BRUTOS'!$A$3:$A$500,$C40,'DADOS BRUTOS'!CT$3:CT$500)))</f>
        <v/>
      </c>
      <c r="FU40" s="123">
        <f>IF(OR(FU$4="",$B40=""),0,SUMIF('DADOS BRUTOS'!$A$3:$A$500,$B40,'DADOS BRUTOS'!CU$3:CU$500)+IF($C40="",0,SUMIF('DADOS BRUTOS'!$A$3:$A$500,$C40,'DADOS BRUTOS'!CU$3:CU$500)))</f>
        <v/>
      </c>
      <c r="FV40" s="123">
        <f>IF(OR(FV$4="",$B40=""),0,SUMIF('DADOS BRUTOS'!$A$3:$A$500,$B40,'DADOS BRUTOS'!CV$3:CV$500)+IF($C40="",0,SUMIF('DADOS BRUTOS'!$A$3:$A$500,$C40,'DADOS BRUTOS'!CV$3:CV$500)))</f>
        <v/>
      </c>
      <c r="FW40" s="123">
        <f>IF(OR(FW$4="",$B40=""),0,SUMIF('DADOS BRUTOS'!$A$3:$A$500,$B40,'DADOS BRUTOS'!CW$3:CW$500)+IF($C40="",0,SUMIF('DADOS BRUTOS'!$A$3:$A$500,$C40,'DADOS BRUTOS'!CW$3:CW$500)))</f>
        <v/>
      </c>
      <c r="FX40" s="123">
        <f>IF(OR(FX$4="",$B40=""),0,SUMIF('DADOS BRUTOS'!$A$3:$A$500,$B40,'DADOS BRUTOS'!CX$3:CX$500)+IF($C40="",0,SUMIF('DADOS BRUTOS'!$A$3:$A$500,$C40,'DADOS BRUTOS'!CX$3:CX$500)))</f>
        <v/>
      </c>
      <c r="FY40" s="123">
        <f>IF(OR(FY$4="",$B40=""),0,SUMIF('DADOS BRUTOS'!$A$3:$A$500,$B40,'DADOS BRUTOS'!CY$3:CY$500)+IF($C40="",0,SUMIF('DADOS BRUTOS'!$A$3:$A$500,$C40,'DADOS BRUTOS'!CY$3:CY$500)))</f>
        <v/>
      </c>
      <c r="FZ40" s="123">
        <f>IF(OR(FZ$4="",$B40=""),0,SUMIF('DADOS BRUTOS'!$A$3:$A$500,$B40,'DADOS BRUTOS'!CZ$3:CZ$500)+IF($C40="",0,SUMIF('DADOS BRUTOS'!$A$3:$A$500,$C40,'DADOS BRUTOS'!CZ$3:CZ$500)))</f>
        <v/>
      </c>
      <c r="GA40" s="123">
        <f>IF(OR(GA$4="",$B40=""),0,SUMIF('DADOS BRUTOS'!$A$3:$A$500,$B40,'DADOS BRUTOS'!DA$3:DA$500)+IF($C40="",0,SUMIF('DADOS BRUTOS'!$A$3:$A$500,$C40,'DADOS BRUTOS'!DA$3:DA$500)))</f>
        <v/>
      </c>
      <c r="GB40" s="123">
        <f>IF(OR(GB$4="",$B40=""),0,SUMIF('DADOS BRUTOS'!$A$3:$A$500,$B40,'DADOS BRUTOS'!DB$3:DB$500)+IF($C40="",0,SUMIF('DADOS BRUTOS'!$A$3:$A$500,$C40,'DADOS BRUTOS'!DB$3:DB$500)))</f>
        <v/>
      </c>
      <c r="GC40" s="123">
        <f>IF(OR(GC$4="",$B40=""),0,SUMIF('DADOS BRUTOS'!$A$3:$A$500,$B40,'DADOS BRUTOS'!DC$3:DC$500)+IF($C40="",0,SUMIF('DADOS BRUTOS'!$A$3:$A$500,$C40,'DADOS BRUTOS'!DC$3:DC$500)))</f>
        <v/>
      </c>
      <c r="GD40" s="123">
        <f>IF(OR(GD$4="",$B40=""),0,SUMIF('DADOS BRUTOS'!$A$3:$A$500,$B40,'DADOS BRUTOS'!DD$3:DD$500)+IF($C40="",0,SUMIF('DADOS BRUTOS'!$A$3:$A$500,$C40,'DADOS BRUTOS'!DD$3:DD$500)))</f>
        <v/>
      </c>
      <c r="GE40" s="123">
        <f>IF(OR(GE$4="",$B40=""),0,SUMIF('DADOS BRUTOS'!$A$3:$A$500,$B40,'DADOS BRUTOS'!DE$3:DE$500)+IF($C40="",0,SUMIF('DADOS BRUTOS'!$A$3:$A$500,$C40,'DADOS BRUTOS'!DE$3:DE$500)))</f>
        <v/>
      </c>
      <c r="GF40" s="123">
        <f>IF(OR(GF$4="",$B40=""),0,SUMIF('DADOS BRUTOS'!$A$3:$A$500,$B40,'DADOS BRUTOS'!DF$3:DF$500)+IF($C40="",0,SUMIF('DADOS BRUTOS'!$A$3:$A$500,$C40,'DADOS BRUTOS'!DF$3:DF$500)))</f>
        <v/>
      </c>
      <c r="GG40" s="123">
        <f>IF(OR(GG$4="",$B40=""),0,SUMIF('DADOS BRUTOS'!$A$3:$A$500,$B40,'DADOS BRUTOS'!DG$3:DG$500)+IF($C40="",0,SUMIF('DADOS BRUTOS'!$A$3:$A$500,$C40,'DADOS BRUTOS'!DG$3:DG$500)))</f>
        <v/>
      </c>
      <c r="GH40" s="123">
        <f>IF(OR(GH$4="",$B40=""),0,SUMIF('DADOS BRUTOS'!$A$3:$A$500,$B40,'DADOS BRUTOS'!DH$3:DH$500)+IF($C40="",0,SUMIF('DADOS BRUTOS'!$A$3:$A$500,$C40,'DADOS BRUTOS'!DH$3:DH$500)))</f>
        <v/>
      </c>
      <c r="GI40" s="123">
        <f>IF(OR(GI$4="",$B40=""),0,SUMIF('DADOS BRUTOS'!$A$3:$A$500,$B40,'DADOS BRUTOS'!DI$3:DI$500)+IF($C40="",0,SUMIF('DADOS BRUTOS'!$A$3:$A$500,$C40,'DADOS BRUTOS'!DI$3:DI$500)))</f>
        <v/>
      </c>
      <c r="GJ40" s="123">
        <f>IF(OR(GJ$4="",$B40=""),0,SUMIF('DADOS BRUTOS'!$A$3:$A$500,$B40,'DADOS BRUTOS'!DJ$3:DJ$500)+IF($C40="",0,SUMIF('DADOS BRUTOS'!$A$3:$A$500,$C40,'DADOS BRUTOS'!DJ$3:DJ$500)))</f>
        <v/>
      </c>
      <c r="GK40" s="123">
        <f>IF(OR(GK$4="",$B40=""),0,SUMIF('DADOS BRUTOS'!$A$3:$A$500,$B40,'DADOS BRUTOS'!DK$3:DK$500)+IF($C40="",0,SUMIF('DADOS BRUTOS'!$A$3:$A$500,$C40,'DADOS BRUTOS'!DK$3:DK$500)))</f>
        <v/>
      </c>
      <c r="GL40" s="123">
        <f>IF(OR(GL$4="",$B40=""),0,SUMIF('DADOS BRUTOS'!$A$3:$A$500,$B40,'DADOS BRUTOS'!DL$3:DL$500)+IF($C40="",0,SUMIF('DADOS BRUTOS'!$A$3:$A$500,$C40,'DADOS BRUTOS'!DL$3:DL$500)))</f>
        <v/>
      </c>
      <c r="GM40" s="123">
        <f>IF(OR(GM$4="",$B40=""),0,SUMIF('DADOS BRUTOS'!$A$3:$A$500,$B40,'DADOS BRUTOS'!DM$3:DM$500)+IF($C40="",0,SUMIF('DADOS BRUTOS'!$A$3:$A$500,$C40,'DADOS BRUTOS'!DM$3:DM$500)))</f>
        <v/>
      </c>
      <c r="GN40" s="123">
        <f>IF(OR(GN$4="",$B40=""),0,SUMIF('DADOS BRUTOS'!$A$3:$A$500,$B40,'DADOS BRUTOS'!DN$3:DN$500)+IF($C40="",0,SUMIF('DADOS BRUTOS'!$A$3:$A$500,$C40,'DADOS BRUTOS'!DN$3:DN$500)))</f>
        <v/>
      </c>
      <c r="GO40" s="123">
        <f>IF(OR(GO$4="",$B40=""),0,SUMIF('DADOS BRUTOS'!$A$3:$A$500,$B40,'DADOS BRUTOS'!DO$3:DO$500)+IF($C40="",0,SUMIF('DADOS BRUTOS'!$A$3:$A$500,$C40,'DADOS BRUTOS'!DO$3:DO$500)))</f>
        <v/>
      </c>
      <c r="GP40" s="123">
        <f>IF(OR(GP$4="",$B40=""),0,SUMIF('DADOS BRUTOS'!$A$3:$A$500,$B40,'DADOS BRUTOS'!DP$3:DP$500)+IF($C40="",0,SUMIF('DADOS BRUTOS'!$A$3:$A$500,$C40,'DADOS BRUTOS'!DP$3:DP$500)))</f>
        <v/>
      </c>
      <c r="GQ40" s="123">
        <f>IF(OR(GQ$4="",$B40=""),0,SUMIF('DADOS BRUTOS'!$A$3:$A$500,$B40,'DADOS BRUTOS'!DQ$3:DQ$500)+IF($C40="",0,SUMIF('DADOS BRUTOS'!$A$3:$A$500,$C40,'DADOS BRUTOS'!DQ$3:DQ$500)))</f>
        <v/>
      </c>
      <c r="GR40" s="123">
        <f>IF(OR(GR$4="",$B40=""),0,SUMIF('DADOS BRUTOS'!$A$3:$A$500,$B40,'DADOS BRUTOS'!DR$3:DR$500)+IF($C40="",0,SUMIF('DADOS BRUTOS'!$A$3:$A$500,$C40,'DADOS BRUTOS'!DR$3:DR$500)))</f>
        <v/>
      </c>
      <c r="GS40" s="123">
        <f>IF(OR(GS$4="",$B40=""),0,SUMIF('DADOS BRUTOS'!$A$3:$A$500,$B40,'DADOS BRUTOS'!DS$3:DS$500)+IF($C40="",0,SUMIF('DADOS BRUTOS'!$A$3:$A$500,$C40,'DADOS BRUTOS'!DS$3:DS$500)))</f>
        <v/>
      </c>
      <c r="GT40" s="123">
        <f>IF(OR(GT$4="",$B40=""),0,SUMIF('DADOS BRUTOS'!$A$3:$A$500,$B40,'DADOS BRUTOS'!DT$3:DT$500)+IF($C40="",0,SUMIF('DADOS BRUTOS'!$A$3:$A$500,$C40,'DADOS BRUTOS'!DT$3:DT$500)))</f>
        <v/>
      </c>
      <c r="GU40" s="123">
        <f>IF(OR(GU$4="",$B40=""),0,SUMIF('DADOS BRUTOS'!$A$3:$A$500,$B40,'DADOS BRUTOS'!DU$3:DU$500)+IF($C40="",0,SUMIF('DADOS BRUTOS'!$A$3:$A$500,$C40,'DADOS BRUTOS'!DU$3:DU$500)))</f>
        <v/>
      </c>
      <c r="GV40" s="123">
        <f>IF(OR(GV$4="",$B40=""),0,SUMIF('DADOS BRUTOS'!$A$3:$A$500,$B40,'DADOS BRUTOS'!DV$3:DV$500)+IF($C40="",0,SUMIF('DADOS BRUTOS'!$A$3:$A$500,$C40,'DADOS BRUTOS'!DV$3:DV$500)))</f>
        <v/>
      </c>
      <c r="GW40" s="123">
        <f>IF(OR(GW$4="",$B40=""),0,SUMIF('DADOS BRUTOS'!$A$3:$A$500,$B40,'DADOS BRUTOS'!DW$3:DW$500)+IF($C40="",0,SUMIF('DADOS BRUTOS'!$A$3:$A$500,$C40,'DADOS BRUTOS'!DW$3:DW$500)))</f>
        <v/>
      </c>
      <c r="GX40" s="123">
        <f>IF(OR(GX$4="",$B40=""),0,SUMIF('DADOS BRUTOS'!$A$3:$A$500,$B40,'DADOS BRUTOS'!DX$3:DX$500)+IF($C40="",0,SUMIF('DADOS BRUTOS'!$A$3:$A$500,$C40,'DADOS BRUTOS'!DX$3:DX$500)))</f>
        <v/>
      </c>
      <c r="GY40" s="123">
        <f>IF(OR(GY$4="",$B40=""),0,SUMIF('DADOS BRUTOS'!$A$3:$A$500,$B40,'DADOS BRUTOS'!DY$3:DY$500)+IF($C40="",0,SUMIF('DADOS BRUTOS'!$A$3:$A$500,$C40,'DADOS BRUTOS'!DY$3:DY$500)))</f>
        <v/>
      </c>
      <c r="GZ40" s="123">
        <f>IF(OR(GZ$4="",$B40=""),0,SUMIF('DADOS BRUTOS'!$A$3:$A$500,$B40,'DADOS BRUTOS'!DZ$3:DZ$500)+IF($C40="",0,SUMIF('DADOS BRUTOS'!$A$3:$A$500,$C40,'DADOS BRUTOS'!DZ$3:DZ$500)))</f>
        <v/>
      </c>
      <c r="HA40" s="123">
        <f>IF(OR(HA$4="",$B40=""),0,SUMIF('DADOS BRUTOS'!$A$3:$A$500,$B40,'DADOS BRUTOS'!EA$3:EA$500)+IF($C40="",0,SUMIF('DADOS BRUTOS'!$A$3:$A$500,$C40,'DADOS BRUTOS'!EA$3:EA$500)))</f>
        <v/>
      </c>
      <c r="HB40" s="123">
        <f>IF(OR(HB$4="",$B40=""),0,SUMIF('DADOS BRUTOS'!$A$3:$A$500,$B40,'DADOS BRUTOS'!EB$3:EB$500)+IF($C40="",0,SUMIF('DADOS BRUTOS'!$A$3:$A$500,$C40,'DADOS BRUTOS'!EB$3:EB$500)))</f>
        <v/>
      </c>
      <c r="HC40" s="123">
        <f>IF(OR(HC$4="",$B40=""),0,SUMIF('DADOS BRUTOS'!$A$3:$A$500,$B40,'DADOS BRUTOS'!EC$3:EC$500)+IF($C40="",0,SUMIF('DADOS BRUTOS'!$A$3:$A$500,$C40,'DADOS BRUTOS'!EC$3:EC$500)))</f>
        <v/>
      </c>
      <c r="HD40" s="123">
        <f>IF(OR(HD$4="",$B40=""),0,SUMIF('DADOS BRUTOS'!$A$3:$A$500,$B40,'DADOS BRUTOS'!ED$3:ED$500)+IF($C40="",0,SUMIF('DADOS BRUTOS'!$A$3:$A$500,$C40,'DADOS BRUTOS'!ED$3:ED$500)))</f>
        <v/>
      </c>
      <c r="HE40" s="123">
        <f>IF(OR(HE$4="",$B40=""),0,SUMIF('DADOS BRUTOS'!$A$3:$A$500,$B40,'DADOS BRUTOS'!EE$3:EE$500)+IF($C40="",0,SUMIF('DADOS BRUTOS'!$A$3:$A$500,$C40,'DADOS BRUTOS'!EE$3:EE$500)))</f>
        <v/>
      </c>
      <c r="HF40" s="123">
        <f>IF(OR(HF$4="",$B40=""),0,SUMIF('DADOS BRUTOS'!$A$3:$A$500,$B40,'DADOS BRUTOS'!EF$3:EF$500)+IF($C40="",0,SUMIF('DADOS BRUTOS'!$A$3:$A$500,$C40,'DADOS BRUTOS'!EF$3:EF$500)))</f>
        <v/>
      </c>
      <c r="HG40" s="123">
        <f>IF(OR(HG$4="",$B40=""),0,SUMIF('DADOS BRUTOS'!$A$3:$A$500,$B40,'DADOS BRUTOS'!EG$3:EG$500)+IF($C40="",0,SUMIF('DADOS BRUTOS'!$A$3:$A$500,$C40,'DADOS BRUTOS'!EG$3:EG$500)))</f>
        <v/>
      </c>
      <c r="HH40" s="123">
        <f>IF(OR(HH$4="",$B40=""),0,SUMIF('DADOS BRUTOS'!$A$3:$A$500,$B40,'DADOS BRUTOS'!EH$3:EH$500)+IF($C40="",0,SUMIF('DADOS BRUTOS'!$A$3:$A$500,$C40,'DADOS BRUTOS'!EH$3:EH$500)))</f>
        <v/>
      </c>
      <c r="HI40" s="123">
        <f>IF(OR(HI$4="",$B40=""),0,SUMIF('DADOS BRUTOS'!$A$3:$A$500,$B40,'DADOS BRUTOS'!EI$3:EI$500)+IF($C40="",0,SUMIF('DADOS BRUTOS'!$A$3:$A$500,$C40,'DADOS BRUTOS'!EI$3:EI$500)))</f>
        <v/>
      </c>
      <c r="HJ40" s="123">
        <f>IF(OR(HJ$4="",$B40=""),0,SUMIF('DADOS BRUTOS'!$A$3:$A$500,$B40,'DADOS BRUTOS'!EJ$3:EJ$500)+IF($C40="",0,SUMIF('DADOS BRUTOS'!$A$3:$A$500,$C40,'DADOS BRUTOS'!EJ$3:EJ$500)))</f>
        <v/>
      </c>
      <c r="HK40" s="123">
        <f>IF(OR(HK$4="",$B40=""),0,SUMIF('DADOS BRUTOS'!$A$3:$A$500,$B40,'DADOS BRUTOS'!EK$3:EK$500)+IF($C40="",0,SUMIF('DADOS BRUTOS'!$A$3:$A$500,$C40,'DADOS BRUTOS'!EK$3:EK$500)))</f>
        <v/>
      </c>
      <c r="HL40" s="123">
        <f>IF(OR(HL$4="",$B40=""),0,SUMIF('DADOS BRUTOS'!$A$3:$A$500,$B40,'DADOS BRUTOS'!EL$3:EL$500)+IF($C40="",0,SUMIF('DADOS BRUTOS'!$A$3:$A$500,$C40,'DADOS BRUTOS'!EL$3:EL$500)))</f>
        <v/>
      </c>
      <c r="HM40" s="123">
        <f>IF(OR(HM$4="",$B40=""),0,SUMIF('DADOS BRUTOS'!$A$3:$A$500,$B40,'DADOS BRUTOS'!EM$3:EM$500)+IF($C40="",0,SUMIF('DADOS BRUTOS'!$A$3:$A$500,$C40,'DADOS BRUTOS'!EM$3:EM$500)))</f>
        <v/>
      </c>
      <c r="HN40" s="123">
        <f>IF(OR(HN$4="",$B40=""),0,SUMIF('DADOS BRUTOS'!$A$3:$A$500,$B40,'DADOS BRUTOS'!EN$3:EN$500)+IF($C40="",0,SUMIF('DADOS BRUTOS'!$A$3:$A$500,$C40,'DADOS BRUTOS'!EN$3:EN$500)))</f>
        <v/>
      </c>
      <c r="HO40" s="123">
        <f>IF(OR(HO$4="",$B40=""),0,SUMIF('DADOS BRUTOS'!$A$3:$A$500,$B40,'DADOS BRUTOS'!EO$3:EO$500)+IF($C40="",0,SUMIF('DADOS BRUTOS'!$A$3:$A$500,$C40,'DADOS BRUTOS'!EO$3:EO$500)))</f>
        <v/>
      </c>
      <c r="HP40" s="123">
        <f>IF(OR(HP$4="",$B40=""),0,SUMIF('DADOS BRUTOS'!$A$3:$A$500,$B40,'DADOS BRUTOS'!EP$3:EP$500)+IF($C40="",0,SUMIF('DADOS BRUTOS'!$A$3:$A$500,$C40,'DADOS BRUTOS'!EP$3:EP$500)))</f>
        <v/>
      </c>
      <c r="HQ40" s="123">
        <f>IF(OR(HQ$4="",$B40=""),0,SUMIF('DADOS BRUTOS'!$A$3:$A$500,$B40,'DADOS BRUTOS'!EQ$3:EQ$500)+IF($C40="",0,SUMIF('DADOS BRUTOS'!$A$3:$A$500,$C40,'DADOS BRUTOS'!EQ$3:EQ$500)))</f>
        <v/>
      </c>
      <c r="HR40" s="123">
        <f>IF(OR(HR$4="",$B40=""),0,SUMIF('DADOS BRUTOS'!$A$3:$A$500,$B40,'DADOS BRUTOS'!ER$3:ER$500)+IF($C40="",0,SUMIF('DADOS BRUTOS'!$A$3:$A$500,$C40,'DADOS BRUTOS'!ER$3:ER$500)))</f>
        <v/>
      </c>
      <c r="HS40" s="123">
        <f>IF(OR(HS$4="",$B40=""),0,SUMIF('DADOS BRUTOS'!$A$3:$A$500,$B40,'DADOS BRUTOS'!ES$3:ES$500)+IF($C40="",0,SUMIF('DADOS BRUTOS'!$A$3:$A$500,$C40,'DADOS BRUTOS'!ES$3:ES$500)))</f>
        <v/>
      </c>
      <c r="HT40" s="123">
        <f>IF(OR(HT$4="",$B40=""),0,SUMIF('DADOS BRUTOS'!$A$3:$A$500,$B40,'DADOS BRUTOS'!ET$3:ET$500)+IF($C40="",0,SUMIF('DADOS BRUTOS'!$A$3:$A$500,$C40,'DADOS BRUTOS'!ET$3:ET$500)))</f>
        <v/>
      </c>
      <c r="HU40" s="123">
        <f>IF(OR(HU$4="",$B40=""),0,SUMIF('DADOS BRUTOS'!$A$3:$A$500,$B40,'DADOS BRUTOS'!EU$3:EU$500)+IF($C40="",0,SUMIF('DADOS BRUTOS'!$A$3:$A$500,$C40,'DADOS BRUTOS'!EU$3:EU$500)))</f>
        <v/>
      </c>
      <c r="HV40" s="123">
        <f>IF(OR(HV$4="",$B40=""),0,SUMIF('DADOS BRUTOS'!$A$3:$A$500,$B40,'DADOS BRUTOS'!EV$3:EV$500)+IF($C40="",0,SUMIF('DADOS BRUTOS'!$A$3:$A$500,$C40,'DADOS BRUTOS'!EV$3:EV$500)))</f>
        <v/>
      </c>
      <c r="HW40" s="123">
        <f>IF(OR(HW$4="",$B40=""),0,SUMIF('DADOS BRUTOS'!$A$3:$A$500,$B40,'DADOS BRUTOS'!EW$3:EW$500)+IF($C40="",0,SUMIF('DADOS BRUTOS'!$A$3:$A$500,$C40,'DADOS BRUTOS'!EW$3:EW$500)))</f>
        <v/>
      </c>
      <c r="HX40" s="123">
        <f>IF(OR(HX$4="",$B40=""),0,SUMIF('DADOS BRUTOS'!$A$3:$A$500,$B40,'DADOS BRUTOS'!EX$3:EX$500)+IF($C40="",0,SUMIF('DADOS BRUTOS'!$A$3:$A$500,$C40,'DADOS BRUTOS'!EX$3:EX$500)))</f>
        <v/>
      </c>
      <c r="HY40" s="123">
        <f>IF(OR(HY$4="",$B40=""),0,SUMIF('DADOS BRUTOS'!$A$3:$A$500,$B40,'DADOS BRUTOS'!EY$3:EY$500)+IF($C40="",0,SUMIF('DADOS BRUTOS'!$A$3:$A$500,$C40,'DADOS BRUTOS'!EY$3:EY$500)))</f>
        <v/>
      </c>
      <c r="HZ40" s="123">
        <f>IF(OR(HZ$4="",$B40=""),0,SUMIF('DADOS BRUTOS'!$A$3:$A$500,$B40,'DADOS BRUTOS'!EZ$3:EZ$500)+IF($C40="",0,SUMIF('DADOS BRUTOS'!$A$3:$A$500,$C40,'DADOS BRUTOS'!EZ$3:EZ$500)))</f>
        <v/>
      </c>
      <c r="IA40" s="123">
        <f>IF(OR(IA$4="",$B40=""),0,SUMIF('DADOS BRUTOS'!$A$3:$A$500,$B40,'DADOS BRUTOS'!FA$3:FA$500)+IF($C40="",0,SUMIF('DADOS BRUTOS'!$A$3:$A$500,$C40,'DADOS BRUTOS'!FA$3:FA$500)))</f>
        <v/>
      </c>
      <c r="IB40" s="123">
        <f>IF(OR(IB$4="",$B40=""),0,SUMIF('DADOS BRUTOS'!$A$3:$A$500,$B40,'DADOS BRUTOS'!FB$3:FB$500)+IF($C40="",0,SUMIF('DADOS BRUTOS'!$A$3:$A$500,$C40,'DADOS BRUTOS'!FB$3:FB$500)))</f>
        <v/>
      </c>
      <c r="IC40" s="123">
        <f>IF(OR(IC$4="",$B40=""),0,SUMIF('DADOS BRUTOS'!$A$3:$A$500,$B40,'DADOS BRUTOS'!FC$3:FC$500)+IF($C40="",0,SUMIF('DADOS BRUTOS'!$A$3:$A$500,$C40,'DADOS BRUTOS'!FC$3:FC$500)))</f>
        <v/>
      </c>
      <c r="ID40" s="123">
        <f>IF(OR(ID$4="",$B40=""),0,SUMIF('DADOS BRUTOS'!$A$3:$A$500,$B40,'DADOS BRUTOS'!FD$3:FD$500)+IF($C40="",0,SUMIF('DADOS BRUTOS'!$A$3:$A$500,$C40,'DADOS BRUTOS'!FD$3:FD$500)))</f>
        <v/>
      </c>
      <c r="IE40" s="123">
        <f>IF(OR(IE$4="",$B40=""),0,SUMIF('DADOS BRUTOS'!$A$3:$A$500,$B40,'DADOS BRUTOS'!FE$3:FE$500)+IF($C40="",0,SUMIF('DADOS BRUTOS'!$A$3:$A$500,$C40,'DADOS BRUTOS'!FE$3:FE$500)))</f>
        <v/>
      </c>
      <c r="IF40" s="123">
        <f>IF(OR(IF$4="",$B40=""),0,SUMIF('DADOS BRUTOS'!$A$3:$A$500,$B40,'DADOS BRUTOS'!FF$3:FF$500)+IF($C40="",0,SUMIF('DADOS BRUTOS'!$A$3:$A$500,$C40,'DADOS BRUTOS'!FF$3:FF$500)))</f>
        <v/>
      </c>
      <c r="IG40" s="123">
        <f>IF(OR(IG$4="",$B40=""),0,SUMIF('DADOS BRUTOS'!$A$3:$A$500,$B40,'DADOS BRUTOS'!FG$3:FG$500)+IF($C40="",0,SUMIF('DADOS BRUTOS'!$A$3:$A$500,$C40,'DADOS BRUTOS'!FG$3:FG$500)))</f>
        <v/>
      </c>
      <c r="IH40" s="123">
        <f>IF(OR(IH$4="",$B40=""),0,SUMIF('DADOS BRUTOS'!$A$3:$A$500,$B40,'DADOS BRUTOS'!FH$3:FH$500)+IF($C40="",0,SUMIF('DADOS BRUTOS'!$A$3:$A$500,$C40,'DADOS BRUTOS'!FH$3:FH$500)))</f>
        <v/>
      </c>
      <c r="II40" s="123">
        <f>IF(OR(II$4="",$B40=""),0,SUMIF('DADOS BRUTOS'!$A$3:$A$500,$B40,'DADOS BRUTOS'!FI$3:FI$500)+IF($C40="",0,SUMIF('DADOS BRUTOS'!$A$3:$A$500,$C40,'DADOS BRUTOS'!FI$3:FI$500)))</f>
        <v/>
      </c>
      <c r="IJ40" s="123">
        <f>IF(OR(IJ$4="",$B40=""),0,SUMIF('DADOS BRUTOS'!$A$3:$A$500,$B40,'DADOS BRUTOS'!FJ$3:FJ$500)+IF($C40="",0,SUMIF('DADOS BRUTOS'!$A$3:$A$500,$C40,'DADOS BRUTOS'!FJ$3:FJ$500)))</f>
        <v/>
      </c>
      <c r="IK40" s="123">
        <f>IF(OR(IK$4="",$B40=""),0,SUMIF('DADOS BRUTOS'!$A$3:$A$500,$B40,'DADOS BRUTOS'!FK$3:FK$500)+IF($C40="",0,SUMIF('DADOS BRUTOS'!$A$3:$A$500,$C40,'DADOS BRUTOS'!FK$3:FK$500)))</f>
        <v/>
      </c>
      <c r="IL40" s="123">
        <f>IF(OR(IL$4="",$B40=""),0,SUMIF('DADOS BRUTOS'!$A$3:$A$500,$B40,'DADOS BRUTOS'!FL$3:FL$500)+IF($C40="",0,SUMIF('DADOS BRUTOS'!$A$3:$A$500,$C40,'DADOS BRUTOS'!FL$3:FL$500)))</f>
        <v/>
      </c>
      <c r="IM40" s="123">
        <f>IF(OR(IM$4="",$B40=""),0,SUMIF('DADOS BRUTOS'!$A$3:$A$500,$B40,'DADOS BRUTOS'!FM$3:FM$500)+IF($C40="",0,SUMIF('DADOS BRUTOS'!$A$3:$A$500,$C40,'DADOS BRUTOS'!FM$3:FM$500)))</f>
        <v/>
      </c>
      <c r="IN40" s="123">
        <f>IF(OR(IN$4="",$B40=""),0,SUMIF('DADOS BRUTOS'!$A$3:$A$500,$B40,'DADOS BRUTOS'!FN$3:FN$500)+IF($C40="",0,SUMIF('DADOS BRUTOS'!$A$3:$A$500,$C40,'DADOS BRUTOS'!FN$3:FN$500)))</f>
        <v/>
      </c>
      <c r="IO40" s="123">
        <f>IF(OR(IO$4="",$B40=""),0,SUMIF('DADOS BRUTOS'!$A$3:$A$500,$B40,'DADOS BRUTOS'!FO$3:FO$500)+IF($C40="",0,SUMIF('DADOS BRUTOS'!$A$3:$A$500,$C40,'DADOS BRUTOS'!FO$3:FO$500)))</f>
        <v/>
      </c>
      <c r="IP40" s="123">
        <f>IF(OR(IP$4="",$B40=""),0,SUMIF('DADOS BRUTOS'!$A$3:$A$500,$B40,'DADOS BRUTOS'!FP$3:FP$500)+IF($C40="",0,SUMIF('DADOS BRUTOS'!$A$3:$A$500,$C40,'DADOS BRUTOS'!FP$3:FP$500)))</f>
        <v/>
      </c>
      <c r="IQ40" s="123">
        <f>IF(OR(IQ$4="",$B40=""),0,SUMIF('DADOS BRUTOS'!$A$3:$A$500,$B40,'DADOS BRUTOS'!FQ$3:FQ$500)+IF($C40="",0,SUMIF('DADOS BRUTOS'!$A$3:$A$500,$C40,'DADOS BRUTOS'!FQ$3:FQ$500)))</f>
        <v/>
      </c>
      <c r="IR40" s="123">
        <f>IF(OR(IR$4="",$B40=""),0,SUMIF('DADOS BRUTOS'!$A$3:$A$500,$B40,'DADOS BRUTOS'!FR$3:FR$500)+IF($C40="",0,SUMIF('DADOS BRUTOS'!$A$3:$A$500,$C40,'DADOS BRUTOS'!FR$3:FR$500)))</f>
        <v/>
      </c>
      <c r="IS40" s="123">
        <f>IF(OR(IS$4="",$B40=""),0,SUMIF('DADOS BRUTOS'!$A$3:$A$500,$B40,'DADOS BRUTOS'!FS$3:FS$500)+IF($C40="",0,SUMIF('DADOS BRUTOS'!$A$3:$A$500,$C40,'DADOS BRUTOS'!FS$3:FS$500)))</f>
        <v/>
      </c>
      <c r="IT40" s="123">
        <f>IF(OR(IT$4="",$B40=""),0,SUMIF('DADOS BRUTOS'!$A$3:$A$500,$B40,'DADOS BRUTOS'!FT$3:FT$500)+IF($C40="",0,SUMIF('DADOS BRUTOS'!$A$3:$A$500,$C40,'DADOS BRUTOS'!FT$3:FT$500)))</f>
        <v/>
      </c>
      <c r="IU40" s="123">
        <f>IF(OR(IU$4="",$B40=""),0,SUMIF('DADOS BRUTOS'!$A$3:$A$500,$B40,'DADOS BRUTOS'!FU$3:FU$500)+IF($C40="",0,SUMIF('DADOS BRUTOS'!$A$3:$A$500,$C40,'DADOS BRUTOS'!FU$3:FU$500)))</f>
        <v/>
      </c>
      <c r="IV40" s="123">
        <f>IF(OR(IV$4="",$B40=""),0,SUMIF('DADOS BRUTOS'!$A$3:$A$500,$B40,'DADOS BRUTOS'!FV$3:FV$500)+IF($C40="",0,SUMIF('DADOS BRUTOS'!$A$3:$A$500,$C40,'DADOS BRUTOS'!FV$3:FV$500)))</f>
        <v/>
      </c>
      <c r="IW40" s="123">
        <f>IF(OR(IW$4="",$B40=""),0,SUMIF('DADOS BRUTOS'!$A$3:$A$500,$B40,'DADOS BRUTOS'!FW$3:FW$500)+IF($C40="",0,SUMIF('DADOS BRUTOS'!$A$3:$A$500,$C40,'DADOS BRUTOS'!FW$3:FW$500)))</f>
        <v/>
      </c>
      <c r="IX40" s="123">
        <f>IF(OR(IX$4="",$B40=""),0,SUMIF('DADOS BRUTOS'!$A$3:$A$500,$B40,'DADOS BRUTOS'!FX$3:FX$500)+IF($C40="",0,SUMIF('DADOS BRUTOS'!$A$3:$A$500,$C40,'DADOS BRUTOS'!FX$3:FX$500)))</f>
        <v/>
      </c>
      <c r="IY40" s="123">
        <f>IF(OR(IY$4="",$B40=""),0,SUMIF('DADOS BRUTOS'!$A$3:$A$500,$B40,'DADOS BRUTOS'!FY$3:FY$500)+IF($C40="",0,SUMIF('DADOS BRUTOS'!$A$3:$A$500,$C40,'DADOS BRUTOS'!FY$3:FY$500)))</f>
        <v/>
      </c>
      <c r="IZ40" s="123">
        <f>IF(OR(IZ$4="",$B40=""),0,SUMIF('DADOS BRUTOS'!$A$3:$A$500,$B40,'DADOS BRUTOS'!FZ$3:FZ$500)+IF($C40="",0,SUMIF('DADOS BRUTOS'!$A$3:$A$500,$C40,'DADOS BRUTOS'!FZ$3:FZ$500)))</f>
        <v/>
      </c>
      <c r="JA40" s="123">
        <f>IF(OR(JA$4="",$B40=""),0,SUMIF('DADOS BRUTOS'!$A$3:$A$500,$B40,'DADOS BRUTOS'!GA$3:GA$500)+IF($C40="",0,SUMIF('DADOS BRUTOS'!$A$3:$A$500,$C40,'DADOS BRUTOS'!GA$3:GA$500)))</f>
        <v/>
      </c>
      <c r="JB40" s="123">
        <f>IF(OR(JB$4="",$B40=""),0,SUMIF('DADOS BRUTOS'!$A$3:$A$500,$B40,'DADOS BRUTOS'!GB$3:GB$500)+IF($C40="",0,SUMIF('DADOS BRUTOS'!$A$3:$A$500,$C40,'DADOS BRUTOS'!GB$3:GB$500)))</f>
        <v/>
      </c>
      <c r="JC40" s="123">
        <f>IF(OR(JC$4="",$B40=""),0,SUMIF('DADOS BRUTOS'!$A$3:$A$500,$B40,'DADOS BRUTOS'!GC$3:GC$500)+IF($C40="",0,SUMIF('DADOS BRUTOS'!$A$3:$A$500,$C40,'DADOS BRUTOS'!GC$3:GC$500)))</f>
        <v/>
      </c>
      <c r="JD40" s="123">
        <f>IF(OR(JD$4="",$B40=""),0,SUMIF('DADOS BRUTOS'!$A$3:$A$500,$B40,'DADOS BRUTOS'!GD$3:GD$500)+IF($C40="",0,SUMIF('DADOS BRUTOS'!$A$3:$A$500,$C40,'DADOS BRUTOS'!GD$3:GD$500)))</f>
        <v/>
      </c>
      <c r="JE40" s="123">
        <f>IF(OR(JE$4="",$B40=""),0,SUMIF('DADOS BRUTOS'!$A$3:$A$500,$B40,'DADOS BRUTOS'!GE$3:GE$500)+IF($C40="",0,SUMIF('DADOS BRUTOS'!$A$3:$A$500,$C40,'DADOS BRUTOS'!GE$3:GE$500)))</f>
        <v/>
      </c>
      <c r="JF40" s="123">
        <f>IF(OR(JF$4="",$B40=""),0,SUMIF('DADOS BRUTOS'!$A$3:$A$500,$B40,'DADOS BRUTOS'!GF$3:GF$500)+IF($C40="",0,SUMIF('DADOS BRUTOS'!$A$3:$A$500,$C40,'DADOS BRUTOS'!GF$3:GF$500)))</f>
        <v/>
      </c>
      <c r="JG40" s="123">
        <f>IF(OR(JG$4="",$B40=""),0,SUMIF('DADOS BRUTOS'!$A$3:$A$500,$B40,'DADOS BRUTOS'!GG$3:GG$500)+IF($C40="",0,SUMIF('DADOS BRUTOS'!$A$3:$A$500,$C40,'DADOS BRUTOS'!GG$3:GG$500)))</f>
        <v/>
      </c>
      <c r="JH40" s="123">
        <f>IF(OR(JH$4="",$B40=""),0,SUMIF('DADOS BRUTOS'!$A$3:$A$500,$B40,'DADOS BRUTOS'!GH$3:GH$500)+IF($C40="",0,SUMIF('DADOS BRUTOS'!$A$3:$A$500,$C40,'DADOS BRUTOS'!GH$3:GH$500)))</f>
        <v/>
      </c>
      <c r="JI40" s="123">
        <f>IF(OR(JI$4="",$B40=""),0,SUMIF('DADOS BRUTOS'!$A$3:$A$500,$B40,'DADOS BRUTOS'!GI$3:GI$500)+IF($C40="",0,SUMIF('DADOS BRUTOS'!$A$3:$A$500,$C40,'DADOS BRUTOS'!GI$3:GI$500)))</f>
        <v/>
      </c>
      <c r="JJ40" s="123">
        <f>IF(OR(JJ$4="",$B40=""),0,SUMIF('DADOS BRUTOS'!$A$3:$A$500,$B40,'DADOS BRUTOS'!GJ$3:GJ$500)+IF($C40="",0,SUMIF('DADOS BRUTOS'!$A$3:$A$500,$C40,'DADOS BRUTOS'!GJ$3:GJ$500)))</f>
        <v/>
      </c>
      <c r="JK40" s="123">
        <f>IF(OR(JK$4="",$B40=""),0,SUMIF('DADOS BRUTOS'!$A$3:$A$500,$B40,'DADOS BRUTOS'!GK$3:GK$500)+IF($C40="",0,SUMIF('DADOS BRUTOS'!$A$3:$A$500,$C40,'DADOS BRUTOS'!GK$3:GK$500)))</f>
        <v/>
      </c>
      <c r="JL40" s="123">
        <f>IF(OR(JL$4="",$B40=""),0,SUMIF('DADOS BRUTOS'!$A$3:$A$500,$B40,'DADOS BRUTOS'!GL$3:GL$500)+IF($C40="",0,SUMIF('DADOS BRUTOS'!$A$3:$A$500,$C40,'DADOS BRUTOS'!GL$3:GL$500)))</f>
        <v/>
      </c>
      <c r="JM40" s="123">
        <f>IF(OR(JM$4="",$B40=""),0,SUMIF('DADOS BRUTOS'!$A$3:$A$500,$B40,'DADOS BRUTOS'!GM$3:GM$500)+IF($C40="",0,SUMIF('DADOS BRUTOS'!$A$3:$A$500,$C40,'DADOS BRUTOS'!GM$3:GM$500)))</f>
        <v/>
      </c>
      <c r="JN40" s="123">
        <f>IF(OR(JN$4="",$B40=""),0,SUMIF('DADOS BRUTOS'!$A$3:$A$500,$B40,'DADOS BRUTOS'!GN$3:GN$500)+IF($C40="",0,SUMIF('DADOS BRUTOS'!$A$3:$A$500,$C40,'DADOS BRUTOS'!GN$3:GN$500)))</f>
        <v/>
      </c>
      <c r="JO40" s="123">
        <f>IF(OR(JO$4="",$B40=""),0,SUMIF('DADOS BRUTOS'!$A$3:$A$500,$B40,'DADOS BRUTOS'!GO$3:GO$500)+IF($C40="",0,SUMIF('DADOS BRUTOS'!$A$3:$A$500,$C40,'DADOS BRUTOS'!GO$3:GO$500)))</f>
        <v/>
      </c>
      <c r="JP40" s="123">
        <f>IF(OR(JP$4="",$B40=""),0,SUMIF('DADOS BRUTOS'!$A$3:$A$500,$B40,'DADOS BRUTOS'!GP$3:GP$500)+IF($C40="",0,SUMIF('DADOS BRUTOS'!$A$3:$A$500,$C40,'DADOS BRUTOS'!GP$3:GP$500)))</f>
        <v/>
      </c>
      <c r="JQ40" s="123">
        <f>IF(OR(JQ$4="",$B40=""),0,SUMIF('DADOS BRUTOS'!$A$3:$A$500,$B40,'DADOS BRUTOS'!GQ$3:GQ$500)+IF($C40="",0,SUMIF('DADOS BRUTOS'!$A$3:$A$500,$C40,'DADOS BRUTOS'!GQ$3:GQ$500)))</f>
        <v/>
      </c>
      <c r="JR40" s="123">
        <f>IF(OR(JR$4="",$B40=""),0,SUMIF('DADOS BRUTOS'!$A$3:$A$500,$B40,'DADOS BRUTOS'!GR$3:GR$500)+IF($C40="",0,SUMIF('DADOS BRUTOS'!$A$3:$A$500,$C40,'DADOS BRUTOS'!GR$3:GR$500)))</f>
        <v/>
      </c>
      <c r="JS40" s="123">
        <f>IF(OR(JS$4="",$B40=""),0,SUMIF('DADOS BRUTOS'!$A$3:$A$500,$B40,'DADOS BRUTOS'!GS$3:GS$500)+IF($C40="",0,SUMIF('DADOS BRUTOS'!$A$3:$A$500,$C40,'DADOS BRUTOS'!GS$3:GS$500)))</f>
        <v/>
      </c>
    </row>
    <row r="41">
      <c r="A41" s="60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CB41" s="123">
        <f>IF(OR(CB$4="",$B41=""),0,SUMIF('DADOS BRUTOS'!$A$3:$A$500,$B41,'DADOS BRUTOS'!B$3:B$500)+IF($C41="",0,SUMIF('DADOS BRUTOS'!$A$3:$A$500,$C41,'DADOS BRUTOS'!B$3:B$500)))</f>
        <v/>
      </c>
      <c r="CC41" s="123">
        <f>IF(OR(CC$4="",$B41=""),0,SUMIF('DADOS BRUTOS'!$A$3:$A$500,$B41,'DADOS BRUTOS'!C$3:C$500)+IF($C41="",0,SUMIF('DADOS BRUTOS'!$A$3:$A$500,$C41,'DADOS BRUTOS'!C$3:C$500)))</f>
        <v/>
      </c>
      <c r="CD41" s="123">
        <f>IF(OR(CD$4="",$B41=""),0,SUMIF('DADOS BRUTOS'!$A$3:$A$500,$B41,'DADOS BRUTOS'!D$3:D$500)+IF($C41="",0,SUMIF('DADOS BRUTOS'!$A$3:$A$500,$C41,'DADOS BRUTOS'!D$3:D$500)))</f>
        <v/>
      </c>
      <c r="CE41" s="123">
        <f>IF(OR(CE$4="",$B41=""),0,SUMIF('DADOS BRUTOS'!$A$3:$A$500,$B41,'DADOS BRUTOS'!E$3:E$500)+IF($C41="",0,SUMIF('DADOS BRUTOS'!$A$3:$A$500,$C41,'DADOS BRUTOS'!E$3:E$500)))</f>
        <v/>
      </c>
      <c r="CF41" s="123">
        <f>IF(OR(CF$4="",$B41=""),0,SUMIF('DADOS BRUTOS'!$A$3:$A$500,$B41,'DADOS BRUTOS'!F$3:F$500)+IF($C41="",0,SUMIF('DADOS BRUTOS'!$A$3:$A$500,$C41,'DADOS BRUTOS'!F$3:F$500)))</f>
        <v/>
      </c>
      <c r="CG41" s="123">
        <f>IF(OR(CG$4="",$B41=""),0,SUMIF('DADOS BRUTOS'!$A$3:$A$500,$B41,'DADOS BRUTOS'!G$3:G$500)+IF($C41="",0,SUMIF('DADOS BRUTOS'!$A$3:$A$500,$C41,'DADOS BRUTOS'!G$3:G$500)))</f>
        <v/>
      </c>
      <c r="CH41" s="123">
        <f>IF(OR(CH$4="",$B41=""),0,SUMIF('DADOS BRUTOS'!$A$3:$A$500,$B41,'DADOS BRUTOS'!H$3:H$500)+IF($C41="",0,SUMIF('DADOS BRUTOS'!$A$3:$A$500,$C41,'DADOS BRUTOS'!H$3:H$500)))</f>
        <v/>
      </c>
      <c r="CI41" s="123">
        <f>IF(OR(CI$4="",$B41=""),0,SUMIF('DADOS BRUTOS'!$A$3:$A$500,$B41,'DADOS BRUTOS'!I$3:I$500)+IF($C41="",0,SUMIF('DADOS BRUTOS'!$A$3:$A$500,$C41,'DADOS BRUTOS'!I$3:I$500)))</f>
        <v/>
      </c>
      <c r="CJ41" s="123">
        <f>IF(OR(CJ$4="",$B41=""),0,SUMIF('DADOS BRUTOS'!$A$3:$A$500,$B41,'DADOS BRUTOS'!J$3:J$500)+IF($C41="",0,SUMIF('DADOS BRUTOS'!$A$3:$A$500,$C41,'DADOS BRUTOS'!J$3:J$500)))</f>
        <v/>
      </c>
      <c r="CK41" s="123">
        <f>IF(OR(CK$4="",$B41=""),0,SUMIF('DADOS BRUTOS'!$A$3:$A$500,$B41,'DADOS BRUTOS'!K$3:K$500)+IF($C41="",0,SUMIF('DADOS BRUTOS'!$A$3:$A$500,$C41,'DADOS BRUTOS'!K$3:K$500)))</f>
        <v/>
      </c>
      <c r="CL41" s="123">
        <f>IF(OR(CL$4="",$B41=""),0,SUMIF('DADOS BRUTOS'!$A$3:$A$500,$B41,'DADOS BRUTOS'!L$3:L$500)+IF($C41="",0,SUMIF('DADOS BRUTOS'!$A$3:$A$500,$C41,'DADOS BRUTOS'!L$3:L$500)))</f>
        <v/>
      </c>
      <c r="CM41" s="123">
        <f>IF(OR(CM$4="",$B41=""),0,SUMIF('DADOS BRUTOS'!$A$3:$A$500,$B41,'DADOS BRUTOS'!M$3:M$500)+IF($C41="",0,SUMIF('DADOS BRUTOS'!$A$3:$A$500,$C41,'DADOS BRUTOS'!M$3:M$500)))</f>
        <v/>
      </c>
      <c r="CN41" s="123">
        <f>IF(OR(CN$4="",$B41=""),0,SUMIF('DADOS BRUTOS'!$A$3:$A$500,$B41,'DADOS BRUTOS'!N$3:N$500)+IF($C41="",0,SUMIF('DADOS BRUTOS'!$A$3:$A$500,$C41,'DADOS BRUTOS'!N$3:N$500)))</f>
        <v/>
      </c>
      <c r="CO41" s="123">
        <f>IF(OR(CO$4="",$B41=""),0,SUMIF('DADOS BRUTOS'!$A$3:$A$500,$B41,'DADOS BRUTOS'!O$3:O$500)+IF($C41="",0,SUMIF('DADOS BRUTOS'!$A$3:$A$500,$C41,'DADOS BRUTOS'!O$3:O$500)))</f>
        <v/>
      </c>
      <c r="CP41" s="123">
        <f>IF(OR(CP$4="",$B41=""),0,SUMIF('DADOS BRUTOS'!$A$3:$A$500,$B41,'DADOS BRUTOS'!P$3:P$500)+IF($C41="",0,SUMIF('DADOS BRUTOS'!$A$3:$A$500,$C41,'DADOS BRUTOS'!P$3:P$500)))</f>
        <v/>
      </c>
      <c r="CQ41" s="123">
        <f>IF(OR(CQ$4="",$B41=""),0,SUMIF('DADOS BRUTOS'!$A$3:$A$500,$B41,'DADOS BRUTOS'!Q$3:Q$500)+IF($C41="",0,SUMIF('DADOS BRUTOS'!$A$3:$A$500,$C41,'DADOS BRUTOS'!Q$3:Q$500)))</f>
        <v/>
      </c>
      <c r="CR41" s="123">
        <f>IF(OR(CR$4="",$B41=""),0,SUMIF('DADOS BRUTOS'!$A$3:$A$500,$B41,'DADOS BRUTOS'!R$3:R$500)+IF($C41="",0,SUMIF('DADOS BRUTOS'!$A$3:$A$500,$C41,'DADOS BRUTOS'!R$3:R$500)))</f>
        <v/>
      </c>
      <c r="CS41" s="123">
        <f>IF(OR(CS$4="",$B41=""),0,SUMIF('DADOS BRUTOS'!$A$3:$A$500,$B41,'DADOS BRUTOS'!S$3:S$500)+IF($C41="",0,SUMIF('DADOS BRUTOS'!$A$3:$A$500,$C41,'DADOS BRUTOS'!S$3:S$500)))</f>
        <v/>
      </c>
      <c r="CT41" s="123">
        <f>IF(OR(CT$4="",$B41=""),0,SUMIF('DADOS BRUTOS'!$A$3:$A$500,$B41,'DADOS BRUTOS'!T$3:T$500)+IF($C41="",0,SUMIF('DADOS BRUTOS'!$A$3:$A$500,$C41,'DADOS BRUTOS'!T$3:T$500)))</f>
        <v/>
      </c>
      <c r="CU41" s="123">
        <f>IF(OR(CU$4="",$B41=""),0,SUMIF('DADOS BRUTOS'!$A$3:$A$500,$B41,'DADOS BRUTOS'!U$3:U$500)+IF($C41="",0,SUMIF('DADOS BRUTOS'!$A$3:$A$500,$C41,'DADOS BRUTOS'!U$3:U$500)))</f>
        <v/>
      </c>
      <c r="CV41" s="123">
        <f>IF(OR(CV$4="",$B41=""),0,SUMIF('DADOS BRUTOS'!$A$3:$A$500,$B41,'DADOS BRUTOS'!V$3:V$500)+IF($C41="",0,SUMIF('DADOS BRUTOS'!$A$3:$A$500,$C41,'DADOS BRUTOS'!V$3:V$500)))</f>
        <v/>
      </c>
      <c r="CW41" s="123">
        <f>IF(OR(CW$4="",$B41=""),0,SUMIF('DADOS BRUTOS'!$A$3:$A$500,$B41,'DADOS BRUTOS'!W$3:W$500)+IF($C41="",0,SUMIF('DADOS BRUTOS'!$A$3:$A$500,$C41,'DADOS BRUTOS'!W$3:W$500)))</f>
        <v/>
      </c>
      <c r="CX41" s="123">
        <f>IF(OR(CX$4="",$B41=""),0,SUMIF('DADOS BRUTOS'!$A$3:$A$500,$B41,'DADOS BRUTOS'!X$3:X$500)+IF($C41="",0,SUMIF('DADOS BRUTOS'!$A$3:$A$500,$C41,'DADOS BRUTOS'!X$3:X$500)))</f>
        <v/>
      </c>
      <c r="CY41" s="123">
        <f>IF(OR(CY$4="",$B41=""),0,SUMIF('DADOS BRUTOS'!$A$3:$A$500,$B41,'DADOS BRUTOS'!Y$3:Y$500)+IF($C41="",0,SUMIF('DADOS BRUTOS'!$A$3:$A$500,$C41,'DADOS BRUTOS'!Y$3:Y$500)))</f>
        <v/>
      </c>
      <c r="CZ41" s="123">
        <f>IF(OR(CZ$4="",$B41=""),0,SUMIF('DADOS BRUTOS'!$A$3:$A$500,$B41,'DADOS BRUTOS'!Z$3:Z$500)+IF($C41="",0,SUMIF('DADOS BRUTOS'!$A$3:$A$500,$C41,'DADOS BRUTOS'!Z$3:Z$500)))</f>
        <v/>
      </c>
      <c r="DA41" s="123">
        <f>IF(OR(DA$4="",$B41=""),0,SUMIF('DADOS BRUTOS'!$A$3:$A$500,$B41,'DADOS BRUTOS'!AA$3:AA$500)+IF($C41="",0,SUMIF('DADOS BRUTOS'!$A$3:$A$500,$C41,'DADOS BRUTOS'!AA$3:AA$500)))</f>
        <v/>
      </c>
      <c r="DB41" s="123">
        <f>IF(OR(DB$4="",$B41=""),0,SUMIF('DADOS BRUTOS'!$A$3:$A$500,$B41,'DADOS BRUTOS'!AB$3:AB$500)+IF($C41="",0,SUMIF('DADOS BRUTOS'!$A$3:$A$500,$C41,'DADOS BRUTOS'!AB$3:AB$500)))</f>
        <v/>
      </c>
      <c r="DC41" s="123">
        <f>IF(OR(DC$4="",$B41=""),0,SUMIF('DADOS BRUTOS'!$A$3:$A$500,$B41,'DADOS BRUTOS'!AC$3:AC$500)+IF($C41="",0,SUMIF('DADOS BRUTOS'!$A$3:$A$500,$C41,'DADOS BRUTOS'!AC$3:AC$500)))</f>
        <v/>
      </c>
      <c r="DD41" s="123">
        <f>IF(OR(DD$4="",$B41=""),0,SUMIF('DADOS BRUTOS'!$A$3:$A$500,$B41,'DADOS BRUTOS'!AD$3:AD$500)+IF($C41="",0,SUMIF('DADOS BRUTOS'!$A$3:$A$500,$C41,'DADOS BRUTOS'!AD$3:AD$500)))</f>
        <v/>
      </c>
      <c r="DE41" s="123">
        <f>IF(OR(DE$4="",$B41=""),0,SUMIF('DADOS BRUTOS'!$A$3:$A$500,$B41,'DADOS BRUTOS'!AE$3:AE$500)+IF($C41="",0,SUMIF('DADOS BRUTOS'!$A$3:$A$500,$C41,'DADOS BRUTOS'!AE$3:AE$500)))</f>
        <v/>
      </c>
      <c r="DF41" s="123">
        <f>IF(OR(DF$4="",$B41=""),0,SUMIF('DADOS BRUTOS'!$A$3:$A$500,$B41,'DADOS BRUTOS'!AF$3:AF$500)+IF($C41="",0,SUMIF('DADOS BRUTOS'!$A$3:$A$500,$C41,'DADOS BRUTOS'!AF$3:AF$500)))</f>
        <v/>
      </c>
      <c r="DG41" s="123">
        <f>IF(OR(DG$4="",$B41=""),0,SUMIF('DADOS BRUTOS'!$A$3:$A$500,$B41,'DADOS BRUTOS'!AG$3:AG$500)+IF($C41="",0,SUMIF('DADOS BRUTOS'!$A$3:$A$500,$C41,'DADOS BRUTOS'!AG$3:AG$500)))</f>
        <v/>
      </c>
      <c r="DH41" s="123">
        <f>IF(OR(DH$4="",$B41=""),0,SUMIF('DADOS BRUTOS'!$A$3:$A$500,$B41,'DADOS BRUTOS'!AH$3:AH$500)+IF($C41="",0,SUMIF('DADOS BRUTOS'!$A$3:$A$500,$C41,'DADOS BRUTOS'!AH$3:AH$500)))</f>
        <v/>
      </c>
      <c r="DI41" s="123">
        <f>IF(OR(DI$4="",$B41=""),0,SUMIF('DADOS BRUTOS'!$A$3:$A$500,$B41,'DADOS BRUTOS'!AI$3:AI$500)+IF($C41="",0,SUMIF('DADOS BRUTOS'!$A$3:$A$500,$C41,'DADOS BRUTOS'!AI$3:AI$500)))</f>
        <v/>
      </c>
      <c r="DJ41" s="123">
        <f>IF(OR(DJ$4="",$B41=""),0,SUMIF('DADOS BRUTOS'!$A$3:$A$500,$B41,'DADOS BRUTOS'!AJ$3:AJ$500)+IF($C41="",0,SUMIF('DADOS BRUTOS'!$A$3:$A$500,$C41,'DADOS BRUTOS'!AJ$3:AJ$500)))</f>
        <v/>
      </c>
      <c r="DK41" s="123">
        <f>IF(OR(DK$4="",$B41=""),0,SUMIF('DADOS BRUTOS'!$A$3:$A$500,$B41,'DADOS BRUTOS'!AK$3:AK$500)+IF($C41="",0,SUMIF('DADOS BRUTOS'!$A$3:$A$500,$C41,'DADOS BRUTOS'!AK$3:AK$500)))</f>
        <v/>
      </c>
      <c r="DL41" s="123">
        <f>IF(OR(DL$4="",$B41=""),0,SUMIF('DADOS BRUTOS'!$A$3:$A$500,$B41,'DADOS BRUTOS'!AL$3:AL$500)+IF($C41="",0,SUMIF('DADOS BRUTOS'!$A$3:$A$500,$C41,'DADOS BRUTOS'!AL$3:AL$500)))</f>
        <v/>
      </c>
      <c r="DM41" s="123">
        <f>IF(OR(DM$4="",$B41=""),0,SUMIF('DADOS BRUTOS'!$A$3:$A$500,$B41,'DADOS BRUTOS'!AM$3:AM$500)+IF($C41="",0,SUMIF('DADOS BRUTOS'!$A$3:$A$500,$C41,'DADOS BRUTOS'!AM$3:AM$500)))</f>
        <v/>
      </c>
      <c r="DN41" s="123">
        <f>IF(OR(DN$4="",$B41=""),0,SUMIF('DADOS BRUTOS'!$A$3:$A$500,$B41,'DADOS BRUTOS'!AN$3:AN$500)+IF($C41="",0,SUMIF('DADOS BRUTOS'!$A$3:$A$500,$C41,'DADOS BRUTOS'!AN$3:AN$500)))</f>
        <v/>
      </c>
      <c r="DO41" s="123">
        <f>IF(OR(DO$4="",$B41=""),0,SUMIF('DADOS BRUTOS'!$A$3:$A$500,$B41,'DADOS BRUTOS'!AO$3:AO$500)+IF($C41="",0,SUMIF('DADOS BRUTOS'!$A$3:$A$500,$C41,'DADOS BRUTOS'!AO$3:AO$500)))</f>
        <v/>
      </c>
      <c r="DP41" s="123">
        <f>IF(OR(DP$4="",$B41=""),0,SUMIF('DADOS BRUTOS'!$A$3:$A$500,$B41,'DADOS BRUTOS'!AP$3:AP$500)+IF($C41="",0,SUMIF('DADOS BRUTOS'!$A$3:$A$500,$C41,'DADOS BRUTOS'!AP$3:AP$500)))</f>
        <v/>
      </c>
      <c r="DQ41" s="123">
        <f>IF(OR(DQ$4="",$B41=""),0,SUMIF('DADOS BRUTOS'!$A$3:$A$500,$B41,'DADOS BRUTOS'!AQ$3:AQ$500)+IF($C41="",0,SUMIF('DADOS BRUTOS'!$A$3:$A$500,$C41,'DADOS BRUTOS'!AQ$3:AQ$500)))</f>
        <v/>
      </c>
      <c r="DR41" s="123">
        <f>IF(OR(DR$4="",$B41=""),0,SUMIF('DADOS BRUTOS'!$A$3:$A$500,$B41,'DADOS BRUTOS'!AR$3:AR$500)+IF($C41="",0,SUMIF('DADOS BRUTOS'!$A$3:$A$500,$C41,'DADOS BRUTOS'!AR$3:AR$500)))</f>
        <v/>
      </c>
      <c r="DS41" s="123">
        <f>IF(OR(DS$4="",$B41=""),0,SUMIF('DADOS BRUTOS'!$A$3:$A$500,$B41,'DADOS BRUTOS'!AS$3:AS$500)+IF($C41="",0,SUMIF('DADOS BRUTOS'!$A$3:$A$500,$C41,'DADOS BRUTOS'!AS$3:AS$500)))</f>
        <v/>
      </c>
      <c r="DT41" s="123">
        <f>IF(OR(DT$4="",$B41=""),0,SUMIF('DADOS BRUTOS'!$A$3:$A$500,$B41,'DADOS BRUTOS'!AT$3:AT$500)+IF($C41="",0,SUMIF('DADOS BRUTOS'!$A$3:$A$500,$C41,'DADOS BRUTOS'!AT$3:AT$500)))</f>
        <v/>
      </c>
      <c r="DU41" s="123">
        <f>IF(OR(DU$4="",$B41=""),0,SUMIF('DADOS BRUTOS'!$A$3:$A$500,$B41,'DADOS BRUTOS'!AU$3:AU$500)+IF($C41="",0,SUMIF('DADOS BRUTOS'!$A$3:$A$500,$C41,'DADOS BRUTOS'!AU$3:AU$500)))</f>
        <v/>
      </c>
      <c r="DV41" s="123">
        <f>IF(OR(DV$4="",$B41=""),0,SUMIF('DADOS BRUTOS'!$A$3:$A$500,$B41,'DADOS BRUTOS'!AV$3:AV$500)+IF($C41="",0,SUMIF('DADOS BRUTOS'!$A$3:$A$500,$C41,'DADOS BRUTOS'!AV$3:AV$500)))</f>
        <v/>
      </c>
      <c r="DW41" s="123">
        <f>IF(OR(DW$4="",$B41=""),0,SUMIF('DADOS BRUTOS'!$A$3:$A$500,$B41,'DADOS BRUTOS'!AW$3:AW$500)+IF($C41="",0,SUMIF('DADOS BRUTOS'!$A$3:$A$500,$C41,'DADOS BRUTOS'!AW$3:AW$500)))</f>
        <v/>
      </c>
      <c r="DX41" s="123">
        <f>IF(OR(DX$4="",$B41=""),0,SUMIF('DADOS BRUTOS'!$A$3:$A$500,$B41,'DADOS BRUTOS'!AX$3:AX$500)+IF($C41="",0,SUMIF('DADOS BRUTOS'!$A$3:$A$500,$C41,'DADOS BRUTOS'!AX$3:AX$500)))</f>
        <v/>
      </c>
      <c r="DY41" s="123">
        <f>IF(OR(DY$4="",$B41=""),0,SUMIF('DADOS BRUTOS'!$A$3:$A$500,$B41,'DADOS BRUTOS'!AY$3:AY$500)+IF($C41="",0,SUMIF('DADOS BRUTOS'!$A$3:$A$500,$C41,'DADOS BRUTOS'!AY$3:AY$500)))</f>
        <v/>
      </c>
      <c r="DZ41" s="123">
        <f>IF(OR(DZ$4="",$B41=""),0,SUMIF('DADOS BRUTOS'!$A$3:$A$500,$B41,'DADOS BRUTOS'!AZ$3:AZ$500)+IF($C41="",0,SUMIF('DADOS BRUTOS'!$A$3:$A$500,$C41,'DADOS BRUTOS'!AZ$3:AZ$500)))</f>
        <v/>
      </c>
      <c r="EA41" s="123">
        <f>IF(OR(EA$4="",$B41=""),0,SUMIF('DADOS BRUTOS'!$A$3:$A$500,$B41,'DADOS BRUTOS'!BA$3:BA$500)+IF($C41="",0,SUMIF('DADOS BRUTOS'!$A$3:$A$500,$C41,'DADOS BRUTOS'!BA$3:BA$500)))</f>
        <v/>
      </c>
      <c r="EB41" s="123">
        <f>IF(OR(EB$4="",$B41=""),0,SUMIF('DADOS BRUTOS'!$A$3:$A$500,$B41,'DADOS BRUTOS'!BB$3:BB$500)+IF($C41="",0,SUMIF('DADOS BRUTOS'!$A$3:$A$500,$C41,'DADOS BRUTOS'!BB$3:BB$500)))</f>
        <v/>
      </c>
      <c r="EC41" s="123">
        <f>IF(OR(EC$4="",$B41=""),0,SUMIF('DADOS BRUTOS'!$A$3:$A$500,$B41,'DADOS BRUTOS'!BC$3:BC$500)+IF($C41="",0,SUMIF('DADOS BRUTOS'!$A$3:$A$500,$C41,'DADOS BRUTOS'!BC$3:BC$500)))</f>
        <v/>
      </c>
      <c r="ED41" s="123">
        <f>IF(OR(ED$4="",$B41=""),0,SUMIF('DADOS BRUTOS'!$A$3:$A$500,$B41,'DADOS BRUTOS'!BD$3:BD$500)+IF($C41="",0,SUMIF('DADOS BRUTOS'!$A$3:$A$500,$C41,'DADOS BRUTOS'!BD$3:BD$500)))</f>
        <v/>
      </c>
      <c r="EE41" s="123">
        <f>IF(OR(EE$4="",$B41=""),0,SUMIF('DADOS BRUTOS'!$A$3:$A$500,$B41,'DADOS BRUTOS'!BE$3:BE$500)+IF($C41="",0,SUMIF('DADOS BRUTOS'!$A$3:$A$500,$C41,'DADOS BRUTOS'!BE$3:BE$500)))</f>
        <v/>
      </c>
      <c r="EF41" s="123">
        <f>IF(OR(EF$4="",$B41=""),0,SUMIF('DADOS BRUTOS'!$A$3:$A$500,$B41,'DADOS BRUTOS'!BF$3:BF$500)+IF($C41="",0,SUMIF('DADOS BRUTOS'!$A$3:$A$500,$C41,'DADOS BRUTOS'!BF$3:BF$500)))</f>
        <v/>
      </c>
      <c r="EG41" s="123">
        <f>IF(OR(EG$4="",$B41=""),0,SUMIF('DADOS BRUTOS'!$A$3:$A$500,$B41,'DADOS BRUTOS'!BG$3:BG$500)+IF($C41="",0,SUMIF('DADOS BRUTOS'!$A$3:$A$500,$C41,'DADOS BRUTOS'!BG$3:BG$500)))</f>
        <v/>
      </c>
      <c r="EH41" s="123">
        <f>IF(OR(EH$4="",$B41=""),0,SUMIF('DADOS BRUTOS'!$A$3:$A$500,$B41,'DADOS BRUTOS'!BH$3:BH$500)+IF($C41="",0,SUMIF('DADOS BRUTOS'!$A$3:$A$500,$C41,'DADOS BRUTOS'!BH$3:BH$500)))</f>
        <v/>
      </c>
      <c r="EI41" s="123">
        <f>IF(OR(EI$4="",$B41=""),0,SUMIF('DADOS BRUTOS'!$A$3:$A$500,$B41,'DADOS BRUTOS'!BI$3:BI$500)+IF($C41="",0,SUMIF('DADOS BRUTOS'!$A$3:$A$500,$C41,'DADOS BRUTOS'!BI$3:BI$500)))</f>
        <v/>
      </c>
      <c r="EJ41" s="123">
        <f>IF(OR(EJ$4="",$B41=""),0,SUMIF('DADOS BRUTOS'!$A$3:$A$500,$B41,'DADOS BRUTOS'!BJ$3:BJ$500)+IF($C41="",0,SUMIF('DADOS BRUTOS'!$A$3:$A$500,$C41,'DADOS BRUTOS'!BJ$3:BJ$500)))</f>
        <v/>
      </c>
      <c r="EK41" s="123">
        <f>IF(OR(EK$4="",$B41=""),0,SUMIF('DADOS BRUTOS'!$A$3:$A$500,$B41,'DADOS BRUTOS'!BK$3:BK$500)+IF($C41="",0,SUMIF('DADOS BRUTOS'!$A$3:$A$500,$C41,'DADOS BRUTOS'!BK$3:BK$500)))</f>
        <v/>
      </c>
      <c r="EL41" s="123">
        <f>IF(OR(EL$4="",$B41=""),0,SUMIF('DADOS BRUTOS'!$A$3:$A$500,$B41,'DADOS BRUTOS'!BL$3:BL$500)+IF($C41="",0,SUMIF('DADOS BRUTOS'!$A$3:$A$500,$C41,'DADOS BRUTOS'!BL$3:BL$500)))</f>
        <v/>
      </c>
      <c r="EM41" s="123">
        <f>IF(OR(EM$4="",$B41=""),0,SUMIF('DADOS BRUTOS'!$A$3:$A$500,$B41,'DADOS BRUTOS'!BM$3:BM$500)+IF($C41="",0,SUMIF('DADOS BRUTOS'!$A$3:$A$500,$C41,'DADOS BRUTOS'!BM$3:BM$500)))</f>
        <v/>
      </c>
      <c r="EN41" s="123">
        <f>IF(OR(EN$4="",$B41=""),0,SUMIF('DADOS BRUTOS'!$A$3:$A$500,$B41,'DADOS BRUTOS'!BN$3:BN$500)+IF($C41="",0,SUMIF('DADOS BRUTOS'!$A$3:$A$500,$C41,'DADOS BRUTOS'!BN$3:BN$500)))</f>
        <v/>
      </c>
      <c r="EO41" s="123">
        <f>IF(OR(EO$4="",$B41=""),0,SUMIF('DADOS BRUTOS'!$A$3:$A$500,$B41,'DADOS BRUTOS'!BO$3:BO$500)+IF($C41="",0,SUMIF('DADOS BRUTOS'!$A$3:$A$500,$C41,'DADOS BRUTOS'!BO$3:BO$500)))</f>
        <v/>
      </c>
      <c r="EP41" s="123">
        <f>IF(OR(EP$4="",$B41=""),0,SUMIF('DADOS BRUTOS'!$A$3:$A$500,$B41,'DADOS BRUTOS'!BP$3:BP$500)+IF($C41="",0,SUMIF('DADOS BRUTOS'!$A$3:$A$500,$C41,'DADOS BRUTOS'!BP$3:BP$500)))</f>
        <v/>
      </c>
      <c r="EQ41" s="123">
        <f>IF(OR(EQ$4="",$B41=""),0,SUMIF('DADOS BRUTOS'!$A$3:$A$500,$B41,'DADOS BRUTOS'!BQ$3:BQ$500)+IF($C41="",0,SUMIF('DADOS BRUTOS'!$A$3:$A$500,$C41,'DADOS BRUTOS'!BQ$3:BQ$500)))</f>
        <v/>
      </c>
      <c r="ER41" s="123">
        <f>IF(OR(ER$4="",$B41=""),0,SUMIF('DADOS BRUTOS'!$A$3:$A$500,$B41,'DADOS BRUTOS'!BR$3:BR$500)+IF($C41="",0,SUMIF('DADOS BRUTOS'!$A$3:$A$500,$C41,'DADOS BRUTOS'!BR$3:BR$500)))</f>
        <v/>
      </c>
      <c r="ES41" s="123">
        <f>IF(OR(ES$4="",$B41=""),0,SUMIF('DADOS BRUTOS'!$A$3:$A$500,$B41,'DADOS BRUTOS'!BS$3:BS$500)+IF($C41="",0,SUMIF('DADOS BRUTOS'!$A$3:$A$500,$C41,'DADOS BRUTOS'!BS$3:BS$500)))</f>
        <v/>
      </c>
      <c r="ET41" s="123">
        <f>IF(OR(ET$4="",$B41=""),0,SUMIF('DADOS BRUTOS'!$A$3:$A$500,$B41,'DADOS BRUTOS'!BT$3:BT$500)+IF($C41="",0,SUMIF('DADOS BRUTOS'!$A$3:$A$500,$C41,'DADOS BRUTOS'!BT$3:BT$500)))</f>
        <v/>
      </c>
      <c r="EU41" s="123">
        <f>IF(OR(EU$4="",$B41=""),0,SUMIF('DADOS BRUTOS'!$A$3:$A$500,$B41,'DADOS BRUTOS'!BU$3:BU$500)+IF($C41="",0,SUMIF('DADOS BRUTOS'!$A$3:$A$500,$C41,'DADOS BRUTOS'!BU$3:BU$500)))</f>
        <v/>
      </c>
      <c r="EV41" s="123">
        <f>IF(OR(EV$4="",$B41=""),0,SUMIF('DADOS BRUTOS'!$A$3:$A$500,$B41,'DADOS BRUTOS'!BV$3:BV$500)+IF($C41="",0,SUMIF('DADOS BRUTOS'!$A$3:$A$500,$C41,'DADOS BRUTOS'!BV$3:BV$500)))</f>
        <v/>
      </c>
      <c r="EW41" s="123">
        <f>IF(OR(EW$4="",$B41=""),0,SUMIF('DADOS BRUTOS'!$A$3:$A$500,$B41,'DADOS BRUTOS'!BW$3:BW$500)+IF($C41="",0,SUMIF('DADOS BRUTOS'!$A$3:$A$500,$C41,'DADOS BRUTOS'!BW$3:BW$500)))</f>
        <v/>
      </c>
      <c r="EX41" s="123">
        <f>IF(OR(EX$4="",$B41=""),0,SUMIF('DADOS BRUTOS'!$A$3:$A$500,$B41,'DADOS BRUTOS'!BX$3:BX$500)+IF($C41="",0,SUMIF('DADOS BRUTOS'!$A$3:$A$500,$C41,'DADOS BRUTOS'!BX$3:BX$500)))</f>
        <v/>
      </c>
      <c r="EY41" s="123">
        <f>IF(OR(EY$4="",$B41=""),0,SUMIF('DADOS BRUTOS'!$A$3:$A$500,$B41,'DADOS BRUTOS'!BY$3:BY$500)+IF($C41="",0,SUMIF('DADOS BRUTOS'!$A$3:$A$500,$C41,'DADOS BRUTOS'!BY$3:BY$500)))</f>
        <v/>
      </c>
      <c r="EZ41" s="123">
        <f>IF(OR(EZ$4="",$B41=""),0,SUMIF('DADOS BRUTOS'!$A$3:$A$500,$B41,'DADOS BRUTOS'!BZ$3:BZ$500)+IF($C41="",0,SUMIF('DADOS BRUTOS'!$A$3:$A$500,$C41,'DADOS BRUTOS'!BZ$3:BZ$500)))</f>
        <v/>
      </c>
      <c r="FA41" s="123">
        <f>IF(OR(FA$4="",$B41=""),0,SUMIF('DADOS BRUTOS'!$A$3:$A$500,$B41,'DADOS BRUTOS'!CA$3:CA$500)+IF($C41="",0,SUMIF('DADOS BRUTOS'!$A$3:$A$500,$C41,'DADOS BRUTOS'!CA$3:CA$500)))</f>
        <v/>
      </c>
      <c r="FB41" s="123">
        <f>IF(OR(FB$4="",$B41=""),0,SUMIF('DADOS BRUTOS'!$A$3:$A$500,$B41,'DADOS BRUTOS'!CB$3:CB$500)+IF($C41="",0,SUMIF('DADOS BRUTOS'!$A$3:$A$500,$C41,'DADOS BRUTOS'!CB$3:CB$500)))</f>
        <v/>
      </c>
      <c r="FC41" s="123">
        <f>IF(OR(FC$4="",$B41=""),0,SUMIF('DADOS BRUTOS'!$A$3:$A$500,$B41,'DADOS BRUTOS'!CC$3:CC$500)+IF($C41="",0,SUMIF('DADOS BRUTOS'!$A$3:$A$500,$C41,'DADOS BRUTOS'!CC$3:CC$500)))</f>
        <v/>
      </c>
      <c r="FD41" s="123">
        <f>IF(OR(FD$4="",$B41=""),0,SUMIF('DADOS BRUTOS'!$A$3:$A$500,$B41,'DADOS BRUTOS'!CD$3:CD$500)+IF($C41="",0,SUMIF('DADOS BRUTOS'!$A$3:$A$500,$C41,'DADOS BRUTOS'!CD$3:CD$500)))</f>
        <v/>
      </c>
      <c r="FE41" s="123">
        <f>IF(OR(FE$4="",$B41=""),0,SUMIF('DADOS BRUTOS'!$A$3:$A$500,$B41,'DADOS BRUTOS'!CE$3:CE$500)+IF($C41="",0,SUMIF('DADOS BRUTOS'!$A$3:$A$500,$C41,'DADOS BRUTOS'!CE$3:CE$500)))</f>
        <v/>
      </c>
      <c r="FF41" s="123">
        <f>IF(OR(FF$4="",$B41=""),0,SUMIF('DADOS BRUTOS'!$A$3:$A$500,$B41,'DADOS BRUTOS'!CF$3:CF$500)+IF($C41="",0,SUMIF('DADOS BRUTOS'!$A$3:$A$500,$C41,'DADOS BRUTOS'!CF$3:CF$500)))</f>
        <v/>
      </c>
      <c r="FG41" s="123">
        <f>IF(OR(FG$4="",$B41=""),0,SUMIF('DADOS BRUTOS'!$A$3:$A$500,$B41,'DADOS BRUTOS'!CG$3:CG$500)+IF($C41="",0,SUMIF('DADOS BRUTOS'!$A$3:$A$500,$C41,'DADOS BRUTOS'!CG$3:CG$500)))</f>
        <v/>
      </c>
      <c r="FH41" s="123">
        <f>IF(OR(FH$4="",$B41=""),0,SUMIF('DADOS BRUTOS'!$A$3:$A$500,$B41,'DADOS BRUTOS'!CH$3:CH$500)+IF($C41="",0,SUMIF('DADOS BRUTOS'!$A$3:$A$500,$C41,'DADOS BRUTOS'!CH$3:CH$500)))</f>
        <v/>
      </c>
      <c r="FI41" s="123">
        <f>IF(OR(FI$4="",$B41=""),0,SUMIF('DADOS BRUTOS'!$A$3:$A$500,$B41,'DADOS BRUTOS'!CI$3:CI$500)+IF($C41="",0,SUMIF('DADOS BRUTOS'!$A$3:$A$500,$C41,'DADOS BRUTOS'!CI$3:CI$500)))</f>
        <v/>
      </c>
      <c r="FJ41" s="123">
        <f>IF(OR(FJ$4="",$B41=""),0,SUMIF('DADOS BRUTOS'!$A$3:$A$500,$B41,'DADOS BRUTOS'!CJ$3:CJ$500)+IF($C41="",0,SUMIF('DADOS BRUTOS'!$A$3:$A$500,$C41,'DADOS BRUTOS'!CJ$3:CJ$500)))</f>
        <v/>
      </c>
      <c r="FK41" s="123">
        <f>IF(OR(FK$4="",$B41=""),0,SUMIF('DADOS BRUTOS'!$A$3:$A$500,$B41,'DADOS BRUTOS'!CK$3:CK$500)+IF($C41="",0,SUMIF('DADOS BRUTOS'!$A$3:$A$500,$C41,'DADOS BRUTOS'!CK$3:CK$500)))</f>
        <v/>
      </c>
      <c r="FL41" s="123">
        <f>IF(OR(FL$4="",$B41=""),0,SUMIF('DADOS BRUTOS'!$A$3:$A$500,$B41,'DADOS BRUTOS'!CL$3:CL$500)+IF($C41="",0,SUMIF('DADOS BRUTOS'!$A$3:$A$500,$C41,'DADOS BRUTOS'!CL$3:CL$500)))</f>
        <v/>
      </c>
      <c r="FM41" s="123">
        <f>IF(OR(FM$4="",$B41=""),0,SUMIF('DADOS BRUTOS'!$A$3:$A$500,$B41,'DADOS BRUTOS'!CM$3:CM$500)+IF($C41="",0,SUMIF('DADOS BRUTOS'!$A$3:$A$500,$C41,'DADOS BRUTOS'!CM$3:CM$500)))</f>
        <v/>
      </c>
      <c r="FN41" s="123">
        <f>IF(OR(FN$4="",$B41=""),0,SUMIF('DADOS BRUTOS'!$A$3:$A$500,$B41,'DADOS BRUTOS'!CN$3:CN$500)+IF($C41="",0,SUMIF('DADOS BRUTOS'!$A$3:$A$500,$C41,'DADOS BRUTOS'!CN$3:CN$500)))</f>
        <v/>
      </c>
      <c r="FO41" s="123">
        <f>IF(OR(FO$4="",$B41=""),0,SUMIF('DADOS BRUTOS'!$A$3:$A$500,$B41,'DADOS BRUTOS'!CO$3:CO$500)+IF($C41="",0,SUMIF('DADOS BRUTOS'!$A$3:$A$500,$C41,'DADOS BRUTOS'!CO$3:CO$500)))</f>
        <v/>
      </c>
      <c r="FP41" s="123">
        <f>IF(OR(FP$4="",$B41=""),0,SUMIF('DADOS BRUTOS'!$A$3:$A$500,$B41,'DADOS BRUTOS'!CP$3:CP$500)+IF($C41="",0,SUMIF('DADOS BRUTOS'!$A$3:$A$500,$C41,'DADOS BRUTOS'!CP$3:CP$500)))</f>
        <v/>
      </c>
      <c r="FQ41" s="123">
        <f>IF(OR(FQ$4="",$B41=""),0,SUMIF('DADOS BRUTOS'!$A$3:$A$500,$B41,'DADOS BRUTOS'!CQ$3:CQ$500)+IF($C41="",0,SUMIF('DADOS BRUTOS'!$A$3:$A$500,$C41,'DADOS BRUTOS'!CQ$3:CQ$500)))</f>
        <v/>
      </c>
      <c r="FR41" s="123">
        <f>IF(OR(FR$4="",$B41=""),0,SUMIF('DADOS BRUTOS'!$A$3:$A$500,$B41,'DADOS BRUTOS'!CR$3:CR$500)+IF($C41="",0,SUMIF('DADOS BRUTOS'!$A$3:$A$500,$C41,'DADOS BRUTOS'!CR$3:CR$500)))</f>
        <v/>
      </c>
      <c r="FS41" s="123">
        <f>IF(OR(FS$4="",$B41=""),0,SUMIF('DADOS BRUTOS'!$A$3:$A$500,$B41,'DADOS BRUTOS'!CS$3:CS$500)+IF($C41="",0,SUMIF('DADOS BRUTOS'!$A$3:$A$500,$C41,'DADOS BRUTOS'!CS$3:CS$500)))</f>
        <v/>
      </c>
      <c r="FT41" s="123">
        <f>IF(OR(FT$4="",$B41=""),0,SUMIF('DADOS BRUTOS'!$A$3:$A$500,$B41,'DADOS BRUTOS'!CT$3:CT$500)+IF($C41="",0,SUMIF('DADOS BRUTOS'!$A$3:$A$500,$C41,'DADOS BRUTOS'!CT$3:CT$500)))</f>
        <v/>
      </c>
      <c r="FU41" s="123">
        <f>IF(OR(FU$4="",$B41=""),0,SUMIF('DADOS BRUTOS'!$A$3:$A$500,$B41,'DADOS BRUTOS'!CU$3:CU$500)+IF($C41="",0,SUMIF('DADOS BRUTOS'!$A$3:$A$500,$C41,'DADOS BRUTOS'!CU$3:CU$500)))</f>
        <v/>
      </c>
      <c r="FV41" s="123">
        <f>IF(OR(FV$4="",$B41=""),0,SUMIF('DADOS BRUTOS'!$A$3:$A$500,$B41,'DADOS BRUTOS'!CV$3:CV$500)+IF($C41="",0,SUMIF('DADOS BRUTOS'!$A$3:$A$500,$C41,'DADOS BRUTOS'!CV$3:CV$500)))</f>
        <v/>
      </c>
      <c r="FW41" s="123">
        <f>IF(OR(FW$4="",$B41=""),0,SUMIF('DADOS BRUTOS'!$A$3:$A$500,$B41,'DADOS BRUTOS'!CW$3:CW$500)+IF($C41="",0,SUMIF('DADOS BRUTOS'!$A$3:$A$500,$C41,'DADOS BRUTOS'!CW$3:CW$500)))</f>
        <v/>
      </c>
      <c r="FX41" s="123">
        <f>IF(OR(FX$4="",$B41=""),0,SUMIF('DADOS BRUTOS'!$A$3:$A$500,$B41,'DADOS BRUTOS'!CX$3:CX$500)+IF($C41="",0,SUMIF('DADOS BRUTOS'!$A$3:$A$500,$C41,'DADOS BRUTOS'!CX$3:CX$500)))</f>
        <v/>
      </c>
      <c r="FY41" s="123">
        <f>IF(OR(FY$4="",$B41=""),0,SUMIF('DADOS BRUTOS'!$A$3:$A$500,$B41,'DADOS BRUTOS'!CY$3:CY$500)+IF($C41="",0,SUMIF('DADOS BRUTOS'!$A$3:$A$500,$C41,'DADOS BRUTOS'!CY$3:CY$500)))</f>
        <v/>
      </c>
      <c r="FZ41" s="123">
        <f>IF(OR(FZ$4="",$B41=""),0,SUMIF('DADOS BRUTOS'!$A$3:$A$500,$B41,'DADOS BRUTOS'!CZ$3:CZ$500)+IF($C41="",0,SUMIF('DADOS BRUTOS'!$A$3:$A$500,$C41,'DADOS BRUTOS'!CZ$3:CZ$500)))</f>
        <v/>
      </c>
      <c r="GA41" s="123">
        <f>IF(OR(GA$4="",$B41=""),0,SUMIF('DADOS BRUTOS'!$A$3:$A$500,$B41,'DADOS BRUTOS'!DA$3:DA$500)+IF($C41="",0,SUMIF('DADOS BRUTOS'!$A$3:$A$500,$C41,'DADOS BRUTOS'!DA$3:DA$500)))</f>
        <v/>
      </c>
      <c r="GB41" s="123">
        <f>IF(OR(GB$4="",$B41=""),0,SUMIF('DADOS BRUTOS'!$A$3:$A$500,$B41,'DADOS BRUTOS'!DB$3:DB$500)+IF($C41="",0,SUMIF('DADOS BRUTOS'!$A$3:$A$500,$C41,'DADOS BRUTOS'!DB$3:DB$500)))</f>
        <v/>
      </c>
      <c r="GC41" s="123">
        <f>IF(OR(GC$4="",$B41=""),0,SUMIF('DADOS BRUTOS'!$A$3:$A$500,$B41,'DADOS BRUTOS'!DC$3:DC$500)+IF($C41="",0,SUMIF('DADOS BRUTOS'!$A$3:$A$500,$C41,'DADOS BRUTOS'!DC$3:DC$500)))</f>
        <v/>
      </c>
      <c r="GD41" s="123">
        <f>IF(OR(GD$4="",$B41=""),0,SUMIF('DADOS BRUTOS'!$A$3:$A$500,$B41,'DADOS BRUTOS'!DD$3:DD$500)+IF($C41="",0,SUMIF('DADOS BRUTOS'!$A$3:$A$500,$C41,'DADOS BRUTOS'!DD$3:DD$500)))</f>
        <v/>
      </c>
      <c r="GE41" s="123">
        <f>IF(OR(GE$4="",$B41=""),0,SUMIF('DADOS BRUTOS'!$A$3:$A$500,$B41,'DADOS BRUTOS'!DE$3:DE$500)+IF($C41="",0,SUMIF('DADOS BRUTOS'!$A$3:$A$500,$C41,'DADOS BRUTOS'!DE$3:DE$500)))</f>
        <v/>
      </c>
      <c r="GF41" s="123">
        <f>IF(OR(GF$4="",$B41=""),0,SUMIF('DADOS BRUTOS'!$A$3:$A$500,$B41,'DADOS BRUTOS'!DF$3:DF$500)+IF($C41="",0,SUMIF('DADOS BRUTOS'!$A$3:$A$500,$C41,'DADOS BRUTOS'!DF$3:DF$500)))</f>
        <v/>
      </c>
      <c r="GG41" s="123">
        <f>IF(OR(GG$4="",$B41=""),0,SUMIF('DADOS BRUTOS'!$A$3:$A$500,$B41,'DADOS BRUTOS'!DG$3:DG$500)+IF($C41="",0,SUMIF('DADOS BRUTOS'!$A$3:$A$500,$C41,'DADOS BRUTOS'!DG$3:DG$500)))</f>
        <v/>
      </c>
      <c r="GH41" s="123">
        <f>IF(OR(GH$4="",$B41=""),0,SUMIF('DADOS BRUTOS'!$A$3:$A$500,$B41,'DADOS BRUTOS'!DH$3:DH$500)+IF($C41="",0,SUMIF('DADOS BRUTOS'!$A$3:$A$500,$C41,'DADOS BRUTOS'!DH$3:DH$500)))</f>
        <v/>
      </c>
      <c r="GI41" s="123">
        <f>IF(OR(GI$4="",$B41=""),0,SUMIF('DADOS BRUTOS'!$A$3:$A$500,$B41,'DADOS BRUTOS'!DI$3:DI$500)+IF($C41="",0,SUMIF('DADOS BRUTOS'!$A$3:$A$500,$C41,'DADOS BRUTOS'!DI$3:DI$500)))</f>
        <v/>
      </c>
      <c r="GJ41" s="123">
        <f>IF(OR(GJ$4="",$B41=""),0,SUMIF('DADOS BRUTOS'!$A$3:$A$500,$B41,'DADOS BRUTOS'!DJ$3:DJ$500)+IF($C41="",0,SUMIF('DADOS BRUTOS'!$A$3:$A$500,$C41,'DADOS BRUTOS'!DJ$3:DJ$500)))</f>
        <v/>
      </c>
      <c r="GK41" s="123">
        <f>IF(OR(GK$4="",$B41=""),0,SUMIF('DADOS BRUTOS'!$A$3:$A$500,$B41,'DADOS BRUTOS'!DK$3:DK$500)+IF($C41="",0,SUMIF('DADOS BRUTOS'!$A$3:$A$500,$C41,'DADOS BRUTOS'!DK$3:DK$500)))</f>
        <v/>
      </c>
      <c r="GL41" s="123">
        <f>IF(OR(GL$4="",$B41=""),0,SUMIF('DADOS BRUTOS'!$A$3:$A$500,$B41,'DADOS BRUTOS'!DL$3:DL$500)+IF($C41="",0,SUMIF('DADOS BRUTOS'!$A$3:$A$500,$C41,'DADOS BRUTOS'!DL$3:DL$500)))</f>
        <v/>
      </c>
      <c r="GM41" s="123">
        <f>IF(OR(GM$4="",$B41=""),0,SUMIF('DADOS BRUTOS'!$A$3:$A$500,$B41,'DADOS BRUTOS'!DM$3:DM$500)+IF($C41="",0,SUMIF('DADOS BRUTOS'!$A$3:$A$500,$C41,'DADOS BRUTOS'!DM$3:DM$500)))</f>
        <v/>
      </c>
      <c r="GN41" s="123">
        <f>IF(OR(GN$4="",$B41=""),0,SUMIF('DADOS BRUTOS'!$A$3:$A$500,$B41,'DADOS BRUTOS'!DN$3:DN$500)+IF($C41="",0,SUMIF('DADOS BRUTOS'!$A$3:$A$500,$C41,'DADOS BRUTOS'!DN$3:DN$500)))</f>
        <v/>
      </c>
      <c r="GO41" s="123">
        <f>IF(OR(GO$4="",$B41=""),0,SUMIF('DADOS BRUTOS'!$A$3:$A$500,$B41,'DADOS BRUTOS'!DO$3:DO$500)+IF($C41="",0,SUMIF('DADOS BRUTOS'!$A$3:$A$500,$C41,'DADOS BRUTOS'!DO$3:DO$500)))</f>
        <v/>
      </c>
      <c r="GP41" s="123">
        <f>IF(OR(GP$4="",$B41=""),0,SUMIF('DADOS BRUTOS'!$A$3:$A$500,$B41,'DADOS BRUTOS'!DP$3:DP$500)+IF($C41="",0,SUMIF('DADOS BRUTOS'!$A$3:$A$500,$C41,'DADOS BRUTOS'!DP$3:DP$500)))</f>
        <v/>
      </c>
      <c r="GQ41" s="123">
        <f>IF(OR(GQ$4="",$B41=""),0,SUMIF('DADOS BRUTOS'!$A$3:$A$500,$B41,'DADOS BRUTOS'!DQ$3:DQ$500)+IF($C41="",0,SUMIF('DADOS BRUTOS'!$A$3:$A$500,$C41,'DADOS BRUTOS'!DQ$3:DQ$500)))</f>
        <v/>
      </c>
      <c r="GR41" s="123">
        <f>IF(OR(GR$4="",$B41=""),0,SUMIF('DADOS BRUTOS'!$A$3:$A$500,$B41,'DADOS BRUTOS'!DR$3:DR$500)+IF($C41="",0,SUMIF('DADOS BRUTOS'!$A$3:$A$500,$C41,'DADOS BRUTOS'!DR$3:DR$500)))</f>
        <v/>
      </c>
      <c r="GS41" s="123">
        <f>IF(OR(GS$4="",$B41=""),0,SUMIF('DADOS BRUTOS'!$A$3:$A$500,$B41,'DADOS BRUTOS'!DS$3:DS$500)+IF($C41="",0,SUMIF('DADOS BRUTOS'!$A$3:$A$500,$C41,'DADOS BRUTOS'!DS$3:DS$500)))</f>
        <v/>
      </c>
      <c r="GT41" s="123">
        <f>IF(OR(GT$4="",$B41=""),0,SUMIF('DADOS BRUTOS'!$A$3:$A$500,$B41,'DADOS BRUTOS'!DT$3:DT$500)+IF($C41="",0,SUMIF('DADOS BRUTOS'!$A$3:$A$500,$C41,'DADOS BRUTOS'!DT$3:DT$500)))</f>
        <v/>
      </c>
      <c r="GU41" s="123">
        <f>IF(OR(GU$4="",$B41=""),0,SUMIF('DADOS BRUTOS'!$A$3:$A$500,$B41,'DADOS BRUTOS'!DU$3:DU$500)+IF($C41="",0,SUMIF('DADOS BRUTOS'!$A$3:$A$500,$C41,'DADOS BRUTOS'!DU$3:DU$500)))</f>
        <v/>
      </c>
      <c r="GV41" s="123">
        <f>IF(OR(GV$4="",$B41=""),0,SUMIF('DADOS BRUTOS'!$A$3:$A$500,$B41,'DADOS BRUTOS'!DV$3:DV$500)+IF($C41="",0,SUMIF('DADOS BRUTOS'!$A$3:$A$500,$C41,'DADOS BRUTOS'!DV$3:DV$500)))</f>
        <v/>
      </c>
      <c r="GW41" s="123">
        <f>IF(OR(GW$4="",$B41=""),0,SUMIF('DADOS BRUTOS'!$A$3:$A$500,$B41,'DADOS BRUTOS'!DW$3:DW$500)+IF($C41="",0,SUMIF('DADOS BRUTOS'!$A$3:$A$500,$C41,'DADOS BRUTOS'!DW$3:DW$500)))</f>
        <v/>
      </c>
      <c r="GX41" s="123">
        <f>IF(OR(GX$4="",$B41=""),0,SUMIF('DADOS BRUTOS'!$A$3:$A$500,$B41,'DADOS BRUTOS'!DX$3:DX$500)+IF($C41="",0,SUMIF('DADOS BRUTOS'!$A$3:$A$500,$C41,'DADOS BRUTOS'!DX$3:DX$500)))</f>
        <v/>
      </c>
      <c r="GY41" s="123">
        <f>IF(OR(GY$4="",$B41=""),0,SUMIF('DADOS BRUTOS'!$A$3:$A$500,$B41,'DADOS BRUTOS'!DY$3:DY$500)+IF($C41="",0,SUMIF('DADOS BRUTOS'!$A$3:$A$500,$C41,'DADOS BRUTOS'!DY$3:DY$500)))</f>
        <v/>
      </c>
      <c r="GZ41" s="123">
        <f>IF(OR(GZ$4="",$B41=""),0,SUMIF('DADOS BRUTOS'!$A$3:$A$500,$B41,'DADOS BRUTOS'!DZ$3:DZ$500)+IF($C41="",0,SUMIF('DADOS BRUTOS'!$A$3:$A$500,$C41,'DADOS BRUTOS'!DZ$3:DZ$500)))</f>
        <v/>
      </c>
      <c r="HA41" s="123">
        <f>IF(OR(HA$4="",$B41=""),0,SUMIF('DADOS BRUTOS'!$A$3:$A$500,$B41,'DADOS BRUTOS'!EA$3:EA$500)+IF($C41="",0,SUMIF('DADOS BRUTOS'!$A$3:$A$500,$C41,'DADOS BRUTOS'!EA$3:EA$500)))</f>
        <v/>
      </c>
      <c r="HB41" s="123">
        <f>IF(OR(HB$4="",$B41=""),0,SUMIF('DADOS BRUTOS'!$A$3:$A$500,$B41,'DADOS BRUTOS'!EB$3:EB$500)+IF($C41="",0,SUMIF('DADOS BRUTOS'!$A$3:$A$500,$C41,'DADOS BRUTOS'!EB$3:EB$500)))</f>
        <v/>
      </c>
      <c r="HC41" s="123">
        <f>IF(OR(HC$4="",$B41=""),0,SUMIF('DADOS BRUTOS'!$A$3:$A$500,$B41,'DADOS BRUTOS'!EC$3:EC$500)+IF($C41="",0,SUMIF('DADOS BRUTOS'!$A$3:$A$500,$C41,'DADOS BRUTOS'!EC$3:EC$500)))</f>
        <v/>
      </c>
      <c r="HD41" s="123">
        <f>IF(OR(HD$4="",$B41=""),0,SUMIF('DADOS BRUTOS'!$A$3:$A$500,$B41,'DADOS BRUTOS'!ED$3:ED$500)+IF($C41="",0,SUMIF('DADOS BRUTOS'!$A$3:$A$500,$C41,'DADOS BRUTOS'!ED$3:ED$500)))</f>
        <v/>
      </c>
      <c r="HE41" s="123">
        <f>IF(OR(HE$4="",$B41=""),0,SUMIF('DADOS BRUTOS'!$A$3:$A$500,$B41,'DADOS BRUTOS'!EE$3:EE$500)+IF($C41="",0,SUMIF('DADOS BRUTOS'!$A$3:$A$500,$C41,'DADOS BRUTOS'!EE$3:EE$500)))</f>
        <v/>
      </c>
      <c r="HF41" s="123">
        <f>IF(OR(HF$4="",$B41=""),0,SUMIF('DADOS BRUTOS'!$A$3:$A$500,$B41,'DADOS BRUTOS'!EF$3:EF$500)+IF($C41="",0,SUMIF('DADOS BRUTOS'!$A$3:$A$500,$C41,'DADOS BRUTOS'!EF$3:EF$500)))</f>
        <v/>
      </c>
      <c r="HG41" s="123">
        <f>IF(OR(HG$4="",$B41=""),0,SUMIF('DADOS BRUTOS'!$A$3:$A$500,$B41,'DADOS BRUTOS'!EG$3:EG$500)+IF($C41="",0,SUMIF('DADOS BRUTOS'!$A$3:$A$500,$C41,'DADOS BRUTOS'!EG$3:EG$500)))</f>
        <v/>
      </c>
      <c r="HH41" s="123">
        <f>IF(OR(HH$4="",$B41=""),0,SUMIF('DADOS BRUTOS'!$A$3:$A$500,$B41,'DADOS BRUTOS'!EH$3:EH$500)+IF($C41="",0,SUMIF('DADOS BRUTOS'!$A$3:$A$500,$C41,'DADOS BRUTOS'!EH$3:EH$500)))</f>
        <v/>
      </c>
      <c r="HI41" s="123">
        <f>IF(OR(HI$4="",$B41=""),0,SUMIF('DADOS BRUTOS'!$A$3:$A$500,$B41,'DADOS BRUTOS'!EI$3:EI$500)+IF($C41="",0,SUMIF('DADOS BRUTOS'!$A$3:$A$500,$C41,'DADOS BRUTOS'!EI$3:EI$500)))</f>
        <v/>
      </c>
      <c r="HJ41" s="123">
        <f>IF(OR(HJ$4="",$B41=""),0,SUMIF('DADOS BRUTOS'!$A$3:$A$500,$B41,'DADOS BRUTOS'!EJ$3:EJ$500)+IF($C41="",0,SUMIF('DADOS BRUTOS'!$A$3:$A$500,$C41,'DADOS BRUTOS'!EJ$3:EJ$500)))</f>
        <v/>
      </c>
      <c r="HK41" s="123">
        <f>IF(OR(HK$4="",$B41=""),0,SUMIF('DADOS BRUTOS'!$A$3:$A$500,$B41,'DADOS BRUTOS'!EK$3:EK$500)+IF($C41="",0,SUMIF('DADOS BRUTOS'!$A$3:$A$500,$C41,'DADOS BRUTOS'!EK$3:EK$500)))</f>
        <v/>
      </c>
      <c r="HL41" s="123">
        <f>IF(OR(HL$4="",$B41=""),0,SUMIF('DADOS BRUTOS'!$A$3:$A$500,$B41,'DADOS BRUTOS'!EL$3:EL$500)+IF($C41="",0,SUMIF('DADOS BRUTOS'!$A$3:$A$500,$C41,'DADOS BRUTOS'!EL$3:EL$500)))</f>
        <v/>
      </c>
      <c r="HM41" s="123">
        <f>IF(OR(HM$4="",$B41=""),0,SUMIF('DADOS BRUTOS'!$A$3:$A$500,$B41,'DADOS BRUTOS'!EM$3:EM$500)+IF($C41="",0,SUMIF('DADOS BRUTOS'!$A$3:$A$500,$C41,'DADOS BRUTOS'!EM$3:EM$500)))</f>
        <v/>
      </c>
      <c r="HN41" s="123">
        <f>IF(OR(HN$4="",$B41=""),0,SUMIF('DADOS BRUTOS'!$A$3:$A$500,$B41,'DADOS BRUTOS'!EN$3:EN$500)+IF($C41="",0,SUMIF('DADOS BRUTOS'!$A$3:$A$500,$C41,'DADOS BRUTOS'!EN$3:EN$500)))</f>
        <v/>
      </c>
      <c r="HO41" s="123">
        <f>IF(OR(HO$4="",$B41=""),0,SUMIF('DADOS BRUTOS'!$A$3:$A$500,$B41,'DADOS BRUTOS'!EO$3:EO$500)+IF($C41="",0,SUMIF('DADOS BRUTOS'!$A$3:$A$500,$C41,'DADOS BRUTOS'!EO$3:EO$500)))</f>
        <v/>
      </c>
      <c r="HP41" s="123">
        <f>IF(OR(HP$4="",$B41=""),0,SUMIF('DADOS BRUTOS'!$A$3:$A$500,$B41,'DADOS BRUTOS'!EP$3:EP$500)+IF($C41="",0,SUMIF('DADOS BRUTOS'!$A$3:$A$500,$C41,'DADOS BRUTOS'!EP$3:EP$500)))</f>
        <v/>
      </c>
      <c r="HQ41" s="123">
        <f>IF(OR(HQ$4="",$B41=""),0,SUMIF('DADOS BRUTOS'!$A$3:$A$500,$B41,'DADOS BRUTOS'!EQ$3:EQ$500)+IF($C41="",0,SUMIF('DADOS BRUTOS'!$A$3:$A$500,$C41,'DADOS BRUTOS'!EQ$3:EQ$500)))</f>
        <v/>
      </c>
      <c r="HR41" s="123">
        <f>IF(OR(HR$4="",$B41=""),0,SUMIF('DADOS BRUTOS'!$A$3:$A$500,$B41,'DADOS BRUTOS'!ER$3:ER$500)+IF($C41="",0,SUMIF('DADOS BRUTOS'!$A$3:$A$500,$C41,'DADOS BRUTOS'!ER$3:ER$500)))</f>
        <v/>
      </c>
      <c r="HS41" s="123">
        <f>IF(OR(HS$4="",$B41=""),0,SUMIF('DADOS BRUTOS'!$A$3:$A$500,$B41,'DADOS BRUTOS'!ES$3:ES$500)+IF($C41="",0,SUMIF('DADOS BRUTOS'!$A$3:$A$500,$C41,'DADOS BRUTOS'!ES$3:ES$500)))</f>
        <v/>
      </c>
      <c r="HT41" s="123">
        <f>IF(OR(HT$4="",$B41=""),0,SUMIF('DADOS BRUTOS'!$A$3:$A$500,$B41,'DADOS BRUTOS'!ET$3:ET$500)+IF($C41="",0,SUMIF('DADOS BRUTOS'!$A$3:$A$500,$C41,'DADOS BRUTOS'!ET$3:ET$500)))</f>
        <v/>
      </c>
      <c r="HU41" s="123">
        <f>IF(OR(HU$4="",$B41=""),0,SUMIF('DADOS BRUTOS'!$A$3:$A$500,$B41,'DADOS BRUTOS'!EU$3:EU$500)+IF($C41="",0,SUMIF('DADOS BRUTOS'!$A$3:$A$500,$C41,'DADOS BRUTOS'!EU$3:EU$500)))</f>
        <v/>
      </c>
      <c r="HV41" s="123">
        <f>IF(OR(HV$4="",$B41=""),0,SUMIF('DADOS BRUTOS'!$A$3:$A$500,$B41,'DADOS BRUTOS'!EV$3:EV$500)+IF($C41="",0,SUMIF('DADOS BRUTOS'!$A$3:$A$500,$C41,'DADOS BRUTOS'!EV$3:EV$500)))</f>
        <v/>
      </c>
      <c r="HW41" s="123">
        <f>IF(OR(HW$4="",$B41=""),0,SUMIF('DADOS BRUTOS'!$A$3:$A$500,$B41,'DADOS BRUTOS'!EW$3:EW$500)+IF($C41="",0,SUMIF('DADOS BRUTOS'!$A$3:$A$500,$C41,'DADOS BRUTOS'!EW$3:EW$500)))</f>
        <v/>
      </c>
      <c r="HX41" s="123">
        <f>IF(OR(HX$4="",$B41=""),0,SUMIF('DADOS BRUTOS'!$A$3:$A$500,$B41,'DADOS BRUTOS'!EX$3:EX$500)+IF($C41="",0,SUMIF('DADOS BRUTOS'!$A$3:$A$500,$C41,'DADOS BRUTOS'!EX$3:EX$500)))</f>
        <v/>
      </c>
      <c r="HY41" s="123">
        <f>IF(OR(HY$4="",$B41=""),0,SUMIF('DADOS BRUTOS'!$A$3:$A$500,$B41,'DADOS BRUTOS'!EY$3:EY$500)+IF($C41="",0,SUMIF('DADOS BRUTOS'!$A$3:$A$500,$C41,'DADOS BRUTOS'!EY$3:EY$500)))</f>
        <v/>
      </c>
      <c r="HZ41" s="123">
        <f>IF(OR(HZ$4="",$B41=""),0,SUMIF('DADOS BRUTOS'!$A$3:$A$500,$B41,'DADOS BRUTOS'!EZ$3:EZ$500)+IF($C41="",0,SUMIF('DADOS BRUTOS'!$A$3:$A$500,$C41,'DADOS BRUTOS'!EZ$3:EZ$500)))</f>
        <v/>
      </c>
      <c r="IA41" s="123">
        <f>IF(OR(IA$4="",$B41=""),0,SUMIF('DADOS BRUTOS'!$A$3:$A$500,$B41,'DADOS BRUTOS'!FA$3:FA$500)+IF($C41="",0,SUMIF('DADOS BRUTOS'!$A$3:$A$500,$C41,'DADOS BRUTOS'!FA$3:FA$500)))</f>
        <v/>
      </c>
      <c r="IB41" s="123">
        <f>IF(OR(IB$4="",$B41=""),0,SUMIF('DADOS BRUTOS'!$A$3:$A$500,$B41,'DADOS BRUTOS'!FB$3:FB$500)+IF($C41="",0,SUMIF('DADOS BRUTOS'!$A$3:$A$500,$C41,'DADOS BRUTOS'!FB$3:FB$500)))</f>
        <v/>
      </c>
      <c r="IC41" s="123">
        <f>IF(OR(IC$4="",$B41=""),0,SUMIF('DADOS BRUTOS'!$A$3:$A$500,$B41,'DADOS BRUTOS'!FC$3:FC$500)+IF($C41="",0,SUMIF('DADOS BRUTOS'!$A$3:$A$500,$C41,'DADOS BRUTOS'!FC$3:FC$500)))</f>
        <v/>
      </c>
      <c r="ID41" s="123">
        <f>IF(OR(ID$4="",$B41=""),0,SUMIF('DADOS BRUTOS'!$A$3:$A$500,$B41,'DADOS BRUTOS'!FD$3:FD$500)+IF($C41="",0,SUMIF('DADOS BRUTOS'!$A$3:$A$500,$C41,'DADOS BRUTOS'!FD$3:FD$500)))</f>
        <v/>
      </c>
      <c r="IE41" s="123">
        <f>IF(OR(IE$4="",$B41=""),0,SUMIF('DADOS BRUTOS'!$A$3:$A$500,$B41,'DADOS BRUTOS'!FE$3:FE$500)+IF($C41="",0,SUMIF('DADOS BRUTOS'!$A$3:$A$500,$C41,'DADOS BRUTOS'!FE$3:FE$500)))</f>
        <v/>
      </c>
      <c r="IF41" s="123">
        <f>IF(OR(IF$4="",$B41=""),0,SUMIF('DADOS BRUTOS'!$A$3:$A$500,$B41,'DADOS BRUTOS'!FF$3:FF$500)+IF($C41="",0,SUMIF('DADOS BRUTOS'!$A$3:$A$500,$C41,'DADOS BRUTOS'!FF$3:FF$500)))</f>
        <v/>
      </c>
      <c r="IG41" s="123">
        <f>IF(OR(IG$4="",$B41=""),0,SUMIF('DADOS BRUTOS'!$A$3:$A$500,$B41,'DADOS BRUTOS'!FG$3:FG$500)+IF($C41="",0,SUMIF('DADOS BRUTOS'!$A$3:$A$500,$C41,'DADOS BRUTOS'!FG$3:FG$500)))</f>
        <v/>
      </c>
      <c r="IH41" s="123">
        <f>IF(OR(IH$4="",$B41=""),0,SUMIF('DADOS BRUTOS'!$A$3:$A$500,$B41,'DADOS BRUTOS'!FH$3:FH$500)+IF($C41="",0,SUMIF('DADOS BRUTOS'!$A$3:$A$500,$C41,'DADOS BRUTOS'!FH$3:FH$500)))</f>
        <v/>
      </c>
      <c r="II41" s="123">
        <f>IF(OR(II$4="",$B41=""),0,SUMIF('DADOS BRUTOS'!$A$3:$A$500,$B41,'DADOS BRUTOS'!FI$3:FI$500)+IF($C41="",0,SUMIF('DADOS BRUTOS'!$A$3:$A$500,$C41,'DADOS BRUTOS'!FI$3:FI$500)))</f>
        <v/>
      </c>
      <c r="IJ41" s="123">
        <f>IF(OR(IJ$4="",$B41=""),0,SUMIF('DADOS BRUTOS'!$A$3:$A$500,$B41,'DADOS BRUTOS'!FJ$3:FJ$500)+IF($C41="",0,SUMIF('DADOS BRUTOS'!$A$3:$A$500,$C41,'DADOS BRUTOS'!FJ$3:FJ$500)))</f>
        <v/>
      </c>
      <c r="IK41" s="123">
        <f>IF(OR(IK$4="",$B41=""),0,SUMIF('DADOS BRUTOS'!$A$3:$A$500,$B41,'DADOS BRUTOS'!FK$3:FK$500)+IF($C41="",0,SUMIF('DADOS BRUTOS'!$A$3:$A$500,$C41,'DADOS BRUTOS'!FK$3:FK$500)))</f>
        <v/>
      </c>
      <c r="IL41" s="123">
        <f>IF(OR(IL$4="",$B41=""),0,SUMIF('DADOS BRUTOS'!$A$3:$A$500,$B41,'DADOS BRUTOS'!FL$3:FL$500)+IF($C41="",0,SUMIF('DADOS BRUTOS'!$A$3:$A$500,$C41,'DADOS BRUTOS'!FL$3:FL$500)))</f>
        <v/>
      </c>
      <c r="IM41" s="123">
        <f>IF(OR(IM$4="",$B41=""),0,SUMIF('DADOS BRUTOS'!$A$3:$A$500,$B41,'DADOS BRUTOS'!FM$3:FM$500)+IF($C41="",0,SUMIF('DADOS BRUTOS'!$A$3:$A$500,$C41,'DADOS BRUTOS'!FM$3:FM$500)))</f>
        <v/>
      </c>
      <c r="IN41" s="123">
        <f>IF(OR(IN$4="",$B41=""),0,SUMIF('DADOS BRUTOS'!$A$3:$A$500,$B41,'DADOS BRUTOS'!FN$3:FN$500)+IF($C41="",0,SUMIF('DADOS BRUTOS'!$A$3:$A$500,$C41,'DADOS BRUTOS'!FN$3:FN$500)))</f>
        <v/>
      </c>
      <c r="IO41" s="123">
        <f>IF(OR(IO$4="",$B41=""),0,SUMIF('DADOS BRUTOS'!$A$3:$A$500,$B41,'DADOS BRUTOS'!FO$3:FO$500)+IF($C41="",0,SUMIF('DADOS BRUTOS'!$A$3:$A$500,$C41,'DADOS BRUTOS'!FO$3:FO$500)))</f>
        <v/>
      </c>
      <c r="IP41" s="123">
        <f>IF(OR(IP$4="",$B41=""),0,SUMIF('DADOS BRUTOS'!$A$3:$A$500,$B41,'DADOS BRUTOS'!FP$3:FP$500)+IF($C41="",0,SUMIF('DADOS BRUTOS'!$A$3:$A$500,$C41,'DADOS BRUTOS'!FP$3:FP$500)))</f>
        <v/>
      </c>
      <c r="IQ41" s="123">
        <f>IF(OR(IQ$4="",$B41=""),0,SUMIF('DADOS BRUTOS'!$A$3:$A$500,$B41,'DADOS BRUTOS'!FQ$3:FQ$500)+IF($C41="",0,SUMIF('DADOS BRUTOS'!$A$3:$A$500,$C41,'DADOS BRUTOS'!FQ$3:FQ$500)))</f>
        <v/>
      </c>
      <c r="IR41" s="123">
        <f>IF(OR(IR$4="",$B41=""),0,SUMIF('DADOS BRUTOS'!$A$3:$A$500,$B41,'DADOS BRUTOS'!FR$3:FR$500)+IF($C41="",0,SUMIF('DADOS BRUTOS'!$A$3:$A$500,$C41,'DADOS BRUTOS'!FR$3:FR$500)))</f>
        <v/>
      </c>
      <c r="IS41" s="123">
        <f>IF(OR(IS$4="",$B41=""),0,SUMIF('DADOS BRUTOS'!$A$3:$A$500,$B41,'DADOS BRUTOS'!FS$3:FS$500)+IF($C41="",0,SUMIF('DADOS BRUTOS'!$A$3:$A$500,$C41,'DADOS BRUTOS'!FS$3:FS$500)))</f>
        <v/>
      </c>
      <c r="IT41" s="123">
        <f>IF(OR(IT$4="",$B41=""),0,SUMIF('DADOS BRUTOS'!$A$3:$A$500,$B41,'DADOS BRUTOS'!FT$3:FT$500)+IF($C41="",0,SUMIF('DADOS BRUTOS'!$A$3:$A$500,$C41,'DADOS BRUTOS'!FT$3:FT$500)))</f>
        <v/>
      </c>
      <c r="IU41" s="123">
        <f>IF(OR(IU$4="",$B41=""),0,SUMIF('DADOS BRUTOS'!$A$3:$A$500,$B41,'DADOS BRUTOS'!FU$3:FU$500)+IF($C41="",0,SUMIF('DADOS BRUTOS'!$A$3:$A$500,$C41,'DADOS BRUTOS'!FU$3:FU$500)))</f>
        <v/>
      </c>
      <c r="IV41" s="123">
        <f>IF(OR(IV$4="",$B41=""),0,SUMIF('DADOS BRUTOS'!$A$3:$A$500,$B41,'DADOS BRUTOS'!FV$3:FV$500)+IF($C41="",0,SUMIF('DADOS BRUTOS'!$A$3:$A$500,$C41,'DADOS BRUTOS'!FV$3:FV$500)))</f>
        <v/>
      </c>
      <c r="IW41" s="123">
        <f>IF(OR(IW$4="",$B41=""),0,SUMIF('DADOS BRUTOS'!$A$3:$A$500,$B41,'DADOS BRUTOS'!FW$3:FW$500)+IF($C41="",0,SUMIF('DADOS BRUTOS'!$A$3:$A$500,$C41,'DADOS BRUTOS'!FW$3:FW$500)))</f>
        <v/>
      </c>
      <c r="IX41" s="123">
        <f>IF(OR(IX$4="",$B41=""),0,SUMIF('DADOS BRUTOS'!$A$3:$A$500,$B41,'DADOS BRUTOS'!FX$3:FX$500)+IF($C41="",0,SUMIF('DADOS BRUTOS'!$A$3:$A$500,$C41,'DADOS BRUTOS'!FX$3:FX$500)))</f>
        <v/>
      </c>
      <c r="IY41" s="123">
        <f>IF(OR(IY$4="",$B41=""),0,SUMIF('DADOS BRUTOS'!$A$3:$A$500,$B41,'DADOS BRUTOS'!FY$3:FY$500)+IF($C41="",0,SUMIF('DADOS BRUTOS'!$A$3:$A$500,$C41,'DADOS BRUTOS'!FY$3:FY$500)))</f>
        <v/>
      </c>
      <c r="IZ41" s="123">
        <f>IF(OR(IZ$4="",$B41=""),0,SUMIF('DADOS BRUTOS'!$A$3:$A$500,$B41,'DADOS BRUTOS'!FZ$3:FZ$500)+IF($C41="",0,SUMIF('DADOS BRUTOS'!$A$3:$A$500,$C41,'DADOS BRUTOS'!FZ$3:FZ$500)))</f>
        <v/>
      </c>
      <c r="JA41" s="123">
        <f>IF(OR(JA$4="",$B41=""),0,SUMIF('DADOS BRUTOS'!$A$3:$A$500,$B41,'DADOS BRUTOS'!GA$3:GA$500)+IF($C41="",0,SUMIF('DADOS BRUTOS'!$A$3:$A$500,$C41,'DADOS BRUTOS'!GA$3:GA$500)))</f>
        <v/>
      </c>
      <c r="JB41" s="123">
        <f>IF(OR(JB$4="",$B41=""),0,SUMIF('DADOS BRUTOS'!$A$3:$A$500,$B41,'DADOS BRUTOS'!GB$3:GB$500)+IF($C41="",0,SUMIF('DADOS BRUTOS'!$A$3:$A$500,$C41,'DADOS BRUTOS'!GB$3:GB$500)))</f>
        <v/>
      </c>
      <c r="JC41" s="123">
        <f>IF(OR(JC$4="",$B41=""),0,SUMIF('DADOS BRUTOS'!$A$3:$A$500,$B41,'DADOS BRUTOS'!GC$3:GC$500)+IF($C41="",0,SUMIF('DADOS BRUTOS'!$A$3:$A$500,$C41,'DADOS BRUTOS'!GC$3:GC$500)))</f>
        <v/>
      </c>
      <c r="JD41" s="123">
        <f>IF(OR(JD$4="",$B41=""),0,SUMIF('DADOS BRUTOS'!$A$3:$A$500,$B41,'DADOS BRUTOS'!GD$3:GD$500)+IF($C41="",0,SUMIF('DADOS BRUTOS'!$A$3:$A$500,$C41,'DADOS BRUTOS'!GD$3:GD$500)))</f>
        <v/>
      </c>
      <c r="JE41" s="123">
        <f>IF(OR(JE$4="",$B41=""),0,SUMIF('DADOS BRUTOS'!$A$3:$A$500,$B41,'DADOS BRUTOS'!GE$3:GE$500)+IF($C41="",0,SUMIF('DADOS BRUTOS'!$A$3:$A$500,$C41,'DADOS BRUTOS'!GE$3:GE$500)))</f>
        <v/>
      </c>
      <c r="JF41" s="123">
        <f>IF(OR(JF$4="",$B41=""),0,SUMIF('DADOS BRUTOS'!$A$3:$A$500,$B41,'DADOS BRUTOS'!GF$3:GF$500)+IF($C41="",0,SUMIF('DADOS BRUTOS'!$A$3:$A$500,$C41,'DADOS BRUTOS'!GF$3:GF$500)))</f>
        <v/>
      </c>
      <c r="JG41" s="123">
        <f>IF(OR(JG$4="",$B41=""),0,SUMIF('DADOS BRUTOS'!$A$3:$A$500,$B41,'DADOS BRUTOS'!GG$3:GG$500)+IF($C41="",0,SUMIF('DADOS BRUTOS'!$A$3:$A$500,$C41,'DADOS BRUTOS'!GG$3:GG$500)))</f>
        <v/>
      </c>
      <c r="JH41" s="123">
        <f>IF(OR(JH$4="",$B41=""),0,SUMIF('DADOS BRUTOS'!$A$3:$A$500,$B41,'DADOS BRUTOS'!GH$3:GH$500)+IF($C41="",0,SUMIF('DADOS BRUTOS'!$A$3:$A$500,$C41,'DADOS BRUTOS'!GH$3:GH$500)))</f>
        <v/>
      </c>
      <c r="JI41" s="123">
        <f>IF(OR(JI$4="",$B41=""),0,SUMIF('DADOS BRUTOS'!$A$3:$A$500,$B41,'DADOS BRUTOS'!GI$3:GI$500)+IF($C41="",0,SUMIF('DADOS BRUTOS'!$A$3:$A$500,$C41,'DADOS BRUTOS'!GI$3:GI$500)))</f>
        <v/>
      </c>
      <c r="JJ41" s="123">
        <f>IF(OR(JJ$4="",$B41=""),0,SUMIF('DADOS BRUTOS'!$A$3:$A$500,$B41,'DADOS BRUTOS'!GJ$3:GJ$500)+IF($C41="",0,SUMIF('DADOS BRUTOS'!$A$3:$A$500,$C41,'DADOS BRUTOS'!GJ$3:GJ$500)))</f>
        <v/>
      </c>
      <c r="JK41" s="123">
        <f>IF(OR(JK$4="",$B41=""),0,SUMIF('DADOS BRUTOS'!$A$3:$A$500,$B41,'DADOS BRUTOS'!GK$3:GK$500)+IF($C41="",0,SUMIF('DADOS BRUTOS'!$A$3:$A$500,$C41,'DADOS BRUTOS'!GK$3:GK$500)))</f>
        <v/>
      </c>
      <c r="JL41" s="123">
        <f>IF(OR(JL$4="",$B41=""),0,SUMIF('DADOS BRUTOS'!$A$3:$A$500,$B41,'DADOS BRUTOS'!GL$3:GL$500)+IF($C41="",0,SUMIF('DADOS BRUTOS'!$A$3:$A$500,$C41,'DADOS BRUTOS'!GL$3:GL$500)))</f>
        <v/>
      </c>
      <c r="JM41" s="123">
        <f>IF(OR(JM$4="",$B41=""),0,SUMIF('DADOS BRUTOS'!$A$3:$A$500,$B41,'DADOS BRUTOS'!GM$3:GM$500)+IF($C41="",0,SUMIF('DADOS BRUTOS'!$A$3:$A$500,$C41,'DADOS BRUTOS'!GM$3:GM$500)))</f>
        <v/>
      </c>
      <c r="JN41" s="123">
        <f>IF(OR(JN$4="",$B41=""),0,SUMIF('DADOS BRUTOS'!$A$3:$A$500,$B41,'DADOS BRUTOS'!GN$3:GN$500)+IF($C41="",0,SUMIF('DADOS BRUTOS'!$A$3:$A$500,$C41,'DADOS BRUTOS'!GN$3:GN$500)))</f>
        <v/>
      </c>
      <c r="JO41" s="123">
        <f>IF(OR(JO$4="",$B41=""),0,SUMIF('DADOS BRUTOS'!$A$3:$A$500,$B41,'DADOS BRUTOS'!GO$3:GO$500)+IF($C41="",0,SUMIF('DADOS BRUTOS'!$A$3:$A$500,$C41,'DADOS BRUTOS'!GO$3:GO$500)))</f>
        <v/>
      </c>
      <c r="JP41" s="123">
        <f>IF(OR(JP$4="",$B41=""),0,SUMIF('DADOS BRUTOS'!$A$3:$A$500,$B41,'DADOS BRUTOS'!GP$3:GP$500)+IF($C41="",0,SUMIF('DADOS BRUTOS'!$A$3:$A$500,$C41,'DADOS BRUTOS'!GP$3:GP$500)))</f>
        <v/>
      </c>
      <c r="JQ41" s="123">
        <f>IF(OR(JQ$4="",$B41=""),0,SUMIF('DADOS BRUTOS'!$A$3:$A$500,$B41,'DADOS BRUTOS'!GQ$3:GQ$500)+IF($C41="",0,SUMIF('DADOS BRUTOS'!$A$3:$A$500,$C41,'DADOS BRUTOS'!GQ$3:GQ$500)))</f>
        <v/>
      </c>
      <c r="JR41" s="123">
        <f>IF(OR(JR$4="",$B41=""),0,SUMIF('DADOS BRUTOS'!$A$3:$A$500,$B41,'DADOS BRUTOS'!GR$3:GR$500)+IF($C41="",0,SUMIF('DADOS BRUTOS'!$A$3:$A$500,$C41,'DADOS BRUTOS'!GR$3:GR$500)))</f>
        <v/>
      </c>
      <c r="JS41" s="123">
        <f>IF(OR(JS$4="",$B41=""),0,SUMIF('DADOS BRUTOS'!$A$3:$A$500,$B41,'DADOS BRUTOS'!GS$3:GS$500)+IF($C41="",0,SUMIF('DADOS BRUTOS'!$A$3:$A$500,$C41,'DADOS BRUTOS'!GS$3:GS$500)))</f>
        <v/>
      </c>
    </row>
    <row r="42">
      <c r="A42" s="60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CB42" s="123">
        <f>IF(OR(CB$4="",$B42=""),0,SUMIF('DADOS BRUTOS'!$A$3:$A$500,$B42,'DADOS BRUTOS'!B$3:B$500)+IF($C42="",0,SUMIF('DADOS BRUTOS'!$A$3:$A$500,$C42,'DADOS BRUTOS'!B$3:B$500)))</f>
        <v/>
      </c>
      <c r="CC42" s="123">
        <f>IF(OR(CC$4="",$B42=""),0,SUMIF('DADOS BRUTOS'!$A$3:$A$500,$B42,'DADOS BRUTOS'!C$3:C$500)+IF($C42="",0,SUMIF('DADOS BRUTOS'!$A$3:$A$500,$C42,'DADOS BRUTOS'!C$3:C$500)))</f>
        <v/>
      </c>
      <c r="CD42" s="123">
        <f>IF(OR(CD$4="",$B42=""),0,SUMIF('DADOS BRUTOS'!$A$3:$A$500,$B42,'DADOS BRUTOS'!D$3:D$500)+IF($C42="",0,SUMIF('DADOS BRUTOS'!$A$3:$A$500,$C42,'DADOS BRUTOS'!D$3:D$500)))</f>
        <v/>
      </c>
      <c r="CE42" s="123">
        <f>IF(OR(CE$4="",$B42=""),0,SUMIF('DADOS BRUTOS'!$A$3:$A$500,$B42,'DADOS BRUTOS'!E$3:E$500)+IF($C42="",0,SUMIF('DADOS BRUTOS'!$A$3:$A$500,$C42,'DADOS BRUTOS'!E$3:E$500)))</f>
        <v/>
      </c>
      <c r="CF42" s="123">
        <f>IF(OR(CF$4="",$B42=""),0,SUMIF('DADOS BRUTOS'!$A$3:$A$500,$B42,'DADOS BRUTOS'!F$3:F$500)+IF($C42="",0,SUMIF('DADOS BRUTOS'!$A$3:$A$500,$C42,'DADOS BRUTOS'!F$3:F$500)))</f>
        <v/>
      </c>
      <c r="CG42" s="123">
        <f>IF(OR(CG$4="",$B42=""),0,SUMIF('DADOS BRUTOS'!$A$3:$A$500,$B42,'DADOS BRUTOS'!G$3:G$500)+IF($C42="",0,SUMIF('DADOS BRUTOS'!$A$3:$A$500,$C42,'DADOS BRUTOS'!G$3:G$500)))</f>
        <v/>
      </c>
      <c r="CH42" s="123">
        <f>IF(OR(CH$4="",$B42=""),0,SUMIF('DADOS BRUTOS'!$A$3:$A$500,$B42,'DADOS BRUTOS'!H$3:H$500)+IF($C42="",0,SUMIF('DADOS BRUTOS'!$A$3:$A$500,$C42,'DADOS BRUTOS'!H$3:H$500)))</f>
        <v/>
      </c>
      <c r="CI42" s="123">
        <f>IF(OR(CI$4="",$B42=""),0,SUMIF('DADOS BRUTOS'!$A$3:$A$500,$B42,'DADOS BRUTOS'!I$3:I$500)+IF($C42="",0,SUMIF('DADOS BRUTOS'!$A$3:$A$500,$C42,'DADOS BRUTOS'!I$3:I$500)))</f>
        <v/>
      </c>
      <c r="CJ42" s="123">
        <f>IF(OR(CJ$4="",$B42=""),0,SUMIF('DADOS BRUTOS'!$A$3:$A$500,$B42,'DADOS BRUTOS'!J$3:J$500)+IF($C42="",0,SUMIF('DADOS BRUTOS'!$A$3:$A$500,$C42,'DADOS BRUTOS'!J$3:J$500)))</f>
        <v/>
      </c>
      <c r="CK42" s="123">
        <f>IF(OR(CK$4="",$B42=""),0,SUMIF('DADOS BRUTOS'!$A$3:$A$500,$B42,'DADOS BRUTOS'!K$3:K$500)+IF($C42="",0,SUMIF('DADOS BRUTOS'!$A$3:$A$500,$C42,'DADOS BRUTOS'!K$3:K$500)))</f>
        <v/>
      </c>
      <c r="CL42" s="123">
        <f>IF(OR(CL$4="",$B42=""),0,SUMIF('DADOS BRUTOS'!$A$3:$A$500,$B42,'DADOS BRUTOS'!L$3:L$500)+IF($C42="",0,SUMIF('DADOS BRUTOS'!$A$3:$A$500,$C42,'DADOS BRUTOS'!L$3:L$500)))</f>
        <v/>
      </c>
      <c r="CM42" s="123">
        <f>IF(OR(CM$4="",$B42=""),0,SUMIF('DADOS BRUTOS'!$A$3:$A$500,$B42,'DADOS BRUTOS'!M$3:M$500)+IF($C42="",0,SUMIF('DADOS BRUTOS'!$A$3:$A$500,$C42,'DADOS BRUTOS'!M$3:M$500)))</f>
        <v/>
      </c>
      <c r="CN42" s="123">
        <f>IF(OR(CN$4="",$B42=""),0,SUMIF('DADOS BRUTOS'!$A$3:$A$500,$B42,'DADOS BRUTOS'!N$3:N$500)+IF($C42="",0,SUMIF('DADOS BRUTOS'!$A$3:$A$500,$C42,'DADOS BRUTOS'!N$3:N$500)))</f>
        <v/>
      </c>
      <c r="CO42" s="123">
        <f>IF(OR(CO$4="",$B42=""),0,SUMIF('DADOS BRUTOS'!$A$3:$A$500,$B42,'DADOS BRUTOS'!O$3:O$500)+IF($C42="",0,SUMIF('DADOS BRUTOS'!$A$3:$A$500,$C42,'DADOS BRUTOS'!O$3:O$500)))</f>
        <v/>
      </c>
      <c r="CP42" s="123">
        <f>IF(OR(CP$4="",$B42=""),0,SUMIF('DADOS BRUTOS'!$A$3:$A$500,$B42,'DADOS BRUTOS'!P$3:P$500)+IF($C42="",0,SUMIF('DADOS BRUTOS'!$A$3:$A$500,$C42,'DADOS BRUTOS'!P$3:P$500)))</f>
        <v/>
      </c>
      <c r="CQ42" s="123">
        <f>IF(OR(CQ$4="",$B42=""),0,SUMIF('DADOS BRUTOS'!$A$3:$A$500,$B42,'DADOS BRUTOS'!Q$3:Q$500)+IF($C42="",0,SUMIF('DADOS BRUTOS'!$A$3:$A$500,$C42,'DADOS BRUTOS'!Q$3:Q$500)))</f>
        <v/>
      </c>
      <c r="CR42" s="123">
        <f>IF(OR(CR$4="",$B42=""),0,SUMIF('DADOS BRUTOS'!$A$3:$A$500,$B42,'DADOS BRUTOS'!R$3:R$500)+IF($C42="",0,SUMIF('DADOS BRUTOS'!$A$3:$A$500,$C42,'DADOS BRUTOS'!R$3:R$500)))</f>
        <v/>
      </c>
      <c r="CS42" s="123">
        <f>IF(OR(CS$4="",$B42=""),0,SUMIF('DADOS BRUTOS'!$A$3:$A$500,$B42,'DADOS BRUTOS'!S$3:S$500)+IF($C42="",0,SUMIF('DADOS BRUTOS'!$A$3:$A$500,$C42,'DADOS BRUTOS'!S$3:S$500)))</f>
        <v/>
      </c>
      <c r="CT42" s="123">
        <f>IF(OR(CT$4="",$B42=""),0,SUMIF('DADOS BRUTOS'!$A$3:$A$500,$B42,'DADOS BRUTOS'!T$3:T$500)+IF($C42="",0,SUMIF('DADOS BRUTOS'!$A$3:$A$500,$C42,'DADOS BRUTOS'!T$3:T$500)))</f>
        <v/>
      </c>
      <c r="CU42" s="123">
        <f>IF(OR(CU$4="",$B42=""),0,SUMIF('DADOS BRUTOS'!$A$3:$A$500,$B42,'DADOS BRUTOS'!U$3:U$500)+IF($C42="",0,SUMIF('DADOS BRUTOS'!$A$3:$A$500,$C42,'DADOS BRUTOS'!U$3:U$500)))</f>
        <v/>
      </c>
      <c r="CV42" s="123">
        <f>IF(OR(CV$4="",$B42=""),0,SUMIF('DADOS BRUTOS'!$A$3:$A$500,$B42,'DADOS BRUTOS'!V$3:V$500)+IF($C42="",0,SUMIF('DADOS BRUTOS'!$A$3:$A$500,$C42,'DADOS BRUTOS'!V$3:V$500)))</f>
        <v/>
      </c>
      <c r="CW42" s="123">
        <f>IF(OR(CW$4="",$B42=""),0,SUMIF('DADOS BRUTOS'!$A$3:$A$500,$B42,'DADOS BRUTOS'!W$3:W$500)+IF($C42="",0,SUMIF('DADOS BRUTOS'!$A$3:$A$500,$C42,'DADOS BRUTOS'!W$3:W$500)))</f>
        <v/>
      </c>
      <c r="CX42" s="123">
        <f>IF(OR(CX$4="",$B42=""),0,SUMIF('DADOS BRUTOS'!$A$3:$A$500,$B42,'DADOS BRUTOS'!X$3:X$500)+IF($C42="",0,SUMIF('DADOS BRUTOS'!$A$3:$A$500,$C42,'DADOS BRUTOS'!X$3:X$500)))</f>
        <v/>
      </c>
      <c r="CY42" s="123">
        <f>IF(OR(CY$4="",$B42=""),0,SUMIF('DADOS BRUTOS'!$A$3:$A$500,$B42,'DADOS BRUTOS'!Y$3:Y$500)+IF($C42="",0,SUMIF('DADOS BRUTOS'!$A$3:$A$500,$C42,'DADOS BRUTOS'!Y$3:Y$500)))</f>
        <v/>
      </c>
      <c r="CZ42" s="123">
        <f>IF(OR(CZ$4="",$B42=""),0,SUMIF('DADOS BRUTOS'!$A$3:$A$500,$B42,'DADOS BRUTOS'!Z$3:Z$500)+IF($C42="",0,SUMIF('DADOS BRUTOS'!$A$3:$A$500,$C42,'DADOS BRUTOS'!Z$3:Z$500)))</f>
        <v/>
      </c>
      <c r="DA42" s="123">
        <f>IF(OR(DA$4="",$B42=""),0,SUMIF('DADOS BRUTOS'!$A$3:$A$500,$B42,'DADOS BRUTOS'!AA$3:AA$500)+IF($C42="",0,SUMIF('DADOS BRUTOS'!$A$3:$A$500,$C42,'DADOS BRUTOS'!AA$3:AA$500)))</f>
        <v/>
      </c>
      <c r="DB42" s="123">
        <f>IF(OR(DB$4="",$B42=""),0,SUMIF('DADOS BRUTOS'!$A$3:$A$500,$B42,'DADOS BRUTOS'!AB$3:AB$500)+IF($C42="",0,SUMIF('DADOS BRUTOS'!$A$3:$A$500,$C42,'DADOS BRUTOS'!AB$3:AB$500)))</f>
        <v/>
      </c>
      <c r="DC42" s="123">
        <f>IF(OR(DC$4="",$B42=""),0,SUMIF('DADOS BRUTOS'!$A$3:$A$500,$B42,'DADOS BRUTOS'!AC$3:AC$500)+IF($C42="",0,SUMIF('DADOS BRUTOS'!$A$3:$A$500,$C42,'DADOS BRUTOS'!AC$3:AC$500)))</f>
        <v/>
      </c>
      <c r="DD42" s="123">
        <f>IF(OR(DD$4="",$B42=""),0,SUMIF('DADOS BRUTOS'!$A$3:$A$500,$B42,'DADOS BRUTOS'!AD$3:AD$500)+IF($C42="",0,SUMIF('DADOS BRUTOS'!$A$3:$A$500,$C42,'DADOS BRUTOS'!AD$3:AD$500)))</f>
        <v/>
      </c>
      <c r="DE42" s="123">
        <f>IF(OR(DE$4="",$B42=""),0,SUMIF('DADOS BRUTOS'!$A$3:$A$500,$B42,'DADOS BRUTOS'!AE$3:AE$500)+IF($C42="",0,SUMIF('DADOS BRUTOS'!$A$3:$A$500,$C42,'DADOS BRUTOS'!AE$3:AE$500)))</f>
        <v/>
      </c>
      <c r="DF42" s="123">
        <f>IF(OR(DF$4="",$B42=""),0,SUMIF('DADOS BRUTOS'!$A$3:$A$500,$B42,'DADOS BRUTOS'!AF$3:AF$500)+IF($C42="",0,SUMIF('DADOS BRUTOS'!$A$3:$A$500,$C42,'DADOS BRUTOS'!AF$3:AF$500)))</f>
        <v/>
      </c>
      <c r="DG42" s="123">
        <f>IF(OR(DG$4="",$B42=""),0,SUMIF('DADOS BRUTOS'!$A$3:$A$500,$B42,'DADOS BRUTOS'!AG$3:AG$500)+IF($C42="",0,SUMIF('DADOS BRUTOS'!$A$3:$A$500,$C42,'DADOS BRUTOS'!AG$3:AG$500)))</f>
        <v/>
      </c>
      <c r="DH42" s="123">
        <f>IF(OR(DH$4="",$B42=""),0,SUMIF('DADOS BRUTOS'!$A$3:$A$500,$B42,'DADOS BRUTOS'!AH$3:AH$500)+IF($C42="",0,SUMIF('DADOS BRUTOS'!$A$3:$A$500,$C42,'DADOS BRUTOS'!AH$3:AH$500)))</f>
        <v/>
      </c>
      <c r="DI42" s="123">
        <f>IF(OR(DI$4="",$B42=""),0,SUMIF('DADOS BRUTOS'!$A$3:$A$500,$B42,'DADOS BRUTOS'!AI$3:AI$500)+IF($C42="",0,SUMIF('DADOS BRUTOS'!$A$3:$A$500,$C42,'DADOS BRUTOS'!AI$3:AI$500)))</f>
        <v/>
      </c>
      <c r="DJ42" s="123">
        <f>IF(OR(DJ$4="",$B42=""),0,SUMIF('DADOS BRUTOS'!$A$3:$A$500,$B42,'DADOS BRUTOS'!AJ$3:AJ$500)+IF($C42="",0,SUMIF('DADOS BRUTOS'!$A$3:$A$500,$C42,'DADOS BRUTOS'!AJ$3:AJ$500)))</f>
        <v/>
      </c>
      <c r="DK42" s="123">
        <f>IF(OR(DK$4="",$B42=""),0,SUMIF('DADOS BRUTOS'!$A$3:$A$500,$B42,'DADOS BRUTOS'!AK$3:AK$500)+IF($C42="",0,SUMIF('DADOS BRUTOS'!$A$3:$A$500,$C42,'DADOS BRUTOS'!AK$3:AK$500)))</f>
        <v/>
      </c>
      <c r="DL42" s="123">
        <f>IF(OR(DL$4="",$B42=""),0,SUMIF('DADOS BRUTOS'!$A$3:$A$500,$B42,'DADOS BRUTOS'!AL$3:AL$500)+IF($C42="",0,SUMIF('DADOS BRUTOS'!$A$3:$A$500,$C42,'DADOS BRUTOS'!AL$3:AL$500)))</f>
        <v/>
      </c>
      <c r="DM42" s="123">
        <f>IF(OR(DM$4="",$B42=""),0,SUMIF('DADOS BRUTOS'!$A$3:$A$500,$B42,'DADOS BRUTOS'!AM$3:AM$500)+IF($C42="",0,SUMIF('DADOS BRUTOS'!$A$3:$A$500,$C42,'DADOS BRUTOS'!AM$3:AM$500)))</f>
        <v/>
      </c>
      <c r="DN42" s="123">
        <f>IF(OR(DN$4="",$B42=""),0,SUMIF('DADOS BRUTOS'!$A$3:$A$500,$B42,'DADOS BRUTOS'!AN$3:AN$500)+IF($C42="",0,SUMIF('DADOS BRUTOS'!$A$3:$A$500,$C42,'DADOS BRUTOS'!AN$3:AN$500)))</f>
        <v/>
      </c>
      <c r="DO42" s="123">
        <f>IF(OR(DO$4="",$B42=""),0,SUMIF('DADOS BRUTOS'!$A$3:$A$500,$B42,'DADOS BRUTOS'!AO$3:AO$500)+IF($C42="",0,SUMIF('DADOS BRUTOS'!$A$3:$A$500,$C42,'DADOS BRUTOS'!AO$3:AO$500)))</f>
        <v/>
      </c>
      <c r="DP42" s="123">
        <f>IF(OR(DP$4="",$B42=""),0,SUMIF('DADOS BRUTOS'!$A$3:$A$500,$B42,'DADOS BRUTOS'!AP$3:AP$500)+IF($C42="",0,SUMIF('DADOS BRUTOS'!$A$3:$A$500,$C42,'DADOS BRUTOS'!AP$3:AP$500)))</f>
        <v/>
      </c>
      <c r="DQ42" s="123">
        <f>IF(OR(DQ$4="",$B42=""),0,SUMIF('DADOS BRUTOS'!$A$3:$A$500,$B42,'DADOS BRUTOS'!AQ$3:AQ$500)+IF($C42="",0,SUMIF('DADOS BRUTOS'!$A$3:$A$500,$C42,'DADOS BRUTOS'!AQ$3:AQ$500)))</f>
        <v/>
      </c>
      <c r="DR42" s="123">
        <f>IF(OR(DR$4="",$B42=""),0,SUMIF('DADOS BRUTOS'!$A$3:$A$500,$B42,'DADOS BRUTOS'!AR$3:AR$500)+IF($C42="",0,SUMIF('DADOS BRUTOS'!$A$3:$A$500,$C42,'DADOS BRUTOS'!AR$3:AR$500)))</f>
        <v/>
      </c>
      <c r="DS42" s="123">
        <f>IF(OR(DS$4="",$B42=""),0,SUMIF('DADOS BRUTOS'!$A$3:$A$500,$B42,'DADOS BRUTOS'!AS$3:AS$500)+IF($C42="",0,SUMIF('DADOS BRUTOS'!$A$3:$A$500,$C42,'DADOS BRUTOS'!AS$3:AS$500)))</f>
        <v/>
      </c>
      <c r="DT42" s="123">
        <f>IF(OR(DT$4="",$B42=""),0,SUMIF('DADOS BRUTOS'!$A$3:$A$500,$B42,'DADOS BRUTOS'!AT$3:AT$500)+IF($C42="",0,SUMIF('DADOS BRUTOS'!$A$3:$A$500,$C42,'DADOS BRUTOS'!AT$3:AT$500)))</f>
        <v/>
      </c>
      <c r="DU42" s="123">
        <f>IF(OR(DU$4="",$B42=""),0,SUMIF('DADOS BRUTOS'!$A$3:$A$500,$B42,'DADOS BRUTOS'!AU$3:AU$500)+IF($C42="",0,SUMIF('DADOS BRUTOS'!$A$3:$A$500,$C42,'DADOS BRUTOS'!AU$3:AU$500)))</f>
        <v/>
      </c>
      <c r="DV42" s="123">
        <f>IF(OR(DV$4="",$B42=""),0,SUMIF('DADOS BRUTOS'!$A$3:$A$500,$B42,'DADOS BRUTOS'!AV$3:AV$500)+IF($C42="",0,SUMIF('DADOS BRUTOS'!$A$3:$A$500,$C42,'DADOS BRUTOS'!AV$3:AV$500)))</f>
        <v/>
      </c>
      <c r="DW42" s="123">
        <f>IF(OR(DW$4="",$B42=""),0,SUMIF('DADOS BRUTOS'!$A$3:$A$500,$B42,'DADOS BRUTOS'!AW$3:AW$500)+IF($C42="",0,SUMIF('DADOS BRUTOS'!$A$3:$A$500,$C42,'DADOS BRUTOS'!AW$3:AW$500)))</f>
        <v/>
      </c>
      <c r="DX42" s="123">
        <f>IF(OR(DX$4="",$B42=""),0,SUMIF('DADOS BRUTOS'!$A$3:$A$500,$B42,'DADOS BRUTOS'!AX$3:AX$500)+IF($C42="",0,SUMIF('DADOS BRUTOS'!$A$3:$A$500,$C42,'DADOS BRUTOS'!AX$3:AX$500)))</f>
        <v/>
      </c>
      <c r="DY42" s="123">
        <f>IF(OR(DY$4="",$B42=""),0,SUMIF('DADOS BRUTOS'!$A$3:$A$500,$B42,'DADOS BRUTOS'!AY$3:AY$500)+IF($C42="",0,SUMIF('DADOS BRUTOS'!$A$3:$A$500,$C42,'DADOS BRUTOS'!AY$3:AY$500)))</f>
        <v/>
      </c>
      <c r="DZ42" s="123">
        <f>IF(OR(DZ$4="",$B42=""),0,SUMIF('DADOS BRUTOS'!$A$3:$A$500,$B42,'DADOS BRUTOS'!AZ$3:AZ$500)+IF($C42="",0,SUMIF('DADOS BRUTOS'!$A$3:$A$500,$C42,'DADOS BRUTOS'!AZ$3:AZ$500)))</f>
        <v/>
      </c>
      <c r="EA42" s="123">
        <f>IF(OR(EA$4="",$B42=""),0,SUMIF('DADOS BRUTOS'!$A$3:$A$500,$B42,'DADOS BRUTOS'!BA$3:BA$500)+IF($C42="",0,SUMIF('DADOS BRUTOS'!$A$3:$A$500,$C42,'DADOS BRUTOS'!BA$3:BA$500)))</f>
        <v/>
      </c>
      <c r="EB42" s="123">
        <f>IF(OR(EB$4="",$B42=""),0,SUMIF('DADOS BRUTOS'!$A$3:$A$500,$B42,'DADOS BRUTOS'!BB$3:BB$500)+IF($C42="",0,SUMIF('DADOS BRUTOS'!$A$3:$A$500,$C42,'DADOS BRUTOS'!BB$3:BB$500)))</f>
        <v/>
      </c>
      <c r="EC42" s="123">
        <f>IF(OR(EC$4="",$B42=""),0,SUMIF('DADOS BRUTOS'!$A$3:$A$500,$B42,'DADOS BRUTOS'!BC$3:BC$500)+IF($C42="",0,SUMIF('DADOS BRUTOS'!$A$3:$A$500,$C42,'DADOS BRUTOS'!BC$3:BC$500)))</f>
        <v/>
      </c>
      <c r="ED42" s="123">
        <f>IF(OR(ED$4="",$B42=""),0,SUMIF('DADOS BRUTOS'!$A$3:$A$500,$B42,'DADOS BRUTOS'!BD$3:BD$500)+IF($C42="",0,SUMIF('DADOS BRUTOS'!$A$3:$A$500,$C42,'DADOS BRUTOS'!BD$3:BD$500)))</f>
        <v/>
      </c>
      <c r="EE42" s="123">
        <f>IF(OR(EE$4="",$B42=""),0,SUMIF('DADOS BRUTOS'!$A$3:$A$500,$B42,'DADOS BRUTOS'!BE$3:BE$500)+IF($C42="",0,SUMIF('DADOS BRUTOS'!$A$3:$A$500,$C42,'DADOS BRUTOS'!BE$3:BE$500)))</f>
        <v/>
      </c>
      <c r="EF42" s="123">
        <f>IF(OR(EF$4="",$B42=""),0,SUMIF('DADOS BRUTOS'!$A$3:$A$500,$B42,'DADOS BRUTOS'!BF$3:BF$500)+IF($C42="",0,SUMIF('DADOS BRUTOS'!$A$3:$A$500,$C42,'DADOS BRUTOS'!BF$3:BF$500)))</f>
        <v/>
      </c>
      <c r="EG42" s="123">
        <f>IF(OR(EG$4="",$B42=""),0,SUMIF('DADOS BRUTOS'!$A$3:$A$500,$B42,'DADOS BRUTOS'!BG$3:BG$500)+IF($C42="",0,SUMIF('DADOS BRUTOS'!$A$3:$A$500,$C42,'DADOS BRUTOS'!BG$3:BG$500)))</f>
        <v/>
      </c>
      <c r="EH42" s="123">
        <f>IF(OR(EH$4="",$B42=""),0,SUMIF('DADOS BRUTOS'!$A$3:$A$500,$B42,'DADOS BRUTOS'!BH$3:BH$500)+IF($C42="",0,SUMIF('DADOS BRUTOS'!$A$3:$A$500,$C42,'DADOS BRUTOS'!BH$3:BH$500)))</f>
        <v/>
      </c>
      <c r="EI42" s="123">
        <f>IF(OR(EI$4="",$B42=""),0,SUMIF('DADOS BRUTOS'!$A$3:$A$500,$B42,'DADOS BRUTOS'!BI$3:BI$500)+IF($C42="",0,SUMIF('DADOS BRUTOS'!$A$3:$A$500,$C42,'DADOS BRUTOS'!BI$3:BI$500)))</f>
        <v/>
      </c>
      <c r="EJ42" s="123">
        <f>IF(OR(EJ$4="",$B42=""),0,SUMIF('DADOS BRUTOS'!$A$3:$A$500,$B42,'DADOS BRUTOS'!BJ$3:BJ$500)+IF($C42="",0,SUMIF('DADOS BRUTOS'!$A$3:$A$500,$C42,'DADOS BRUTOS'!BJ$3:BJ$500)))</f>
        <v/>
      </c>
      <c r="EK42" s="123">
        <f>IF(OR(EK$4="",$B42=""),0,SUMIF('DADOS BRUTOS'!$A$3:$A$500,$B42,'DADOS BRUTOS'!BK$3:BK$500)+IF($C42="",0,SUMIF('DADOS BRUTOS'!$A$3:$A$500,$C42,'DADOS BRUTOS'!BK$3:BK$500)))</f>
        <v/>
      </c>
      <c r="EL42" s="123">
        <f>IF(OR(EL$4="",$B42=""),0,SUMIF('DADOS BRUTOS'!$A$3:$A$500,$B42,'DADOS BRUTOS'!BL$3:BL$500)+IF($C42="",0,SUMIF('DADOS BRUTOS'!$A$3:$A$500,$C42,'DADOS BRUTOS'!BL$3:BL$500)))</f>
        <v/>
      </c>
      <c r="EM42" s="123">
        <f>IF(OR(EM$4="",$B42=""),0,SUMIF('DADOS BRUTOS'!$A$3:$A$500,$B42,'DADOS BRUTOS'!BM$3:BM$500)+IF($C42="",0,SUMIF('DADOS BRUTOS'!$A$3:$A$500,$C42,'DADOS BRUTOS'!BM$3:BM$500)))</f>
        <v/>
      </c>
      <c r="EN42" s="123">
        <f>IF(OR(EN$4="",$B42=""),0,SUMIF('DADOS BRUTOS'!$A$3:$A$500,$B42,'DADOS BRUTOS'!BN$3:BN$500)+IF($C42="",0,SUMIF('DADOS BRUTOS'!$A$3:$A$500,$C42,'DADOS BRUTOS'!BN$3:BN$500)))</f>
        <v/>
      </c>
      <c r="EO42" s="123">
        <f>IF(OR(EO$4="",$B42=""),0,SUMIF('DADOS BRUTOS'!$A$3:$A$500,$B42,'DADOS BRUTOS'!BO$3:BO$500)+IF($C42="",0,SUMIF('DADOS BRUTOS'!$A$3:$A$500,$C42,'DADOS BRUTOS'!BO$3:BO$500)))</f>
        <v/>
      </c>
      <c r="EP42" s="123">
        <f>IF(OR(EP$4="",$B42=""),0,SUMIF('DADOS BRUTOS'!$A$3:$A$500,$B42,'DADOS BRUTOS'!BP$3:BP$500)+IF($C42="",0,SUMIF('DADOS BRUTOS'!$A$3:$A$500,$C42,'DADOS BRUTOS'!BP$3:BP$500)))</f>
        <v/>
      </c>
      <c r="EQ42" s="123">
        <f>IF(OR(EQ$4="",$B42=""),0,SUMIF('DADOS BRUTOS'!$A$3:$A$500,$B42,'DADOS BRUTOS'!BQ$3:BQ$500)+IF($C42="",0,SUMIF('DADOS BRUTOS'!$A$3:$A$500,$C42,'DADOS BRUTOS'!BQ$3:BQ$500)))</f>
        <v/>
      </c>
      <c r="ER42" s="123">
        <f>IF(OR(ER$4="",$B42=""),0,SUMIF('DADOS BRUTOS'!$A$3:$A$500,$B42,'DADOS BRUTOS'!BR$3:BR$500)+IF($C42="",0,SUMIF('DADOS BRUTOS'!$A$3:$A$500,$C42,'DADOS BRUTOS'!BR$3:BR$500)))</f>
        <v/>
      </c>
      <c r="ES42" s="123">
        <f>IF(OR(ES$4="",$B42=""),0,SUMIF('DADOS BRUTOS'!$A$3:$A$500,$B42,'DADOS BRUTOS'!BS$3:BS$500)+IF($C42="",0,SUMIF('DADOS BRUTOS'!$A$3:$A$500,$C42,'DADOS BRUTOS'!BS$3:BS$500)))</f>
        <v/>
      </c>
      <c r="ET42" s="123">
        <f>IF(OR(ET$4="",$B42=""),0,SUMIF('DADOS BRUTOS'!$A$3:$A$500,$B42,'DADOS BRUTOS'!BT$3:BT$500)+IF($C42="",0,SUMIF('DADOS BRUTOS'!$A$3:$A$500,$C42,'DADOS BRUTOS'!BT$3:BT$500)))</f>
        <v/>
      </c>
      <c r="EU42" s="123">
        <f>IF(OR(EU$4="",$B42=""),0,SUMIF('DADOS BRUTOS'!$A$3:$A$500,$B42,'DADOS BRUTOS'!BU$3:BU$500)+IF($C42="",0,SUMIF('DADOS BRUTOS'!$A$3:$A$500,$C42,'DADOS BRUTOS'!BU$3:BU$500)))</f>
        <v/>
      </c>
      <c r="EV42" s="123">
        <f>IF(OR(EV$4="",$B42=""),0,SUMIF('DADOS BRUTOS'!$A$3:$A$500,$B42,'DADOS BRUTOS'!BV$3:BV$500)+IF($C42="",0,SUMIF('DADOS BRUTOS'!$A$3:$A$500,$C42,'DADOS BRUTOS'!BV$3:BV$500)))</f>
        <v/>
      </c>
      <c r="EW42" s="123">
        <f>IF(OR(EW$4="",$B42=""),0,SUMIF('DADOS BRUTOS'!$A$3:$A$500,$B42,'DADOS BRUTOS'!BW$3:BW$500)+IF($C42="",0,SUMIF('DADOS BRUTOS'!$A$3:$A$500,$C42,'DADOS BRUTOS'!BW$3:BW$500)))</f>
        <v/>
      </c>
      <c r="EX42" s="123">
        <f>IF(OR(EX$4="",$B42=""),0,SUMIF('DADOS BRUTOS'!$A$3:$A$500,$B42,'DADOS BRUTOS'!BX$3:BX$500)+IF($C42="",0,SUMIF('DADOS BRUTOS'!$A$3:$A$500,$C42,'DADOS BRUTOS'!BX$3:BX$500)))</f>
        <v/>
      </c>
      <c r="EY42" s="123">
        <f>IF(OR(EY$4="",$B42=""),0,SUMIF('DADOS BRUTOS'!$A$3:$A$500,$B42,'DADOS BRUTOS'!BY$3:BY$500)+IF($C42="",0,SUMIF('DADOS BRUTOS'!$A$3:$A$500,$C42,'DADOS BRUTOS'!BY$3:BY$500)))</f>
        <v/>
      </c>
      <c r="EZ42" s="123">
        <f>IF(OR(EZ$4="",$B42=""),0,SUMIF('DADOS BRUTOS'!$A$3:$A$500,$B42,'DADOS BRUTOS'!BZ$3:BZ$500)+IF($C42="",0,SUMIF('DADOS BRUTOS'!$A$3:$A$500,$C42,'DADOS BRUTOS'!BZ$3:BZ$500)))</f>
        <v/>
      </c>
      <c r="FA42" s="123">
        <f>IF(OR(FA$4="",$B42=""),0,SUMIF('DADOS BRUTOS'!$A$3:$A$500,$B42,'DADOS BRUTOS'!CA$3:CA$500)+IF($C42="",0,SUMIF('DADOS BRUTOS'!$A$3:$A$500,$C42,'DADOS BRUTOS'!CA$3:CA$500)))</f>
        <v/>
      </c>
      <c r="FB42" s="123">
        <f>IF(OR(FB$4="",$B42=""),0,SUMIF('DADOS BRUTOS'!$A$3:$A$500,$B42,'DADOS BRUTOS'!CB$3:CB$500)+IF($C42="",0,SUMIF('DADOS BRUTOS'!$A$3:$A$500,$C42,'DADOS BRUTOS'!CB$3:CB$500)))</f>
        <v/>
      </c>
      <c r="FC42" s="123">
        <f>IF(OR(FC$4="",$B42=""),0,SUMIF('DADOS BRUTOS'!$A$3:$A$500,$B42,'DADOS BRUTOS'!CC$3:CC$500)+IF($C42="",0,SUMIF('DADOS BRUTOS'!$A$3:$A$500,$C42,'DADOS BRUTOS'!CC$3:CC$500)))</f>
        <v/>
      </c>
      <c r="FD42" s="123">
        <f>IF(OR(FD$4="",$B42=""),0,SUMIF('DADOS BRUTOS'!$A$3:$A$500,$B42,'DADOS BRUTOS'!CD$3:CD$500)+IF($C42="",0,SUMIF('DADOS BRUTOS'!$A$3:$A$500,$C42,'DADOS BRUTOS'!CD$3:CD$500)))</f>
        <v/>
      </c>
      <c r="FE42" s="123">
        <f>IF(OR(FE$4="",$B42=""),0,SUMIF('DADOS BRUTOS'!$A$3:$A$500,$B42,'DADOS BRUTOS'!CE$3:CE$500)+IF($C42="",0,SUMIF('DADOS BRUTOS'!$A$3:$A$500,$C42,'DADOS BRUTOS'!CE$3:CE$500)))</f>
        <v/>
      </c>
      <c r="FF42" s="123">
        <f>IF(OR(FF$4="",$B42=""),0,SUMIF('DADOS BRUTOS'!$A$3:$A$500,$B42,'DADOS BRUTOS'!CF$3:CF$500)+IF($C42="",0,SUMIF('DADOS BRUTOS'!$A$3:$A$500,$C42,'DADOS BRUTOS'!CF$3:CF$500)))</f>
        <v/>
      </c>
      <c r="FG42" s="123">
        <f>IF(OR(FG$4="",$B42=""),0,SUMIF('DADOS BRUTOS'!$A$3:$A$500,$B42,'DADOS BRUTOS'!CG$3:CG$500)+IF($C42="",0,SUMIF('DADOS BRUTOS'!$A$3:$A$500,$C42,'DADOS BRUTOS'!CG$3:CG$500)))</f>
        <v/>
      </c>
      <c r="FH42" s="123">
        <f>IF(OR(FH$4="",$B42=""),0,SUMIF('DADOS BRUTOS'!$A$3:$A$500,$B42,'DADOS BRUTOS'!CH$3:CH$500)+IF($C42="",0,SUMIF('DADOS BRUTOS'!$A$3:$A$500,$C42,'DADOS BRUTOS'!CH$3:CH$500)))</f>
        <v/>
      </c>
      <c r="FI42" s="123">
        <f>IF(OR(FI$4="",$B42=""),0,SUMIF('DADOS BRUTOS'!$A$3:$A$500,$B42,'DADOS BRUTOS'!CI$3:CI$500)+IF($C42="",0,SUMIF('DADOS BRUTOS'!$A$3:$A$500,$C42,'DADOS BRUTOS'!CI$3:CI$500)))</f>
        <v/>
      </c>
      <c r="FJ42" s="123">
        <f>IF(OR(FJ$4="",$B42=""),0,SUMIF('DADOS BRUTOS'!$A$3:$A$500,$B42,'DADOS BRUTOS'!CJ$3:CJ$500)+IF($C42="",0,SUMIF('DADOS BRUTOS'!$A$3:$A$500,$C42,'DADOS BRUTOS'!CJ$3:CJ$500)))</f>
        <v/>
      </c>
      <c r="FK42" s="123">
        <f>IF(OR(FK$4="",$B42=""),0,SUMIF('DADOS BRUTOS'!$A$3:$A$500,$B42,'DADOS BRUTOS'!CK$3:CK$500)+IF($C42="",0,SUMIF('DADOS BRUTOS'!$A$3:$A$500,$C42,'DADOS BRUTOS'!CK$3:CK$500)))</f>
        <v/>
      </c>
      <c r="FL42" s="123">
        <f>IF(OR(FL$4="",$B42=""),0,SUMIF('DADOS BRUTOS'!$A$3:$A$500,$B42,'DADOS BRUTOS'!CL$3:CL$500)+IF($C42="",0,SUMIF('DADOS BRUTOS'!$A$3:$A$500,$C42,'DADOS BRUTOS'!CL$3:CL$500)))</f>
        <v/>
      </c>
      <c r="FM42" s="123">
        <f>IF(OR(FM$4="",$B42=""),0,SUMIF('DADOS BRUTOS'!$A$3:$A$500,$B42,'DADOS BRUTOS'!CM$3:CM$500)+IF($C42="",0,SUMIF('DADOS BRUTOS'!$A$3:$A$500,$C42,'DADOS BRUTOS'!CM$3:CM$500)))</f>
        <v/>
      </c>
      <c r="FN42" s="123">
        <f>IF(OR(FN$4="",$B42=""),0,SUMIF('DADOS BRUTOS'!$A$3:$A$500,$B42,'DADOS BRUTOS'!CN$3:CN$500)+IF($C42="",0,SUMIF('DADOS BRUTOS'!$A$3:$A$500,$C42,'DADOS BRUTOS'!CN$3:CN$500)))</f>
        <v/>
      </c>
      <c r="FO42" s="123">
        <f>IF(OR(FO$4="",$B42=""),0,SUMIF('DADOS BRUTOS'!$A$3:$A$500,$B42,'DADOS BRUTOS'!CO$3:CO$500)+IF($C42="",0,SUMIF('DADOS BRUTOS'!$A$3:$A$500,$C42,'DADOS BRUTOS'!CO$3:CO$500)))</f>
        <v/>
      </c>
      <c r="FP42" s="123">
        <f>IF(OR(FP$4="",$B42=""),0,SUMIF('DADOS BRUTOS'!$A$3:$A$500,$B42,'DADOS BRUTOS'!CP$3:CP$500)+IF($C42="",0,SUMIF('DADOS BRUTOS'!$A$3:$A$500,$C42,'DADOS BRUTOS'!CP$3:CP$500)))</f>
        <v/>
      </c>
      <c r="FQ42" s="123">
        <f>IF(OR(FQ$4="",$B42=""),0,SUMIF('DADOS BRUTOS'!$A$3:$A$500,$B42,'DADOS BRUTOS'!CQ$3:CQ$500)+IF($C42="",0,SUMIF('DADOS BRUTOS'!$A$3:$A$500,$C42,'DADOS BRUTOS'!CQ$3:CQ$500)))</f>
        <v/>
      </c>
      <c r="FR42" s="123">
        <f>IF(OR(FR$4="",$B42=""),0,SUMIF('DADOS BRUTOS'!$A$3:$A$500,$B42,'DADOS BRUTOS'!CR$3:CR$500)+IF($C42="",0,SUMIF('DADOS BRUTOS'!$A$3:$A$500,$C42,'DADOS BRUTOS'!CR$3:CR$500)))</f>
        <v/>
      </c>
      <c r="FS42" s="123">
        <f>IF(OR(FS$4="",$B42=""),0,SUMIF('DADOS BRUTOS'!$A$3:$A$500,$B42,'DADOS BRUTOS'!CS$3:CS$500)+IF($C42="",0,SUMIF('DADOS BRUTOS'!$A$3:$A$500,$C42,'DADOS BRUTOS'!CS$3:CS$500)))</f>
        <v/>
      </c>
      <c r="FT42" s="123">
        <f>IF(OR(FT$4="",$B42=""),0,SUMIF('DADOS BRUTOS'!$A$3:$A$500,$B42,'DADOS BRUTOS'!CT$3:CT$500)+IF($C42="",0,SUMIF('DADOS BRUTOS'!$A$3:$A$500,$C42,'DADOS BRUTOS'!CT$3:CT$500)))</f>
        <v/>
      </c>
      <c r="FU42" s="123">
        <f>IF(OR(FU$4="",$B42=""),0,SUMIF('DADOS BRUTOS'!$A$3:$A$500,$B42,'DADOS BRUTOS'!CU$3:CU$500)+IF($C42="",0,SUMIF('DADOS BRUTOS'!$A$3:$A$500,$C42,'DADOS BRUTOS'!CU$3:CU$500)))</f>
        <v/>
      </c>
      <c r="FV42" s="123">
        <f>IF(OR(FV$4="",$B42=""),0,SUMIF('DADOS BRUTOS'!$A$3:$A$500,$B42,'DADOS BRUTOS'!CV$3:CV$500)+IF($C42="",0,SUMIF('DADOS BRUTOS'!$A$3:$A$500,$C42,'DADOS BRUTOS'!CV$3:CV$500)))</f>
        <v/>
      </c>
      <c r="FW42" s="123">
        <f>IF(OR(FW$4="",$B42=""),0,SUMIF('DADOS BRUTOS'!$A$3:$A$500,$B42,'DADOS BRUTOS'!CW$3:CW$500)+IF($C42="",0,SUMIF('DADOS BRUTOS'!$A$3:$A$500,$C42,'DADOS BRUTOS'!CW$3:CW$500)))</f>
        <v/>
      </c>
      <c r="FX42" s="123">
        <f>IF(OR(FX$4="",$B42=""),0,SUMIF('DADOS BRUTOS'!$A$3:$A$500,$B42,'DADOS BRUTOS'!CX$3:CX$500)+IF($C42="",0,SUMIF('DADOS BRUTOS'!$A$3:$A$500,$C42,'DADOS BRUTOS'!CX$3:CX$500)))</f>
        <v/>
      </c>
      <c r="FY42" s="123">
        <f>IF(OR(FY$4="",$B42=""),0,SUMIF('DADOS BRUTOS'!$A$3:$A$500,$B42,'DADOS BRUTOS'!CY$3:CY$500)+IF($C42="",0,SUMIF('DADOS BRUTOS'!$A$3:$A$500,$C42,'DADOS BRUTOS'!CY$3:CY$500)))</f>
        <v/>
      </c>
      <c r="FZ42" s="123">
        <f>IF(OR(FZ$4="",$B42=""),0,SUMIF('DADOS BRUTOS'!$A$3:$A$500,$B42,'DADOS BRUTOS'!CZ$3:CZ$500)+IF($C42="",0,SUMIF('DADOS BRUTOS'!$A$3:$A$500,$C42,'DADOS BRUTOS'!CZ$3:CZ$500)))</f>
        <v/>
      </c>
      <c r="GA42" s="123">
        <f>IF(OR(GA$4="",$B42=""),0,SUMIF('DADOS BRUTOS'!$A$3:$A$500,$B42,'DADOS BRUTOS'!DA$3:DA$500)+IF($C42="",0,SUMIF('DADOS BRUTOS'!$A$3:$A$500,$C42,'DADOS BRUTOS'!DA$3:DA$500)))</f>
        <v/>
      </c>
      <c r="GB42" s="123">
        <f>IF(OR(GB$4="",$B42=""),0,SUMIF('DADOS BRUTOS'!$A$3:$A$500,$B42,'DADOS BRUTOS'!DB$3:DB$500)+IF($C42="",0,SUMIF('DADOS BRUTOS'!$A$3:$A$500,$C42,'DADOS BRUTOS'!DB$3:DB$500)))</f>
        <v/>
      </c>
      <c r="GC42" s="123">
        <f>IF(OR(GC$4="",$B42=""),0,SUMIF('DADOS BRUTOS'!$A$3:$A$500,$B42,'DADOS BRUTOS'!DC$3:DC$500)+IF($C42="",0,SUMIF('DADOS BRUTOS'!$A$3:$A$500,$C42,'DADOS BRUTOS'!DC$3:DC$500)))</f>
        <v/>
      </c>
      <c r="GD42" s="123">
        <f>IF(OR(GD$4="",$B42=""),0,SUMIF('DADOS BRUTOS'!$A$3:$A$500,$B42,'DADOS BRUTOS'!DD$3:DD$500)+IF($C42="",0,SUMIF('DADOS BRUTOS'!$A$3:$A$500,$C42,'DADOS BRUTOS'!DD$3:DD$500)))</f>
        <v/>
      </c>
      <c r="GE42" s="123">
        <f>IF(OR(GE$4="",$B42=""),0,SUMIF('DADOS BRUTOS'!$A$3:$A$500,$B42,'DADOS BRUTOS'!DE$3:DE$500)+IF($C42="",0,SUMIF('DADOS BRUTOS'!$A$3:$A$500,$C42,'DADOS BRUTOS'!DE$3:DE$500)))</f>
        <v/>
      </c>
      <c r="GF42" s="123">
        <f>IF(OR(GF$4="",$B42=""),0,SUMIF('DADOS BRUTOS'!$A$3:$A$500,$B42,'DADOS BRUTOS'!DF$3:DF$500)+IF($C42="",0,SUMIF('DADOS BRUTOS'!$A$3:$A$500,$C42,'DADOS BRUTOS'!DF$3:DF$500)))</f>
        <v/>
      </c>
      <c r="GG42" s="123">
        <f>IF(OR(GG$4="",$B42=""),0,SUMIF('DADOS BRUTOS'!$A$3:$A$500,$B42,'DADOS BRUTOS'!DG$3:DG$500)+IF($C42="",0,SUMIF('DADOS BRUTOS'!$A$3:$A$500,$C42,'DADOS BRUTOS'!DG$3:DG$500)))</f>
        <v/>
      </c>
      <c r="GH42" s="123">
        <f>IF(OR(GH$4="",$B42=""),0,SUMIF('DADOS BRUTOS'!$A$3:$A$500,$B42,'DADOS BRUTOS'!DH$3:DH$500)+IF($C42="",0,SUMIF('DADOS BRUTOS'!$A$3:$A$500,$C42,'DADOS BRUTOS'!DH$3:DH$500)))</f>
        <v/>
      </c>
      <c r="GI42" s="123">
        <f>IF(OR(GI$4="",$B42=""),0,SUMIF('DADOS BRUTOS'!$A$3:$A$500,$B42,'DADOS BRUTOS'!DI$3:DI$500)+IF($C42="",0,SUMIF('DADOS BRUTOS'!$A$3:$A$500,$C42,'DADOS BRUTOS'!DI$3:DI$500)))</f>
        <v/>
      </c>
      <c r="GJ42" s="123">
        <f>IF(OR(GJ$4="",$B42=""),0,SUMIF('DADOS BRUTOS'!$A$3:$A$500,$B42,'DADOS BRUTOS'!DJ$3:DJ$500)+IF($C42="",0,SUMIF('DADOS BRUTOS'!$A$3:$A$500,$C42,'DADOS BRUTOS'!DJ$3:DJ$500)))</f>
        <v/>
      </c>
      <c r="GK42" s="123">
        <f>IF(OR(GK$4="",$B42=""),0,SUMIF('DADOS BRUTOS'!$A$3:$A$500,$B42,'DADOS BRUTOS'!DK$3:DK$500)+IF($C42="",0,SUMIF('DADOS BRUTOS'!$A$3:$A$500,$C42,'DADOS BRUTOS'!DK$3:DK$500)))</f>
        <v/>
      </c>
      <c r="GL42" s="123">
        <f>IF(OR(GL$4="",$B42=""),0,SUMIF('DADOS BRUTOS'!$A$3:$A$500,$B42,'DADOS BRUTOS'!DL$3:DL$500)+IF($C42="",0,SUMIF('DADOS BRUTOS'!$A$3:$A$500,$C42,'DADOS BRUTOS'!DL$3:DL$500)))</f>
        <v/>
      </c>
      <c r="GM42" s="123">
        <f>IF(OR(GM$4="",$B42=""),0,SUMIF('DADOS BRUTOS'!$A$3:$A$500,$B42,'DADOS BRUTOS'!DM$3:DM$500)+IF($C42="",0,SUMIF('DADOS BRUTOS'!$A$3:$A$500,$C42,'DADOS BRUTOS'!DM$3:DM$500)))</f>
        <v/>
      </c>
      <c r="GN42" s="123">
        <f>IF(OR(GN$4="",$B42=""),0,SUMIF('DADOS BRUTOS'!$A$3:$A$500,$B42,'DADOS BRUTOS'!DN$3:DN$500)+IF($C42="",0,SUMIF('DADOS BRUTOS'!$A$3:$A$500,$C42,'DADOS BRUTOS'!DN$3:DN$500)))</f>
        <v/>
      </c>
      <c r="GO42" s="123">
        <f>IF(OR(GO$4="",$B42=""),0,SUMIF('DADOS BRUTOS'!$A$3:$A$500,$B42,'DADOS BRUTOS'!DO$3:DO$500)+IF($C42="",0,SUMIF('DADOS BRUTOS'!$A$3:$A$500,$C42,'DADOS BRUTOS'!DO$3:DO$500)))</f>
        <v/>
      </c>
      <c r="GP42" s="123">
        <f>IF(OR(GP$4="",$B42=""),0,SUMIF('DADOS BRUTOS'!$A$3:$A$500,$B42,'DADOS BRUTOS'!DP$3:DP$500)+IF($C42="",0,SUMIF('DADOS BRUTOS'!$A$3:$A$500,$C42,'DADOS BRUTOS'!DP$3:DP$500)))</f>
        <v/>
      </c>
      <c r="GQ42" s="123">
        <f>IF(OR(GQ$4="",$B42=""),0,SUMIF('DADOS BRUTOS'!$A$3:$A$500,$B42,'DADOS BRUTOS'!DQ$3:DQ$500)+IF($C42="",0,SUMIF('DADOS BRUTOS'!$A$3:$A$500,$C42,'DADOS BRUTOS'!DQ$3:DQ$500)))</f>
        <v/>
      </c>
      <c r="GR42" s="123">
        <f>IF(OR(GR$4="",$B42=""),0,SUMIF('DADOS BRUTOS'!$A$3:$A$500,$B42,'DADOS BRUTOS'!DR$3:DR$500)+IF($C42="",0,SUMIF('DADOS BRUTOS'!$A$3:$A$500,$C42,'DADOS BRUTOS'!DR$3:DR$500)))</f>
        <v/>
      </c>
      <c r="GS42" s="123">
        <f>IF(OR(GS$4="",$B42=""),0,SUMIF('DADOS BRUTOS'!$A$3:$A$500,$B42,'DADOS BRUTOS'!DS$3:DS$500)+IF($C42="",0,SUMIF('DADOS BRUTOS'!$A$3:$A$500,$C42,'DADOS BRUTOS'!DS$3:DS$500)))</f>
        <v/>
      </c>
      <c r="GT42" s="123">
        <f>IF(OR(GT$4="",$B42=""),0,SUMIF('DADOS BRUTOS'!$A$3:$A$500,$B42,'DADOS BRUTOS'!DT$3:DT$500)+IF($C42="",0,SUMIF('DADOS BRUTOS'!$A$3:$A$500,$C42,'DADOS BRUTOS'!DT$3:DT$500)))</f>
        <v/>
      </c>
      <c r="GU42" s="123">
        <f>IF(OR(GU$4="",$B42=""),0,SUMIF('DADOS BRUTOS'!$A$3:$A$500,$B42,'DADOS BRUTOS'!DU$3:DU$500)+IF($C42="",0,SUMIF('DADOS BRUTOS'!$A$3:$A$500,$C42,'DADOS BRUTOS'!DU$3:DU$500)))</f>
        <v/>
      </c>
      <c r="GV42" s="123">
        <f>IF(OR(GV$4="",$B42=""),0,SUMIF('DADOS BRUTOS'!$A$3:$A$500,$B42,'DADOS BRUTOS'!DV$3:DV$500)+IF($C42="",0,SUMIF('DADOS BRUTOS'!$A$3:$A$500,$C42,'DADOS BRUTOS'!DV$3:DV$500)))</f>
        <v/>
      </c>
      <c r="GW42" s="123">
        <f>IF(OR(GW$4="",$B42=""),0,SUMIF('DADOS BRUTOS'!$A$3:$A$500,$B42,'DADOS BRUTOS'!DW$3:DW$500)+IF($C42="",0,SUMIF('DADOS BRUTOS'!$A$3:$A$500,$C42,'DADOS BRUTOS'!DW$3:DW$500)))</f>
        <v/>
      </c>
      <c r="GX42" s="123">
        <f>IF(OR(GX$4="",$B42=""),0,SUMIF('DADOS BRUTOS'!$A$3:$A$500,$B42,'DADOS BRUTOS'!DX$3:DX$500)+IF($C42="",0,SUMIF('DADOS BRUTOS'!$A$3:$A$500,$C42,'DADOS BRUTOS'!DX$3:DX$500)))</f>
        <v/>
      </c>
      <c r="GY42" s="123">
        <f>IF(OR(GY$4="",$B42=""),0,SUMIF('DADOS BRUTOS'!$A$3:$A$500,$B42,'DADOS BRUTOS'!DY$3:DY$500)+IF($C42="",0,SUMIF('DADOS BRUTOS'!$A$3:$A$500,$C42,'DADOS BRUTOS'!DY$3:DY$500)))</f>
        <v/>
      </c>
      <c r="GZ42" s="123">
        <f>IF(OR(GZ$4="",$B42=""),0,SUMIF('DADOS BRUTOS'!$A$3:$A$500,$B42,'DADOS BRUTOS'!DZ$3:DZ$500)+IF($C42="",0,SUMIF('DADOS BRUTOS'!$A$3:$A$500,$C42,'DADOS BRUTOS'!DZ$3:DZ$500)))</f>
        <v/>
      </c>
      <c r="HA42" s="123">
        <f>IF(OR(HA$4="",$B42=""),0,SUMIF('DADOS BRUTOS'!$A$3:$A$500,$B42,'DADOS BRUTOS'!EA$3:EA$500)+IF($C42="",0,SUMIF('DADOS BRUTOS'!$A$3:$A$500,$C42,'DADOS BRUTOS'!EA$3:EA$500)))</f>
        <v/>
      </c>
      <c r="HB42" s="123">
        <f>IF(OR(HB$4="",$B42=""),0,SUMIF('DADOS BRUTOS'!$A$3:$A$500,$B42,'DADOS BRUTOS'!EB$3:EB$500)+IF($C42="",0,SUMIF('DADOS BRUTOS'!$A$3:$A$500,$C42,'DADOS BRUTOS'!EB$3:EB$500)))</f>
        <v/>
      </c>
      <c r="HC42" s="123">
        <f>IF(OR(HC$4="",$B42=""),0,SUMIF('DADOS BRUTOS'!$A$3:$A$500,$B42,'DADOS BRUTOS'!EC$3:EC$500)+IF($C42="",0,SUMIF('DADOS BRUTOS'!$A$3:$A$500,$C42,'DADOS BRUTOS'!EC$3:EC$500)))</f>
        <v/>
      </c>
      <c r="HD42" s="123">
        <f>IF(OR(HD$4="",$B42=""),0,SUMIF('DADOS BRUTOS'!$A$3:$A$500,$B42,'DADOS BRUTOS'!ED$3:ED$500)+IF($C42="",0,SUMIF('DADOS BRUTOS'!$A$3:$A$500,$C42,'DADOS BRUTOS'!ED$3:ED$500)))</f>
        <v/>
      </c>
      <c r="HE42" s="123">
        <f>IF(OR(HE$4="",$B42=""),0,SUMIF('DADOS BRUTOS'!$A$3:$A$500,$B42,'DADOS BRUTOS'!EE$3:EE$500)+IF($C42="",0,SUMIF('DADOS BRUTOS'!$A$3:$A$500,$C42,'DADOS BRUTOS'!EE$3:EE$500)))</f>
        <v/>
      </c>
      <c r="HF42" s="123">
        <f>IF(OR(HF$4="",$B42=""),0,SUMIF('DADOS BRUTOS'!$A$3:$A$500,$B42,'DADOS BRUTOS'!EF$3:EF$500)+IF($C42="",0,SUMIF('DADOS BRUTOS'!$A$3:$A$500,$C42,'DADOS BRUTOS'!EF$3:EF$500)))</f>
        <v/>
      </c>
      <c r="HG42" s="123">
        <f>IF(OR(HG$4="",$B42=""),0,SUMIF('DADOS BRUTOS'!$A$3:$A$500,$B42,'DADOS BRUTOS'!EG$3:EG$500)+IF($C42="",0,SUMIF('DADOS BRUTOS'!$A$3:$A$500,$C42,'DADOS BRUTOS'!EG$3:EG$500)))</f>
        <v/>
      </c>
      <c r="HH42" s="123">
        <f>IF(OR(HH$4="",$B42=""),0,SUMIF('DADOS BRUTOS'!$A$3:$A$500,$B42,'DADOS BRUTOS'!EH$3:EH$500)+IF($C42="",0,SUMIF('DADOS BRUTOS'!$A$3:$A$500,$C42,'DADOS BRUTOS'!EH$3:EH$500)))</f>
        <v/>
      </c>
      <c r="HI42" s="123">
        <f>IF(OR(HI$4="",$B42=""),0,SUMIF('DADOS BRUTOS'!$A$3:$A$500,$B42,'DADOS BRUTOS'!EI$3:EI$500)+IF($C42="",0,SUMIF('DADOS BRUTOS'!$A$3:$A$500,$C42,'DADOS BRUTOS'!EI$3:EI$500)))</f>
        <v/>
      </c>
      <c r="HJ42" s="123">
        <f>IF(OR(HJ$4="",$B42=""),0,SUMIF('DADOS BRUTOS'!$A$3:$A$500,$B42,'DADOS BRUTOS'!EJ$3:EJ$500)+IF($C42="",0,SUMIF('DADOS BRUTOS'!$A$3:$A$500,$C42,'DADOS BRUTOS'!EJ$3:EJ$500)))</f>
        <v/>
      </c>
      <c r="HK42" s="123">
        <f>IF(OR(HK$4="",$B42=""),0,SUMIF('DADOS BRUTOS'!$A$3:$A$500,$B42,'DADOS BRUTOS'!EK$3:EK$500)+IF($C42="",0,SUMIF('DADOS BRUTOS'!$A$3:$A$500,$C42,'DADOS BRUTOS'!EK$3:EK$500)))</f>
        <v/>
      </c>
      <c r="HL42" s="123">
        <f>IF(OR(HL$4="",$B42=""),0,SUMIF('DADOS BRUTOS'!$A$3:$A$500,$B42,'DADOS BRUTOS'!EL$3:EL$500)+IF($C42="",0,SUMIF('DADOS BRUTOS'!$A$3:$A$500,$C42,'DADOS BRUTOS'!EL$3:EL$500)))</f>
        <v/>
      </c>
      <c r="HM42" s="123">
        <f>IF(OR(HM$4="",$B42=""),0,SUMIF('DADOS BRUTOS'!$A$3:$A$500,$B42,'DADOS BRUTOS'!EM$3:EM$500)+IF($C42="",0,SUMIF('DADOS BRUTOS'!$A$3:$A$500,$C42,'DADOS BRUTOS'!EM$3:EM$500)))</f>
        <v/>
      </c>
      <c r="HN42" s="123">
        <f>IF(OR(HN$4="",$B42=""),0,SUMIF('DADOS BRUTOS'!$A$3:$A$500,$B42,'DADOS BRUTOS'!EN$3:EN$500)+IF($C42="",0,SUMIF('DADOS BRUTOS'!$A$3:$A$500,$C42,'DADOS BRUTOS'!EN$3:EN$500)))</f>
        <v/>
      </c>
      <c r="HO42" s="123">
        <f>IF(OR(HO$4="",$B42=""),0,SUMIF('DADOS BRUTOS'!$A$3:$A$500,$B42,'DADOS BRUTOS'!EO$3:EO$500)+IF($C42="",0,SUMIF('DADOS BRUTOS'!$A$3:$A$500,$C42,'DADOS BRUTOS'!EO$3:EO$500)))</f>
        <v/>
      </c>
      <c r="HP42" s="123">
        <f>IF(OR(HP$4="",$B42=""),0,SUMIF('DADOS BRUTOS'!$A$3:$A$500,$B42,'DADOS BRUTOS'!EP$3:EP$500)+IF($C42="",0,SUMIF('DADOS BRUTOS'!$A$3:$A$500,$C42,'DADOS BRUTOS'!EP$3:EP$500)))</f>
        <v/>
      </c>
      <c r="HQ42" s="123">
        <f>IF(OR(HQ$4="",$B42=""),0,SUMIF('DADOS BRUTOS'!$A$3:$A$500,$B42,'DADOS BRUTOS'!EQ$3:EQ$500)+IF($C42="",0,SUMIF('DADOS BRUTOS'!$A$3:$A$500,$C42,'DADOS BRUTOS'!EQ$3:EQ$500)))</f>
        <v/>
      </c>
      <c r="HR42" s="123">
        <f>IF(OR(HR$4="",$B42=""),0,SUMIF('DADOS BRUTOS'!$A$3:$A$500,$B42,'DADOS BRUTOS'!ER$3:ER$500)+IF($C42="",0,SUMIF('DADOS BRUTOS'!$A$3:$A$500,$C42,'DADOS BRUTOS'!ER$3:ER$500)))</f>
        <v/>
      </c>
      <c r="HS42" s="123">
        <f>IF(OR(HS$4="",$B42=""),0,SUMIF('DADOS BRUTOS'!$A$3:$A$500,$B42,'DADOS BRUTOS'!ES$3:ES$500)+IF($C42="",0,SUMIF('DADOS BRUTOS'!$A$3:$A$500,$C42,'DADOS BRUTOS'!ES$3:ES$500)))</f>
        <v/>
      </c>
      <c r="HT42" s="123">
        <f>IF(OR(HT$4="",$B42=""),0,SUMIF('DADOS BRUTOS'!$A$3:$A$500,$B42,'DADOS BRUTOS'!ET$3:ET$500)+IF($C42="",0,SUMIF('DADOS BRUTOS'!$A$3:$A$500,$C42,'DADOS BRUTOS'!ET$3:ET$500)))</f>
        <v/>
      </c>
      <c r="HU42" s="123">
        <f>IF(OR(HU$4="",$B42=""),0,SUMIF('DADOS BRUTOS'!$A$3:$A$500,$B42,'DADOS BRUTOS'!EU$3:EU$500)+IF($C42="",0,SUMIF('DADOS BRUTOS'!$A$3:$A$500,$C42,'DADOS BRUTOS'!EU$3:EU$500)))</f>
        <v/>
      </c>
      <c r="HV42" s="123">
        <f>IF(OR(HV$4="",$B42=""),0,SUMIF('DADOS BRUTOS'!$A$3:$A$500,$B42,'DADOS BRUTOS'!EV$3:EV$500)+IF($C42="",0,SUMIF('DADOS BRUTOS'!$A$3:$A$500,$C42,'DADOS BRUTOS'!EV$3:EV$500)))</f>
        <v/>
      </c>
      <c r="HW42" s="123">
        <f>IF(OR(HW$4="",$B42=""),0,SUMIF('DADOS BRUTOS'!$A$3:$A$500,$B42,'DADOS BRUTOS'!EW$3:EW$500)+IF($C42="",0,SUMIF('DADOS BRUTOS'!$A$3:$A$500,$C42,'DADOS BRUTOS'!EW$3:EW$500)))</f>
        <v/>
      </c>
      <c r="HX42" s="123">
        <f>IF(OR(HX$4="",$B42=""),0,SUMIF('DADOS BRUTOS'!$A$3:$A$500,$B42,'DADOS BRUTOS'!EX$3:EX$500)+IF($C42="",0,SUMIF('DADOS BRUTOS'!$A$3:$A$500,$C42,'DADOS BRUTOS'!EX$3:EX$500)))</f>
        <v/>
      </c>
      <c r="HY42" s="123">
        <f>IF(OR(HY$4="",$B42=""),0,SUMIF('DADOS BRUTOS'!$A$3:$A$500,$B42,'DADOS BRUTOS'!EY$3:EY$500)+IF($C42="",0,SUMIF('DADOS BRUTOS'!$A$3:$A$500,$C42,'DADOS BRUTOS'!EY$3:EY$500)))</f>
        <v/>
      </c>
      <c r="HZ42" s="123">
        <f>IF(OR(HZ$4="",$B42=""),0,SUMIF('DADOS BRUTOS'!$A$3:$A$500,$B42,'DADOS BRUTOS'!EZ$3:EZ$500)+IF($C42="",0,SUMIF('DADOS BRUTOS'!$A$3:$A$500,$C42,'DADOS BRUTOS'!EZ$3:EZ$500)))</f>
        <v/>
      </c>
      <c r="IA42" s="123">
        <f>IF(OR(IA$4="",$B42=""),0,SUMIF('DADOS BRUTOS'!$A$3:$A$500,$B42,'DADOS BRUTOS'!FA$3:FA$500)+IF($C42="",0,SUMIF('DADOS BRUTOS'!$A$3:$A$500,$C42,'DADOS BRUTOS'!FA$3:FA$500)))</f>
        <v/>
      </c>
      <c r="IB42" s="123">
        <f>IF(OR(IB$4="",$B42=""),0,SUMIF('DADOS BRUTOS'!$A$3:$A$500,$B42,'DADOS BRUTOS'!FB$3:FB$500)+IF($C42="",0,SUMIF('DADOS BRUTOS'!$A$3:$A$500,$C42,'DADOS BRUTOS'!FB$3:FB$500)))</f>
        <v/>
      </c>
      <c r="IC42" s="123">
        <f>IF(OR(IC$4="",$B42=""),0,SUMIF('DADOS BRUTOS'!$A$3:$A$500,$B42,'DADOS BRUTOS'!FC$3:FC$500)+IF($C42="",0,SUMIF('DADOS BRUTOS'!$A$3:$A$500,$C42,'DADOS BRUTOS'!FC$3:FC$500)))</f>
        <v/>
      </c>
      <c r="ID42" s="123">
        <f>IF(OR(ID$4="",$B42=""),0,SUMIF('DADOS BRUTOS'!$A$3:$A$500,$B42,'DADOS BRUTOS'!FD$3:FD$500)+IF($C42="",0,SUMIF('DADOS BRUTOS'!$A$3:$A$500,$C42,'DADOS BRUTOS'!FD$3:FD$500)))</f>
        <v/>
      </c>
      <c r="IE42" s="123">
        <f>IF(OR(IE$4="",$B42=""),0,SUMIF('DADOS BRUTOS'!$A$3:$A$500,$B42,'DADOS BRUTOS'!FE$3:FE$500)+IF($C42="",0,SUMIF('DADOS BRUTOS'!$A$3:$A$500,$C42,'DADOS BRUTOS'!FE$3:FE$500)))</f>
        <v/>
      </c>
      <c r="IF42" s="123">
        <f>IF(OR(IF$4="",$B42=""),0,SUMIF('DADOS BRUTOS'!$A$3:$A$500,$B42,'DADOS BRUTOS'!FF$3:FF$500)+IF($C42="",0,SUMIF('DADOS BRUTOS'!$A$3:$A$500,$C42,'DADOS BRUTOS'!FF$3:FF$500)))</f>
        <v/>
      </c>
      <c r="IG42" s="123">
        <f>IF(OR(IG$4="",$B42=""),0,SUMIF('DADOS BRUTOS'!$A$3:$A$500,$B42,'DADOS BRUTOS'!FG$3:FG$500)+IF($C42="",0,SUMIF('DADOS BRUTOS'!$A$3:$A$500,$C42,'DADOS BRUTOS'!FG$3:FG$500)))</f>
        <v/>
      </c>
      <c r="IH42" s="123">
        <f>IF(OR(IH$4="",$B42=""),0,SUMIF('DADOS BRUTOS'!$A$3:$A$500,$B42,'DADOS BRUTOS'!FH$3:FH$500)+IF($C42="",0,SUMIF('DADOS BRUTOS'!$A$3:$A$500,$C42,'DADOS BRUTOS'!FH$3:FH$500)))</f>
        <v/>
      </c>
      <c r="II42" s="123">
        <f>IF(OR(II$4="",$B42=""),0,SUMIF('DADOS BRUTOS'!$A$3:$A$500,$B42,'DADOS BRUTOS'!FI$3:FI$500)+IF($C42="",0,SUMIF('DADOS BRUTOS'!$A$3:$A$500,$C42,'DADOS BRUTOS'!FI$3:FI$500)))</f>
        <v/>
      </c>
      <c r="IJ42" s="123">
        <f>IF(OR(IJ$4="",$B42=""),0,SUMIF('DADOS BRUTOS'!$A$3:$A$500,$B42,'DADOS BRUTOS'!FJ$3:FJ$500)+IF($C42="",0,SUMIF('DADOS BRUTOS'!$A$3:$A$500,$C42,'DADOS BRUTOS'!FJ$3:FJ$500)))</f>
        <v/>
      </c>
      <c r="IK42" s="123">
        <f>IF(OR(IK$4="",$B42=""),0,SUMIF('DADOS BRUTOS'!$A$3:$A$500,$B42,'DADOS BRUTOS'!FK$3:FK$500)+IF($C42="",0,SUMIF('DADOS BRUTOS'!$A$3:$A$500,$C42,'DADOS BRUTOS'!FK$3:FK$500)))</f>
        <v/>
      </c>
      <c r="IL42" s="123">
        <f>IF(OR(IL$4="",$B42=""),0,SUMIF('DADOS BRUTOS'!$A$3:$A$500,$B42,'DADOS BRUTOS'!FL$3:FL$500)+IF($C42="",0,SUMIF('DADOS BRUTOS'!$A$3:$A$500,$C42,'DADOS BRUTOS'!FL$3:FL$500)))</f>
        <v/>
      </c>
      <c r="IM42" s="123">
        <f>IF(OR(IM$4="",$B42=""),0,SUMIF('DADOS BRUTOS'!$A$3:$A$500,$B42,'DADOS BRUTOS'!FM$3:FM$500)+IF($C42="",0,SUMIF('DADOS BRUTOS'!$A$3:$A$500,$C42,'DADOS BRUTOS'!FM$3:FM$500)))</f>
        <v/>
      </c>
      <c r="IN42" s="123">
        <f>IF(OR(IN$4="",$B42=""),0,SUMIF('DADOS BRUTOS'!$A$3:$A$500,$B42,'DADOS BRUTOS'!FN$3:FN$500)+IF($C42="",0,SUMIF('DADOS BRUTOS'!$A$3:$A$500,$C42,'DADOS BRUTOS'!FN$3:FN$500)))</f>
        <v/>
      </c>
      <c r="IO42" s="123">
        <f>IF(OR(IO$4="",$B42=""),0,SUMIF('DADOS BRUTOS'!$A$3:$A$500,$B42,'DADOS BRUTOS'!FO$3:FO$500)+IF($C42="",0,SUMIF('DADOS BRUTOS'!$A$3:$A$500,$C42,'DADOS BRUTOS'!FO$3:FO$500)))</f>
        <v/>
      </c>
      <c r="IP42" s="123">
        <f>IF(OR(IP$4="",$B42=""),0,SUMIF('DADOS BRUTOS'!$A$3:$A$500,$B42,'DADOS BRUTOS'!FP$3:FP$500)+IF($C42="",0,SUMIF('DADOS BRUTOS'!$A$3:$A$500,$C42,'DADOS BRUTOS'!FP$3:FP$500)))</f>
        <v/>
      </c>
      <c r="IQ42" s="123">
        <f>IF(OR(IQ$4="",$B42=""),0,SUMIF('DADOS BRUTOS'!$A$3:$A$500,$B42,'DADOS BRUTOS'!FQ$3:FQ$500)+IF($C42="",0,SUMIF('DADOS BRUTOS'!$A$3:$A$500,$C42,'DADOS BRUTOS'!FQ$3:FQ$500)))</f>
        <v/>
      </c>
      <c r="IR42" s="123">
        <f>IF(OR(IR$4="",$B42=""),0,SUMIF('DADOS BRUTOS'!$A$3:$A$500,$B42,'DADOS BRUTOS'!FR$3:FR$500)+IF($C42="",0,SUMIF('DADOS BRUTOS'!$A$3:$A$500,$C42,'DADOS BRUTOS'!FR$3:FR$500)))</f>
        <v/>
      </c>
      <c r="IS42" s="123">
        <f>IF(OR(IS$4="",$B42=""),0,SUMIF('DADOS BRUTOS'!$A$3:$A$500,$B42,'DADOS BRUTOS'!FS$3:FS$500)+IF($C42="",0,SUMIF('DADOS BRUTOS'!$A$3:$A$500,$C42,'DADOS BRUTOS'!FS$3:FS$500)))</f>
        <v/>
      </c>
      <c r="IT42" s="123">
        <f>IF(OR(IT$4="",$B42=""),0,SUMIF('DADOS BRUTOS'!$A$3:$A$500,$B42,'DADOS BRUTOS'!FT$3:FT$500)+IF($C42="",0,SUMIF('DADOS BRUTOS'!$A$3:$A$500,$C42,'DADOS BRUTOS'!FT$3:FT$500)))</f>
        <v/>
      </c>
      <c r="IU42" s="123">
        <f>IF(OR(IU$4="",$B42=""),0,SUMIF('DADOS BRUTOS'!$A$3:$A$500,$B42,'DADOS BRUTOS'!FU$3:FU$500)+IF($C42="",0,SUMIF('DADOS BRUTOS'!$A$3:$A$500,$C42,'DADOS BRUTOS'!FU$3:FU$500)))</f>
        <v/>
      </c>
      <c r="IV42" s="123">
        <f>IF(OR(IV$4="",$B42=""),0,SUMIF('DADOS BRUTOS'!$A$3:$A$500,$B42,'DADOS BRUTOS'!FV$3:FV$500)+IF($C42="",0,SUMIF('DADOS BRUTOS'!$A$3:$A$500,$C42,'DADOS BRUTOS'!FV$3:FV$500)))</f>
        <v/>
      </c>
      <c r="IW42" s="123">
        <f>IF(OR(IW$4="",$B42=""),0,SUMIF('DADOS BRUTOS'!$A$3:$A$500,$B42,'DADOS BRUTOS'!FW$3:FW$500)+IF($C42="",0,SUMIF('DADOS BRUTOS'!$A$3:$A$500,$C42,'DADOS BRUTOS'!FW$3:FW$500)))</f>
        <v/>
      </c>
      <c r="IX42" s="123">
        <f>IF(OR(IX$4="",$B42=""),0,SUMIF('DADOS BRUTOS'!$A$3:$A$500,$B42,'DADOS BRUTOS'!FX$3:FX$500)+IF($C42="",0,SUMIF('DADOS BRUTOS'!$A$3:$A$500,$C42,'DADOS BRUTOS'!FX$3:FX$500)))</f>
        <v/>
      </c>
      <c r="IY42" s="123">
        <f>IF(OR(IY$4="",$B42=""),0,SUMIF('DADOS BRUTOS'!$A$3:$A$500,$B42,'DADOS BRUTOS'!FY$3:FY$500)+IF($C42="",0,SUMIF('DADOS BRUTOS'!$A$3:$A$500,$C42,'DADOS BRUTOS'!FY$3:FY$500)))</f>
        <v/>
      </c>
      <c r="IZ42" s="123">
        <f>IF(OR(IZ$4="",$B42=""),0,SUMIF('DADOS BRUTOS'!$A$3:$A$500,$B42,'DADOS BRUTOS'!FZ$3:FZ$500)+IF($C42="",0,SUMIF('DADOS BRUTOS'!$A$3:$A$500,$C42,'DADOS BRUTOS'!FZ$3:FZ$500)))</f>
        <v/>
      </c>
      <c r="JA42" s="123">
        <f>IF(OR(JA$4="",$B42=""),0,SUMIF('DADOS BRUTOS'!$A$3:$A$500,$B42,'DADOS BRUTOS'!GA$3:GA$500)+IF($C42="",0,SUMIF('DADOS BRUTOS'!$A$3:$A$500,$C42,'DADOS BRUTOS'!GA$3:GA$500)))</f>
        <v/>
      </c>
      <c r="JB42" s="123">
        <f>IF(OR(JB$4="",$B42=""),0,SUMIF('DADOS BRUTOS'!$A$3:$A$500,$B42,'DADOS BRUTOS'!GB$3:GB$500)+IF($C42="",0,SUMIF('DADOS BRUTOS'!$A$3:$A$500,$C42,'DADOS BRUTOS'!GB$3:GB$500)))</f>
        <v/>
      </c>
      <c r="JC42" s="123">
        <f>IF(OR(JC$4="",$B42=""),0,SUMIF('DADOS BRUTOS'!$A$3:$A$500,$B42,'DADOS BRUTOS'!GC$3:GC$500)+IF($C42="",0,SUMIF('DADOS BRUTOS'!$A$3:$A$500,$C42,'DADOS BRUTOS'!GC$3:GC$500)))</f>
        <v/>
      </c>
      <c r="JD42" s="123">
        <f>IF(OR(JD$4="",$B42=""),0,SUMIF('DADOS BRUTOS'!$A$3:$A$500,$B42,'DADOS BRUTOS'!GD$3:GD$500)+IF($C42="",0,SUMIF('DADOS BRUTOS'!$A$3:$A$500,$C42,'DADOS BRUTOS'!GD$3:GD$500)))</f>
        <v/>
      </c>
      <c r="JE42" s="123">
        <f>IF(OR(JE$4="",$B42=""),0,SUMIF('DADOS BRUTOS'!$A$3:$A$500,$B42,'DADOS BRUTOS'!GE$3:GE$500)+IF($C42="",0,SUMIF('DADOS BRUTOS'!$A$3:$A$500,$C42,'DADOS BRUTOS'!GE$3:GE$500)))</f>
        <v/>
      </c>
      <c r="JF42" s="123">
        <f>IF(OR(JF$4="",$B42=""),0,SUMIF('DADOS BRUTOS'!$A$3:$A$500,$B42,'DADOS BRUTOS'!GF$3:GF$500)+IF($C42="",0,SUMIF('DADOS BRUTOS'!$A$3:$A$500,$C42,'DADOS BRUTOS'!GF$3:GF$500)))</f>
        <v/>
      </c>
      <c r="JG42" s="123">
        <f>IF(OR(JG$4="",$B42=""),0,SUMIF('DADOS BRUTOS'!$A$3:$A$500,$B42,'DADOS BRUTOS'!GG$3:GG$500)+IF($C42="",0,SUMIF('DADOS BRUTOS'!$A$3:$A$500,$C42,'DADOS BRUTOS'!GG$3:GG$500)))</f>
        <v/>
      </c>
      <c r="JH42" s="123">
        <f>IF(OR(JH$4="",$B42=""),0,SUMIF('DADOS BRUTOS'!$A$3:$A$500,$B42,'DADOS BRUTOS'!GH$3:GH$500)+IF($C42="",0,SUMIF('DADOS BRUTOS'!$A$3:$A$500,$C42,'DADOS BRUTOS'!GH$3:GH$500)))</f>
        <v/>
      </c>
      <c r="JI42" s="123">
        <f>IF(OR(JI$4="",$B42=""),0,SUMIF('DADOS BRUTOS'!$A$3:$A$500,$B42,'DADOS BRUTOS'!GI$3:GI$500)+IF($C42="",0,SUMIF('DADOS BRUTOS'!$A$3:$A$500,$C42,'DADOS BRUTOS'!GI$3:GI$500)))</f>
        <v/>
      </c>
      <c r="JJ42" s="123">
        <f>IF(OR(JJ$4="",$B42=""),0,SUMIF('DADOS BRUTOS'!$A$3:$A$500,$B42,'DADOS BRUTOS'!GJ$3:GJ$500)+IF($C42="",0,SUMIF('DADOS BRUTOS'!$A$3:$A$500,$C42,'DADOS BRUTOS'!GJ$3:GJ$500)))</f>
        <v/>
      </c>
      <c r="JK42" s="123">
        <f>IF(OR(JK$4="",$B42=""),0,SUMIF('DADOS BRUTOS'!$A$3:$A$500,$B42,'DADOS BRUTOS'!GK$3:GK$500)+IF($C42="",0,SUMIF('DADOS BRUTOS'!$A$3:$A$500,$C42,'DADOS BRUTOS'!GK$3:GK$500)))</f>
        <v/>
      </c>
      <c r="JL42" s="123">
        <f>IF(OR(JL$4="",$B42=""),0,SUMIF('DADOS BRUTOS'!$A$3:$A$500,$B42,'DADOS BRUTOS'!GL$3:GL$500)+IF($C42="",0,SUMIF('DADOS BRUTOS'!$A$3:$A$500,$C42,'DADOS BRUTOS'!GL$3:GL$500)))</f>
        <v/>
      </c>
      <c r="JM42" s="123">
        <f>IF(OR(JM$4="",$B42=""),0,SUMIF('DADOS BRUTOS'!$A$3:$A$500,$B42,'DADOS BRUTOS'!GM$3:GM$500)+IF($C42="",0,SUMIF('DADOS BRUTOS'!$A$3:$A$500,$C42,'DADOS BRUTOS'!GM$3:GM$500)))</f>
        <v/>
      </c>
      <c r="JN42" s="123">
        <f>IF(OR(JN$4="",$B42=""),0,SUMIF('DADOS BRUTOS'!$A$3:$A$500,$B42,'DADOS BRUTOS'!GN$3:GN$500)+IF($C42="",0,SUMIF('DADOS BRUTOS'!$A$3:$A$500,$C42,'DADOS BRUTOS'!GN$3:GN$500)))</f>
        <v/>
      </c>
      <c r="JO42" s="123">
        <f>IF(OR(JO$4="",$B42=""),0,SUMIF('DADOS BRUTOS'!$A$3:$A$500,$B42,'DADOS BRUTOS'!GO$3:GO$500)+IF($C42="",0,SUMIF('DADOS BRUTOS'!$A$3:$A$500,$C42,'DADOS BRUTOS'!GO$3:GO$500)))</f>
        <v/>
      </c>
      <c r="JP42" s="123">
        <f>IF(OR(JP$4="",$B42=""),0,SUMIF('DADOS BRUTOS'!$A$3:$A$500,$B42,'DADOS BRUTOS'!GP$3:GP$500)+IF($C42="",0,SUMIF('DADOS BRUTOS'!$A$3:$A$500,$C42,'DADOS BRUTOS'!GP$3:GP$500)))</f>
        <v/>
      </c>
      <c r="JQ42" s="123">
        <f>IF(OR(JQ$4="",$B42=""),0,SUMIF('DADOS BRUTOS'!$A$3:$A$500,$B42,'DADOS BRUTOS'!GQ$3:GQ$500)+IF($C42="",0,SUMIF('DADOS BRUTOS'!$A$3:$A$500,$C42,'DADOS BRUTOS'!GQ$3:GQ$500)))</f>
        <v/>
      </c>
      <c r="JR42" s="123">
        <f>IF(OR(JR$4="",$B42=""),0,SUMIF('DADOS BRUTOS'!$A$3:$A$500,$B42,'DADOS BRUTOS'!GR$3:GR$500)+IF($C42="",0,SUMIF('DADOS BRUTOS'!$A$3:$A$500,$C42,'DADOS BRUTOS'!GR$3:GR$500)))</f>
        <v/>
      </c>
      <c r="JS42" s="123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24">
        <f>SUM(D5:D42)</f>
        <v/>
      </c>
      <c r="E44" s="124">
        <f>SUM(E5:E42)</f>
        <v/>
      </c>
      <c r="F44" s="124">
        <f>SUM(F5:F42)</f>
        <v/>
      </c>
      <c r="G44" s="124">
        <f>SUM(G5:G42)</f>
        <v/>
      </c>
      <c r="H44" s="124">
        <f>SUM(H5:H42)</f>
        <v/>
      </c>
      <c r="I44" s="124">
        <f>SUM(I5:I42)</f>
        <v/>
      </c>
      <c r="J44" s="124">
        <f>SUM(J5:J42)</f>
        <v/>
      </c>
      <c r="K44" s="124">
        <f>SUM(K5:K42)</f>
        <v/>
      </c>
      <c r="L44" s="124">
        <f>SUM(L5:L42)</f>
        <v/>
      </c>
      <c r="M44" s="124">
        <f>SUM(M5:M42)</f>
        <v/>
      </c>
      <c r="N44" s="124">
        <f>SUM(N5:N42)</f>
        <v/>
      </c>
      <c r="O44" s="124">
        <f>SUM(O5:O42)</f>
        <v/>
      </c>
      <c r="P44" s="124">
        <f>SUM(P5:P42)</f>
        <v/>
      </c>
      <c r="Q44" s="124">
        <f>SUM(Q5:Q42)</f>
        <v/>
      </c>
      <c r="R44" s="124">
        <f>SUM(R5:R42)</f>
        <v/>
      </c>
      <c r="S44" s="124">
        <f>SUM(S5:S42)</f>
        <v/>
      </c>
      <c r="T44" s="124">
        <f>SUM(T5:T42)</f>
        <v/>
      </c>
      <c r="U44" s="124">
        <f>SUM(U5:U42)</f>
        <v/>
      </c>
      <c r="V44" s="124">
        <f>SUM(V5:V42)</f>
        <v/>
      </c>
      <c r="W44" s="124">
        <f>SUM(W5:W42)</f>
        <v/>
      </c>
      <c r="X44" s="124">
        <f>SUM(X5:X42)</f>
        <v/>
      </c>
      <c r="Y44" s="124">
        <f>SUM(Y5:Y42)</f>
        <v/>
      </c>
      <c r="Z44" s="124">
        <f>SUM(Z5:Z42)</f>
        <v/>
      </c>
      <c r="AA44" s="124">
        <f>SUM(AA5:AA42)</f>
        <v/>
      </c>
      <c r="AB44" s="124">
        <f>SUM(AB5:AB42)</f>
        <v/>
      </c>
      <c r="AC44" s="124">
        <f>SUM(AC5:AC42)</f>
        <v/>
      </c>
      <c r="AD44" s="124">
        <f>SUM(AD5:AD42)</f>
        <v/>
      </c>
      <c r="AE44" s="124">
        <f>SUM(AE5:AE42)</f>
        <v/>
      </c>
      <c r="AF44" s="124">
        <f>SUM(AF5:AF42)</f>
        <v/>
      </c>
      <c r="AG44" s="124">
        <f>SUM(AG5:AG42)</f>
        <v/>
      </c>
      <c r="AH44" s="124">
        <f>SUM(AH5:AH42)</f>
        <v/>
      </c>
      <c r="AI44" s="124">
        <f>SUM(AI5:AI42)</f>
        <v/>
      </c>
      <c r="AJ44" s="124">
        <f>SUM(AJ5:AJ42)</f>
        <v/>
      </c>
      <c r="AK44" s="124">
        <f>SUM(AK5:AK42)</f>
        <v/>
      </c>
      <c r="AL44" s="124">
        <f>SUM(AL5:AL42)</f>
        <v/>
      </c>
      <c r="AM44" s="124">
        <f>SUM(AM5:AM42)</f>
        <v/>
      </c>
      <c r="AN44" s="124">
        <f>SUM(AN5:AN42)</f>
        <v/>
      </c>
      <c r="AO44" s="124">
        <f>SUM(AO5:AO42)</f>
        <v/>
      </c>
      <c r="AP44" s="124">
        <f>SUM(AP5:AP42)</f>
        <v/>
      </c>
      <c r="AQ44" s="124">
        <f>SUM(AQ5:AQ42)</f>
        <v/>
      </c>
      <c r="AR44" s="124">
        <f>SUM(AR5:AR42)</f>
        <v/>
      </c>
      <c r="AS44" s="124">
        <f>SUM(AS5:AS42)</f>
        <v/>
      </c>
      <c r="AT44" s="124">
        <f>SUM(AT5:AT42)</f>
        <v/>
      </c>
      <c r="AU44" s="124">
        <f>SUM(AU5:AU42)</f>
        <v/>
      </c>
      <c r="AV44" s="124">
        <f>SUM(AV5:AV42)</f>
        <v/>
      </c>
      <c r="AW44" s="124">
        <f>SUM(AW5:AW42)</f>
        <v/>
      </c>
      <c r="AX44" s="124">
        <f>SUM(AX5:AX42)</f>
        <v/>
      </c>
      <c r="AY44" s="124">
        <f>SUM(AY5:AY42)</f>
        <v/>
      </c>
      <c r="AZ44" s="124">
        <f>SUM(AZ5:AZ42)</f>
        <v/>
      </c>
      <c r="BA44" s="124">
        <f>SUM(BA5:BA42)</f>
        <v/>
      </c>
      <c r="BB44" s="124">
        <f>SUM(BB5:BB42)</f>
        <v/>
      </c>
      <c r="BC44" s="124">
        <f>SUM(BC5:BC42)</f>
        <v/>
      </c>
      <c r="BD44" s="124">
        <f>SUM(BD5:BD42)</f>
        <v/>
      </c>
      <c r="BE44" s="124">
        <f>SUM(BE5:BE42)</f>
        <v/>
      </c>
      <c r="BF44" s="124">
        <f>SUM(BF5:BF42)</f>
        <v/>
      </c>
      <c r="BG44" s="124">
        <f>SUM(BG5:BG42)</f>
        <v/>
      </c>
      <c r="BH44" s="124">
        <f>SUM(BH5:BH42)</f>
        <v/>
      </c>
      <c r="BI44" s="124">
        <f>SUM(BI5:BI42)</f>
        <v/>
      </c>
      <c r="BJ44" s="124">
        <f>SUM(BJ5:BJ42)</f>
        <v/>
      </c>
      <c r="BK44" s="124">
        <f>SUM(BK5:BK42)</f>
        <v/>
      </c>
      <c r="BL44" s="124">
        <f>SUM(BL5:BL42)</f>
        <v/>
      </c>
      <c r="BM44" s="124">
        <f>SUM(BM5:BM42)</f>
        <v/>
      </c>
      <c r="BN44" s="124">
        <f>SUM(BN5:BN42)</f>
        <v/>
      </c>
      <c r="BO44" s="124">
        <f>SUM(BO5:BO42)</f>
        <v/>
      </c>
      <c r="BP44" s="124">
        <f>SUM(BP5:BP42)</f>
        <v/>
      </c>
      <c r="BQ44" s="124">
        <f>SUM(BQ5:BQ42)</f>
        <v/>
      </c>
      <c r="BR44" s="124">
        <f>SUM(BR5:BR42)</f>
        <v/>
      </c>
      <c r="BS44" s="124">
        <f>SUM(BS5:BS42)</f>
        <v/>
      </c>
      <c r="BT44" s="124">
        <f>SUM(BT5:BT42)</f>
        <v/>
      </c>
      <c r="BU44" s="124">
        <f>SUM(BU5:BU42)</f>
        <v/>
      </c>
      <c r="BV44" s="124">
        <f>SUM(BV5:BV42)</f>
        <v/>
      </c>
      <c r="BW44" s="124">
        <f>SUM(BW5:BW42)</f>
        <v/>
      </c>
      <c r="BX44" s="124">
        <f>SUM(BX5:BX42)</f>
        <v/>
      </c>
      <c r="BY44" s="124">
        <f>SUM(BY5:BY42)</f>
        <v/>
      </c>
    </row>
    <row r="45">
      <c r="A45" s="46" t="inlineStr">
        <is>
          <t>TOTAL ACUMULADO</t>
        </is>
      </c>
      <c r="D45" s="108">
        <f>D44</f>
        <v/>
      </c>
      <c r="E45" s="108">
        <f>D45+E44</f>
        <v/>
      </c>
      <c r="F45" s="108">
        <f>E45+F44</f>
        <v/>
      </c>
      <c r="G45" s="108">
        <f>F45+G44</f>
        <v/>
      </c>
      <c r="H45" s="108">
        <f>G45+H44</f>
        <v/>
      </c>
      <c r="I45" s="108">
        <f>H45+I44</f>
        <v/>
      </c>
      <c r="J45" s="108">
        <f>I45+J44</f>
        <v/>
      </c>
      <c r="K45" s="108">
        <f>J45+K44</f>
        <v/>
      </c>
      <c r="L45" s="108">
        <f>K45+L44</f>
        <v/>
      </c>
      <c r="M45" s="108">
        <f>L45+M44</f>
        <v/>
      </c>
      <c r="N45" s="108">
        <f>M45+N44</f>
        <v/>
      </c>
      <c r="O45" s="108">
        <f>N45+O44</f>
        <v/>
      </c>
      <c r="P45" s="108">
        <f>O45+P44</f>
        <v/>
      </c>
      <c r="Q45" s="108">
        <f>P45+Q44</f>
        <v/>
      </c>
      <c r="R45" s="108">
        <f>Q45+R44</f>
        <v/>
      </c>
      <c r="S45" s="108">
        <f>R45+S44</f>
        <v/>
      </c>
      <c r="T45" s="108">
        <f>S45+T44</f>
        <v/>
      </c>
      <c r="U45" s="108">
        <f>T45+U44</f>
        <v/>
      </c>
      <c r="V45" s="108">
        <f>U45+V44</f>
        <v/>
      </c>
      <c r="W45" s="108">
        <f>V45+W44</f>
        <v/>
      </c>
      <c r="X45" s="108">
        <f>W45+X44</f>
        <v/>
      </c>
      <c r="Y45" s="108">
        <f>X45+Y44</f>
        <v/>
      </c>
      <c r="Z45" s="108">
        <f>Y45+Z44</f>
        <v/>
      </c>
      <c r="AA45" s="108">
        <f>Z45+AA44</f>
        <v/>
      </c>
      <c r="AB45" s="108">
        <f>AA45+AB44</f>
        <v/>
      </c>
      <c r="AC45" s="108">
        <f>AB45+AC44</f>
        <v/>
      </c>
      <c r="AD45" s="108">
        <f>AC45+AD44</f>
        <v/>
      </c>
      <c r="AE45" s="108">
        <f>AD45+AE44</f>
        <v/>
      </c>
      <c r="AF45" s="108">
        <f>AE45+AF44</f>
        <v/>
      </c>
      <c r="AG45" s="108">
        <f>AF45+AG44</f>
        <v/>
      </c>
      <c r="AH45" s="108">
        <f>AG45+AH44</f>
        <v/>
      </c>
      <c r="AI45" s="108">
        <f>AH45+AI44</f>
        <v/>
      </c>
      <c r="AJ45" s="108">
        <f>AI45+AJ44</f>
        <v/>
      </c>
      <c r="AK45" s="108">
        <f>AJ45+AK44</f>
        <v/>
      </c>
      <c r="AL45" s="108">
        <f>AK45+AL44</f>
        <v/>
      </c>
      <c r="AM45" s="108">
        <f>AL45+AM44</f>
        <v/>
      </c>
      <c r="AN45" s="108">
        <f>AM45+AN44</f>
        <v/>
      </c>
      <c r="AO45" s="108">
        <f>AN45+AO44</f>
        <v/>
      </c>
      <c r="AP45" s="108">
        <f>AO45+AP44</f>
        <v/>
      </c>
      <c r="AQ45" s="108">
        <f>AP45+AQ44</f>
        <v/>
      </c>
      <c r="AR45" s="108">
        <f>AQ45+AR44</f>
        <v/>
      </c>
      <c r="AS45" s="108">
        <f>AR45+AS44</f>
        <v/>
      </c>
      <c r="AT45" s="108">
        <f>AS45+AT44</f>
        <v/>
      </c>
      <c r="AU45" s="108">
        <f>AT45+AU44</f>
        <v/>
      </c>
      <c r="AV45" s="108">
        <f>AU45+AV44</f>
        <v/>
      </c>
      <c r="AW45" s="108">
        <f>AV45+AW44</f>
        <v/>
      </c>
      <c r="AX45" s="108">
        <f>AW45+AX44</f>
        <v/>
      </c>
      <c r="AY45" s="108">
        <f>AX45+AY44</f>
        <v/>
      </c>
      <c r="AZ45" s="108">
        <f>AY45+AZ44</f>
        <v/>
      </c>
      <c r="BA45" s="108">
        <f>AZ45+BA44</f>
        <v/>
      </c>
      <c r="BB45" s="108">
        <f>BA45+BB44</f>
        <v/>
      </c>
      <c r="BC45" s="108">
        <f>BB45+BC44</f>
        <v/>
      </c>
      <c r="BD45" s="108">
        <f>BC45+BD44</f>
        <v/>
      </c>
      <c r="BE45" s="108">
        <f>BD45+BE44</f>
        <v/>
      </c>
      <c r="BF45" s="108">
        <f>BE45+BF44</f>
        <v/>
      </c>
      <c r="BG45" s="108">
        <f>BF45+BG44</f>
        <v/>
      </c>
      <c r="BH45" s="108">
        <f>BG45+BH44</f>
        <v/>
      </c>
      <c r="BI45" s="108">
        <f>BH45+BI44</f>
        <v/>
      </c>
      <c r="BJ45" s="108">
        <f>BI45+BJ44</f>
        <v/>
      </c>
      <c r="BK45" s="108">
        <f>BJ45+BK44</f>
        <v/>
      </c>
      <c r="BL45" s="108">
        <f>BK45+BL44</f>
        <v/>
      </c>
      <c r="BM45" s="108">
        <f>BL45+BM44</f>
        <v/>
      </c>
      <c r="BN45" s="108">
        <f>BM45+BN44</f>
        <v/>
      </c>
      <c r="BO45" s="108">
        <f>BN45+BO44</f>
        <v/>
      </c>
      <c r="BP45" s="108">
        <f>BO45+BP44</f>
        <v/>
      </c>
      <c r="BQ45" s="108">
        <f>BP45+BQ44</f>
        <v/>
      </c>
      <c r="BR45" s="108">
        <f>BQ45+BR44</f>
        <v/>
      </c>
      <c r="BS45" s="108">
        <f>BR45+BS44</f>
        <v/>
      </c>
      <c r="BT45" s="108">
        <f>BS45+BT44</f>
        <v/>
      </c>
      <c r="BU45" s="108">
        <f>BT45+BU44</f>
        <v/>
      </c>
      <c r="BV45" s="108">
        <f>BU45+BV44</f>
        <v/>
      </c>
      <c r="BW45" s="108">
        <f>BV45+BW44</f>
        <v/>
      </c>
    </row>
    <row r="49">
      <c r="A49" s="65" t="inlineStr">
        <is>
          <t>NOMES DO ERP A IGNORAR (títulos, subtotais, grupos fora do orçamento)</t>
        </is>
      </c>
      <c r="B49" s="66" t="n"/>
      <c r="C49" s="67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n"/>
    </row>
    <row r="56">
      <c r="A56" s="59" t="n"/>
    </row>
    <row r="57">
      <c r="A57" s="59" t="n"/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K46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25" t="n">
        <v>45047</v>
      </c>
      <c r="C2" s="125" t="n">
        <v>45078</v>
      </c>
      <c r="D2" s="125" t="n">
        <v>45108</v>
      </c>
      <c r="E2" s="125" t="n">
        <v>45139</v>
      </c>
      <c r="F2" s="125" t="n">
        <v>45170</v>
      </c>
      <c r="G2" s="125" t="n">
        <v>45200</v>
      </c>
      <c r="H2" s="125" t="n">
        <v>45231</v>
      </c>
      <c r="I2" s="125" t="n">
        <v>45261</v>
      </c>
      <c r="J2" s="125" t="n">
        <v>45292</v>
      </c>
      <c r="K2" s="125" t="n">
        <v>45323</v>
      </c>
      <c r="L2" s="125" t="n">
        <v>45352</v>
      </c>
      <c r="M2" s="125" t="n">
        <v>45383</v>
      </c>
      <c r="N2" s="125" t="n">
        <v>45413</v>
      </c>
      <c r="O2" s="125" t="n">
        <v>45444</v>
      </c>
      <c r="P2" s="125" t="n">
        <v>45474</v>
      </c>
      <c r="Q2" s="125" t="n">
        <v>45505</v>
      </c>
      <c r="R2" s="125" t="n">
        <v>45536</v>
      </c>
      <c r="S2" s="125" t="n">
        <v>45566</v>
      </c>
      <c r="T2" s="125" t="n">
        <v>45597</v>
      </c>
      <c r="U2" s="125" t="n">
        <v>45627</v>
      </c>
      <c r="V2" s="125" t="n">
        <v>45658</v>
      </c>
      <c r="W2" s="125" t="n">
        <v>45689</v>
      </c>
      <c r="X2" s="125" t="n">
        <v>45717</v>
      </c>
      <c r="Y2" s="125" t="n">
        <v>45748</v>
      </c>
      <c r="Z2" s="125" t="n">
        <v>45778</v>
      </c>
      <c r="AA2" s="125" t="n">
        <v>45809</v>
      </c>
      <c r="AB2" s="125" t="n">
        <v>45839</v>
      </c>
      <c r="AC2" s="125" t="n">
        <v>45870</v>
      </c>
      <c r="AD2" s="125" t="n">
        <v>45901</v>
      </c>
      <c r="AE2" s="125" t="n">
        <v>45931</v>
      </c>
      <c r="AF2" s="125" t="n">
        <v>45962</v>
      </c>
      <c r="AG2" s="125" t="n">
        <v>45992</v>
      </c>
      <c r="AH2" s="125" t="n">
        <v>46023</v>
      </c>
      <c r="AI2" s="125" t="n">
        <v>46054</v>
      </c>
      <c r="AJ2" s="125" t="n">
        <v>46082</v>
      </c>
      <c r="AK2" s="125" t="n">
        <v>46113</v>
      </c>
      <c r="AL2" s="125" t="n">
        <v>46143</v>
      </c>
      <c r="AM2" s="125" t="n">
        <v>46174</v>
      </c>
      <c r="AN2" s="125" t="n">
        <v>46204</v>
      </c>
      <c r="AO2" s="125" t="n">
        <v>46235</v>
      </c>
      <c r="AP2" s="125" t="n">
        <v>46266</v>
      </c>
      <c r="AQ2" s="125" t="n">
        <v>46296</v>
      </c>
      <c r="AR2" s="125" t="n">
        <v>46327</v>
      </c>
      <c r="AS2" s="125" t="n">
        <v>46357</v>
      </c>
      <c r="AT2" s="125" t="n">
        <v>46388</v>
      </c>
      <c r="AU2" s="125" t="n">
        <v>46419</v>
      </c>
      <c r="AV2" s="125" t="n">
        <v>46447</v>
      </c>
      <c r="AW2" s="125" t="n">
        <v>46478</v>
      </c>
      <c r="AX2" s="125" t="n">
        <v>46508</v>
      </c>
      <c r="AY2" s="125" t="n">
        <v>46539</v>
      </c>
      <c r="AZ2" s="125" t="n">
        <v>46569</v>
      </c>
      <c r="BA2" s="125" t="n">
        <v>46600</v>
      </c>
      <c r="BB2" s="125" t="n">
        <v>46631</v>
      </c>
      <c r="BC2" s="125" t="n">
        <v>46661</v>
      </c>
      <c r="BD2" s="125" t="n">
        <v>46692</v>
      </c>
      <c r="BE2" s="125" t="n">
        <v>46722</v>
      </c>
      <c r="BF2" s="125" t="n">
        <v>46753</v>
      </c>
      <c r="BG2" s="125" t="n">
        <v>46784</v>
      </c>
      <c r="BH2" s="125" t="n">
        <v>46813</v>
      </c>
      <c r="BI2" s="125" t="n">
        <v>46844</v>
      </c>
      <c r="BJ2" s="125" t="n">
        <v>46874</v>
      </c>
      <c r="BK2" s="125" t="n">
        <v>46905</v>
      </c>
      <c r="BL2" s="125" t="n">
        <v>46935</v>
      </c>
      <c r="BM2" s="125" t="n">
        <v>46966</v>
      </c>
      <c r="BN2" s="125" t="n">
        <v>46997</v>
      </c>
      <c r="BO2" s="125" t="n">
        <v>47027</v>
      </c>
      <c r="BP2" s="125" t="n">
        <v>47058</v>
      </c>
      <c r="BQ2" s="125" t="n">
        <v>47088</v>
      </c>
      <c r="BR2" s="125" t="n">
        <v>47119</v>
      </c>
      <c r="BS2" s="125" t="n">
        <v>47150</v>
      </c>
      <c r="BT2" s="125" t="n">
        <v>47178</v>
      </c>
      <c r="BU2" s="125" t="n">
        <v>47209</v>
      </c>
      <c r="BV2" s="125" t="n">
        <v>47239</v>
      </c>
      <c r="BW2" s="125" t="n">
        <v>47270</v>
      </c>
      <c r="BX2" s="125" t="n">
        <v>47300</v>
      </c>
      <c r="BY2" s="125" t="n">
        <v>47331</v>
      </c>
      <c r="BZ2" s="125" t="n">
        <v>47362</v>
      </c>
      <c r="CA2" s="125" t="n">
        <v>47392</v>
      </c>
      <c r="CB2" s="125" t="n">
        <v>47423</v>
      </c>
      <c r="CC2" s="125" t="n">
        <v>47453</v>
      </c>
      <c r="CD2" s="125" t="n">
        <v>47484</v>
      </c>
      <c r="CE2" s="125" t="n">
        <v>47515</v>
      </c>
      <c r="CF2" s="125" t="n">
        <v>54789</v>
      </c>
      <c r="CG2" s="125" t="n">
        <v>47818</v>
      </c>
      <c r="CH2" s="125" t="n">
        <v>48580</v>
      </c>
      <c r="CI2" s="125" t="n">
        <v>47788</v>
      </c>
      <c r="CJ2" s="125" t="n">
        <v>48611</v>
      </c>
      <c r="CK2" s="4" t="inlineStr">
        <is>
          <t>Total Geral</t>
        </is>
      </c>
    </row>
    <row r="3">
      <c r="A3" s="4" t="inlineStr">
        <is>
          <t>APORTES</t>
        </is>
      </c>
      <c r="CK3" s="126" t="n">
        <v>0.240000000223517</v>
      </c>
    </row>
    <row r="4">
      <c r="A4" s="4" t="inlineStr">
        <is>
          <t>APORTES</t>
        </is>
      </c>
      <c r="CK4" s="126" t="n">
        <v>0.240000000223517</v>
      </c>
    </row>
    <row r="5">
      <c r="A5" s="4" t="inlineStr">
        <is>
          <t>APORTES</t>
        </is>
      </c>
      <c r="CK5" s="126" t="n">
        <v>0.240000000223517</v>
      </c>
    </row>
    <row r="6">
      <c r="A6" s="4" t="inlineStr">
        <is>
          <t>CUSTOS COM OBRAS</t>
        </is>
      </c>
      <c r="CK6" s="126" t="n">
        <v>151411070.129816</v>
      </c>
    </row>
    <row r="7">
      <c r="A7" s="4" t="inlineStr">
        <is>
          <t>MATERIAIS E SERVIÇOS PRESTADOS</t>
        </is>
      </c>
      <c r="C7" s="126" t="n">
        <v>2437.9</v>
      </c>
      <c r="D7" s="126" t="n">
        <v>0</v>
      </c>
      <c r="E7" s="126" t="n">
        <v>0</v>
      </c>
      <c r="F7" s="126" t="n">
        <v>0</v>
      </c>
      <c r="G7" s="126" t="n">
        <v>0</v>
      </c>
      <c r="H7" s="126" t="n">
        <v>2253.29</v>
      </c>
      <c r="I7" s="126" t="n">
        <v>0</v>
      </c>
      <c r="J7" s="126" t="n">
        <v>0</v>
      </c>
      <c r="K7" s="126" t="n">
        <v>8527.57</v>
      </c>
      <c r="L7" s="126" t="n">
        <v>164529.3</v>
      </c>
      <c r="M7" s="126" t="n">
        <v>73951.98000000001</v>
      </c>
      <c r="N7" s="126" t="n">
        <v>86798.41</v>
      </c>
      <c r="O7" s="126" t="n">
        <v>91882.83</v>
      </c>
      <c r="P7" s="126" t="n">
        <v>150391.6</v>
      </c>
      <c r="Q7" s="126" t="n">
        <v>119483.12</v>
      </c>
      <c r="R7" s="126" t="n">
        <v>143785.1</v>
      </c>
      <c r="S7" s="126" t="n">
        <v>62913.13</v>
      </c>
      <c r="T7" s="126" t="n">
        <v>95975.70999999999</v>
      </c>
      <c r="U7" s="126" t="n">
        <v>76634.44</v>
      </c>
      <c r="V7" s="126" t="n">
        <v>54750.11</v>
      </c>
      <c r="W7" s="126" t="n">
        <v>339691.77</v>
      </c>
      <c r="X7" s="126" t="n">
        <v>270556.53</v>
      </c>
      <c r="Y7" s="126" t="n">
        <v>226944.64</v>
      </c>
      <c r="Z7" s="126" t="n">
        <v>298199.840005</v>
      </c>
      <c r="AA7" s="126" t="n">
        <v>190147.17</v>
      </c>
      <c r="AB7" s="126" t="n">
        <v>221993.72</v>
      </c>
      <c r="AC7" s="126" t="n">
        <v>395625.4</v>
      </c>
      <c r="AD7" s="126" t="n">
        <v>708213.459999</v>
      </c>
      <c r="AE7" s="126" t="n">
        <v>1253058.840001</v>
      </c>
      <c r="AF7" s="126" t="n">
        <v>2178783.130003</v>
      </c>
      <c r="AG7" s="126" t="n">
        <v>1568106.200001</v>
      </c>
      <c r="AH7" s="126" t="n">
        <v>1972982.140003</v>
      </c>
      <c r="AI7" s="126" t="n">
        <v>1105526.59</v>
      </c>
      <c r="AJ7" s="126" t="n">
        <v>1636768.819998</v>
      </c>
      <c r="AK7" s="126" t="n">
        <v>1444679.820001</v>
      </c>
      <c r="AL7" s="126" t="n">
        <v>956706.509995</v>
      </c>
      <c r="AM7" s="126" t="n">
        <v>1340691.29</v>
      </c>
      <c r="AN7" s="126" t="n">
        <v>2331705.550006</v>
      </c>
      <c r="CK7" s="126" t="n">
        <v>151411070.129816</v>
      </c>
    </row>
    <row r="8">
      <c r="A8" s="4" t="inlineStr">
        <is>
          <t>ALVENARIA</t>
        </is>
      </c>
      <c r="CK8" s="126" t="n">
        <v>5971733.45987883</v>
      </c>
    </row>
    <row r="9">
      <c r="A9" s="4" t="inlineStr">
        <is>
          <t>BARRACAO DE OBRA</t>
        </is>
      </c>
      <c r="P9" s="126" t="n">
        <v>1566.87</v>
      </c>
      <c r="Q9" s="126" t="n">
        <v>22290.15</v>
      </c>
      <c r="R9" s="126" t="n">
        <v>36188.25</v>
      </c>
      <c r="S9" s="126" t="n">
        <v>585.7</v>
      </c>
      <c r="T9" s="126" t="n">
        <v>750</v>
      </c>
      <c r="AA9" s="126" t="n">
        <v>61557.78</v>
      </c>
      <c r="AB9" s="126" t="n">
        <v>70633.03</v>
      </c>
      <c r="AC9" s="126" t="n">
        <v>66792.519999</v>
      </c>
      <c r="AD9" s="126" t="n">
        <v>71201.39999999999</v>
      </c>
      <c r="AE9" s="126" t="n">
        <v>59244.3</v>
      </c>
      <c r="AF9" s="126" t="n">
        <v>40715.62</v>
      </c>
      <c r="AG9" s="126" t="n">
        <v>51460.010504</v>
      </c>
      <c r="AH9" s="126" t="n">
        <v>22683.909495</v>
      </c>
      <c r="AI9" s="126" t="n">
        <v>17563.670001</v>
      </c>
      <c r="AJ9" s="126" t="n">
        <v>14403.47</v>
      </c>
      <c r="AK9" s="126" t="n">
        <v>13639.33</v>
      </c>
      <c r="AL9" s="126" t="n">
        <v>19885.18</v>
      </c>
      <c r="AM9" s="126" t="n">
        <v>14872.41</v>
      </c>
      <c r="AN9" s="126" t="n">
        <v>28641.880002</v>
      </c>
      <c r="AO9" s="126" t="n">
        <v>16434.13</v>
      </c>
      <c r="AP9" s="126" t="n">
        <v>18163.95</v>
      </c>
      <c r="AQ9" s="126" t="n">
        <v>1127.94</v>
      </c>
      <c r="AS9" s="126" t="n">
        <v>1880.2</v>
      </c>
      <c r="AV9" s="126" t="n">
        <v>518</v>
      </c>
      <c r="CK9" s="126" t="n">
        <v>908450.623051499</v>
      </c>
    </row>
    <row r="10">
      <c r="A10" s="4" t="inlineStr">
        <is>
          <t>CONSULTORIAS (OBRAS)</t>
        </is>
      </c>
      <c r="N10" s="126" t="n">
        <v>6616.43</v>
      </c>
      <c r="O10" s="126" t="n">
        <v>433.57</v>
      </c>
      <c r="R10" s="126" t="n">
        <v>21110.48</v>
      </c>
      <c r="S10" s="126" t="n">
        <v>14927.61</v>
      </c>
      <c r="W10" s="126" t="n">
        <v>14421.7</v>
      </c>
      <c r="X10" s="126" t="n">
        <v>608.73</v>
      </c>
      <c r="AB10" s="126" t="n">
        <v>20181.97</v>
      </c>
      <c r="AC10" s="126" t="n">
        <v>6015.91</v>
      </c>
      <c r="AD10" s="126" t="n">
        <v>9715.370000000001</v>
      </c>
      <c r="AE10" s="126" t="n">
        <v>28769</v>
      </c>
      <c r="AF10" s="126" t="n">
        <v>255492.31</v>
      </c>
      <c r="AG10" s="126" t="n">
        <v>61293.83</v>
      </c>
      <c r="AH10" s="126" t="n">
        <v>26405.03</v>
      </c>
      <c r="AI10" s="126" t="n">
        <v>27423.86</v>
      </c>
      <c r="AJ10" s="126" t="n">
        <v>42679.98</v>
      </c>
      <c r="AK10" s="126" t="n">
        <v>22203.86</v>
      </c>
      <c r="AL10" s="126" t="n">
        <v>22652.84</v>
      </c>
      <c r="AM10" s="126" t="n">
        <v>18615.9</v>
      </c>
      <c r="AN10" s="126" t="n">
        <v>42382.64</v>
      </c>
      <c r="AO10" s="126" t="n">
        <v>32608.81</v>
      </c>
      <c r="AP10" s="126" t="n">
        <v>24838.91</v>
      </c>
      <c r="AQ10" s="126" t="n">
        <v>190</v>
      </c>
      <c r="CK10" s="126" t="n">
        <v>1391958.90732964</v>
      </c>
    </row>
    <row r="11">
      <c r="A11" s="4" t="inlineStr">
        <is>
          <t>CONSUMO DE ÁGUA, ENERGIA, ETC.</t>
        </is>
      </c>
      <c r="AE11" s="126" t="n">
        <v>451.95</v>
      </c>
      <c r="AF11" s="126" t="n">
        <v>2796.26</v>
      </c>
      <c r="AG11" s="126" t="n">
        <v>159.9</v>
      </c>
      <c r="AH11" s="126" t="n">
        <v>2417.06</v>
      </c>
      <c r="AI11" s="126" t="n">
        <v>1957.61</v>
      </c>
      <c r="AJ11" s="126" t="n">
        <v>2936.03</v>
      </c>
      <c r="AK11" s="126" t="n">
        <v>1594.43</v>
      </c>
      <c r="AL11" s="126" t="n">
        <v>6339.97</v>
      </c>
      <c r="AM11" s="126" t="n">
        <v>2360.61</v>
      </c>
      <c r="AN11" s="126" t="n">
        <v>4502.73</v>
      </c>
      <c r="AO11" s="126" t="n">
        <v>10541.48</v>
      </c>
      <c r="AP11" s="126" t="n">
        <v>2742.07</v>
      </c>
      <c r="AQ11" s="126" t="n">
        <v>2339.05</v>
      </c>
      <c r="AR11" s="126" t="n">
        <v>159.9</v>
      </c>
      <c r="AS11" s="126" t="n">
        <v>159.9</v>
      </c>
      <c r="AT11" s="126" t="n">
        <v>159.9</v>
      </c>
      <c r="AU11" s="126" t="n">
        <v>159.9</v>
      </c>
      <c r="AV11" s="126" t="n">
        <v>159.9</v>
      </c>
      <c r="AW11" s="126" t="n">
        <v>159.9</v>
      </c>
      <c r="AX11" s="126" t="n">
        <v>159.9</v>
      </c>
      <c r="AY11" s="126" t="n">
        <v>159.9</v>
      </c>
      <c r="AZ11" s="126" t="n">
        <v>159.9</v>
      </c>
      <c r="BA11" s="126" t="n">
        <v>159.9</v>
      </c>
      <c r="BB11" s="126" t="n">
        <v>159.9</v>
      </c>
      <c r="BC11" s="126" t="n">
        <v>159.9</v>
      </c>
      <c r="BD11" s="126" t="n">
        <v>159.9</v>
      </c>
      <c r="BE11" s="126" t="n">
        <v>159.9</v>
      </c>
      <c r="BF11" s="126" t="n">
        <v>159.9</v>
      </c>
      <c r="BG11" s="126" t="n">
        <v>159.9</v>
      </c>
      <c r="BH11" s="126" t="n">
        <v>159.9</v>
      </c>
      <c r="BI11" s="126" t="n">
        <v>159.9</v>
      </c>
      <c r="BJ11" s="126" t="n">
        <v>159.9</v>
      </c>
      <c r="BK11" s="126" t="n">
        <v>159.9</v>
      </c>
      <c r="BL11" s="126" t="n">
        <v>159.9</v>
      </c>
      <c r="BM11" s="126" t="n">
        <v>159.9</v>
      </c>
      <c r="BN11" s="126" t="n">
        <v>159.9</v>
      </c>
      <c r="BO11" s="126" t="n">
        <v>159.9</v>
      </c>
      <c r="BP11" s="126" t="n">
        <v>159.9</v>
      </c>
      <c r="BQ11" s="126" t="n">
        <v>159.9</v>
      </c>
      <c r="BR11" s="126" t="n">
        <v>159.9</v>
      </c>
      <c r="BS11" s="126" t="n">
        <v>159.9</v>
      </c>
      <c r="BT11" s="126" t="n">
        <v>159.9</v>
      </c>
      <c r="BU11" s="126" t="n">
        <v>159.9</v>
      </c>
      <c r="BV11" s="126" t="n">
        <v>159.9</v>
      </c>
      <c r="BW11" s="126" t="n">
        <v>159.9</v>
      </c>
      <c r="CK11" s="126" t="n">
        <v>523940.498683766</v>
      </c>
    </row>
    <row r="12">
      <c r="A12" s="4" t="inlineStr">
        <is>
          <t>CONTENÇÃO</t>
        </is>
      </c>
      <c r="AB12" s="126" t="n">
        <v>12009.9</v>
      </c>
      <c r="AC12" s="126" t="n">
        <v>107813.99</v>
      </c>
      <c r="AD12" s="126" t="n">
        <v>236848.017837</v>
      </c>
      <c r="AE12" s="126" t="n">
        <v>285810.887162</v>
      </c>
      <c r="AF12" s="126" t="n">
        <v>200940.585</v>
      </c>
      <c r="AG12" s="126" t="n">
        <v>135305.991738</v>
      </c>
      <c r="AH12" s="126" t="n">
        <v>4650</v>
      </c>
      <c r="AI12" s="126" t="n">
        <v>860</v>
      </c>
      <c r="AJ12" s="126" t="n">
        <v>44181.998698</v>
      </c>
      <c r="AK12" s="126" t="n">
        <v>346.942</v>
      </c>
      <c r="AL12" s="126" t="n">
        <v>4280</v>
      </c>
      <c r="AM12" s="126" t="n">
        <v>6148</v>
      </c>
      <c r="AN12" s="126" t="n">
        <v>36106.1</v>
      </c>
      <c r="AP12" s="126" t="n">
        <v>10352.648431</v>
      </c>
      <c r="AR12" s="126" t="n">
        <v>5763.381302</v>
      </c>
      <c r="CK12" s="126" t="n">
        <v>1713139.17268981</v>
      </c>
    </row>
    <row r="13">
      <c r="A13" s="4" t="inlineStr">
        <is>
          <t>DIVERSOS</t>
        </is>
      </c>
      <c r="N13" s="126" t="n">
        <v>10.59</v>
      </c>
      <c r="P13" s="126" t="n">
        <v>823.84</v>
      </c>
      <c r="Q13" s="126" t="n">
        <v>649.99</v>
      </c>
      <c r="R13" s="126" t="n">
        <v>284.74</v>
      </c>
      <c r="S13" s="126" t="n">
        <v>1.31</v>
      </c>
      <c r="U13" s="126" t="n">
        <v>5847.44</v>
      </c>
      <c r="V13" s="126" t="n">
        <v>1467.74</v>
      </c>
      <c r="Y13" s="126" t="n">
        <v>66.59999999999999</v>
      </c>
      <c r="AD13" s="126" t="n">
        <v>850.17</v>
      </c>
      <c r="AE13" s="126" t="n">
        <v>4204.059998</v>
      </c>
      <c r="AF13" s="126" t="n">
        <v>713.41</v>
      </c>
      <c r="AG13" s="126" t="n">
        <v>1784.1</v>
      </c>
      <c r="AH13" s="126" t="n">
        <v>1122.95</v>
      </c>
      <c r="AI13" s="126" t="n">
        <v>1160.97</v>
      </c>
      <c r="AJ13" s="126" t="n">
        <v>2280.62</v>
      </c>
      <c r="AK13" s="126" t="n">
        <v>1594.82</v>
      </c>
      <c r="AL13" s="126" t="n">
        <v>1922.39</v>
      </c>
      <c r="AM13" s="126" t="n">
        <v>1559.18</v>
      </c>
      <c r="AN13" s="126" t="n">
        <v>2538.36</v>
      </c>
      <c r="AO13" s="126" t="n">
        <v>5139.730001</v>
      </c>
      <c r="AP13" s="126" t="n">
        <v>4242.44</v>
      </c>
      <c r="AQ13" s="126" t="n">
        <v>1133.72</v>
      </c>
      <c r="CK13" s="126" t="n">
        <v>132107.637163343</v>
      </c>
    </row>
    <row r="14">
      <c r="A14" s="4" t="inlineStr">
        <is>
          <t>ELEVADORES</t>
        </is>
      </c>
      <c r="CK14" s="126" t="n">
        <v>3260351.34327207</v>
      </c>
    </row>
    <row r="15">
      <c r="A15" s="4" t="inlineStr">
        <is>
          <t>EQUIPAMENTOS E FERRAMENTAS</t>
        </is>
      </c>
      <c r="AB15" s="126" t="n">
        <v>672.9</v>
      </c>
      <c r="AC15" s="126" t="n">
        <v>5281.410001</v>
      </c>
      <c r="AD15" s="126" t="n">
        <v>6232.489999</v>
      </c>
      <c r="AE15" s="126" t="n">
        <v>9500.17</v>
      </c>
      <c r="AF15" s="126" t="n">
        <v>55945.36</v>
      </c>
      <c r="AG15" s="126" t="n">
        <v>58948.929494</v>
      </c>
      <c r="AH15" s="126" t="n">
        <v>144547.580505</v>
      </c>
      <c r="AI15" s="126" t="n">
        <v>11787.59</v>
      </c>
      <c r="AJ15" s="126" t="n">
        <v>6734.81</v>
      </c>
      <c r="AK15" s="126" t="n">
        <v>2323.6</v>
      </c>
      <c r="AL15" s="126" t="n">
        <v>28516.020222</v>
      </c>
      <c r="AM15" s="126" t="n">
        <v>24451.289778</v>
      </c>
      <c r="AN15" s="126" t="n">
        <v>63176.570001</v>
      </c>
      <c r="AO15" s="126" t="n">
        <v>125548.998696</v>
      </c>
      <c r="AP15" s="126" t="n">
        <v>88811.99649</v>
      </c>
      <c r="AQ15" s="126" t="n">
        <v>9937.799999999999</v>
      </c>
      <c r="AR15" s="126" t="n">
        <v>257.38</v>
      </c>
      <c r="AU15" s="126" t="n">
        <v>1456.400001</v>
      </c>
      <c r="BL15" s="126" t="n">
        <v>1693.384812</v>
      </c>
      <c r="CK15" s="126" t="n">
        <v>6345587.82640202</v>
      </c>
    </row>
    <row r="16">
      <c r="A16" s="4" t="inlineStr">
        <is>
          <t>ESQUADRIAS</t>
        </is>
      </c>
      <c r="CK16" s="126" t="n">
        <v>11264968.6584117</v>
      </c>
    </row>
    <row r="17">
      <c r="A17" s="4" t="inlineStr">
        <is>
          <t>ESTRUTURA EM CONTRETO ARMADO</t>
        </is>
      </c>
      <c r="AL17" s="126" t="n">
        <v>22233.82</v>
      </c>
      <c r="AM17" s="126" t="n">
        <v>49774.545</v>
      </c>
      <c r="AN17" s="126" t="n">
        <v>269581.185001</v>
      </c>
      <c r="AO17" s="126" t="n">
        <v>650557.023077</v>
      </c>
      <c r="AP17" s="126" t="n">
        <v>1271174.768704</v>
      </c>
      <c r="AQ17" s="126" t="n">
        <v>222757.260003</v>
      </c>
      <c r="AR17" s="126" t="n">
        <v>565329.91</v>
      </c>
      <c r="AV17" s="126" t="n">
        <v>8355.270078</v>
      </c>
      <c r="BL17" s="126" t="n">
        <v>14261.168147</v>
      </c>
      <c r="BP17" s="126" t="n">
        <v>88.5</v>
      </c>
      <c r="BS17" s="126" t="n">
        <v>3520.13</v>
      </c>
      <c r="CK17" s="126" t="n">
        <v>25842544.009281</v>
      </c>
    </row>
    <row r="18">
      <c r="A18" s="4" t="inlineStr">
        <is>
          <t>FORRO</t>
        </is>
      </c>
      <c r="CK18" s="126" t="n">
        <v>1703159.09857732</v>
      </c>
    </row>
    <row r="19">
      <c r="A19" s="4" t="inlineStr">
        <is>
          <t>FUNDAÇÃO PROFUNDA</t>
        </is>
      </c>
      <c r="AC19" s="126" t="n">
        <v>1930</v>
      </c>
      <c r="AD19" s="126" t="n">
        <v>145877.572162</v>
      </c>
      <c r="AE19" s="126" t="n">
        <v>521095.712838</v>
      </c>
      <c r="AF19" s="126" t="n">
        <v>1121245.405</v>
      </c>
      <c r="AG19" s="126" t="n">
        <v>887025.558881</v>
      </c>
      <c r="AH19" s="126" t="n">
        <v>1371139.528051</v>
      </c>
      <c r="AI19" s="126" t="n">
        <v>644213.9018</v>
      </c>
      <c r="AJ19" s="126" t="n">
        <v>1191477.325736</v>
      </c>
      <c r="AK19" s="126" t="n">
        <v>606377.664628</v>
      </c>
      <c r="AL19" s="126" t="n">
        <v>43774.237971</v>
      </c>
      <c r="AM19" s="126" t="n">
        <v>15692.866876</v>
      </c>
      <c r="AN19" s="126" t="n">
        <v>78401.442561</v>
      </c>
      <c r="AO19" s="126" t="n">
        <v>37660.472</v>
      </c>
      <c r="AP19" s="126" t="n">
        <v>59840.33</v>
      </c>
      <c r="AQ19" s="126" t="n">
        <v>34528.89</v>
      </c>
      <c r="AR19" s="126" t="n">
        <v>6125.678698</v>
      </c>
      <c r="AS19" s="126" t="n">
        <v>5767.997438</v>
      </c>
      <c r="AU19" s="126" t="n">
        <v>2828</v>
      </c>
      <c r="AV19" s="126" t="n">
        <v>7273.76</v>
      </c>
      <c r="BL19" s="126" t="n">
        <v>2043.999145</v>
      </c>
      <c r="CK19" s="126" t="n">
        <v>6204378.30418355</v>
      </c>
    </row>
    <row r="20">
      <c r="A20" s="4" t="inlineStr">
        <is>
          <t>FUNDAÇÃO SUPERFICIAL</t>
        </is>
      </c>
      <c r="AK20" s="126" t="n">
        <v>20138.34</v>
      </c>
      <c r="AL20" s="126" t="n">
        <v>304245.223792</v>
      </c>
      <c r="AM20" s="126" t="n">
        <v>700460.709287</v>
      </c>
      <c r="AN20" s="126" t="n">
        <v>1471948.085774</v>
      </c>
      <c r="AO20" s="126" t="n">
        <v>480698.82773</v>
      </c>
      <c r="AP20" s="126" t="n">
        <v>50605.812412</v>
      </c>
      <c r="AR20" s="126" t="n">
        <v>713.975288</v>
      </c>
      <c r="AS20" s="126" t="n">
        <v>19229.109229</v>
      </c>
      <c r="AT20" s="126" t="n">
        <v>22778.610497</v>
      </c>
      <c r="AU20" s="126" t="n">
        <v>2356.48</v>
      </c>
      <c r="AV20" s="126" t="n">
        <v>2007.282321</v>
      </c>
      <c r="BL20" s="126" t="n">
        <v>3351.787896</v>
      </c>
      <c r="CK20" s="126" t="n">
        <v>3293977.3676828</v>
      </c>
    </row>
    <row r="21">
      <c r="A21" s="4" t="inlineStr">
        <is>
          <t>IMPERMEABILIZAÇÃO</t>
        </is>
      </c>
      <c r="CK21" s="126" t="n">
        <v>3957653.19496534</v>
      </c>
    </row>
    <row r="22">
      <c r="A22" s="4" t="inlineStr">
        <is>
          <t>INSTALAÇÕES COMBATE INCÊNDIO</t>
        </is>
      </c>
      <c r="CK22" s="126" t="n">
        <v>787409.539205083</v>
      </c>
    </row>
    <row r="23">
      <c r="A23" s="4" t="inlineStr">
        <is>
          <t>INSTALAÇÕES ELÉTRICAS</t>
        </is>
      </c>
      <c r="AE23" s="126" t="n">
        <v>2235.2</v>
      </c>
      <c r="AK23" s="126" t="n">
        <v>209001.57</v>
      </c>
      <c r="AL23" s="126" t="n">
        <v>3214.66</v>
      </c>
      <c r="AM23" s="126" t="n">
        <v>94109.06</v>
      </c>
      <c r="AN23" s="126" t="n">
        <v>6139.34</v>
      </c>
      <c r="AO23" s="126" t="n">
        <v>6662.65</v>
      </c>
      <c r="AP23" s="126" t="n">
        <v>4679.03</v>
      </c>
      <c r="CK23" s="126" t="n">
        <v>11284021.9782979</v>
      </c>
    </row>
    <row r="24">
      <c r="A24" s="4" t="inlineStr">
        <is>
          <t>INSTALAÇÕES ESPECIAIS</t>
        </is>
      </c>
      <c r="CK24" s="126" t="n">
        <v>2704811.89207862</v>
      </c>
    </row>
    <row r="25">
      <c r="A25" s="4" t="inlineStr">
        <is>
          <t>INSTALAÇÕES HIDROSANITÁRIAS</t>
        </is>
      </c>
      <c r="AP25" s="126" t="n">
        <v>13965</v>
      </c>
      <c r="AQ25" s="126" t="n">
        <v>13965</v>
      </c>
      <c r="CK25" s="126" t="n">
        <v>7429085.25908538</v>
      </c>
    </row>
    <row r="26">
      <c r="A26" s="4" t="inlineStr">
        <is>
          <t>LIGAÇÕES PROVISÓRIAS AGUA, ENERGIA,TELEFONIA, ESGOTO</t>
        </is>
      </c>
      <c r="AB26" s="126" t="n">
        <v>625.36</v>
      </c>
      <c r="AC26" s="126" t="n">
        <v>357.65</v>
      </c>
      <c r="AD26" s="126" t="n">
        <v>1634.25</v>
      </c>
      <c r="AE26" s="126" t="n">
        <v>14678.510002</v>
      </c>
      <c r="AF26" s="126" t="n">
        <v>8642.57</v>
      </c>
      <c r="AG26" s="126" t="n">
        <v>1681.620001</v>
      </c>
      <c r="AH26" s="126" t="n">
        <v>525.75</v>
      </c>
      <c r="AI26" s="126" t="n">
        <v>5117.4</v>
      </c>
      <c r="AK26" s="126" t="n">
        <v>6926.870001</v>
      </c>
      <c r="AL26" s="126" t="n">
        <v>18523.319999</v>
      </c>
      <c r="AM26" s="126" t="n">
        <v>20.75</v>
      </c>
      <c r="AP26" s="126" t="n">
        <v>167.05</v>
      </c>
      <c r="AQ26" s="126" t="n">
        <v>568.4</v>
      </c>
      <c r="CK26" s="126" t="n">
        <v>73157.9900814109</v>
      </c>
    </row>
    <row r="27">
      <c r="A27" s="4" t="inlineStr">
        <is>
          <t>LIMPEZA FINAL DE OBRA</t>
        </is>
      </c>
      <c r="CK27" s="126" t="n">
        <v>894384.071774206</v>
      </c>
    </row>
    <row r="28">
      <c r="A28" s="4" t="inlineStr">
        <is>
          <t>LOUÇAS SANITÁRIAS</t>
        </is>
      </c>
      <c r="CK28" s="126" t="n">
        <v>2065943.36188839</v>
      </c>
    </row>
    <row r="29">
      <c r="A29" s="4" t="inlineStr">
        <is>
          <t>MÃO DE OBRA PRÓPRIA</t>
        </is>
      </c>
      <c r="C29" s="126" t="n">
        <v>2437.9</v>
      </c>
      <c r="H29" s="126" t="n">
        <v>2253.29</v>
      </c>
      <c r="K29" s="126" t="n">
        <v>8527.57</v>
      </c>
      <c r="L29" s="126" t="n">
        <v>35000</v>
      </c>
      <c r="M29" s="126" t="n">
        <v>35655</v>
      </c>
      <c r="N29" s="126" t="n">
        <v>35655</v>
      </c>
      <c r="O29" s="126" t="n">
        <v>36678.64</v>
      </c>
      <c r="P29" s="126" t="n">
        <v>39561.28</v>
      </c>
      <c r="Q29" s="126" t="n">
        <v>39540.39</v>
      </c>
      <c r="R29" s="126" t="n">
        <v>39540.39</v>
      </c>
      <c r="S29" s="126" t="n">
        <v>39790.39</v>
      </c>
      <c r="T29" s="126" t="n">
        <v>36732</v>
      </c>
      <c r="U29" s="126" t="n">
        <v>35837</v>
      </c>
      <c r="V29" s="126" t="n">
        <v>940</v>
      </c>
      <c r="W29" s="126" t="n">
        <v>61357.36</v>
      </c>
      <c r="X29" s="126" t="n">
        <v>118973.07</v>
      </c>
      <c r="Y29" s="126" t="n">
        <v>60617.36</v>
      </c>
      <c r="Z29" s="126" t="n">
        <v>23912.84</v>
      </c>
      <c r="AA29" s="126" t="n">
        <v>27131.75</v>
      </c>
      <c r="AB29" s="126" t="n">
        <v>51487.59</v>
      </c>
      <c r="AC29" s="126" t="n">
        <v>89901.3</v>
      </c>
      <c r="AD29" s="126" t="n">
        <v>109406.480001</v>
      </c>
      <c r="AE29" s="126" t="n">
        <v>164098.290001</v>
      </c>
      <c r="AF29" s="126" t="n">
        <v>234224.100003</v>
      </c>
      <c r="AG29" s="126" t="n">
        <v>187300.458433</v>
      </c>
      <c r="AH29" s="126" t="n">
        <v>207035.090002</v>
      </c>
      <c r="AI29" s="126" t="n">
        <v>189783.71</v>
      </c>
      <c r="AJ29" s="126" t="n">
        <v>215160.729998</v>
      </c>
      <c r="AK29" s="126" t="n">
        <v>203548.11</v>
      </c>
      <c r="AL29" s="126" t="n">
        <v>207785.71</v>
      </c>
      <c r="AM29" s="126" t="n">
        <v>205254.165289</v>
      </c>
      <c r="AN29" s="126" t="n">
        <v>256382.446667</v>
      </c>
      <c r="AO29" s="126" t="n">
        <v>298850.740497</v>
      </c>
      <c r="AP29" s="126" t="n">
        <v>194858.263966</v>
      </c>
      <c r="AQ29" s="126" t="n">
        <v>82753.46000000001</v>
      </c>
      <c r="AR29" s="126" t="n">
        <v>91679.554712</v>
      </c>
      <c r="AS29" s="126" t="n">
        <v>91427.863333</v>
      </c>
      <c r="AT29" s="126" t="n">
        <v>1007.809503</v>
      </c>
      <c r="AU29" s="126" t="n">
        <v>1037.4</v>
      </c>
      <c r="AV29" s="126" t="n">
        <v>3222.967601</v>
      </c>
      <c r="BC29" s="126" t="n">
        <v>863.52</v>
      </c>
      <c r="BE29" s="126" t="n">
        <v>8451.690000000001</v>
      </c>
      <c r="CK29" s="126" t="n">
        <v>20179175.4908811</v>
      </c>
    </row>
    <row r="30">
      <c r="A30" s="4" t="inlineStr">
        <is>
          <t>MARCENARIA</t>
        </is>
      </c>
      <c r="AP30" s="126" t="n">
        <v>7000</v>
      </c>
      <c r="CK30" s="126" t="n">
        <v>2999564.91260768</v>
      </c>
    </row>
    <row r="31">
      <c r="A31" s="4" t="inlineStr">
        <is>
          <t>PAISAGISMO</t>
        </is>
      </c>
      <c r="CK31" s="126" t="n">
        <v>1125347.07654875</v>
      </c>
    </row>
    <row r="32">
      <c r="A32" s="4" t="inlineStr">
        <is>
          <t>PAVIMENTAÇÃO</t>
        </is>
      </c>
      <c r="CK32" s="126" t="n">
        <v>107710.005464064</v>
      </c>
    </row>
    <row r="33">
      <c r="A33" s="4" t="inlineStr">
        <is>
          <t>PINTURA</t>
        </is>
      </c>
      <c r="CK33" s="126" t="n">
        <v>3702958.93144738</v>
      </c>
    </row>
    <row r="34">
      <c r="A34" s="4" t="inlineStr">
        <is>
          <t>PROJETOS</t>
        </is>
      </c>
      <c r="L34" s="126" t="n">
        <v>129412.72</v>
      </c>
      <c r="M34" s="126" t="n">
        <v>38210.98</v>
      </c>
      <c r="N34" s="126" t="n">
        <v>44489.71</v>
      </c>
      <c r="O34" s="126" t="n">
        <v>9769.879999999999</v>
      </c>
      <c r="P34" s="126" t="n">
        <v>53439.61</v>
      </c>
      <c r="Q34" s="126" t="n">
        <v>56848.49</v>
      </c>
      <c r="R34" s="126" t="n">
        <v>9211.24</v>
      </c>
      <c r="S34" s="126" t="n">
        <v>7608.12</v>
      </c>
      <c r="T34" s="126" t="n">
        <v>34653.4</v>
      </c>
      <c r="U34" s="126" t="n">
        <v>34950</v>
      </c>
      <c r="V34" s="126" t="n">
        <v>10917.03</v>
      </c>
      <c r="W34" s="126" t="n">
        <v>263811.08</v>
      </c>
      <c r="X34" s="126" t="n">
        <v>95377.59</v>
      </c>
      <c r="Y34" s="126" t="n">
        <v>152105.86</v>
      </c>
      <c r="Z34" s="126" t="n">
        <v>202477.1</v>
      </c>
      <c r="AA34" s="126" t="n">
        <v>65133.61</v>
      </c>
      <c r="AB34" s="126" t="n">
        <v>46336.42</v>
      </c>
      <c r="AC34" s="126" t="n">
        <v>89390.73</v>
      </c>
      <c r="AD34" s="126" t="n">
        <v>31201.11</v>
      </c>
      <c r="AE34" s="126" t="n">
        <v>59081.79</v>
      </c>
      <c r="AF34" s="126" t="n">
        <v>118743.26</v>
      </c>
      <c r="AG34" s="126" t="n">
        <v>73812.67999999999</v>
      </c>
      <c r="AH34" s="126" t="n">
        <v>141055.81</v>
      </c>
      <c r="AI34" s="126" t="n">
        <v>93013.12</v>
      </c>
      <c r="AJ34" s="126" t="n">
        <v>46600</v>
      </c>
      <c r="AK34" s="126" t="n">
        <v>145577.73</v>
      </c>
      <c r="AL34" s="126" t="n">
        <v>925</v>
      </c>
      <c r="AM34" s="126" t="n">
        <v>925</v>
      </c>
      <c r="AN34" s="126" t="n">
        <v>17537.85</v>
      </c>
      <c r="AO34" s="126" t="n">
        <v>33676.72</v>
      </c>
      <c r="AP34" s="126" t="n">
        <v>1046.09</v>
      </c>
      <c r="CK34" s="126" t="n">
        <v>2428584.55285499</v>
      </c>
    </row>
    <row r="35">
      <c r="A35" s="4" t="inlineStr">
        <is>
          <t>REEMBOLSO MATERIAIS E SERVIÇOS</t>
        </is>
      </c>
      <c r="T35" s="126" t="n">
        <v>23840.31</v>
      </c>
      <c r="V35" s="126" t="n">
        <v>4462.26</v>
      </c>
      <c r="X35" s="126" t="n">
        <v>21548.26</v>
      </c>
      <c r="AC35" s="126" t="n">
        <v>26.25</v>
      </c>
      <c r="AE35" s="126" t="n">
        <v>196.21</v>
      </c>
      <c r="AF35" s="126" t="n">
        <v>196.21</v>
      </c>
      <c r="CK35" s="126" t="n">
        <v>50269.5</v>
      </c>
    </row>
    <row r="36">
      <c r="A36" s="4" t="inlineStr">
        <is>
          <t>REVESTIMENTO DIVERSOS   FACHADA</t>
        </is>
      </c>
      <c r="CK36" s="126" t="n">
        <v>5093370.43933275</v>
      </c>
    </row>
    <row r="37">
      <c r="A37" s="4" t="inlineStr">
        <is>
          <t>REVESTIMENTOS</t>
        </is>
      </c>
      <c r="CK37" s="126" t="n">
        <v>10480010.6955231</v>
      </c>
    </row>
    <row r="38">
      <c r="A38" s="4" t="inlineStr">
        <is>
          <t>REVESTIMENTOS DE MASSA EM PISOS</t>
        </is>
      </c>
      <c r="CK38" s="126" t="n">
        <v>1104275.7781087</v>
      </c>
    </row>
    <row r="39">
      <c r="A39" s="4" t="inlineStr">
        <is>
          <t>REVESTIMENTOS DE MASSAS EM PAREDES</t>
        </is>
      </c>
      <c r="CK39" s="126" t="n">
        <v>2536976.97745316</v>
      </c>
    </row>
    <row r="40">
      <c r="A40" s="4" t="inlineStr">
        <is>
          <t>SEGUROS</t>
        </is>
      </c>
      <c r="AD40" s="126" t="n">
        <v>29594.38</v>
      </c>
      <c r="AE40" s="126" t="n">
        <v>15763.13</v>
      </c>
      <c r="AF40" s="126" t="n">
        <v>1931.88</v>
      </c>
      <c r="AG40" s="126" t="n">
        <v>29895.53</v>
      </c>
      <c r="AH40" s="126" t="n">
        <v>16064.28</v>
      </c>
      <c r="AI40" s="126" t="n">
        <v>2233.03</v>
      </c>
      <c r="AJ40" s="126" t="n">
        <v>29895.47</v>
      </c>
      <c r="AK40" s="126" t="n">
        <v>2232.98</v>
      </c>
      <c r="AL40" s="126" t="n">
        <v>301.15</v>
      </c>
      <c r="CK40" s="126" t="n">
        <v>141604.26332499</v>
      </c>
    </row>
    <row r="41">
      <c r="A41" s="4" t="inlineStr">
        <is>
          <t>SERRALHERIA</t>
        </is>
      </c>
      <c r="CK41" s="126" t="n">
        <v>486392.741187442</v>
      </c>
    </row>
    <row r="42">
      <c r="A42" s="4" t="inlineStr">
        <is>
          <t>SERVIÇOS INICIAIS</t>
        </is>
      </c>
      <c r="AA42" s="126" t="n">
        <v>29688.12</v>
      </c>
      <c r="AB42" s="126" t="n">
        <v>5465.88</v>
      </c>
      <c r="AD42" s="126" t="n">
        <v>15003.12</v>
      </c>
      <c r="AE42" s="126" t="n">
        <v>8525.879999999999</v>
      </c>
      <c r="AF42" s="126" t="n">
        <v>9755.940000000001</v>
      </c>
      <c r="AG42" s="126" t="n">
        <v>13712.62</v>
      </c>
      <c r="AH42" s="126" t="n">
        <v>9641.440000000001</v>
      </c>
      <c r="AI42" s="126" t="n">
        <v>1604.07</v>
      </c>
      <c r="AJ42" s="126" t="n">
        <v>10302.97</v>
      </c>
      <c r="AK42" s="126" t="n">
        <v>3859.6</v>
      </c>
      <c r="AL42" s="126" t="n">
        <v>140.4</v>
      </c>
      <c r="AM42" s="126" t="n">
        <v>665</v>
      </c>
      <c r="AP42" s="126" t="n">
        <v>3402</v>
      </c>
      <c r="AR42" s="126" t="n">
        <v>399</v>
      </c>
      <c r="BE42" s="126" t="n">
        <v>2905</v>
      </c>
      <c r="CK42" s="126" t="n">
        <v>180397.526415536</v>
      </c>
    </row>
    <row r="43">
      <c r="A43" s="4" t="inlineStr">
        <is>
          <t>TAXA DE ADMINISTRAÇÃO</t>
        </is>
      </c>
      <c r="O43" s="126" t="n">
        <v>45000</v>
      </c>
      <c r="P43" s="126" t="n">
        <v>55000</v>
      </c>
      <c r="R43" s="126" t="n">
        <v>37450</v>
      </c>
      <c r="V43" s="126" t="n">
        <v>36922.46</v>
      </c>
      <c r="X43" s="126" t="n">
        <v>34045.51</v>
      </c>
      <c r="Y43" s="126" t="n">
        <v>14154.82</v>
      </c>
      <c r="Z43" s="126" t="n">
        <v>71756.69</v>
      </c>
      <c r="AA43" s="126" t="n">
        <v>6521.51</v>
      </c>
      <c r="AB43" s="126" t="n">
        <v>13570.62</v>
      </c>
      <c r="AC43" s="126" t="n">
        <v>26242.32</v>
      </c>
      <c r="AD43" s="126" t="n">
        <v>34986.5</v>
      </c>
      <c r="AE43" s="126" t="n">
        <v>70987.17</v>
      </c>
      <c r="AF43" s="126" t="n">
        <v>119467.69</v>
      </c>
      <c r="CK43" s="126" t="n">
        <v>566105.29</v>
      </c>
    </row>
    <row r="44">
      <c r="A44" s="4" t="inlineStr">
        <is>
          <t>TAXAS DIVERSAS</t>
        </is>
      </c>
      <c r="Q44" s="126" t="n">
        <v>154.1</v>
      </c>
      <c r="V44" s="126" t="n">
        <v>40.62</v>
      </c>
      <c r="AA44" s="126" t="n">
        <v>64.23999999999999</v>
      </c>
      <c r="AF44" s="126" t="n">
        <v>103.03</v>
      </c>
      <c r="AO44" s="126" t="n">
        <v>5543.2</v>
      </c>
      <c r="CK44" s="126" t="n">
        <v>150778.454896953</v>
      </c>
    </row>
    <row r="45">
      <c r="A45" s="4" t="inlineStr">
        <is>
          <t>TERRAPLENAGEM</t>
        </is>
      </c>
      <c r="AF45" s="126" t="n">
        <v>3866</v>
      </c>
      <c r="AG45" s="126" t="n">
        <v>58166.5</v>
      </c>
      <c r="AH45" s="126" t="n">
        <v>21398.48</v>
      </c>
      <c r="AI45" s="126" t="n">
        <v>104829.659999</v>
      </c>
      <c r="AJ45" s="126" t="n">
        <v>21701.4925</v>
      </c>
      <c r="AK45" s="126" t="n">
        <v>203306.373205</v>
      </c>
      <c r="AL45" s="126" t="n">
        <v>269416.539511</v>
      </c>
      <c r="AM45" s="126" t="n">
        <v>202541.18027</v>
      </c>
      <c r="AN45" s="126" t="n">
        <v>53252.58</v>
      </c>
      <c r="AP45" s="126" t="n">
        <v>100529.63</v>
      </c>
      <c r="AV45" s="126" t="n">
        <v>2100</v>
      </c>
      <c r="AW45" s="126" t="n">
        <v>1023.88</v>
      </c>
      <c r="CK45" s="126" t="n">
        <v>1303192.81691756</v>
      </c>
    </row>
    <row r="46">
      <c r="A46" s="4" t="inlineStr">
        <is>
          <t>TRANSPORTES</t>
        </is>
      </c>
      <c r="L46" s="126" t="n">
        <v>116.58</v>
      </c>
      <c r="M46" s="126" t="n">
        <v>86</v>
      </c>
      <c r="N46" s="126" t="n">
        <v>26.68</v>
      </c>
      <c r="O46" s="126" t="n">
        <v>0.74</v>
      </c>
      <c r="W46" s="126" t="n">
        <v>101.63</v>
      </c>
      <c r="X46" s="126" t="n">
        <v>3.37</v>
      </c>
      <c r="Z46" s="126" t="n">
        <v>53.210005</v>
      </c>
      <c r="AA46" s="126" t="n">
        <v>50.16</v>
      </c>
      <c r="AB46" s="126" t="n">
        <v>1010.05</v>
      </c>
      <c r="AC46" s="126" t="n">
        <v>1873.32</v>
      </c>
      <c r="AD46" s="126" t="n">
        <v>15662.6</v>
      </c>
      <c r="AE46" s="126" t="n">
        <v>8416.58</v>
      </c>
      <c r="AF46" s="126" t="n">
        <v>4003.5</v>
      </c>
      <c r="AG46" s="126" t="n">
        <v>7558.47095</v>
      </c>
      <c r="AH46" s="126" t="n">
        <v>4295.23195</v>
      </c>
      <c r="AI46" s="126" t="n">
        <v>3977.9982</v>
      </c>
      <c r="AJ46" s="126" t="n">
        <v>8413.923065999999</v>
      </c>
      <c r="AK46" s="126" t="n">
        <v>2007.600167</v>
      </c>
      <c r="AL46" s="126" t="n">
        <v>2550.0485</v>
      </c>
      <c r="AM46" s="126" t="n">
        <v>3240.6235</v>
      </c>
      <c r="AN46" s="126" t="n">
        <v>1114.34</v>
      </c>
      <c r="AO46" s="126" t="n">
        <v>5722.118</v>
      </c>
      <c r="AP46" s="126" t="n">
        <v>1969.59</v>
      </c>
      <c r="AQ46" s="126" t="n">
        <v>47.77</v>
      </c>
      <c r="CK46" s="126" t="n">
        <v>841283.631451756</v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B19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HISTORICOS'!D5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PL'!F11</f>
        <v/>
      </c>
      <c r="K5" s="62">
        <f>'VALOR POR PL'!G11</f>
        <v/>
      </c>
      <c r="M5" s="129">
        <f>'CP RESUMO'!D5</f>
        <v/>
      </c>
      <c r="N5" s="130" t="n">
        <v>0</v>
      </c>
      <c r="O5" s="129">
        <f>IF(B5&lt;='VALOR POR PL'!$P$5,'CP RESUMO'!D47,"")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HISTORICOS'!E5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RESUMO'!E5</f>
        <v/>
      </c>
      <c r="N6" s="130">
        <f>MAX(0,M6-M5)</f>
        <v/>
      </c>
      <c r="O6" s="129">
        <f>IF(B6&lt;='VALOR POR PL'!$P$5,'CP RESUMO'!E47,"")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HISTORICOS'!F5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PL'!L11</f>
        <v/>
      </c>
      <c r="M7" s="129">
        <f>'CP RESUMO'!F5</f>
        <v/>
      </c>
      <c r="N7" s="130">
        <f>MAX(0,M7-M6)</f>
        <v/>
      </c>
      <c r="O7" s="129">
        <f>IF(B7&lt;='VALOR POR PL'!$P$5,'CP RESUMO'!F47,"")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HISTORICOS'!G5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RESUMO'!G5</f>
        <v/>
      </c>
      <c r="N8" s="130">
        <f>MAX(0,M8-M7)</f>
        <v/>
      </c>
      <c r="O8" s="129">
        <f>IF(B8&lt;='VALOR POR PL'!$P$5,'CP RESUMO'!G47,"")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HISTORICOS'!H5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RESUMO'!H5</f>
        <v/>
      </c>
      <c r="N9" s="130">
        <f>MAX(0,M9-M8)</f>
        <v/>
      </c>
      <c r="O9" s="129">
        <f>IF(B9&lt;='VALOR POR PL'!$P$5,'CP RESUMO'!H47,"")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HISTORICOS'!I5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RESUMO'!I5</f>
        <v/>
      </c>
      <c r="N10" s="130">
        <f>MAX(0,M10-M9)</f>
        <v/>
      </c>
      <c r="O10" s="129">
        <f>IF(B10&lt;='VALOR POR PL'!$P$5,'CP RESUMO'!I47,"")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HISTORICOS'!J5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RESUMO'!J5</f>
        <v/>
      </c>
      <c r="N11" s="130">
        <f>MAX(0,M11-M10)</f>
        <v/>
      </c>
      <c r="O11" s="129">
        <f>IF(B11&lt;='VALOR POR PL'!$P$5,'CP RESUMO'!J47,"")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HISTORICOS'!K5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RESUMO'!K5</f>
        <v/>
      </c>
      <c r="N12" s="130">
        <f>MAX(0,M12-M11)</f>
        <v/>
      </c>
      <c r="O12" s="129">
        <f>IF(B12&lt;='VALOR POR PL'!$P$5,'CP RESUMO'!K47,"")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HISTORICOS'!L5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PL'!I11</f>
        <v/>
      </c>
      <c r="M13" s="129">
        <f>'CP RESUMO'!L5</f>
        <v/>
      </c>
      <c r="N13" s="130">
        <f>MAX(0,M13-M12)</f>
        <v/>
      </c>
      <c r="O13" s="129">
        <f>IF(B13&lt;='VALOR POR PL'!$P$5,'CP RESUMO'!L47,"")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HISTORICOS'!M5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RESUMO'!$D$47:$BW$47,MATCH('VALOR POR PL'!$P$5,'CP RESUMO'!$D$4:$BW$4,0))/100,0)</f>
        <v/>
      </c>
      <c r="M14" s="129">
        <f>'CP RESUMO'!M5</f>
        <v/>
      </c>
      <c r="N14" s="130">
        <f>MAX(0,M14-M13)</f>
        <v/>
      </c>
      <c r="O14" s="129">
        <f>IF(B14&lt;='VALOR POR PL'!$P$5,'CP RESUMO'!M47,"")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HISTORICOS'!N5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RESUMO'!N5</f>
        <v/>
      </c>
      <c r="N15" s="130">
        <f>MAX(0,M15-M14)</f>
        <v/>
      </c>
      <c r="O15" s="129">
        <f>IF(B15&lt;='VALOR POR PL'!$P$5,'CP RESUMO'!N47,"")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HISTORICOS'!O5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RESUMO'!O5</f>
        <v/>
      </c>
      <c r="N16" s="130">
        <f>MAX(0,M16-M15)</f>
        <v/>
      </c>
      <c r="O16" s="129">
        <f>IF(B16&lt;='VALOR POR PL'!$P$5,'CP RESUMO'!O47,"")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HISTORICOS'!P5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RESUMO'!P5</f>
        <v/>
      </c>
      <c r="N17" s="130">
        <f>MAX(0,M17-M16)</f>
        <v/>
      </c>
      <c r="O17" s="129">
        <f>IF(B17&lt;='VALOR POR PL'!$P$5,'CP RESUMO'!P47,"")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HISTORICOS'!Q5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RESUMO'!Q5</f>
        <v/>
      </c>
      <c r="N18" s="130">
        <f>MAX(0,M18-M17)</f>
        <v/>
      </c>
      <c r="O18" s="129">
        <f>IF(B18&lt;='VALOR POR PL'!$P$5,'CP RESUMO'!Q47,"")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HISTORICOS'!R5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RESUMO'!R5</f>
        <v/>
      </c>
      <c r="N19" s="130">
        <f>MAX(0,M19-M18)</f>
        <v/>
      </c>
      <c r="O19" s="129">
        <f>IF(B19&lt;='VALOR POR PL'!$P$5,'CP RESUMO'!R47,"")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HISTORICOS'!S5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RESUMO'!S5</f>
        <v/>
      </c>
      <c r="N20" s="130">
        <f>MAX(0,M20-M19)</f>
        <v/>
      </c>
      <c r="O20" s="129">
        <f>IF(B20&lt;='VALOR POR PL'!$P$5,'CP RESUMO'!S47,"")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HISTORICOS'!T5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RESUMO'!T5</f>
        <v/>
      </c>
      <c r="N21" s="130">
        <f>MAX(0,M21-M20)</f>
        <v/>
      </c>
      <c r="O21" s="129">
        <f>IF(B21&lt;='VALOR POR PL'!$P$5,'CP RESUMO'!T47,"")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HISTORICOS'!U5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RESUMO'!U5</f>
        <v/>
      </c>
      <c r="N22" s="130">
        <f>MAX(0,M22-M21)</f>
        <v/>
      </c>
      <c r="O22" s="129">
        <f>IF(B22&lt;='VALOR POR PL'!$P$5,'CP RESUMO'!U47,"")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HISTORICOS'!V5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RESUMO'!V5</f>
        <v/>
      </c>
      <c r="N23" s="130">
        <f>MAX(0,M23-M22)</f>
        <v/>
      </c>
      <c r="O23" s="129">
        <f>IF(B23&lt;='VALOR POR PL'!$P$5,'CP RESUMO'!V47,"")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HISTORICOS'!W5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RESUMO'!W5</f>
        <v/>
      </c>
      <c r="N24" s="130">
        <f>MAX(0,M24-M23)</f>
        <v/>
      </c>
      <c r="O24" s="129">
        <f>IF(B24&lt;='VALOR POR PL'!$P$5,'CP RESUMO'!W47,"")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HISTORICOS'!X5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RESUMO'!X5</f>
        <v/>
      </c>
      <c r="N25" s="130">
        <f>MAX(0,M25-M24)</f>
        <v/>
      </c>
      <c r="O25" s="129">
        <f>IF(B25&lt;='VALOR POR PL'!$P$5,'CP RESUMO'!X47,"")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HISTORICOS'!Y5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14833</v>
      </c>
      <c r="M26" s="129">
        <f>'CP RESUMO'!Y5</f>
        <v/>
      </c>
      <c r="N26" s="130">
        <f>MAX(0,M26-M25)</f>
        <v/>
      </c>
      <c r="O26" s="129">
        <f>IF(B26&lt;='VALOR POR PL'!$P$5,'CP RESUMO'!Y47,"")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HISTORICOS'!Z5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100000</v>
      </c>
      <c r="M27" s="129">
        <f>'CP RESUMO'!Z5</f>
        <v/>
      </c>
      <c r="N27" s="130">
        <f>MAX(0,M27-M26)</f>
        <v/>
      </c>
      <c r="O27" s="129">
        <f>IF(B27&lt;='VALOR POR PL'!$P$5,'CP RESUMO'!Z47,"")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HISTORICOS'!AA5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100000</v>
      </c>
      <c r="M28" s="129">
        <f>'CP RESUMO'!AA5</f>
        <v/>
      </c>
      <c r="N28" s="130">
        <f>MAX(0,M28-M27)</f>
        <v/>
      </c>
      <c r="O28" s="129">
        <f>IF(B28&lt;='VALOR POR PL'!$P$5,'CP RESUMO'!AA47,"")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HISTORICOS'!AB5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14833</v>
      </c>
      <c r="M29" s="129">
        <f>'CP RESUMO'!AB5</f>
        <v/>
      </c>
      <c r="N29" s="130">
        <f>MAX(0,M29-M28)</f>
        <v/>
      </c>
      <c r="O29" s="129">
        <f>IF(B29&lt;='VALOR POR PL'!$P$5,'CP RESUMO'!AB47,"")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HISTORICOS'!AC5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14833</v>
      </c>
      <c r="M30" s="129">
        <f>'CP RESUMO'!AC5</f>
        <v/>
      </c>
      <c r="N30" s="130">
        <f>MAX(0,M30-M29)</f>
        <v/>
      </c>
      <c r="O30" s="129">
        <f>IF(B30&lt;='VALOR POR PL'!$P$5,'CP RESUMO'!AC47,"")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HISTORICOS'!AD5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1100</v>
      </c>
      <c r="M31" s="129">
        <f>'CP RESUMO'!AD5</f>
        <v/>
      </c>
      <c r="N31" s="130">
        <f>MAX(0,M31-M30)</f>
        <v/>
      </c>
      <c r="O31" s="129">
        <f>IF(B31&lt;='VALOR POR PL'!$P$5,'CP RESUMO'!AD47,"")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HISTORICOS'!AE5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1100</v>
      </c>
      <c r="M32" s="129">
        <f>'CP RESUMO'!AE5</f>
        <v/>
      </c>
      <c r="N32" s="130">
        <f>MAX(0,M32-M31)</f>
        <v/>
      </c>
      <c r="O32" s="129">
        <f>IF(B32&lt;='VALOR POR PL'!$P$5,'CP RESUMO'!AE47,"")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HISTORICOS'!AF5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1100</v>
      </c>
      <c r="M33" s="129">
        <f>'CP RESUMO'!AF5</f>
        <v/>
      </c>
      <c r="N33" s="130">
        <f>MAX(0,M33-M32)</f>
        <v/>
      </c>
      <c r="O33" s="129">
        <f>IF(B33&lt;='VALOR POR PL'!$P$5,'CP RESUMO'!AF47,"")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HISTORICOS'!AG5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1100</v>
      </c>
      <c r="M34" s="129">
        <f>'CP RESUMO'!AG5</f>
        <v/>
      </c>
      <c r="N34" s="130">
        <f>MAX(0,M34-M33)</f>
        <v/>
      </c>
      <c r="O34" s="129">
        <f>IF(B34&lt;='VALOR POR PL'!$P$5,'CP RESUMO'!AG47,"")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HISTORICOS'!AH5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1100</v>
      </c>
      <c r="M35" s="129">
        <f>'CP RESUMO'!AH5</f>
        <v/>
      </c>
      <c r="N35" s="130">
        <f>MAX(0,M35-M34)</f>
        <v/>
      </c>
      <c r="O35" s="129">
        <f>IF(B35&lt;='VALOR POR PL'!$P$5,'CP RESUMO'!AH47,"")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HISTORICOS'!AI5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1100</v>
      </c>
      <c r="M36" s="129">
        <f>'CP RESUMO'!AI5</f>
        <v/>
      </c>
      <c r="N36" s="130">
        <f>MAX(0,M36-M35)</f>
        <v/>
      </c>
      <c r="O36" s="129">
        <f>IF(B36&lt;='VALOR POR PL'!$P$5,'CP RESUMO'!AI47,"")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HISTORICOS'!AJ5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1100</v>
      </c>
      <c r="M37" s="129">
        <f>'CP RESUMO'!AJ5</f>
        <v/>
      </c>
      <c r="N37" s="130">
        <f>MAX(0,M37-M36)</f>
        <v/>
      </c>
      <c r="O37" s="129">
        <f>IF(B37&lt;='VALOR POR PL'!$P$5,'CP RESUMO'!AJ47,"")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HISTORICOS'!AK5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1100</v>
      </c>
      <c r="M38" s="129">
        <f>'CP RESUMO'!AK5</f>
        <v/>
      </c>
      <c r="N38" s="130">
        <f>MAX(0,M38-M37)</f>
        <v/>
      </c>
      <c r="O38" s="129">
        <f>IF(B38&lt;='VALOR POR PL'!$P$5,'CP RESUMO'!AK47,"")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HISTORICOS'!AL5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1100</v>
      </c>
      <c r="M39" s="129">
        <f>'CP RESUMO'!AL5</f>
        <v/>
      </c>
      <c r="N39" s="130">
        <f>MAX(0,M39-M38)</f>
        <v/>
      </c>
      <c r="O39" s="129">
        <f>IF(B39&lt;='VALOR POR PL'!$P$5,'CP RESUMO'!AL47,"")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HISTORICOS'!AM5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1100</v>
      </c>
      <c r="M40" s="129">
        <f>'CP RESUMO'!AM5</f>
        <v/>
      </c>
      <c r="N40" s="130">
        <f>MAX(0,M40-M39)</f>
        <v/>
      </c>
      <c r="O40" s="129">
        <f>IF(B40&lt;='VALOR POR PL'!$P$5,'CP RESUMO'!AM47,"")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HISTORICOS'!AN5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1100</v>
      </c>
      <c r="M41" s="129">
        <f>'CP RESUMO'!AN5</f>
        <v/>
      </c>
      <c r="N41" s="130">
        <f>MAX(0,M41-M40)</f>
        <v/>
      </c>
      <c r="O41" s="129">
        <f>IF(B41&lt;='VALOR POR PL'!$P$5,'CP RESUMO'!AN47,"")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HISTORICOS'!AO5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1100</v>
      </c>
      <c r="M42" s="129">
        <f>'CP RESUMO'!AO5</f>
        <v/>
      </c>
      <c r="N42" s="130">
        <f>MAX(0,M42-M41)</f>
        <v/>
      </c>
      <c r="O42" s="129">
        <f>IF(B42&lt;='VALOR POR PL'!$P$5,'CP RESUMO'!AO47,"")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HISTORICOS'!AP5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1100</v>
      </c>
      <c r="M43" s="129">
        <f>'CP RESUMO'!AP5</f>
        <v/>
      </c>
      <c r="N43" s="130">
        <f>MAX(0,M43-M42)</f>
        <v/>
      </c>
      <c r="O43" s="129">
        <f>IF(B43&lt;='VALOR POR PL'!$P$5,'CP RESUMO'!AP47,"")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HISTORICOS'!AQ5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1100</v>
      </c>
      <c r="M44" s="129">
        <f>'CP RESUMO'!AQ5</f>
        <v/>
      </c>
      <c r="N44" s="130">
        <f>MAX(0,M44-M43)</f>
        <v/>
      </c>
      <c r="O44" s="129">
        <f>IF(B44&lt;='VALOR POR PL'!$P$5,'CP RESUMO'!AQ47,"")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HISTORICOS'!AR5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1100</v>
      </c>
      <c r="M45" s="129">
        <f>'CP RESUMO'!AR5</f>
        <v/>
      </c>
      <c r="N45" s="130">
        <f>MAX(0,M45-M44)</f>
        <v/>
      </c>
      <c r="O45" s="129">
        <f>IF(B45&lt;='VALOR POR PL'!$P$5,'CP RESUMO'!AR47,"")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HISTORICOS'!AS5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1100</v>
      </c>
      <c r="M46" s="129">
        <f>'CP RESUMO'!AS5</f>
        <v/>
      </c>
      <c r="N46" s="130">
        <f>MAX(0,M46-M45)</f>
        <v/>
      </c>
      <c r="O46" s="129">
        <f>IF(B46&lt;='VALOR POR PL'!$P$5,'CP RESUMO'!AS47,"")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HISTORICOS'!AT5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1100</v>
      </c>
      <c r="M47" s="129">
        <f>'CP RESUMO'!AT5</f>
        <v/>
      </c>
      <c r="N47" s="130">
        <f>MAX(0,M47-M46)</f>
        <v/>
      </c>
      <c r="O47" s="129">
        <f>IF(B47&lt;='VALOR POR PL'!$P$5,'CP RESUMO'!AT47,"")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HISTORICOS'!AU5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1100</v>
      </c>
      <c r="M48" s="129">
        <f>'CP RESUMO'!AU5</f>
        <v/>
      </c>
      <c r="N48" s="130">
        <f>MAX(0,M48-M47)</f>
        <v/>
      </c>
      <c r="O48" s="129">
        <f>IF(B48&lt;='VALOR POR PL'!$P$5,'CP RESUMO'!AU47,"")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HISTORICOS'!AV5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1100</v>
      </c>
      <c r="M49" s="129">
        <f>'CP RESUMO'!AV5</f>
        <v/>
      </c>
      <c r="N49" s="130">
        <f>MAX(0,M49-M48)</f>
        <v/>
      </c>
      <c r="O49" s="129">
        <f>IF(B49&lt;='VALOR POR PL'!$P$5,'CP RESUMO'!AV47,"")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HISTORICOS'!AW5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1100</v>
      </c>
      <c r="M50" s="129">
        <f>'CP RESUMO'!AW5</f>
        <v/>
      </c>
      <c r="N50" s="130">
        <f>MAX(0,M50-M49)</f>
        <v/>
      </c>
      <c r="O50" s="129">
        <f>IF(B50&lt;='VALOR POR PL'!$P$5,'CP RESUMO'!AW47,"")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HISTORICOS'!AX5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1100</v>
      </c>
      <c r="M51" s="129">
        <f>'CP RESUMO'!AX5</f>
        <v/>
      </c>
      <c r="N51" s="130">
        <f>MAX(0,M51-M50)</f>
        <v/>
      </c>
      <c r="O51" s="129">
        <f>IF(B51&lt;='VALOR POR PL'!$P$5,'CP RESUMO'!AX47,"")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HISTORICOS'!AY5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264616.27</v>
      </c>
      <c r="M52" s="129">
        <f>'CP RESUMO'!AY5</f>
        <v/>
      </c>
      <c r="N52" s="130">
        <f>MAX(0,M52-M51)</f>
        <v/>
      </c>
      <c r="O52" s="129">
        <f>IF(B52&lt;='VALOR POR PL'!$P$5,'CP RESUMO'!AY47,"")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HISTORICOS'!AZ5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1100</v>
      </c>
      <c r="M53" s="129">
        <f>'CP RESUMO'!AZ5</f>
        <v/>
      </c>
      <c r="N53" s="130">
        <f>MAX(0,M53-M52)</f>
        <v/>
      </c>
      <c r="O53" s="129">
        <f>IF(B53&lt;='VALOR POR PL'!$P$5,'CP RESUMO'!AZ47,"")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HISTORICOS'!BA5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RESUMO'!BA5</f>
        <v/>
      </c>
      <c r="N54" s="130">
        <f>MAX(0,M54-M53)</f>
        <v/>
      </c>
      <c r="O54" s="129">
        <f>IF(B54&lt;='VALOR POR PL'!$P$5,'CP RESUMO'!BA47,"")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HISTORICOS'!BB5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RESUMO'!BB5</f>
        <v/>
      </c>
      <c r="N55" s="130">
        <f>MAX(0,M55-M54)</f>
        <v/>
      </c>
      <c r="O55" s="129">
        <f>IF(B55&lt;='VALOR POR PL'!$P$5,'CP RESUMO'!BB47,"")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HISTORICOS'!BC5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RESUMO'!BC5</f>
        <v/>
      </c>
      <c r="N56" s="130">
        <f>MAX(0,M56-M55)</f>
        <v/>
      </c>
      <c r="O56" s="129">
        <f>IF(B56&lt;='VALOR POR PL'!$P$5,'CP RESUMO'!BC47,"")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HISTORICOS'!BD5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RESUMO'!BD5</f>
        <v/>
      </c>
      <c r="N57" s="130">
        <f>MAX(0,M57-M56)</f>
        <v/>
      </c>
      <c r="O57" s="129">
        <f>IF(B57&lt;='VALOR POR PL'!$P$5,'CP RESUMO'!BD47,"")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HISTORICOS'!BE5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RESUMO'!BE5</f>
        <v/>
      </c>
      <c r="N58" s="130">
        <f>MAX(0,M58-M57)</f>
        <v/>
      </c>
      <c r="O58" s="129">
        <f>IF(B58&lt;='VALOR POR PL'!$P$5,'CP RESUMO'!BE47,"")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HISTORICOS'!BF5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RESUMO'!BF5</f>
        <v/>
      </c>
      <c r="N59" s="130">
        <f>MAX(0,M59-M58)</f>
        <v/>
      </c>
      <c r="O59" s="129">
        <f>IF(B59&lt;='VALOR POR PL'!$P$5,'CP RESUMO'!BF47,"")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HISTORICOS'!BG5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RESUMO'!BG5</f>
        <v/>
      </c>
      <c r="N60" s="130">
        <f>MAX(0,M60-M59)</f>
        <v/>
      </c>
      <c r="O60" s="129">
        <f>IF(B60&lt;='VALOR POR PL'!$P$5,'CP RESUMO'!BG47,"")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HISTORICOS'!BH5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RESUMO'!BH5</f>
        <v/>
      </c>
      <c r="N61" s="130">
        <f>MAX(0,M61-M60)</f>
        <v/>
      </c>
      <c r="O61" s="129">
        <f>IF(B61&lt;='VALOR POR PL'!$P$5,'CP RESUMO'!BH47,"")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HISTORICOS'!BI5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RESUMO'!BI5</f>
        <v/>
      </c>
      <c r="N62" s="130">
        <f>MAX(0,M62-M61)</f>
        <v/>
      </c>
      <c r="O62" s="129">
        <f>IF(B62&lt;='VALOR POR PL'!$P$5,'CP RESUMO'!BI47,"")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HISTORICOS'!BJ5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RESUMO'!BJ5</f>
        <v/>
      </c>
      <c r="N63" s="130">
        <f>MAX(0,M63-M62)</f>
        <v/>
      </c>
      <c r="O63" s="129">
        <f>IF(B63&lt;='VALOR POR PL'!$P$5,'CP RESUMO'!BJ47,"")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HISTORICOS'!BK5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RESUMO'!BK5</f>
        <v/>
      </c>
      <c r="N64" s="130">
        <f>MAX(0,M64-M63)</f>
        <v/>
      </c>
      <c r="O64" s="129">
        <f>IF(B64&lt;='VALOR POR PL'!$P$5,'CP RESUMO'!BK47,"")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HISTORICOS'!BL5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RESUMO'!BL5</f>
        <v/>
      </c>
      <c r="N65" s="130">
        <f>MAX(0,M65-M64)</f>
        <v/>
      </c>
      <c r="O65" s="129">
        <f>IF(B65&lt;='VALOR POR PL'!$P$5,'CP RESUMO'!BL47,"")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HISTORICOS'!BM5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RESUMO'!BM5</f>
        <v/>
      </c>
      <c r="N66" s="130">
        <f>MAX(0,M66-M65)</f>
        <v/>
      </c>
      <c r="O66" s="129">
        <f>IF(B66&lt;='VALOR POR PL'!$P$5,'CP RESUMO'!BM47,"")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HISTORICOS'!BN5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RESUMO'!BN5</f>
        <v/>
      </c>
      <c r="N67" s="130">
        <f>MAX(0,M67-M66)</f>
        <v/>
      </c>
      <c r="O67" s="129">
        <f>IF(B67&lt;='VALOR POR PL'!$P$5,'CP RESUMO'!BN47,"")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HISTORICOS'!BO5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RESUMO'!BO5</f>
        <v/>
      </c>
      <c r="N68" s="130">
        <f>MAX(0,M68-M67)</f>
        <v/>
      </c>
      <c r="O68" s="129">
        <f>IF(B68&lt;='VALOR POR PL'!$P$5,'CP RESUMO'!BO47,"")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HISTORICOS'!BP5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RESUMO'!BP5</f>
        <v/>
      </c>
      <c r="N69" s="130">
        <f>MAX(0,M69-M68)</f>
        <v/>
      </c>
      <c r="O69" s="129">
        <f>IF(B69&lt;='VALOR POR PL'!$P$5,'CP RESUMO'!BP47,"")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HISTORICOS'!BQ5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RESUMO'!BQ5</f>
        <v/>
      </c>
      <c r="N70" s="130">
        <f>MAX(0,M70-M69)</f>
        <v/>
      </c>
      <c r="O70" s="129">
        <f>IF(B70&lt;='VALOR POR PL'!$P$5,'CP RESUMO'!BQ47,"")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HISTORICOS'!BR5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RESUMO'!BR5</f>
        <v/>
      </c>
      <c r="N71" s="130">
        <f>MAX(0,M71-M70)</f>
        <v/>
      </c>
      <c r="O71" s="129">
        <f>IF(B71&lt;='VALOR POR PL'!$P$5,'CP RESUMO'!BR47,"")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HISTORICOS'!BS5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RESUMO'!BS5</f>
        <v/>
      </c>
      <c r="N72" s="130">
        <f>MAX(0,M72-M71)</f>
        <v/>
      </c>
      <c r="O72" s="129">
        <f>IF(B72&lt;='VALOR POR PL'!$P$5,'CP RESUMO'!BS47,"")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HISTORICOS'!BT5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RESUMO'!BT5</f>
        <v/>
      </c>
      <c r="N73" s="130">
        <f>MAX(0,M73-M72)</f>
        <v/>
      </c>
      <c r="O73" s="129">
        <f>IF(B73&lt;='VALOR POR PL'!$P$5,'CP RESUMO'!BT47,"")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HISTORICOS'!BU5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RESUMO'!BU5</f>
        <v/>
      </c>
      <c r="N74" s="130">
        <f>MAX(0,M74-M73)</f>
        <v/>
      </c>
      <c r="O74" s="129">
        <f>IF(B74&lt;='VALOR POR PL'!$P$5,'CP RESUMO'!BU47,"")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HISTORICOS'!BV5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RESUMO'!BV5</f>
        <v/>
      </c>
      <c r="N75" s="130">
        <f>MAX(0,M75-M74)</f>
        <v/>
      </c>
      <c r="O75" s="129">
        <f>IF(B75&lt;='VALOR POR PL'!$P$5,'CP RESUMO'!BV47,"")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HISTORICOS'!BW5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RESUMO'!BW5</f>
        <v/>
      </c>
      <c r="N76" s="130">
        <f>MAX(0,M76-M75)</f>
        <v/>
      </c>
      <c r="O76" s="129">
        <f>IF(B76&lt;='VALOR POR PL'!$P$5,'CP RESUMO'!BW47,"")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HISTORICOS'!D42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PL'!F48</f>
        <v/>
      </c>
      <c r="K5" s="62">
        <f>'VALOR POR PL'!G48</f>
        <v/>
      </c>
      <c r="M5" s="129">
        <f>'CP RESUMO'!D42</f>
        <v/>
      </c>
      <c r="N5" s="130" t="n">
        <v>0</v>
      </c>
      <c r="O5" s="129">
        <f>IF(B5&lt;='VALOR POR PL'!$P$5,'CP RESUMO'!D84,"")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HISTORICOS'!E42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RESUMO'!E42</f>
        <v/>
      </c>
      <c r="N6" s="130">
        <f>MAX(0,M6-M5)</f>
        <v/>
      </c>
      <c r="O6" s="129">
        <f>IF(B6&lt;='VALOR POR PL'!$P$5,'CP RESUMO'!E84,"")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HISTORICOS'!F42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PL'!L48</f>
        <v/>
      </c>
      <c r="M7" s="129">
        <f>'CP RESUMO'!F42</f>
        <v/>
      </c>
      <c r="N7" s="130">
        <f>MAX(0,M7-M6)</f>
        <v/>
      </c>
      <c r="O7" s="129">
        <f>IF(B7&lt;='VALOR POR PL'!$P$5,'CP RESUMO'!F84,"")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HISTORICOS'!G42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RESUMO'!G42</f>
        <v/>
      </c>
      <c r="N8" s="130">
        <f>MAX(0,M8-M7)</f>
        <v/>
      </c>
      <c r="O8" s="129">
        <f>IF(B8&lt;='VALOR POR PL'!$P$5,'CP RESUMO'!G84,"")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HISTORICOS'!H42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RESUMO'!H42</f>
        <v/>
      </c>
      <c r="N9" s="130">
        <f>MAX(0,M9-M8)</f>
        <v/>
      </c>
      <c r="O9" s="129">
        <f>IF(B9&lt;='VALOR POR PL'!$P$5,'CP RESUMO'!H84,"")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HISTORICOS'!I42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RESUMO'!I42</f>
        <v/>
      </c>
      <c r="N10" s="130">
        <f>MAX(0,M10-M9)</f>
        <v/>
      </c>
      <c r="O10" s="129">
        <f>IF(B10&lt;='VALOR POR PL'!$P$5,'CP RESUMO'!I84,"")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HISTORICOS'!J42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RESUMO'!J42</f>
        <v/>
      </c>
      <c r="N11" s="130">
        <f>MAX(0,M11-M10)</f>
        <v/>
      </c>
      <c r="O11" s="129">
        <f>IF(B11&lt;='VALOR POR PL'!$P$5,'CP RESUMO'!J84,"")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HISTORICOS'!K42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RESUMO'!K42</f>
        <v/>
      </c>
      <c r="N12" s="130">
        <f>MAX(0,M12-M11)</f>
        <v/>
      </c>
      <c r="O12" s="129">
        <f>IF(B12&lt;='VALOR POR PL'!$P$5,'CP RESUMO'!K84,"")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HISTORICOS'!L42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PL'!I48</f>
        <v/>
      </c>
      <c r="M13" s="129">
        <f>'CP RESUMO'!L42</f>
        <v/>
      </c>
      <c r="N13" s="130">
        <f>MAX(0,M13-M12)</f>
        <v/>
      </c>
      <c r="O13" s="129">
        <f>IF(B13&lt;='VALOR POR PL'!$P$5,'CP RESUMO'!L84,"")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HISTORICOS'!M42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RESUMO'!$D$84:$BW$84,MATCH('VALOR POR PL'!$P$5,'CP RESUMO'!$D$4:$BW$4,0))/100,0)</f>
        <v/>
      </c>
      <c r="M14" s="129">
        <f>'CP RESUMO'!M42</f>
        <v/>
      </c>
      <c r="N14" s="130">
        <f>MAX(0,M14-M13)</f>
        <v/>
      </c>
      <c r="O14" s="129">
        <f>IF(B14&lt;='VALOR POR PL'!$P$5,'CP RESUMO'!M84,"")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HISTORICOS'!N42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RESUMO'!N42</f>
        <v/>
      </c>
      <c r="N15" s="130">
        <f>MAX(0,M15-M14)</f>
        <v/>
      </c>
      <c r="O15" s="129">
        <f>IF(B15&lt;='VALOR POR PL'!$P$5,'CP RESUMO'!N84,"")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HISTORICOS'!O42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RESUMO'!O42</f>
        <v/>
      </c>
      <c r="N16" s="130">
        <f>MAX(0,M16-M15)</f>
        <v/>
      </c>
      <c r="O16" s="129">
        <f>IF(B16&lt;='VALOR POR PL'!$P$5,'CP RESUMO'!O84,"")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HISTORICOS'!P42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RESUMO'!P42</f>
        <v/>
      </c>
      <c r="N17" s="130">
        <f>MAX(0,M17-M16)</f>
        <v/>
      </c>
      <c r="O17" s="129">
        <f>IF(B17&lt;='VALOR POR PL'!$P$5,'CP RESUMO'!P84,"")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HISTORICOS'!Q42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RESUMO'!Q42</f>
        <v/>
      </c>
      <c r="N18" s="130">
        <f>MAX(0,M18-M17)</f>
        <v/>
      </c>
      <c r="O18" s="129">
        <f>IF(B18&lt;='VALOR POR PL'!$P$5,'CP RESUMO'!Q84,"")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HISTORICOS'!R42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RESUMO'!R42</f>
        <v/>
      </c>
      <c r="N19" s="130">
        <f>MAX(0,M19-M18)</f>
        <v/>
      </c>
      <c r="O19" s="129">
        <f>IF(B19&lt;='VALOR POR PL'!$P$5,'CP RESUMO'!R84,"")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HISTORICOS'!S42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RESUMO'!S42</f>
        <v/>
      </c>
      <c r="N20" s="130">
        <f>MAX(0,M20-M19)</f>
        <v/>
      </c>
      <c r="O20" s="129">
        <f>IF(B20&lt;='VALOR POR PL'!$P$5,'CP RESUMO'!S84,"")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HISTORICOS'!T42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RESUMO'!T42</f>
        <v/>
      </c>
      <c r="N21" s="130">
        <f>MAX(0,M21-M20)</f>
        <v/>
      </c>
      <c r="O21" s="129">
        <f>IF(B21&lt;='VALOR POR PL'!$P$5,'CP RESUMO'!T84,"")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HISTORICOS'!U42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RESUMO'!U42</f>
        <v/>
      </c>
      <c r="N22" s="130">
        <f>MAX(0,M22-M21)</f>
        <v/>
      </c>
      <c r="O22" s="129">
        <f>IF(B22&lt;='VALOR POR PL'!$P$5,'CP RESUMO'!U84,"")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HISTORICOS'!V42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RESUMO'!V42</f>
        <v/>
      </c>
      <c r="N23" s="130">
        <f>MAX(0,M23-M22)</f>
        <v/>
      </c>
      <c r="O23" s="129">
        <f>IF(B23&lt;='VALOR POR PL'!$P$5,'CP RESUMO'!V84,"")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HISTORICOS'!W42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Somente o incorrido no ERP: a projeção (VALOR POR PL!L48) é o próprio incorrido, sem previsão futura.</t>
        </is>
      </c>
      <c r="M24" s="129">
        <f>'CP RESUMO'!W42</f>
        <v/>
      </c>
      <c r="N24" s="130">
        <f>MAX(0,M24-M23)</f>
        <v/>
      </c>
      <c r="O24" s="129">
        <f>IF(B24&lt;='VALOR POR PL'!$P$5,'CP RESUMO'!W84,"")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HISTORICOS'!X42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RESUMO'!X42</f>
        <v/>
      </c>
      <c r="N25" s="130">
        <f>MAX(0,M25-M24)</f>
        <v/>
      </c>
      <c r="O25" s="129">
        <f>IF(B25&lt;='VALOR POR PL'!$P$5,'CP RESUMO'!X84,"")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HISTORICOS'!Y42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RESUMO'!Y42</f>
        <v/>
      </c>
      <c r="N26" s="130">
        <f>MAX(0,M26-M25)</f>
        <v/>
      </c>
      <c r="O26" s="129">
        <f>IF(B26&lt;='VALOR POR PL'!$P$5,'CP RESUMO'!Y84,"")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HISTORICOS'!Z42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RESUMO'!Z42</f>
        <v/>
      </c>
      <c r="N27" s="130">
        <f>MAX(0,M27-M26)</f>
        <v/>
      </c>
      <c r="O27" s="129">
        <f>IF(B27&lt;='VALOR POR PL'!$P$5,'CP RESUMO'!Z84,"")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HISTORICOS'!AA42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RESUMO'!AA42</f>
        <v/>
      </c>
      <c r="N28" s="130">
        <f>MAX(0,M28-M27)</f>
        <v/>
      </c>
      <c r="O28" s="129">
        <f>IF(B28&lt;='VALOR POR PL'!$P$5,'CP RESUMO'!AA84,"")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HISTORICOS'!AB42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RESUMO'!AB42</f>
        <v/>
      </c>
      <c r="N29" s="130">
        <f>MAX(0,M29-M28)</f>
        <v/>
      </c>
      <c r="O29" s="129">
        <f>IF(B29&lt;='VALOR POR PL'!$P$5,'CP RESUMO'!AB84,"")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HISTORICOS'!AC42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RESUMO'!AC42</f>
        <v/>
      </c>
      <c r="N30" s="130">
        <f>MAX(0,M30-M29)</f>
        <v/>
      </c>
      <c r="O30" s="129">
        <f>IF(B30&lt;='VALOR POR PL'!$P$5,'CP RESUMO'!AC84,"")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HISTORICOS'!AD42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RESUMO'!AD42</f>
        <v/>
      </c>
      <c r="N31" s="130">
        <f>MAX(0,M31-M30)</f>
        <v/>
      </c>
      <c r="O31" s="129">
        <f>IF(B31&lt;='VALOR POR PL'!$P$5,'CP RESUMO'!AD84,"")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HISTORICOS'!AE42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RESUMO'!AE42</f>
        <v/>
      </c>
      <c r="N32" s="130">
        <f>MAX(0,M32-M31)</f>
        <v/>
      </c>
      <c r="O32" s="129">
        <f>IF(B32&lt;='VALOR POR PL'!$P$5,'CP RESUMO'!AE84,"")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HISTORICOS'!AF42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RESUMO'!AF42</f>
        <v/>
      </c>
      <c r="N33" s="130">
        <f>MAX(0,M33-M32)</f>
        <v/>
      </c>
      <c r="O33" s="129">
        <f>IF(B33&lt;='VALOR POR PL'!$P$5,'CP RESUMO'!AF84,"")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HISTORICOS'!AG42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RESUMO'!AG42</f>
        <v/>
      </c>
      <c r="N34" s="130">
        <f>MAX(0,M34-M33)</f>
        <v/>
      </c>
      <c r="O34" s="129">
        <f>IF(B34&lt;='VALOR POR PL'!$P$5,'CP RESUMO'!AG84,"")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HISTORICOS'!AH42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RESUMO'!AH42</f>
        <v/>
      </c>
      <c r="N35" s="130">
        <f>MAX(0,M35-M34)</f>
        <v/>
      </c>
      <c r="O35" s="129">
        <f>IF(B35&lt;='VALOR POR PL'!$P$5,'CP RESUMO'!AH84,"")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HISTORICOS'!AI42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RESUMO'!AI42</f>
        <v/>
      </c>
      <c r="N36" s="130">
        <f>MAX(0,M36-M35)</f>
        <v/>
      </c>
      <c r="O36" s="129">
        <f>IF(B36&lt;='VALOR POR PL'!$P$5,'CP RESUMO'!AI84,"")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HISTORICOS'!AJ42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RESUMO'!AJ42</f>
        <v/>
      </c>
      <c r="N37" s="130">
        <f>MAX(0,M37-M36)</f>
        <v/>
      </c>
      <c r="O37" s="129">
        <f>IF(B37&lt;='VALOR POR PL'!$P$5,'CP RESUMO'!AJ84,"")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HISTORICOS'!AK42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RESUMO'!AK42</f>
        <v/>
      </c>
      <c r="N38" s="130">
        <f>MAX(0,M38-M37)</f>
        <v/>
      </c>
      <c r="O38" s="129">
        <f>IF(B38&lt;='VALOR POR PL'!$P$5,'CP RESUMO'!AK84,"")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HISTORICOS'!AL42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RESUMO'!AL42</f>
        <v/>
      </c>
      <c r="N39" s="130">
        <f>MAX(0,M39-M38)</f>
        <v/>
      </c>
      <c r="O39" s="129">
        <f>IF(B39&lt;='VALOR POR PL'!$P$5,'CP RESUMO'!AL84,"")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HISTORICOS'!AM42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RESUMO'!AM42</f>
        <v/>
      </c>
      <c r="N40" s="130">
        <f>MAX(0,M40-M39)</f>
        <v/>
      </c>
      <c r="O40" s="129">
        <f>IF(B40&lt;='VALOR POR PL'!$P$5,'CP RESUMO'!AM84,"")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HISTORICOS'!AN42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RESUMO'!AN42</f>
        <v/>
      </c>
      <c r="N41" s="130">
        <f>MAX(0,M41-M40)</f>
        <v/>
      </c>
      <c r="O41" s="129">
        <f>IF(B41&lt;='VALOR POR PL'!$P$5,'CP RESUMO'!AN84,"")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HISTORICOS'!AO42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RESUMO'!AO42</f>
        <v/>
      </c>
      <c r="N42" s="130">
        <f>MAX(0,M42-M41)</f>
        <v/>
      </c>
      <c r="O42" s="129">
        <f>IF(B42&lt;='VALOR POR PL'!$P$5,'CP RESUMO'!AO84,"")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HISTORICOS'!AP42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RESUMO'!AP42</f>
        <v/>
      </c>
      <c r="N43" s="130">
        <f>MAX(0,M43-M42)</f>
        <v/>
      </c>
      <c r="O43" s="129">
        <f>IF(B43&lt;='VALOR POR PL'!$P$5,'CP RESUMO'!AP84,"")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HISTORICOS'!AQ42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RESUMO'!AQ42</f>
        <v/>
      </c>
      <c r="N44" s="130">
        <f>MAX(0,M44-M43)</f>
        <v/>
      </c>
      <c r="O44" s="129">
        <f>IF(B44&lt;='VALOR POR PL'!$P$5,'CP RESUMO'!AQ84,"")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HISTORICOS'!AR42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RESUMO'!AR42</f>
        <v/>
      </c>
      <c r="N45" s="130">
        <f>MAX(0,M45-M44)</f>
        <v/>
      </c>
      <c r="O45" s="129">
        <f>IF(B45&lt;='VALOR POR PL'!$P$5,'CP RESUMO'!AR84,"")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HISTORICOS'!AS42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RESUMO'!AS42</f>
        <v/>
      </c>
      <c r="N46" s="130">
        <f>MAX(0,M46-M45)</f>
        <v/>
      </c>
      <c r="O46" s="129">
        <f>IF(B46&lt;='VALOR POR PL'!$P$5,'CP RESUMO'!AS84,"")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HISTORICOS'!AT42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RESUMO'!AT42</f>
        <v/>
      </c>
      <c r="N47" s="130">
        <f>MAX(0,M47-M46)</f>
        <v/>
      </c>
      <c r="O47" s="129">
        <f>IF(B47&lt;='VALOR POR PL'!$P$5,'CP RESUMO'!AT84,"")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HISTORICOS'!AU42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RESUMO'!AU42</f>
        <v/>
      </c>
      <c r="N48" s="130">
        <f>MAX(0,M48-M47)</f>
        <v/>
      </c>
      <c r="O48" s="129">
        <f>IF(B48&lt;='VALOR POR PL'!$P$5,'CP RESUMO'!AU84,"")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HISTORICOS'!AV42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RESUMO'!AV42</f>
        <v/>
      </c>
      <c r="N49" s="130">
        <f>MAX(0,M49-M48)</f>
        <v/>
      </c>
      <c r="O49" s="129">
        <f>IF(B49&lt;='VALOR POR PL'!$P$5,'CP RESUMO'!AV84,"")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HISTORICOS'!AW42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RESUMO'!AW42</f>
        <v/>
      </c>
      <c r="N50" s="130">
        <f>MAX(0,M50-M49)</f>
        <v/>
      </c>
      <c r="O50" s="129">
        <f>IF(B50&lt;='VALOR POR PL'!$P$5,'CP RESUMO'!AW84,"")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HISTORICOS'!AX42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RESUMO'!AX42</f>
        <v/>
      </c>
      <c r="N51" s="130">
        <f>MAX(0,M51-M50)</f>
        <v/>
      </c>
      <c r="O51" s="129">
        <f>IF(B51&lt;='VALOR POR PL'!$P$5,'CP RESUMO'!AX84,"")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HISTORICOS'!AY42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RESUMO'!AY42</f>
        <v/>
      </c>
      <c r="N52" s="130">
        <f>MAX(0,M52-M51)</f>
        <v/>
      </c>
      <c r="O52" s="129">
        <f>IF(B52&lt;='VALOR POR PL'!$P$5,'CP RESUMO'!AY84,"")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HISTORICOS'!AZ42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RESUMO'!AZ42</f>
        <v/>
      </c>
      <c r="N53" s="130">
        <f>MAX(0,M53-M52)</f>
        <v/>
      </c>
      <c r="O53" s="129">
        <f>IF(B53&lt;='VALOR POR PL'!$P$5,'CP RESUMO'!AZ84,"")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HISTORICOS'!BA42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RESUMO'!BA42</f>
        <v/>
      </c>
      <c r="N54" s="130">
        <f>MAX(0,M54-M53)</f>
        <v/>
      </c>
      <c r="O54" s="129">
        <f>IF(B54&lt;='VALOR POR PL'!$P$5,'CP RESUMO'!BA84,"")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HISTORICOS'!BB42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RESUMO'!BB42</f>
        <v/>
      </c>
      <c r="N55" s="130">
        <f>MAX(0,M55-M54)</f>
        <v/>
      </c>
      <c r="O55" s="129">
        <f>IF(B55&lt;='VALOR POR PL'!$P$5,'CP RESUMO'!BB84,"")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HISTORICOS'!BC42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RESUMO'!BC42</f>
        <v/>
      </c>
      <c r="N56" s="130">
        <f>MAX(0,M56-M55)</f>
        <v/>
      </c>
      <c r="O56" s="129">
        <f>IF(B56&lt;='VALOR POR PL'!$P$5,'CP RESUMO'!BC84,"")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HISTORICOS'!BD42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RESUMO'!BD42</f>
        <v/>
      </c>
      <c r="N57" s="130">
        <f>MAX(0,M57-M56)</f>
        <v/>
      </c>
      <c r="O57" s="129">
        <f>IF(B57&lt;='VALOR POR PL'!$P$5,'CP RESUMO'!BD84,"")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HISTORICOS'!BE42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RESUMO'!BE42</f>
        <v/>
      </c>
      <c r="N58" s="130">
        <f>MAX(0,M58-M57)</f>
        <v/>
      </c>
      <c r="O58" s="129">
        <f>IF(B58&lt;='VALOR POR PL'!$P$5,'CP RESUMO'!BE84,"")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HISTORICOS'!BF42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RESUMO'!BF42</f>
        <v/>
      </c>
      <c r="N59" s="130">
        <f>MAX(0,M59-M58)</f>
        <v/>
      </c>
      <c r="O59" s="129">
        <f>IF(B59&lt;='VALOR POR PL'!$P$5,'CP RESUMO'!BF84,"")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HISTORICOS'!BG42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RESUMO'!BG42</f>
        <v/>
      </c>
      <c r="N60" s="130">
        <f>MAX(0,M60-M59)</f>
        <v/>
      </c>
      <c r="O60" s="129">
        <f>IF(B60&lt;='VALOR POR PL'!$P$5,'CP RESUMO'!BG84,"")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HISTORICOS'!BH42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RESUMO'!BH42</f>
        <v/>
      </c>
      <c r="N61" s="130">
        <f>MAX(0,M61-M60)</f>
        <v/>
      </c>
      <c r="O61" s="129">
        <f>IF(B61&lt;='VALOR POR PL'!$P$5,'CP RESUMO'!BH84,"")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HISTORICOS'!BI42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RESUMO'!BI42</f>
        <v/>
      </c>
      <c r="N62" s="130">
        <f>MAX(0,M62-M61)</f>
        <v/>
      </c>
      <c r="O62" s="129">
        <f>IF(B62&lt;='VALOR POR PL'!$P$5,'CP RESUMO'!BI84,"")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HISTORICOS'!BJ42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RESUMO'!BJ42</f>
        <v/>
      </c>
      <c r="N63" s="130">
        <f>MAX(0,M63-M62)</f>
        <v/>
      </c>
      <c r="O63" s="129">
        <f>IF(B63&lt;='VALOR POR PL'!$P$5,'CP RESUMO'!BJ84,"")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HISTORICOS'!BK42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RESUMO'!BK42</f>
        <v/>
      </c>
      <c r="N64" s="130">
        <f>MAX(0,M64-M63)</f>
        <v/>
      </c>
      <c r="O64" s="129">
        <f>IF(B64&lt;='VALOR POR PL'!$P$5,'CP RESUMO'!BK84,"")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HISTORICOS'!BL42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RESUMO'!BL42</f>
        <v/>
      </c>
      <c r="N65" s="130">
        <f>MAX(0,M65-M64)</f>
        <v/>
      </c>
      <c r="O65" s="129">
        <f>IF(B65&lt;='VALOR POR PL'!$P$5,'CP RESUMO'!BL84,"")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HISTORICOS'!BM42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RESUMO'!BM42</f>
        <v/>
      </c>
      <c r="N66" s="130">
        <f>MAX(0,M66-M65)</f>
        <v/>
      </c>
      <c r="O66" s="129">
        <f>IF(B66&lt;='VALOR POR PL'!$P$5,'CP RESUMO'!BM84,"")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HISTORICOS'!BN42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RESUMO'!BN42</f>
        <v/>
      </c>
      <c r="N67" s="130">
        <f>MAX(0,M67-M66)</f>
        <v/>
      </c>
      <c r="O67" s="129">
        <f>IF(B67&lt;='VALOR POR PL'!$P$5,'CP RESUMO'!BN84,"")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HISTORICOS'!BO42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RESUMO'!BO42</f>
        <v/>
      </c>
      <c r="N68" s="130">
        <f>MAX(0,M68-M67)</f>
        <v/>
      </c>
      <c r="O68" s="129">
        <f>IF(B68&lt;='VALOR POR PL'!$P$5,'CP RESUMO'!BO84,"")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HISTORICOS'!BP42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RESUMO'!BP42</f>
        <v/>
      </c>
      <c r="N69" s="130">
        <f>MAX(0,M69-M68)</f>
        <v/>
      </c>
      <c r="O69" s="129">
        <f>IF(B69&lt;='VALOR POR PL'!$P$5,'CP RESUMO'!BP84,"")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HISTORICOS'!BQ42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RESUMO'!BQ42</f>
        <v/>
      </c>
      <c r="N70" s="130">
        <f>MAX(0,M70-M69)</f>
        <v/>
      </c>
      <c r="O70" s="129">
        <f>IF(B70&lt;='VALOR POR PL'!$P$5,'CP RESUMO'!BQ84,"")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HISTORICOS'!BR42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RESUMO'!BR42</f>
        <v/>
      </c>
      <c r="N71" s="130">
        <f>MAX(0,M71-M70)</f>
        <v/>
      </c>
      <c r="O71" s="129">
        <f>IF(B71&lt;='VALOR POR PL'!$P$5,'CP RESUMO'!BR84,"")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HISTORICOS'!BS42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RESUMO'!BS42</f>
        <v/>
      </c>
      <c r="N72" s="130">
        <f>MAX(0,M72-M71)</f>
        <v/>
      </c>
      <c r="O72" s="129">
        <f>IF(B72&lt;='VALOR POR PL'!$P$5,'CP RESUMO'!BS84,"")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HISTORICOS'!BT42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RESUMO'!BT42</f>
        <v/>
      </c>
      <c r="N73" s="130">
        <f>MAX(0,M73-M72)</f>
        <v/>
      </c>
      <c r="O73" s="129">
        <f>IF(B73&lt;='VALOR POR PL'!$P$5,'CP RESUMO'!BT84,"")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HISTORICOS'!BU42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RESUMO'!BU42</f>
        <v/>
      </c>
      <c r="N74" s="130">
        <f>MAX(0,M74-M73)</f>
        <v/>
      </c>
      <c r="O74" s="129">
        <f>IF(B74&lt;='VALOR POR PL'!$P$5,'CP RESUMO'!BU84,"")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HISTORICOS'!BV42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RESUMO'!BV42</f>
        <v/>
      </c>
      <c r="N75" s="130">
        <f>MAX(0,M75-M74)</f>
        <v/>
      </c>
      <c r="O75" s="129">
        <f>IF(B75&lt;='VALOR POR PL'!$P$5,'CP RESUMO'!BV84,"")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HISTORICOS'!BW42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RESUMO'!BW42</f>
        <v/>
      </c>
      <c r="N76" s="130">
        <f>MAX(0,M76-M75)</f>
        <v/>
      </c>
      <c r="O76" s="129">
        <f>IF(B76&lt;='VALOR POR PL'!$P$5,'CP RESUMO'!BW84,"")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HISTORICOS'!D6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PL'!F12</f>
        <v/>
      </c>
      <c r="K5" s="62">
        <f>'VALOR POR PL'!G12</f>
        <v/>
      </c>
      <c r="M5" s="129">
        <f>'CP RESUMO'!D6</f>
        <v/>
      </c>
      <c r="N5" s="130" t="n">
        <v>0</v>
      </c>
      <c r="O5" s="129">
        <f>IF(B5&lt;='VALOR POR PL'!$P$5,'CP RESUMO'!D48,"")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HISTORICOS'!E6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RESUMO'!E6</f>
        <v/>
      </c>
      <c r="N6" s="130">
        <f>MAX(0,M6-M5)</f>
        <v/>
      </c>
      <c r="O6" s="129">
        <f>IF(B6&lt;='VALOR POR PL'!$P$5,'CP RESUMO'!E48,"")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HISTORICOS'!F6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PL'!L12</f>
        <v/>
      </c>
      <c r="M7" s="129">
        <f>'CP RESUMO'!F6</f>
        <v/>
      </c>
      <c r="N7" s="130">
        <f>MAX(0,M7-M6)</f>
        <v/>
      </c>
      <c r="O7" s="129">
        <f>IF(B7&lt;='VALOR POR PL'!$P$5,'CP RESUMO'!F48,"")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HISTORICOS'!G6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RESUMO'!G6</f>
        <v/>
      </c>
      <c r="N8" s="130">
        <f>MAX(0,M8-M7)</f>
        <v/>
      </c>
      <c r="O8" s="129">
        <f>IF(B8&lt;='VALOR POR PL'!$P$5,'CP RESUMO'!G48,"")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HISTORICOS'!H6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RESUMO'!H6</f>
        <v/>
      </c>
      <c r="N9" s="130">
        <f>MAX(0,M9-M8)</f>
        <v/>
      </c>
      <c r="O9" s="129">
        <f>IF(B9&lt;='VALOR POR PL'!$P$5,'CP RESUMO'!H48,"")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HISTORICOS'!I6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RESUMO'!I6</f>
        <v/>
      </c>
      <c r="N10" s="130">
        <f>MAX(0,M10-M9)</f>
        <v/>
      </c>
      <c r="O10" s="129">
        <f>IF(B10&lt;='VALOR POR PL'!$P$5,'CP RESUMO'!I48,"")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HISTORICOS'!J6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RESUMO'!J6</f>
        <v/>
      </c>
      <c r="N11" s="130">
        <f>MAX(0,M11-M10)</f>
        <v/>
      </c>
      <c r="O11" s="129">
        <f>IF(B11&lt;='VALOR POR PL'!$P$5,'CP RESUMO'!J48,"")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HISTORICOS'!K6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RESUMO'!K6</f>
        <v/>
      </c>
      <c r="N12" s="130">
        <f>MAX(0,M12-M11)</f>
        <v/>
      </c>
      <c r="O12" s="129">
        <f>IF(B12&lt;='VALOR POR PL'!$P$5,'CP RESUMO'!K48,"")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HISTORICOS'!L6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PL'!I12</f>
        <v/>
      </c>
      <c r="M13" s="129">
        <f>'CP RESUMO'!L6</f>
        <v/>
      </c>
      <c r="N13" s="130">
        <f>MAX(0,M13-M12)</f>
        <v/>
      </c>
      <c r="O13" s="129">
        <f>IF(B13&lt;='VALOR POR PL'!$P$5,'CP RESUMO'!L48,"")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HISTORICOS'!M6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RESUMO'!$D$48:$BW$48,MATCH('VALOR POR PL'!$P$5,'CP RESUMO'!$D$4:$BW$4,0))/100,0)</f>
        <v/>
      </c>
      <c r="M14" s="129">
        <f>'CP RESUMO'!M6</f>
        <v/>
      </c>
      <c r="N14" s="130">
        <f>MAX(0,M14-M13)</f>
        <v/>
      </c>
      <c r="O14" s="129">
        <f>IF(B14&lt;='VALOR POR PL'!$P$5,'CP RESUMO'!M48,"")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HISTORICOS'!N6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RESUMO'!N6</f>
        <v/>
      </c>
      <c r="N15" s="130">
        <f>MAX(0,M15-M14)</f>
        <v/>
      </c>
      <c r="O15" s="129">
        <f>IF(B15&lt;='VALOR POR PL'!$P$5,'CP RESUMO'!N48,"")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HISTORICOS'!O6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RESUMO'!O6</f>
        <v/>
      </c>
      <c r="N16" s="130">
        <f>MAX(0,M16-M15)</f>
        <v/>
      </c>
      <c r="O16" s="129">
        <f>IF(B16&lt;='VALOR POR PL'!$P$5,'CP RESUMO'!O48,"")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HISTORICOS'!P6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RESUMO'!P6</f>
        <v/>
      </c>
      <c r="N17" s="130">
        <f>MAX(0,M17-M16)</f>
        <v/>
      </c>
      <c r="O17" s="129">
        <f>IF(B17&lt;='VALOR POR PL'!$P$5,'CP RESUMO'!P48,"")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HISTORICOS'!Q6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RESUMO'!Q6</f>
        <v/>
      </c>
      <c r="N18" s="130">
        <f>MAX(0,M18-M17)</f>
        <v/>
      </c>
      <c r="O18" s="129">
        <f>IF(B18&lt;='VALOR POR PL'!$P$5,'CP RESUMO'!Q48,"")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HISTORICOS'!R6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RESUMO'!R6</f>
        <v/>
      </c>
      <c r="N19" s="130">
        <f>MAX(0,M19-M18)</f>
        <v/>
      </c>
      <c r="O19" s="129">
        <f>IF(B19&lt;='VALOR POR PL'!$P$5,'CP RESUMO'!R48,"")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HISTORICOS'!S6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RESUMO'!S6</f>
        <v/>
      </c>
      <c r="N20" s="130">
        <f>MAX(0,M20-M19)</f>
        <v/>
      </c>
      <c r="O20" s="129">
        <f>IF(B20&lt;='VALOR POR PL'!$P$5,'CP RESUMO'!S48,"")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HISTORICOS'!T6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RESUMO'!T6</f>
        <v/>
      </c>
      <c r="N21" s="130">
        <f>MAX(0,M21-M20)</f>
        <v/>
      </c>
      <c r="O21" s="129">
        <f>IF(B21&lt;='VALOR POR PL'!$P$5,'CP RESUMO'!T48,"")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HISTORICOS'!U6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RESUMO'!U6</f>
        <v/>
      </c>
      <c r="N22" s="130">
        <f>MAX(0,M22-M21)</f>
        <v/>
      </c>
      <c r="O22" s="129">
        <f>IF(B22&lt;='VALOR POR PL'!$P$5,'CP RESUMO'!U48,"")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HISTORICOS'!V6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RESUMO'!V6</f>
        <v/>
      </c>
      <c r="N23" s="130">
        <f>MAX(0,M23-M22)</f>
        <v/>
      </c>
      <c r="O23" s="129">
        <f>IF(B23&lt;='VALOR POR PL'!$P$5,'CP RESUMO'!V48,"")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HISTORICOS'!W6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RESUMO'!W6</f>
        <v/>
      </c>
      <c r="N24" s="130">
        <f>MAX(0,M24-M23)</f>
        <v/>
      </c>
      <c r="O24" s="129">
        <f>IF(B24&lt;='VALOR POR PL'!$P$5,'CP RESUMO'!W48,"")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HISTORICOS'!X6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RESUMO'!X6</f>
        <v/>
      </c>
      <c r="N25" s="130">
        <f>MAX(0,M25-M24)</f>
        <v/>
      </c>
      <c r="O25" s="129">
        <f>IF(B25&lt;='VALOR POR PL'!$P$5,'CP RESUMO'!X48,"")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HISTORICOS'!Y6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RESUMO'!Y6</f>
        <v/>
      </c>
      <c r="N26" s="130">
        <f>MAX(0,M26-M25)</f>
        <v/>
      </c>
      <c r="O26" s="129">
        <f>IF(B26&lt;='VALOR POR PL'!$P$5,'CP RESUMO'!Y48,"")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HISTORICOS'!Z6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RESUMO'!Z6</f>
        <v/>
      </c>
      <c r="N27" s="130">
        <f>MAX(0,M27-M26)</f>
        <v/>
      </c>
      <c r="O27" s="129">
        <f>IF(B27&lt;='VALOR POR PL'!$P$5,'CP RESUMO'!Z48,"")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HISTORICOS'!AA6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RESUMO'!AA6</f>
        <v/>
      </c>
      <c r="N28" s="130">
        <f>MAX(0,M28-M27)</f>
        <v/>
      </c>
      <c r="O28" s="129">
        <f>IF(B28&lt;='VALOR POR PL'!$P$5,'CP RESUMO'!AA48,"")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HISTORICOS'!AB6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RESUMO'!AB6</f>
        <v/>
      </c>
      <c r="N29" s="130">
        <f>MAX(0,M29-M28)</f>
        <v/>
      </c>
      <c r="O29" s="129">
        <f>IF(B29&lt;='VALOR POR PL'!$P$5,'CP RESUMO'!AB48,"")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HISTORICOS'!AC6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RESUMO'!AC6</f>
        <v/>
      </c>
      <c r="N30" s="130">
        <f>MAX(0,M30-M29)</f>
        <v/>
      </c>
      <c r="O30" s="129">
        <f>IF(B30&lt;='VALOR POR PL'!$P$5,'CP RESUMO'!AC48,"")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HISTORICOS'!AD6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RESUMO'!AD6</f>
        <v/>
      </c>
      <c r="N31" s="130">
        <f>MAX(0,M31-M30)</f>
        <v/>
      </c>
      <c r="O31" s="129">
        <f>IF(B31&lt;='VALOR POR PL'!$P$5,'CP RESUMO'!AD48,"")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HISTORICOS'!AE6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RESUMO'!AE6</f>
        <v/>
      </c>
      <c r="N32" s="130">
        <f>MAX(0,M32-M31)</f>
        <v/>
      </c>
      <c r="O32" s="129">
        <f>IF(B32&lt;='VALOR POR PL'!$P$5,'CP RESUMO'!AE48,"")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HISTORICOS'!AF6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RESUMO'!AF6</f>
        <v/>
      </c>
      <c r="N33" s="130">
        <f>MAX(0,M33-M32)</f>
        <v/>
      </c>
      <c r="O33" s="129">
        <f>IF(B33&lt;='VALOR POR PL'!$P$5,'CP RESUMO'!AF48,"")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HISTORICOS'!AG6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RESUMO'!AG6</f>
        <v/>
      </c>
      <c r="N34" s="130">
        <f>MAX(0,M34-M33)</f>
        <v/>
      </c>
      <c r="O34" s="129">
        <f>IF(B34&lt;='VALOR POR PL'!$P$5,'CP RESUMO'!AG48,"")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HISTORICOS'!AH6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RESUMO'!AH6</f>
        <v/>
      </c>
      <c r="N35" s="130">
        <f>MAX(0,M35-M34)</f>
        <v/>
      </c>
      <c r="O35" s="129">
        <f>IF(B35&lt;='VALOR POR PL'!$P$5,'CP RESUMO'!AH48,"")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HISTORICOS'!AI6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RESUMO'!AI6</f>
        <v/>
      </c>
      <c r="N36" s="130">
        <f>MAX(0,M36-M35)</f>
        <v/>
      </c>
      <c r="O36" s="129">
        <f>IF(B36&lt;='VALOR POR PL'!$P$5,'CP RESUMO'!AI48,"")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HISTORICOS'!AJ6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RESUMO'!AJ6</f>
        <v/>
      </c>
      <c r="N37" s="130">
        <f>MAX(0,M37-M36)</f>
        <v/>
      </c>
      <c r="O37" s="129">
        <f>IF(B37&lt;='VALOR POR PL'!$P$5,'CP RESUMO'!AJ48,"")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HISTORICOS'!AK6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RESUMO'!AK6</f>
        <v/>
      </c>
      <c r="N38" s="130">
        <f>MAX(0,M38-M37)</f>
        <v/>
      </c>
      <c r="O38" s="129">
        <f>IF(B38&lt;='VALOR POR PL'!$P$5,'CP RESUMO'!AK48,"")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HISTORICOS'!AL6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RESUMO'!AL6</f>
        <v/>
      </c>
      <c r="N39" s="130">
        <f>MAX(0,M39-M38)</f>
        <v/>
      </c>
      <c r="O39" s="129">
        <f>IF(B39&lt;='VALOR POR PL'!$P$5,'CP RESUMO'!AL48,"")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HISTORICOS'!AM6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RESUMO'!AM6</f>
        <v/>
      </c>
      <c r="N40" s="130">
        <f>MAX(0,M40-M39)</f>
        <v/>
      </c>
      <c r="O40" s="129">
        <f>IF(B40&lt;='VALOR POR PL'!$P$5,'CP RESUMO'!AM48,"")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HISTORICOS'!AN6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RESUMO'!AN6</f>
        <v/>
      </c>
      <c r="N41" s="130">
        <f>MAX(0,M41-M40)</f>
        <v/>
      </c>
      <c r="O41" s="129">
        <f>IF(B41&lt;='VALOR POR PL'!$P$5,'CP RESUMO'!AN48,"")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HISTORICOS'!AO6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RESUMO'!AO6</f>
        <v/>
      </c>
      <c r="N42" s="130">
        <f>MAX(0,M42-M41)</f>
        <v/>
      </c>
      <c r="O42" s="129">
        <f>IF(B42&lt;='VALOR POR PL'!$P$5,'CP RESUMO'!AO48,"")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HISTORICOS'!AP6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RESUMO'!AP6</f>
        <v/>
      </c>
      <c r="N43" s="130">
        <f>MAX(0,M43-M42)</f>
        <v/>
      </c>
      <c r="O43" s="129">
        <f>IF(B43&lt;='VALOR POR PL'!$P$5,'CP RESUMO'!AP48,"")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HISTORICOS'!AQ6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RESUMO'!AQ6</f>
        <v/>
      </c>
      <c r="N44" s="130">
        <f>MAX(0,M44-M43)</f>
        <v/>
      </c>
      <c r="O44" s="129">
        <f>IF(B44&lt;='VALOR POR PL'!$P$5,'CP RESUMO'!AQ48,"")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HISTORICOS'!AR6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RESUMO'!AR6</f>
        <v/>
      </c>
      <c r="N45" s="130">
        <f>MAX(0,M45-M44)</f>
        <v/>
      </c>
      <c r="O45" s="129">
        <f>IF(B45&lt;='VALOR POR PL'!$P$5,'CP RESUMO'!AR48,"")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HISTORICOS'!AS6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RESUMO'!AS6</f>
        <v/>
      </c>
      <c r="N46" s="130">
        <f>MAX(0,M46-M45)</f>
        <v/>
      </c>
      <c r="O46" s="129">
        <f>IF(B46&lt;='VALOR POR PL'!$P$5,'CP RESUMO'!AS48,"")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HISTORICOS'!AT6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RESUMO'!AT6</f>
        <v/>
      </c>
      <c r="N47" s="130">
        <f>MAX(0,M47-M46)</f>
        <v/>
      </c>
      <c r="O47" s="129">
        <f>IF(B47&lt;='VALOR POR PL'!$P$5,'CP RESUMO'!AT48,"")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HISTORICOS'!AU6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RESUMO'!AU6</f>
        <v/>
      </c>
      <c r="N48" s="130">
        <f>MAX(0,M48-M47)</f>
        <v/>
      </c>
      <c r="O48" s="129">
        <f>IF(B48&lt;='VALOR POR PL'!$P$5,'CP RESUMO'!AU48,"")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HISTORICOS'!AV6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RESUMO'!AV6</f>
        <v/>
      </c>
      <c r="N49" s="130">
        <f>MAX(0,M49-M48)</f>
        <v/>
      </c>
      <c r="O49" s="129">
        <f>IF(B49&lt;='VALOR POR PL'!$P$5,'CP RESUMO'!AV48,"")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HISTORICOS'!AW6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RESUMO'!AW6</f>
        <v/>
      </c>
      <c r="N50" s="130">
        <f>MAX(0,M50-M49)</f>
        <v/>
      </c>
      <c r="O50" s="129">
        <f>IF(B50&lt;='VALOR POR PL'!$P$5,'CP RESUMO'!AW48,"")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HISTORICOS'!AX6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RESUMO'!AX6</f>
        <v/>
      </c>
      <c r="N51" s="130">
        <f>MAX(0,M51-M50)</f>
        <v/>
      </c>
      <c r="O51" s="129">
        <f>IF(B51&lt;='VALOR POR PL'!$P$5,'CP RESUMO'!AX48,"")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HISTORICOS'!AY6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RESUMO'!AY6</f>
        <v/>
      </c>
      <c r="N52" s="130">
        <f>MAX(0,M52-M51)</f>
        <v/>
      </c>
      <c r="O52" s="129">
        <f>IF(B52&lt;='VALOR POR PL'!$P$5,'CP RESUMO'!AY48,"")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HISTORICOS'!AZ6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RESUMO'!AZ6</f>
        <v/>
      </c>
      <c r="N53" s="130">
        <f>MAX(0,M53-M52)</f>
        <v/>
      </c>
      <c r="O53" s="129">
        <f>IF(B53&lt;='VALOR POR PL'!$P$5,'CP RESUMO'!AZ48,"")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HISTORICOS'!BA6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RESUMO'!BA6</f>
        <v/>
      </c>
      <c r="N54" s="130">
        <f>MAX(0,M54-M53)</f>
        <v/>
      </c>
      <c r="O54" s="129">
        <f>IF(B54&lt;='VALOR POR PL'!$P$5,'CP RESUMO'!BA48,"")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HISTORICOS'!BB6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RESUMO'!BB6</f>
        <v/>
      </c>
      <c r="N55" s="130">
        <f>MAX(0,M55-M54)</f>
        <v/>
      </c>
      <c r="O55" s="129">
        <f>IF(B55&lt;='VALOR POR PL'!$P$5,'CP RESUMO'!BB48,"")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HISTORICOS'!BC6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RESUMO'!BC6</f>
        <v/>
      </c>
      <c r="N56" s="130">
        <f>MAX(0,M56-M55)</f>
        <v/>
      </c>
      <c r="O56" s="129">
        <f>IF(B56&lt;='VALOR POR PL'!$P$5,'CP RESUMO'!BC48,"")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HISTORICOS'!BD6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RESUMO'!BD6</f>
        <v/>
      </c>
      <c r="N57" s="130">
        <f>MAX(0,M57-M56)</f>
        <v/>
      </c>
      <c r="O57" s="129">
        <f>IF(B57&lt;='VALOR POR PL'!$P$5,'CP RESUMO'!BD48,"")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HISTORICOS'!BE6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RESUMO'!BE6</f>
        <v/>
      </c>
      <c r="N58" s="130">
        <f>MAX(0,M58-M57)</f>
        <v/>
      </c>
      <c r="O58" s="129">
        <f>IF(B58&lt;='VALOR POR PL'!$P$5,'CP RESUMO'!BE48,"")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HISTORICOS'!BF6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RESUMO'!BF6</f>
        <v/>
      </c>
      <c r="N59" s="130">
        <f>MAX(0,M59-M58)</f>
        <v/>
      </c>
      <c r="O59" s="129">
        <f>IF(B59&lt;='VALOR POR PL'!$P$5,'CP RESUMO'!BF48,"")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HISTORICOS'!BG6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RESUMO'!BG6</f>
        <v/>
      </c>
      <c r="N60" s="130">
        <f>MAX(0,M60-M59)</f>
        <v/>
      </c>
      <c r="O60" s="129">
        <f>IF(B60&lt;='VALOR POR PL'!$P$5,'CP RESUMO'!BG48,"")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HISTORICOS'!BH6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RESUMO'!BH6</f>
        <v/>
      </c>
      <c r="N61" s="130">
        <f>MAX(0,M61-M60)</f>
        <v/>
      </c>
      <c r="O61" s="129">
        <f>IF(B61&lt;='VALOR POR PL'!$P$5,'CP RESUMO'!BH48,"")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HISTORICOS'!BI6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RESUMO'!BI6</f>
        <v/>
      </c>
      <c r="N62" s="130">
        <f>MAX(0,M62-M61)</f>
        <v/>
      </c>
      <c r="O62" s="129">
        <f>IF(B62&lt;='VALOR POR PL'!$P$5,'CP RESUMO'!BI48,"")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HISTORICOS'!BJ6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RESUMO'!BJ6</f>
        <v/>
      </c>
      <c r="N63" s="130">
        <f>MAX(0,M63-M62)</f>
        <v/>
      </c>
      <c r="O63" s="129">
        <f>IF(B63&lt;='VALOR POR PL'!$P$5,'CP RESUMO'!BJ48,"")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HISTORICOS'!BK6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RESUMO'!BK6</f>
        <v/>
      </c>
      <c r="N64" s="130">
        <f>MAX(0,M64-M63)</f>
        <v/>
      </c>
      <c r="O64" s="129">
        <f>IF(B64&lt;='VALOR POR PL'!$P$5,'CP RESUMO'!BK48,"")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HISTORICOS'!BL6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RESUMO'!BL6</f>
        <v/>
      </c>
      <c r="N65" s="130">
        <f>MAX(0,M65-M64)</f>
        <v/>
      </c>
      <c r="O65" s="129">
        <f>IF(B65&lt;='VALOR POR PL'!$P$5,'CP RESUMO'!BL48,"")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HISTORICOS'!BM6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RESUMO'!BM6</f>
        <v/>
      </c>
      <c r="N66" s="130">
        <f>MAX(0,M66-M65)</f>
        <v/>
      </c>
      <c r="O66" s="129">
        <f>IF(B66&lt;='VALOR POR PL'!$P$5,'CP RESUMO'!BM48,"")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HISTORICOS'!BN6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RESUMO'!BN6</f>
        <v/>
      </c>
      <c r="N67" s="130">
        <f>MAX(0,M67-M66)</f>
        <v/>
      </c>
      <c r="O67" s="129">
        <f>IF(B67&lt;='VALOR POR PL'!$P$5,'CP RESUMO'!BN48,"")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HISTORICOS'!BO6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RESUMO'!BO6</f>
        <v/>
      </c>
      <c r="N68" s="130">
        <f>MAX(0,M68-M67)</f>
        <v/>
      </c>
      <c r="O68" s="129">
        <f>IF(B68&lt;='VALOR POR PL'!$P$5,'CP RESUMO'!BO48,"")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HISTORICOS'!BP6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RESUMO'!BP6</f>
        <v/>
      </c>
      <c r="N69" s="130">
        <f>MAX(0,M69-M68)</f>
        <v/>
      </c>
      <c r="O69" s="129">
        <f>IF(B69&lt;='VALOR POR PL'!$P$5,'CP RESUMO'!BP48,"")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HISTORICOS'!BQ6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RESUMO'!BQ6</f>
        <v/>
      </c>
      <c r="N70" s="130">
        <f>MAX(0,M70-M69)</f>
        <v/>
      </c>
      <c r="O70" s="129">
        <f>IF(B70&lt;='VALOR POR PL'!$P$5,'CP RESUMO'!BQ48,"")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HISTORICOS'!BR6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RESUMO'!BR6</f>
        <v/>
      </c>
      <c r="N71" s="130">
        <f>MAX(0,M71-M70)</f>
        <v/>
      </c>
      <c r="O71" s="129">
        <f>IF(B71&lt;='VALOR POR PL'!$P$5,'CP RESUMO'!BR48,"")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HISTORICOS'!BS6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RESUMO'!BS6</f>
        <v/>
      </c>
      <c r="N72" s="130">
        <f>MAX(0,M72-M71)</f>
        <v/>
      </c>
      <c r="O72" s="129">
        <f>IF(B72&lt;='VALOR POR PL'!$P$5,'CP RESUMO'!BS48,"")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HISTORICOS'!BT6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RESUMO'!BT6</f>
        <v/>
      </c>
      <c r="N73" s="130">
        <f>MAX(0,M73-M72)</f>
        <v/>
      </c>
      <c r="O73" s="129">
        <f>IF(B73&lt;='VALOR POR PL'!$P$5,'CP RESUMO'!BT48,"")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HISTORICOS'!BU6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RESUMO'!BU6</f>
        <v/>
      </c>
      <c r="N74" s="130">
        <f>MAX(0,M74-M73)</f>
        <v/>
      </c>
      <c r="O74" s="129">
        <f>IF(B74&lt;='VALOR POR PL'!$P$5,'CP RESUMO'!BU48,"")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HISTORICOS'!BV6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RESUMO'!BV6</f>
        <v/>
      </c>
      <c r="N75" s="130">
        <f>MAX(0,M75-M74)</f>
        <v/>
      </c>
      <c r="O75" s="129">
        <f>IF(B75&lt;='VALOR POR PL'!$P$5,'CP RESUMO'!BV48,"")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HISTORICOS'!BW6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RESUMO'!BW6</f>
        <v/>
      </c>
      <c r="N76" s="130">
        <f>MAX(0,M76-M75)</f>
        <v/>
      </c>
      <c r="O76" s="129">
        <f>IF(B76&lt;='VALOR POR PL'!$P$5,'CP RESUMO'!BW48,"")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HISTORICOS'!D7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PL'!F13</f>
        <v/>
      </c>
      <c r="K5" s="62">
        <f>'VALOR POR PL'!G13</f>
        <v/>
      </c>
      <c r="M5" s="129">
        <f>'CP RESUMO'!D7</f>
        <v/>
      </c>
      <c r="N5" s="130" t="n">
        <v>0</v>
      </c>
      <c r="O5" s="129">
        <f>IF(B5&lt;='VALOR POR PL'!$P$5,'CP RESUMO'!D49,"")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HISTORICOS'!E7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RESUMO'!E7</f>
        <v/>
      </c>
      <c r="N6" s="130">
        <f>MAX(0,M6-M5)</f>
        <v/>
      </c>
      <c r="O6" s="129">
        <f>IF(B6&lt;='VALOR POR PL'!$P$5,'CP RESUMO'!E49,"")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HISTORICOS'!F7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PL'!L13</f>
        <v/>
      </c>
      <c r="M7" s="129">
        <f>'CP RESUMO'!F7</f>
        <v/>
      </c>
      <c r="N7" s="130">
        <f>MAX(0,M7-M6)</f>
        <v/>
      </c>
      <c r="O7" s="129">
        <f>IF(B7&lt;='VALOR POR PL'!$P$5,'CP RESUMO'!F49,"")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HISTORICOS'!G7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RESUMO'!G7</f>
        <v/>
      </c>
      <c r="N8" s="130">
        <f>MAX(0,M8-M7)</f>
        <v/>
      </c>
      <c r="O8" s="129">
        <f>IF(B8&lt;='VALOR POR PL'!$P$5,'CP RESUMO'!G49,"")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HISTORICOS'!H7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RESUMO'!H7</f>
        <v/>
      </c>
      <c r="N9" s="130">
        <f>MAX(0,M9-M8)</f>
        <v/>
      </c>
      <c r="O9" s="129">
        <f>IF(B9&lt;='VALOR POR PL'!$P$5,'CP RESUMO'!H49,"")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HISTORICOS'!I7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RESUMO'!I7</f>
        <v/>
      </c>
      <c r="N10" s="130">
        <f>MAX(0,M10-M9)</f>
        <v/>
      </c>
      <c r="O10" s="129">
        <f>IF(B10&lt;='VALOR POR PL'!$P$5,'CP RESUMO'!I49,"")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HISTORICOS'!J7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RESUMO'!J7</f>
        <v/>
      </c>
      <c r="N11" s="130">
        <f>MAX(0,M11-M10)</f>
        <v/>
      </c>
      <c r="O11" s="129">
        <f>IF(B11&lt;='VALOR POR PL'!$P$5,'CP RESUMO'!J49,"")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HISTORICOS'!K7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RESUMO'!K7</f>
        <v/>
      </c>
      <c r="N12" s="130">
        <f>MAX(0,M12-M11)</f>
        <v/>
      </c>
      <c r="O12" s="129">
        <f>IF(B12&lt;='VALOR POR PL'!$P$5,'CP RESUMO'!K49,"")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HISTORICOS'!L7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PL'!I13</f>
        <v/>
      </c>
      <c r="M13" s="129">
        <f>'CP RESUMO'!L7</f>
        <v/>
      </c>
      <c r="N13" s="130">
        <f>MAX(0,M13-M12)</f>
        <v/>
      </c>
      <c r="O13" s="129">
        <f>IF(B13&lt;='VALOR POR PL'!$P$5,'CP RESUMO'!L49,"")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HISTORICOS'!M7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RESUMO'!$D$49:$BW$49,MATCH('VALOR POR PL'!$P$5,'CP RESUMO'!$D$4:$BW$4,0))/100,0)</f>
        <v/>
      </c>
      <c r="M14" s="129">
        <f>'CP RESUMO'!M7</f>
        <v/>
      </c>
      <c r="N14" s="130">
        <f>MAX(0,M14-M13)</f>
        <v/>
      </c>
      <c r="O14" s="129">
        <f>IF(B14&lt;='VALOR POR PL'!$P$5,'CP RESUMO'!M49,"")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HISTORICOS'!N7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RESUMO'!N7</f>
        <v/>
      </c>
      <c r="N15" s="130">
        <f>MAX(0,M15-M14)</f>
        <v/>
      </c>
      <c r="O15" s="129">
        <f>IF(B15&lt;='VALOR POR PL'!$P$5,'CP RESUMO'!N49,"")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HISTORICOS'!O7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RESUMO'!O7</f>
        <v/>
      </c>
      <c r="N16" s="130">
        <f>MAX(0,M16-M15)</f>
        <v/>
      </c>
      <c r="O16" s="129">
        <f>IF(B16&lt;='VALOR POR PL'!$P$5,'CP RESUMO'!O49,"")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HISTORICOS'!P7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RESUMO'!P7</f>
        <v/>
      </c>
      <c r="N17" s="130">
        <f>MAX(0,M17-M16)</f>
        <v/>
      </c>
      <c r="O17" s="129">
        <f>IF(B17&lt;='VALOR POR PL'!$P$5,'CP RESUMO'!P49,"")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HISTORICOS'!Q7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RESUMO'!Q7</f>
        <v/>
      </c>
      <c r="N18" s="130">
        <f>MAX(0,M18-M17)</f>
        <v/>
      </c>
      <c r="O18" s="129">
        <f>IF(B18&lt;='VALOR POR PL'!$P$5,'CP RESUMO'!Q49,"")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HISTORICOS'!R7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RESUMO'!R7</f>
        <v/>
      </c>
      <c r="N19" s="130">
        <f>MAX(0,M19-M18)</f>
        <v/>
      </c>
      <c r="O19" s="129">
        <f>IF(B19&lt;='VALOR POR PL'!$P$5,'CP RESUMO'!R49,"")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HISTORICOS'!S7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RESUMO'!S7</f>
        <v/>
      </c>
      <c r="N20" s="130">
        <f>MAX(0,M20-M19)</f>
        <v/>
      </c>
      <c r="O20" s="129">
        <f>IF(B20&lt;='VALOR POR PL'!$P$5,'CP RESUMO'!S49,"")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HISTORICOS'!T7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RESUMO'!T7</f>
        <v/>
      </c>
      <c r="N21" s="130">
        <f>MAX(0,M21-M20)</f>
        <v/>
      </c>
      <c r="O21" s="129">
        <f>IF(B21&lt;='VALOR POR PL'!$P$5,'CP RESUMO'!T49,"")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HISTORICOS'!U7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RESUMO'!U7</f>
        <v/>
      </c>
      <c r="N22" s="130">
        <f>MAX(0,M22-M21)</f>
        <v/>
      </c>
      <c r="O22" s="129">
        <f>IF(B22&lt;='VALOR POR PL'!$P$5,'CP RESUMO'!U49,"")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HISTORICOS'!V7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RESUMO'!V7</f>
        <v/>
      </c>
      <c r="N23" s="130">
        <f>MAX(0,M23-M22)</f>
        <v/>
      </c>
      <c r="O23" s="129">
        <f>IF(B23&lt;='VALOR POR PL'!$P$5,'CP RESUMO'!V49,"")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HISTORICOS'!W7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RESUMO'!W7</f>
        <v/>
      </c>
      <c r="N24" s="130">
        <f>MAX(0,M24-M23)</f>
        <v/>
      </c>
      <c r="O24" s="129">
        <f>IF(B24&lt;='VALOR POR PL'!$P$5,'CP RESUMO'!W49,"")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HISTORICOS'!X7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RESUMO'!X7</f>
        <v/>
      </c>
      <c r="N25" s="130">
        <f>MAX(0,M25-M24)</f>
        <v/>
      </c>
      <c r="O25" s="129">
        <f>IF(B25&lt;='VALOR POR PL'!$P$5,'CP RESUMO'!X49,"")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HISTORICOS'!Y7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924.76</v>
      </c>
      <c r="M26" s="129">
        <f>'CP RESUMO'!Y7</f>
        <v/>
      </c>
      <c r="N26" s="130">
        <f>MAX(0,M26-M25)</f>
        <v/>
      </c>
      <c r="O26" s="129">
        <f>IF(B26&lt;='VALOR POR PL'!$P$5,'CP RESUMO'!Y49,"")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HISTORICOS'!Z7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RESUMO'!Z7</f>
        <v/>
      </c>
      <c r="N27" s="130">
        <f>MAX(0,M27-M26)</f>
        <v/>
      </c>
      <c r="O27" s="129">
        <f>IF(B27&lt;='VALOR POR PL'!$P$5,'CP RESUMO'!Z49,"")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HISTORICOS'!AA7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RESUMO'!AA7</f>
        <v/>
      </c>
      <c r="N28" s="130">
        <f>MAX(0,M28-M27)</f>
        <v/>
      </c>
      <c r="O28" s="129">
        <f>IF(B28&lt;='VALOR POR PL'!$P$5,'CP RESUMO'!AA49,"")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HISTORICOS'!AB7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924.76</v>
      </c>
      <c r="M29" s="129">
        <f>'CP RESUMO'!AB7</f>
        <v/>
      </c>
      <c r="N29" s="130">
        <f>MAX(0,M29-M28)</f>
        <v/>
      </c>
      <c r="O29" s="129">
        <f>IF(B29&lt;='VALOR POR PL'!$P$5,'CP RESUMO'!AB49,"")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HISTORICOS'!AC7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RESUMO'!AC7</f>
        <v/>
      </c>
      <c r="N30" s="130">
        <f>MAX(0,M30-M29)</f>
        <v/>
      </c>
      <c r="O30" s="129">
        <f>IF(B30&lt;='VALOR POR PL'!$P$5,'CP RESUMO'!AC49,"")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HISTORICOS'!AD7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RESUMO'!AD7</f>
        <v/>
      </c>
      <c r="N31" s="130">
        <f>MAX(0,M31-M30)</f>
        <v/>
      </c>
      <c r="O31" s="129">
        <f>IF(B31&lt;='VALOR POR PL'!$P$5,'CP RESUMO'!AD49,"")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HISTORICOS'!AE7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924.76</v>
      </c>
      <c r="M32" s="129">
        <f>'CP RESUMO'!AE7</f>
        <v/>
      </c>
      <c r="N32" s="130">
        <f>MAX(0,M32-M31)</f>
        <v/>
      </c>
      <c r="O32" s="129">
        <f>IF(B32&lt;='VALOR POR PL'!$P$5,'CP RESUMO'!AE49,"")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HISTORICOS'!AF7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RESUMO'!AF7</f>
        <v/>
      </c>
      <c r="N33" s="130">
        <f>MAX(0,M33-M32)</f>
        <v/>
      </c>
      <c r="O33" s="129">
        <f>IF(B33&lt;='VALOR POR PL'!$P$5,'CP RESUMO'!AF49,"")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HISTORICOS'!AG7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RESUMO'!AG7</f>
        <v/>
      </c>
      <c r="N34" s="130">
        <f>MAX(0,M34-M33)</f>
        <v/>
      </c>
      <c r="O34" s="129">
        <f>IF(B34&lt;='VALOR POR PL'!$P$5,'CP RESUMO'!AG49,"")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HISTORICOS'!AH7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924.76</v>
      </c>
      <c r="M35" s="129">
        <f>'CP RESUMO'!AH7</f>
        <v/>
      </c>
      <c r="N35" s="130">
        <f>MAX(0,M35-M34)</f>
        <v/>
      </c>
      <c r="O35" s="129">
        <f>IF(B35&lt;='VALOR POR PL'!$P$5,'CP RESUMO'!AH49,"")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HISTORICOS'!AI7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RESUMO'!AI7</f>
        <v/>
      </c>
      <c r="N36" s="130">
        <f>MAX(0,M36-M35)</f>
        <v/>
      </c>
      <c r="O36" s="129">
        <f>IF(B36&lt;='VALOR POR PL'!$P$5,'CP RESUMO'!AI49,"")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HISTORICOS'!AJ7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RESUMO'!AJ7</f>
        <v/>
      </c>
      <c r="N37" s="130">
        <f>MAX(0,M37-M36)</f>
        <v/>
      </c>
      <c r="O37" s="129">
        <f>IF(B37&lt;='VALOR POR PL'!$P$5,'CP RESUMO'!AJ49,"")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HISTORICOS'!AK7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924.76</v>
      </c>
      <c r="M38" s="129">
        <f>'CP RESUMO'!AK7</f>
        <v/>
      </c>
      <c r="N38" s="130">
        <f>MAX(0,M38-M37)</f>
        <v/>
      </c>
      <c r="O38" s="129">
        <f>IF(B38&lt;='VALOR POR PL'!$P$5,'CP RESUMO'!AK49,"")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HISTORICOS'!AL7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RESUMO'!AL7</f>
        <v/>
      </c>
      <c r="N39" s="130">
        <f>MAX(0,M39-M38)</f>
        <v/>
      </c>
      <c r="O39" s="129">
        <f>IF(B39&lt;='VALOR POR PL'!$P$5,'CP RESUMO'!AL49,"")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HISTORICOS'!AM7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RESUMO'!AM7</f>
        <v/>
      </c>
      <c r="N40" s="130">
        <f>MAX(0,M40-M39)</f>
        <v/>
      </c>
      <c r="O40" s="129">
        <f>IF(B40&lt;='VALOR POR PL'!$P$5,'CP RESUMO'!AM49,"")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HISTORICOS'!AN7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RESUMO'!AN7</f>
        <v/>
      </c>
      <c r="N41" s="130">
        <f>MAX(0,M41-M40)</f>
        <v/>
      </c>
      <c r="O41" s="129">
        <f>IF(B41&lt;='VALOR POR PL'!$P$5,'CP RESUMO'!AN49,"")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HISTORICOS'!AO7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RESUMO'!AO7</f>
        <v/>
      </c>
      <c r="N42" s="130">
        <f>MAX(0,M42-M41)</f>
        <v/>
      </c>
      <c r="O42" s="129">
        <f>IF(B42&lt;='VALOR POR PL'!$P$5,'CP RESUMO'!AO49,"")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HISTORICOS'!AP7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RESUMO'!AP7</f>
        <v/>
      </c>
      <c r="N43" s="130">
        <f>MAX(0,M43-M42)</f>
        <v/>
      </c>
      <c r="O43" s="129">
        <f>IF(B43&lt;='VALOR POR PL'!$P$5,'CP RESUMO'!AP49,"")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HISTORICOS'!AQ7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RESUMO'!AQ7</f>
        <v/>
      </c>
      <c r="N44" s="130">
        <f>MAX(0,M44-M43)</f>
        <v/>
      </c>
      <c r="O44" s="129">
        <f>IF(B44&lt;='VALOR POR PL'!$P$5,'CP RESUMO'!AQ49,"")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HISTORICOS'!AR7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RESUMO'!AR7</f>
        <v/>
      </c>
      <c r="N45" s="130">
        <f>MAX(0,M45-M44)</f>
        <v/>
      </c>
      <c r="O45" s="129">
        <f>IF(B45&lt;='VALOR POR PL'!$P$5,'CP RESUMO'!AR49,"")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HISTORICOS'!AS7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RESUMO'!AS7</f>
        <v/>
      </c>
      <c r="N46" s="130">
        <f>MAX(0,M46-M45)</f>
        <v/>
      </c>
      <c r="O46" s="129">
        <f>IF(B46&lt;='VALOR POR PL'!$P$5,'CP RESUMO'!AS49,"")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HISTORICOS'!AT7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RESUMO'!AT7</f>
        <v/>
      </c>
      <c r="N47" s="130">
        <f>MAX(0,M47-M46)</f>
        <v/>
      </c>
      <c r="O47" s="129">
        <f>IF(B47&lt;='VALOR POR PL'!$P$5,'CP RESUMO'!AT49,"")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HISTORICOS'!AU7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RESUMO'!AU7</f>
        <v/>
      </c>
      <c r="N48" s="130">
        <f>MAX(0,M48-M47)</f>
        <v/>
      </c>
      <c r="O48" s="129">
        <f>IF(B48&lt;='VALOR POR PL'!$P$5,'CP RESUMO'!AU49,"")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HISTORICOS'!AV7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RESUMO'!AV7</f>
        <v/>
      </c>
      <c r="N49" s="130">
        <f>MAX(0,M49-M48)</f>
        <v/>
      </c>
      <c r="O49" s="129">
        <f>IF(B49&lt;='VALOR POR PL'!$P$5,'CP RESUMO'!AV49,"")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HISTORICOS'!AW7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RESUMO'!AW7</f>
        <v/>
      </c>
      <c r="N50" s="130">
        <f>MAX(0,M50-M49)</f>
        <v/>
      </c>
      <c r="O50" s="129">
        <f>IF(B50&lt;='VALOR POR PL'!$P$5,'CP RESUMO'!AW49,"")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HISTORICOS'!AX7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15961.4</v>
      </c>
      <c r="M51" s="129">
        <f>'CP RESUMO'!AX7</f>
        <v/>
      </c>
      <c r="N51" s="130">
        <f>MAX(0,M51-M50)</f>
        <v/>
      </c>
      <c r="O51" s="129">
        <f>IF(B51&lt;='VALOR POR PL'!$P$5,'CP RESUMO'!AX49,"")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HISTORICOS'!AY7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24939.69</v>
      </c>
      <c r="M52" s="129">
        <f>'CP RESUMO'!AY7</f>
        <v/>
      </c>
      <c r="N52" s="130">
        <f>MAX(0,M52-M51)</f>
        <v/>
      </c>
      <c r="O52" s="129">
        <f>IF(B52&lt;='VALOR POR PL'!$P$5,'CP RESUMO'!AY49,"")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HISTORICOS'!AZ7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299.28</v>
      </c>
      <c r="M53" s="129">
        <f>'CP RESUMO'!AZ7</f>
        <v/>
      </c>
      <c r="N53" s="130">
        <f>MAX(0,M53-M52)</f>
        <v/>
      </c>
      <c r="O53" s="129">
        <f>IF(B53&lt;='VALOR POR PL'!$P$5,'CP RESUMO'!AZ49,"")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HISTORICOS'!BA7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44891.44</v>
      </c>
      <c r="M54" s="129">
        <f>'CP RESUMO'!BA7</f>
        <v/>
      </c>
      <c r="N54" s="130">
        <f>MAX(0,M54-M53)</f>
        <v/>
      </c>
      <c r="O54" s="129">
        <f>IF(B54&lt;='VALOR POR PL'!$P$5,'CP RESUMO'!BA49,"")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HISTORICOS'!BB7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60501.89</v>
      </c>
      <c r="M55" s="129">
        <f>'CP RESUMO'!BB7</f>
        <v/>
      </c>
      <c r="N55" s="130">
        <f>MAX(0,M55-M54)</f>
        <v/>
      </c>
      <c r="O55" s="129">
        <f>IF(B55&lt;='VALOR POR PL'!$P$5,'CP RESUMO'!BB49,"")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HISTORICOS'!BC7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RESUMO'!BC7</f>
        <v/>
      </c>
      <c r="N56" s="130">
        <f>MAX(0,M56-M55)</f>
        <v/>
      </c>
      <c r="O56" s="129">
        <f>IF(B56&lt;='VALOR POR PL'!$P$5,'CP RESUMO'!BC49,"")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HISTORICOS'!BD7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RESUMO'!BD7</f>
        <v/>
      </c>
      <c r="N57" s="130">
        <f>MAX(0,M57-M56)</f>
        <v/>
      </c>
      <c r="O57" s="129">
        <f>IF(B57&lt;='VALOR POR PL'!$P$5,'CP RESUMO'!BD49,"")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HISTORICOS'!BE7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RESUMO'!BE7</f>
        <v/>
      </c>
      <c r="N58" s="130">
        <f>MAX(0,M58-M57)</f>
        <v/>
      </c>
      <c r="O58" s="129">
        <f>IF(B58&lt;='VALOR POR PL'!$P$5,'CP RESUMO'!BE49,"")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HISTORICOS'!BF7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RESUMO'!BF7</f>
        <v/>
      </c>
      <c r="N59" s="130">
        <f>MAX(0,M59-M58)</f>
        <v/>
      </c>
      <c r="O59" s="129">
        <f>IF(B59&lt;='VALOR POR PL'!$P$5,'CP RESUMO'!BF49,"")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HISTORICOS'!BG7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RESUMO'!BG7</f>
        <v/>
      </c>
      <c r="N60" s="130">
        <f>MAX(0,M60-M59)</f>
        <v/>
      </c>
      <c r="O60" s="129">
        <f>IF(B60&lt;='VALOR POR PL'!$P$5,'CP RESUMO'!BG49,"")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HISTORICOS'!BH7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RESUMO'!BH7</f>
        <v/>
      </c>
      <c r="N61" s="130">
        <f>MAX(0,M61-M60)</f>
        <v/>
      </c>
      <c r="O61" s="129">
        <f>IF(B61&lt;='VALOR POR PL'!$P$5,'CP RESUMO'!BH49,"")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HISTORICOS'!BI7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RESUMO'!BI7</f>
        <v/>
      </c>
      <c r="N62" s="130">
        <f>MAX(0,M62-M61)</f>
        <v/>
      </c>
      <c r="O62" s="129">
        <f>IF(B62&lt;='VALOR POR PL'!$P$5,'CP RESUMO'!BI49,"")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HISTORICOS'!BJ7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RESUMO'!BJ7</f>
        <v/>
      </c>
      <c r="N63" s="130">
        <f>MAX(0,M63-M62)</f>
        <v/>
      </c>
      <c r="O63" s="129">
        <f>IF(B63&lt;='VALOR POR PL'!$P$5,'CP RESUMO'!BJ49,"")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HISTORICOS'!BK7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RESUMO'!BK7</f>
        <v/>
      </c>
      <c r="N64" s="130">
        <f>MAX(0,M64-M63)</f>
        <v/>
      </c>
      <c r="O64" s="129">
        <f>IF(B64&lt;='VALOR POR PL'!$P$5,'CP RESUMO'!BK49,"")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HISTORICOS'!BL7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RESUMO'!BL7</f>
        <v/>
      </c>
      <c r="N65" s="130">
        <f>MAX(0,M65-M64)</f>
        <v/>
      </c>
      <c r="O65" s="129">
        <f>IF(B65&lt;='VALOR POR PL'!$P$5,'CP RESUMO'!BL49,"")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HISTORICOS'!BM7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RESUMO'!BM7</f>
        <v/>
      </c>
      <c r="N66" s="130">
        <f>MAX(0,M66-M65)</f>
        <v/>
      </c>
      <c r="O66" s="129">
        <f>IF(B66&lt;='VALOR POR PL'!$P$5,'CP RESUMO'!BM49,"")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HISTORICOS'!BN7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RESUMO'!BN7</f>
        <v/>
      </c>
      <c r="N67" s="130">
        <f>MAX(0,M67-M66)</f>
        <v/>
      </c>
      <c r="O67" s="129">
        <f>IF(B67&lt;='VALOR POR PL'!$P$5,'CP RESUMO'!BN49,"")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HISTORICOS'!BO7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RESUMO'!BO7</f>
        <v/>
      </c>
      <c r="N68" s="130">
        <f>MAX(0,M68-M67)</f>
        <v/>
      </c>
      <c r="O68" s="129">
        <f>IF(B68&lt;='VALOR POR PL'!$P$5,'CP RESUMO'!BO49,"")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HISTORICOS'!BP7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RESUMO'!BP7</f>
        <v/>
      </c>
      <c r="N69" s="130">
        <f>MAX(0,M69-M68)</f>
        <v/>
      </c>
      <c r="O69" s="129">
        <f>IF(B69&lt;='VALOR POR PL'!$P$5,'CP RESUMO'!BP49,"")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HISTORICOS'!BQ7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RESUMO'!BQ7</f>
        <v/>
      </c>
      <c r="N70" s="130">
        <f>MAX(0,M70-M69)</f>
        <v/>
      </c>
      <c r="O70" s="129">
        <f>IF(B70&lt;='VALOR POR PL'!$P$5,'CP RESUMO'!BQ49,"")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HISTORICOS'!BR7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RESUMO'!BR7</f>
        <v/>
      </c>
      <c r="N71" s="130">
        <f>MAX(0,M71-M70)</f>
        <v/>
      </c>
      <c r="O71" s="129">
        <f>IF(B71&lt;='VALOR POR PL'!$P$5,'CP RESUMO'!BR49,"")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HISTORICOS'!BS7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RESUMO'!BS7</f>
        <v/>
      </c>
      <c r="N72" s="130">
        <f>MAX(0,M72-M71)</f>
        <v/>
      </c>
      <c r="O72" s="129">
        <f>IF(B72&lt;='VALOR POR PL'!$P$5,'CP RESUMO'!BS49,"")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HISTORICOS'!BT7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RESUMO'!BT7</f>
        <v/>
      </c>
      <c r="N73" s="130">
        <f>MAX(0,M73-M72)</f>
        <v/>
      </c>
      <c r="O73" s="129">
        <f>IF(B73&lt;='VALOR POR PL'!$P$5,'CP RESUMO'!BT49,"")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HISTORICOS'!BU7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RESUMO'!BU7</f>
        <v/>
      </c>
      <c r="N74" s="130">
        <f>MAX(0,M74-M73)</f>
        <v/>
      </c>
      <c r="O74" s="129">
        <f>IF(B74&lt;='VALOR POR PL'!$P$5,'CP RESUMO'!BU49,"")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HISTORICOS'!BV7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RESUMO'!BV7</f>
        <v/>
      </c>
      <c r="N75" s="130">
        <f>MAX(0,M75-M74)</f>
        <v/>
      </c>
      <c r="O75" s="129">
        <f>IF(B75&lt;='VALOR POR PL'!$P$5,'CP RESUMO'!BV49,"")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HISTORICOS'!BW7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RESUMO'!BW7</f>
        <v/>
      </c>
      <c r="N76" s="130">
        <f>MAX(0,M76-M75)</f>
        <v/>
      </c>
      <c r="O76" s="129">
        <f>IF(B76&lt;='VALOR POR PL'!$P$5,'CP RESUMO'!BW49,"")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HISTORICOS'!D8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PL'!F14</f>
        <v/>
      </c>
      <c r="K5" s="62">
        <f>'VALOR POR PL'!G14</f>
        <v/>
      </c>
      <c r="M5" s="129">
        <f>'CP RESUMO'!D8</f>
        <v/>
      </c>
      <c r="N5" s="130" t="n">
        <v>0</v>
      </c>
      <c r="O5" s="129">
        <f>IF(B5&lt;='VALOR POR PL'!$P$5,'CP RESUMO'!D50,"")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HISTORICOS'!E8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RESUMO'!E8</f>
        <v/>
      </c>
      <c r="N6" s="130">
        <f>MAX(0,M6-M5)</f>
        <v/>
      </c>
      <c r="O6" s="129">
        <f>IF(B6&lt;='VALOR POR PL'!$P$5,'CP RESUMO'!E50,"")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HISTORICOS'!F8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PL'!L14</f>
        <v/>
      </c>
      <c r="M7" s="129">
        <f>'CP RESUMO'!F8</f>
        <v/>
      </c>
      <c r="N7" s="130">
        <f>MAX(0,M7-M6)</f>
        <v/>
      </c>
      <c r="O7" s="129">
        <f>IF(B7&lt;='VALOR POR PL'!$P$5,'CP RESUMO'!F50,"")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HISTORICOS'!G8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RESUMO'!G8</f>
        <v/>
      </c>
      <c r="N8" s="130">
        <f>MAX(0,M8-M7)</f>
        <v/>
      </c>
      <c r="O8" s="129">
        <f>IF(B8&lt;='VALOR POR PL'!$P$5,'CP RESUMO'!G50,"")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HISTORICOS'!H8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RESUMO'!H8</f>
        <v/>
      </c>
      <c r="N9" s="130">
        <f>MAX(0,M9-M8)</f>
        <v/>
      </c>
      <c r="O9" s="129">
        <f>IF(B9&lt;='VALOR POR PL'!$P$5,'CP RESUMO'!H50,"")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HISTORICOS'!I8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RESUMO'!I8</f>
        <v/>
      </c>
      <c r="N10" s="130">
        <f>MAX(0,M10-M9)</f>
        <v/>
      </c>
      <c r="O10" s="129">
        <f>IF(B10&lt;='VALOR POR PL'!$P$5,'CP RESUMO'!I50,"")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HISTORICOS'!J8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RESUMO'!J8</f>
        <v/>
      </c>
      <c r="N11" s="130">
        <f>MAX(0,M11-M10)</f>
        <v/>
      </c>
      <c r="O11" s="129">
        <f>IF(B11&lt;='VALOR POR PL'!$P$5,'CP RESUMO'!J50,"")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HISTORICOS'!K8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RESUMO'!K8</f>
        <v/>
      </c>
      <c r="N12" s="130">
        <f>MAX(0,M12-M11)</f>
        <v/>
      </c>
      <c r="O12" s="129">
        <f>IF(B12&lt;='VALOR POR PL'!$P$5,'CP RESUMO'!K50,"")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HISTORICOS'!L8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PL'!I14</f>
        <v/>
      </c>
      <c r="M13" s="129">
        <f>'CP RESUMO'!L8</f>
        <v/>
      </c>
      <c r="N13" s="130">
        <f>MAX(0,M13-M12)</f>
        <v/>
      </c>
      <c r="O13" s="129">
        <f>IF(B13&lt;='VALOR POR PL'!$P$5,'CP RESUMO'!L50,"")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HISTORICOS'!M8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RESUMO'!$D$50:$BW$50,MATCH('VALOR POR PL'!$P$5,'CP RESUMO'!$D$4:$BW$4,0))/100,0)</f>
        <v/>
      </c>
      <c r="M14" s="129">
        <f>'CP RESUMO'!M8</f>
        <v/>
      </c>
      <c r="N14" s="130">
        <f>MAX(0,M14-M13)</f>
        <v/>
      </c>
      <c r="O14" s="129">
        <f>IF(B14&lt;='VALOR POR PL'!$P$5,'CP RESUMO'!M50,"")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HISTORICOS'!N8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RESUMO'!N8</f>
        <v/>
      </c>
      <c r="N15" s="130">
        <f>MAX(0,M15-M14)</f>
        <v/>
      </c>
      <c r="O15" s="129">
        <f>IF(B15&lt;='VALOR POR PL'!$P$5,'CP RESUMO'!N50,"")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HISTORICOS'!O8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RESUMO'!O8</f>
        <v/>
      </c>
      <c r="N16" s="130">
        <f>MAX(0,M16-M15)</f>
        <v/>
      </c>
      <c r="O16" s="129">
        <f>IF(B16&lt;='VALOR POR PL'!$P$5,'CP RESUMO'!O50,"")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HISTORICOS'!P8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RESUMO'!P8</f>
        <v/>
      </c>
      <c r="N17" s="130">
        <f>MAX(0,M17-M16)</f>
        <v/>
      </c>
      <c r="O17" s="129">
        <f>IF(B17&lt;='VALOR POR PL'!$P$5,'CP RESUMO'!P50,"")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HISTORICOS'!Q8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RESUMO'!Q8</f>
        <v/>
      </c>
      <c r="N18" s="130">
        <f>MAX(0,M18-M17)</f>
        <v/>
      </c>
      <c r="O18" s="129">
        <f>IF(B18&lt;='VALOR POR PL'!$P$5,'CP RESUMO'!Q50,"")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HISTORICOS'!R8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RESUMO'!R8</f>
        <v/>
      </c>
      <c r="N19" s="130">
        <f>MAX(0,M19-M18)</f>
        <v/>
      </c>
      <c r="O19" s="129">
        <f>IF(B19&lt;='VALOR POR PL'!$P$5,'CP RESUMO'!R50,"")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HISTORICOS'!S8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RESUMO'!S8</f>
        <v/>
      </c>
      <c r="N20" s="130">
        <f>MAX(0,M20-M19)</f>
        <v/>
      </c>
      <c r="O20" s="129">
        <f>IF(B20&lt;='VALOR POR PL'!$P$5,'CP RESUMO'!S50,"")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HISTORICOS'!T8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RESUMO'!T8</f>
        <v/>
      </c>
      <c r="N21" s="130">
        <f>MAX(0,M21-M20)</f>
        <v/>
      </c>
      <c r="O21" s="129">
        <f>IF(B21&lt;='VALOR POR PL'!$P$5,'CP RESUMO'!T50,"")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HISTORICOS'!U8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RESUMO'!U8</f>
        <v/>
      </c>
      <c r="N22" s="130">
        <f>MAX(0,M22-M21)</f>
        <v/>
      </c>
      <c r="O22" s="129">
        <f>IF(B22&lt;='VALOR POR PL'!$P$5,'CP RESUMO'!U50,"")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HISTORICOS'!V8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RESUMO'!V8</f>
        <v/>
      </c>
      <c r="N23" s="130">
        <f>MAX(0,M23-M22)</f>
        <v/>
      </c>
      <c r="O23" s="129">
        <f>IF(B23&lt;='VALOR POR PL'!$P$5,'CP RESUMO'!V50,"")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HISTORICOS'!W8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RESUMO'!W8</f>
        <v/>
      </c>
      <c r="N24" s="130">
        <f>MAX(0,M24-M23)</f>
        <v/>
      </c>
      <c r="O24" s="129">
        <f>IF(B24&lt;='VALOR POR PL'!$P$5,'CP RESUMO'!W50,"")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HISTORICOS'!X8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RESUMO'!X8</f>
        <v/>
      </c>
      <c r="N25" s="130">
        <f>MAX(0,M25-M24)</f>
        <v/>
      </c>
      <c r="O25" s="129">
        <f>IF(B25&lt;='VALOR POR PL'!$P$5,'CP RESUMO'!X50,"")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HISTORICOS'!Y8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12388.74</v>
      </c>
      <c r="M26" s="129">
        <f>'CP RESUMO'!Y8</f>
        <v/>
      </c>
      <c r="N26" s="130">
        <f>MAX(0,M26-M25)</f>
        <v/>
      </c>
      <c r="O26" s="129">
        <f>IF(B26&lt;='VALOR POR PL'!$P$5,'CP RESUMO'!Y50,"")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HISTORICOS'!Z8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12388.74</v>
      </c>
      <c r="M27" s="129">
        <f>'CP RESUMO'!Z8</f>
        <v/>
      </c>
      <c r="N27" s="130">
        <f>MAX(0,M27-M26)</f>
        <v/>
      </c>
      <c r="O27" s="129">
        <f>IF(B27&lt;='VALOR POR PL'!$P$5,'CP RESUMO'!Z50,"")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HISTORICOS'!AA8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12388.74</v>
      </c>
      <c r="M28" s="129">
        <f>'CP RESUMO'!AA8</f>
        <v/>
      </c>
      <c r="N28" s="130">
        <f>MAX(0,M28-M27)</f>
        <v/>
      </c>
      <c r="O28" s="129">
        <f>IF(B28&lt;='VALOR POR PL'!$P$5,'CP RESUMO'!AA50,"")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HISTORICOS'!AB8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12388.74</v>
      </c>
      <c r="M29" s="129">
        <f>'CP RESUMO'!AB8</f>
        <v/>
      </c>
      <c r="N29" s="130">
        <f>MAX(0,M29-M28)</f>
        <v/>
      </c>
      <c r="O29" s="129">
        <f>IF(B29&lt;='VALOR POR PL'!$P$5,'CP RESUMO'!AB50,"")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HISTORICOS'!AC8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12388.74</v>
      </c>
      <c r="M30" s="129">
        <f>'CP RESUMO'!AC8</f>
        <v/>
      </c>
      <c r="N30" s="130">
        <f>MAX(0,M30-M29)</f>
        <v/>
      </c>
      <c r="O30" s="129">
        <f>IF(B30&lt;='VALOR POR PL'!$P$5,'CP RESUMO'!AC50,"")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HISTORICOS'!AD8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102388.74</v>
      </c>
      <c r="M31" s="129">
        <f>'CP RESUMO'!AD8</f>
        <v/>
      </c>
      <c r="N31" s="130">
        <f>MAX(0,M31-M30)</f>
        <v/>
      </c>
      <c r="O31" s="129">
        <f>IF(B31&lt;='VALOR POR PL'!$P$5,'CP RESUMO'!AD50,"")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HISTORICOS'!AE8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102388.74</v>
      </c>
      <c r="M32" s="129">
        <f>'CP RESUMO'!AE8</f>
        <v/>
      </c>
      <c r="N32" s="130">
        <f>MAX(0,M32-M31)</f>
        <v/>
      </c>
      <c r="O32" s="129">
        <f>IF(B32&lt;='VALOR POR PL'!$P$5,'CP RESUMO'!AE50,"")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HISTORICOS'!AF8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52388.74</v>
      </c>
      <c r="M33" s="129">
        <f>'CP RESUMO'!AF8</f>
        <v/>
      </c>
      <c r="N33" s="130">
        <f>MAX(0,M33-M32)</f>
        <v/>
      </c>
      <c r="O33" s="129">
        <f>IF(B33&lt;='VALOR POR PL'!$P$5,'CP RESUMO'!AF50,"")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HISTORICOS'!AG8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12388.74</v>
      </c>
      <c r="M34" s="129">
        <f>'CP RESUMO'!AG8</f>
        <v/>
      </c>
      <c r="N34" s="130">
        <f>MAX(0,M34-M33)</f>
        <v/>
      </c>
      <c r="O34" s="129">
        <f>IF(B34&lt;='VALOR POR PL'!$P$5,'CP RESUMO'!AG50,"")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HISTORICOS'!AH8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12388.74</v>
      </c>
      <c r="M35" s="129">
        <f>'CP RESUMO'!AH8</f>
        <v/>
      </c>
      <c r="N35" s="130">
        <f>MAX(0,M35-M34)</f>
        <v/>
      </c>
      <c r="O35" s="129">
        <f>IF(B35&lt;='VALOR POR PL'!$P$5,'CP RESUMO'!AH50,"")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HISTORICOS'!AI8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12388.74</v>
      </c>
      <c r="M36" s="129">
        <f>'CP RESUMO'!AI8</f>
        <v/>
      </c>
      <c r="N36" s="130">
        <f>MAX(0,M36-M35)</f>
        <v/>
      </c>
      <c r="O36" s="129">
        <f>IF(B36&lt;='VALOR POR PL'!$P$5,'CP RESUMO'!AI50,"")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HISTORICOS'!AJ8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12388.74</v>
      </c>
      <c r="M37" s="129">
        <f>'CP RESUMO'!AJ8</f>
        <v/>
      </c>
      <c r="N37" s="130">
        <f>MAX(0,M37-M36)</f>
        <v/>
      </c>
      <c r="O37" s="129">
        <f>IF(B37&lt;='VALOR POR PL'!$P$5,'CP RESUMO'!AJ50,"")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HISTORICOS'!AK8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12388.74</v>
      </c>
      <c r="M38" s="129">
        <f>'CP RESUMO'!AK8</f>
        <v/>
      </c>
      <c r="N38" s="130">
        <f>MAX(0,M38-M37)</f>
        <v/>
      </c>
      <c r="O38" s="129">
        <f>IF(B38&lt;='VALOR POR PL'!$P$5,'CP RESUMO'!AK50,"")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HISTORICOS'!AL8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12388.74</v>
      </c>
      <c r="M39" s="129">
        <f>'CP RESUMO'!AL8</f>
        <v/>
      </c>
      <c r="N39" s="130">
        <f>MAX(0,M39-M38)</f>
        <v/>
      </c>
      <c r="O39" s="129">
        <f>IF(B39&lt;='VALOR POR PL'!$P$5,'CP RESUMO'!AL50,"")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HISTORICOS'!AM8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12388.74</v>
      </c>
      <c r="M40" s="129">
        <f>'CP RESUMO'!AM8</f>
        <v/>
      </c>
      <c r="N40" s="130">
        <f>MAX(0,M40-M39)</f>
        <v/>
      </c>
      <c r="O40" s="129">
        <f>IF(B40&lt;='VALOR POR PL'!$P$5,'CP RESUMO'!AM50,"")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HISTORICOS'!AN8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12388.74</v>
      </c>
      <c r="M41" s="129">
        <f>'CP RESUMO'!AN8</f>
        <v/>
      </c>
      <c r="N41" s="130">
        <f>MAX(0,M41-M40)</f>
        <v/>
      </c>
      <c r="O41" s="129">
        <f>IF(B41&lt;='VALOR POR PL'!$P$5,'CP RESUMO'!AN50,"")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HISTORICOS'!AO8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12388.74</v>
      </c>
      <c r="M42" s="129">
        <f>'CP RESUMO'!AO8</f>
        <v/>
      </c>
      <c r="N42" s="130">
        <f>MAX(0,M42-M41)</f>
        <v/>
      </c>
      <c r="O42" s="129">
        <f>IF(B42&lt;='VALOR POR PL'!$P$5,'CP RESUMO'!AO50,"")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HISTORICOS'!AP8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12388.74</v>
      </c>
      <c r="M43" s="129">
        <f>'CP RESUMO'!AP8</f>
        <v/>
      </c>
      <c r="N43" s="130">
        <f>MAX(0,M43-M42)</f>
        <v/>
      </c>
      <c r="O43" s="129">
        <f>IF(B43&lt;='VALOR POR PL'!$P$5,'CP RESUMO'!AP50,"")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HISTORICOS'!AQ8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12388.74</v>
      </c>
      <c r="M44" s="129">
        <f>'CP RESUMO'!AQ8</f>
        <v/>
      </c>
      <c r="N44" s="130">
        <f>MAX(0,M44-M43)</f>
        <v/>
      </c>
      <c r="O44" s="129">
        <f>IF(B44&lt;='VALOR POR PL'!$P$5,'CP RESUMO'!AQ50,"")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HISTORICOS'!AR8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12388.74</v>
      </c>
      <c r="M45" s="129">
        <f>'CP RESUMO'!AR8</f>
        <v/>
      </c>
      <c r="N45" s="130">
        <f>MAX(0,M45-M44)</f>
        <v/>
      </c>
      <c r="O45" s="129">
        <f>IF(B45&lt;='VALOR POR PL'!$P$5,'CP RESUMO'!AR50,"")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HISTORICOS'!AS8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12388.74</v>
      </c>
      <c r="M46" s="129">
        <f>'CP RESUMO'!AS8</f>
        <v/>
      </c>
      <c r="N46" s="130">
        <f>MAX(0,M46-M45)</f>
        <v/>
      </c>
      <c r="O46" s="129">
        <f>IF(B46&lt;='VALOR POR PL'!$P$5,'CP RESUMO'!AS50,"")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HISTORICOS'!AT8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12388.74</v>
      </c>
      <c r="M47" s="129">
        <f>'CP RESUMO'!AT8</f>
        <v/>
      </c>
      <c r="N47" s="130">
        <f>MAX(0,M47-M46)</f>
        <v/>
      </c>
      <c r="O47" s="129">
        <f>IF(B47&lt;='VALOR POR PL'!$P$5,'CP RESUMO'!AT50,"")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HISTORICOS'!AU8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12388.74</v>
      </c>
      <c r="M48" s="129">
        <f>'CP RESUMO'!AU8</f>
        <v/>
      </c>
      <c r="N48" s="130">
        <f>MAX(0,M48-M47)</f>
        <v/>
      </c>
      <c r="O48" s="129">
        <f>IF(B48&lt;='VALOR POR PL'!$P$5,'CP RESUMO'!AU50,"")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HISTORICOS'!AV8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12388.74</v>
      </c>
      <c r="M49" s="129">
        <f>'CP RESUMO'!AV8</f>
        <v/>
      </c>
      <c r="N49" s="130">
        <f>MAX(0,M49-M48)</f>
        <v/>
      </c>
      <c r="O49" s="129">
        <f>IF(B49&lt;='VALOR POR PL'!$P$5,'CP RESUMO'!AV50,"")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HISTORICOS'!AW8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1300</v>
      </c>
      <c r="M50" s="129">
        <f>'CP RESUMO'!AW8</f>
        <v/>
      </c>
      <c r="N50" s="130">
        <f>MAX(0,M50-M49)</f>
        <v/>
      </c>
      <c r="O50" s="129">
        <f>IF(B50&lt;='VALOR POR PL'!$P$5,'CP RESUMO'!AW50,"")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HISTORICOS'!AX8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1300</v>
      </c>
      <c r="M51" s="129">
        <f>'CP RESUMO'!AX8</f>
        <v/>
      </c>
      <c r="N51" s="130">
        <f>MAX(0,M51-M50)</f>
        <v/>
      </c>
      <c r="O51" s="129">
        <f>IF(B51&lt;='VALOR POR PL'!$P$5,'CP RESUMO'!AX50,"")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HISTORICOS'!AY8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1300</v>
      </c>
      <c r="M52" s="129">
        <f>'CP RESUMO'!AY8</f>
        <v/>
      </c>
      <c r="N52" s="130">
        <f>MAX(0,M52-M51)</f>
        <v/>
      </c>
      <c r="O52" s="129">
        <f>IF(B52&lt;='VALOR POR PL'!$P$5,'CP RESUMO'!AY50,"")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HISTORICOS'!AZ8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1771.78</v>
      </c>
      <c r="M53" s="129">
        <f>'CP RESUMO'!AZ8</f>
        <v/>
      </c>
      <c r="N53" s="130">
        <f>MAX(0,M53-M52)</f>
        <v/>
      </c>
      <c r="O53" s="129">
        <f>IF(B53&lt;='VALOR POR PL'!$P$5,'CP RESUMO'!AZ50,"")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HISTORICOS'!BA8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1729.71</v>
      </c>
      <c r="M54" s="129">
        <f>'CP RESUMO'!BA8</f>
        <v/>
      </c>
      <c r="N54" s="130">
        <f>MAX(0,M54-M53)</f>
        <v/>
      </c>
      <c r="O54" s="129">
        <f>IF(B54&lt;='VALOR POR PL'!$P$5,'CP RESUMO'!BA50,"")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HISTORICOS'!BB8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1729.71</v>
      </c>
      <c r="M55" s="129">
        <f>'CP RESUMO'!BB8</f>
        <v/>
      </c>
      <c r="N55" s="130">
        <f>MAX(0,M55-M54)</f>
        <v/>
      </c>
      <c r="O55" s="129">
        <f>IF(B55&lt;='VALOR POR PL'!$P$5,'CP RESUMO'!BB50,"")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HISTORICOS'!BC8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70650.34</v>
      </c>
      <c r="M56" s="129">
        <f>'CP RESUMO'!BC8</f>
        <v/>
      </c>
      <c r="N56" s="130">
        <f>MAX(0,M56-M55)</f>
        <v/>
      </c>
      <c r="O56" s="129">
        <f>IF(B56&lt;='VALOR POR PL'!$P$5,'CP RESUMO'!BC50,"")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HISTORICOS'!BD8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RESUMO'!BD8</f>
        <v/>
      </c>
      <c r="N57" s="130">
        <f>MAX(0,M57-M56)</f>
        <v/>
      </c>
      <c r="O57" s="129">
        <f>IF(B57&lt;='VALOR POR PL'!$P$5,'CP RESUMO'!BD50,"")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HISTORICOS'!BE8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RESUMO'!BE8</f>
        <v/>
      </c>
      <c r="N58" s="130">
        <f>MAX(0,M58-M57)</f>
        <v/>
      </c>
      <c r="O58" s="129">
        <f>IF(B58&lt;='VALOR POR PL'!$P$5,'CP RESUMO'!BE50,"")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HISTORICOS'!BF8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RESUMO'!BF8</f>
        <v/>
      </c>
      <c r="N59" s="130">
        <f>MAX(0,M59-M58)</f>
        <v/>
      </c>
      <c r="O59" s="129">
        <f>IF(B59&lt;='VALOR POR PL'!$P$5,'CP RESUMO'!BF50,"")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HISTORICOS'!BG8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RESUMO'!BG8</f>
        <v/>
      </c>
      <c r="N60" s="130">
        <f>MAX(0,M60-M59)</f>
        <v/>
      </c>
      <c r="O60" s="129">
        <f>IF(B60&lt;='VALOR POR PL'!$P$5,'CP RESUMO'!BG50,"")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HISTORICOS'!BH8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RESUMO'!BH8</f>
        <v/>
      </c>
      <c r="N61" s="130">
        <f>MAX(0,M61-M60)</f>
        <v/>
      </c>
      <c r="O61" s="129">
        <f>IF(B61&lt;='VALOR POR PL'!$P$5,'CP RESUMO'!BH50,"")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HISTORICOS'!BI8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RESUMO'!BI8</f>
        <v/>
      </c>
      <c r="N62" s="130">
        <f>MAX(0,M62-M61)</f>
        <v/>
      </c>
      <c r="O62" s="129">
        <f>IF(B62&lt;='VALOR POR PL'!$P$5,'CP RESUMO'!BI50,"")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HISTORICOS'!BJ8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RESUMO'!BJ8</f>
        <v/>
      </c>
      <c r="N63" s="130">
        <f>MAX(0,M63-M62)</f>
        <v/>
      </c>
      <c r="O63" s="129">
        <f>IF(B63&lt;='VALOR POR PL'!$P$5,'CP RESUMO'!BJ50,"")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HISTORICOS'!BK8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RESUMO'!BK8</f>
        <v/>
      </c>
      <c r="N64" s="130">
        <f>MAX(0,M64-M63)</f>
        <v/>
      </c>
      <c r="O64" s="129">
        <f>IF(B64&lt;='VALOR POR PL'!$P$5,'CP RESUMO'!BK50,"")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HISTORICOS'!BL8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RESUMO'!BL8</f>
        <v/>
      </c>
      <c r="N65" s="130">
        <f>MAX(0,M65-M64)</f>
        <v/>
      </c>
      <c r="O65" s="129">
        <f>IF(B65&lt;='VALOR POR PL'!$P$5,'CP RESUMO'!BL50,"")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HISTORICOS'!BM8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RESUMO'!BM8</f>
        <v/>
      </c>
      <c r="N66" s="130">
        <f>MAX(0,M66-M65)</f>
        <v/>
      </c>
      <c r="O66" s="129">
        <f>IF(B66&lt;='VALOR POR PL'!$P$5,'CP RESUMO'!BM50,"")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HISTORICOS'!BN8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RESUMO'!BN8</f>
        <v/>
      </c>
      <c r="N67" s="130">
        <f>MAX(0,M67-M66)</f>
        <v/>
      </c>
      <c r="O67" s="129">
        <f>IF(B67&lt;='VALOR POR PL'!$P$5,'CP RESUMO'!BN50,"")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HISTORICOS'!BO8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RESUMO'!BO8</f>
        <v/>
      </c>
      <c r="N68" s="130">
        <f>MAX(0,M68-M67)</f>
        <v/>
      </c>
      <c r="O68" s="129">
        <f>IF(B68&lt;='VALOR POR PL'!$P$5,'CP RESUMO'!BO50,"")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HISTORICOS'!BP8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RESUMO'!BP8</f>
        <v/>
      </c>
      <c r="N69" s="130">
        <f>MAX(0,M69-M68)</f>
        <v/>
      </c>
      <c r="O69" s="129">
        <f>IF(B69&lt;='VALOR POR PL'!$P$5,'CP RESUMO'!BP50,"")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HISTORICOS'!BQ8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RESUMO'!BQ8</f>
        <v/>
      </c>
      <c r="N70" s="130">
        <f>MAX(0,M70-M69)</f>
        <v/>
      </c>
      <c r="O70" s="129">
        <f>IF(B70&lt;='VALOR POR PL'!$P$5,'CP RESUMO'!BQ50,"")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HISTORICOS'!BR8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RESUMO'!BR8</f>
        <v/>
      </c>
      <c r="N71" s="130">
        <f>MAX(0,M71-M70)</f>
        <v/>
      </c>
      <c r="O71" s="129">
        <f>IF(B71&lt;='VALOR POR PL'!$P$5,'CP RESUMO'!BR50,"")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HISTORICOS'!BS8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RESUMO'!BS8</f>
        <v/>
      </c>
      <c r="N72" s="130">
        <f>MAX(0,M72-M71)</f>
        <v/>
      </c>
      <c r="O72" s="129">
        <f>IF(B72&lt;='VALOR POR PL'!$P$5,'CP RESUMO'!BS50,"")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HISTORICOS'!BT8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RESUMO'!BT8</f>
        <v/>
      </c>
      <c r="N73" s="130">
        <f>MAX(0,M73-M72)</f>
        <v/>
      </c>
      <c r="O73" s="129">
        <f>IF(B73&lt;='VALOR POR PL'!$P$5,'CP RESUMO'!BT50,"")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HISTORICOS'!BU8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RESUMO'!BU8</f>
        <v/>
      </c>
      <c r="N74" s="130">
        <f>MAX(0,M74-M73)</f>
        <v/>
      </c>
      <c r="O74" s="129">
        <f>IF(B74&lt;='VALOR POR PL'!$P$5,'CP RESUMO'!BU50,"")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HISTORICOS'!BV8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RESUMO'!BV8</f>
        <v/>
      </c>
      <c r="N75" s="130">
        <f>MAX(0,M75-M74)</f>
        <v/>
      </c>
      <c r="O75" s="129">
        <f>IF(B75&lt;='VALOR POR PL'!$P$5,'CP RESUMO'!BV50,"")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HISTORICOS'!BW8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RESUMO'!BW8</f>
        <v/>
      </c>
      <c r="N76" s="130">
        <f>MAX(0,M76-M75)</f>
        <v/>
      </c>
      <c r="O76" s="129">
        <f>IF(B76&lt;='VALOR POR PL'!$P$5,'CP RESUMO'!BW50,"")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HISTORICOS'!D9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PL'!F15</f>
        <v/>
      </c>
      <c r="K5" s="62">
        <f>'VALOR POR PL'!G15</f>
        <v/>
      </c>
      <c r="M5" s="129">
        <f>'CP RESUMO'!D9</f>
        <v/>
      </c>
      <c r="N5" s="130" t="n">
        <v>0</v>
      </c>
      <c r="O5" s="129">
        <f>IF(B5&lt;='VALOR POR PL'!$P$5,'CP RESUMO'!D51,"")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HISTORICOS'!E9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RESUMO'!E9</f>
        <v/>
      </c>
      <c r="N6" s="130">
        <f>MAX(0,M6-M5)</f>
        <v/>
      </c>
      <c r="O6" s="129">
        <f>IF(B6&lt;='VALOR POR PL'!$P$5,'CP RESUMO'!E51,"")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HISTORICOS'!F9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PL'!L15</f>
        <v/>
      </c>
      <c r="M7" s="129">
        <f>'CP RESUMO'!F9</f>
        <v/>
      </c>
      <c r="N7" s="130">
        <f>MAX(0,M7-M6)</f>
        <v/>
      </c>
      <c r="O7" s="129">
        <f>IF(B7&lt;='VALOR POR PL'!$P$5,'CP RESUMO'!F51,"")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HISTORICOS'!G9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RESUMO'!G9</f>
        <v/>
      </c>
      <c r="N8" s="130">
        <f>MAX(0,M8-M7)</f>
        <v/>
      </c>
      <c r="O8" s="129">
        <f>IF(B8&lt;='VALOR POR PL'!$P$5,'CP RESUMO'!G51,"")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HISTORICOS'!H9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RESUMO'!H9</f>
        <v/>
      </c>
      <c r="N9" s="130">
        <f>MAX(0,M9-M8)</f>
        <v/>
      </c>
      <c r="O9" s="129">
        <f>IF(B9&lt;='VALOR POR PL'!$P$5,'CP RESUMO'!H51,"")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HISTORICOS'!I9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RESUMO'!I9</f>
        <v/>
      </c>
      <c r="N10" s="130">
        <f>MAX(0,M10-M9)</f>
        <v/>
      </c>
      <c r="O10" s="129">
        <f>IF(B10&lt;='VALOR POR PL'!$P$5,'CP RESUMO'!I51,"")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HISTORICOS'!J9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RESUMO'!J9</f>
        <v/>
      </c>
      <c r="N11" s="130">
        <f>MAX(0,M11-M10)</f>
        <v/>
      </c>
      <c r="O11" s="129">
        <f>IF(B11&lt;='VALOR POR PL'!$P$5,'CP RESUMO'!J51,"")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HISTORICOS'!K9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RESUMO'!K9</f>
        <v/>
      </c>
      <c r="N12" s="130">
        <f>MAX(0,M12-M11)</f>
        <v/>
      </c>
      <c r="O12" s="129">
        <f>IF(B12&lt;='VALOR POR PL'!$P$5,'CP RESUMO'!K51,"")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HISTORICOS'!L9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PL'!I15</f>
        <v/>
      </c>
      <c r="M13" s="129">
        <f>'CP RESUMO'!L9</f>
        <v/>
      </c>
      <c r="N13" s="130">
        <f>MAX(0,M13-M12)</f>
        <v/>
      </c>
      <c r="O13" s="129">
        <f>IF(B13&lt;='VALOR POR PL'!$P$5,'CP RESUMO'!L51,"")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HISTORICOS'!M9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RESUMO'!$D$51:$BW$51,MATCH('VALOR POR PL'!$P$5,'CP RESUMO'!$D$4:$BW$4,0))/100,0)</f>
        <v/>
      </c>
      <c r="M14" s="129">
        <f>'CP RESUMO'!M9</f>
        <v/>
      </c>
      <c r="N14" s="130">
        <f>MAX(0,M14-M13)</f>
        <v/>
      </c>
      <c r="O14" s="129">
        <f>IF(B14&lt;='VALOR POR PL'!$P$5,'CP RESUMO'!M51,"")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HISTORICOS'!N9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RESUMO'!N9</f>
        <v/>
      </c>
      <c r="N15" s="130">
        <f>MAX(0,M15-M14)</f>
        <v/>
      </c>
      <c r="O15" s="129">
        <f>IF(B15&lt;='VALOR POR PL'!$P$5,'CP RESUMO'!N51,"")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HISTORICOS'!O9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RESUMO'!O9</f>
        <v/>
      </c>
      <c r="N16" s="130">
        <f>MAX(0,M16-M15)</f>
        <v/>
      </c>
      <c r="O16" s="129">
        <f>IF(B16&lt;='VALOR POR PL'!$P$5,'CP RESUMO'!O51,"")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HISTORICOS'!P9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RESUMO'!P9</f>
        <v/>
      </c>
      <c r="N17" s="130">
        <f>MAX(0,M17-M16)</f>
        <v/>
      </c>
      <c r="O17" s="129">
        <f>IF(B17&lt;='VALOR POR PL'!$P$5,'CP RESUMO'!P51,"")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HISTORICOS'!Q9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RESUMO'!Q9</f>
        <v/>
      </c>
      <c r="N18" s="130">
        <f>MAX(0,M18-M17)</f>
        <v/>
      </c>
      <c r="O18" s="129">
        <f>IF(B18&lt;='VALOR POR PL'!$P$5,'CP RESUMO'!Q51,"")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HISTORICOS'!R9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RESUMO'!R9</f>
        <v/>
      </c>
      <c r="N19" s="130">
        <f>MAX(0,M19-M18)</f>
        <v/>
      </c>
      <c r="O19" s="129">
        <f>IF(B19&lt;='VALOR POR PL'!$P$5,'CP RESUMO'!R51,"")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HISTORICOS'!S9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RESUMO'!S9</f>
        <v/>
      </c>
      <c r="N20" s="130">
        <f>MAX(0,M20-M19)</f>
        <v/>
      </c>
      <c r="O20" s="129">
        <f>IF(B20&lt;='VALOR POR PL'!$P$5,'CP RESUMO'!S51,"")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HISTORICOS'!T9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RESUMO'!T9</f>
        <v/>
      </c>
      <c r="N21" s="130">
        <f>MAX(0,M21-M20)</f>
        <v/>
      </c>
      <c r="O21" s="129">
        <f>IF(B21&lt;='VALOR POR PL'!$P$5,'CP RESUMO'!T51,"")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HISTORICOS'!U9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RESUMO'!U9</f>
        <v/>
      </c>
      <c r="N22" s="130">
        <f>MAX(0,M22-M21)</f>
        <v/>
      </c>
      <c r="O22" s="129">
        <f>IF(B22&lt;='VALOR POR PL'!$P$5,'CP RESUMO'!U51,"")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HISTORICOS'!V9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RESUMO'!V9</f>
        <v/>
      </c>
      <c r="N23" s="130">
        <f>MAX(0,M23-M22)</f>
        <v/>
      </c>
      <c r="O23" s="129">
        <f>IF(B23&lt;='VALOR POR PL'!$P$5,'CP RESUMO'!V51,"")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HISTORICOS'!W9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RESUMO'!W9</f>
        <v/>
      </c>
      <c r="N24" s="130">
        <f>MAX(0,M24-M23)</f>
        <v/>
      </c>
      <c r="O24" s="129">
        <f>IF(B24&lt;='VALOR POR PL'!$P$5,'CP RESUMO'!W51,"")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HISTORICOS'!X9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RESUMO'!X9</f>
        <v/>
      </c>
      <c r="N25" s="130">
        <f>MAX(0,M25-M24)</f>
        <v/>
      </c>
      <c r="O25" s="129">
        <f>IF(B25&lt;='VALOR POR PL'!$P$5,'CP RESUMO'!X51,"")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HISTORICOS'!Y9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RESUMO'!Y9</f>
        <v/>
      </c>
      <c r="N26" s="130">
        <f>MAX(0,M26-M25)</f>
        <v/>
      </c>
      <c r="O26" s="129">
        <f>IF(B26&lt;='VALOR POR PL'!$P$5,'CP RESUMO'!Y51,"")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HISTORICOS'!Z9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RESUMO'!Z9</f>
        <v/>
      </c>
      <c r="N27" s="130">
        <f>MAX(0,M27-M26)</f>
        <v/>
      </c>
      <c r="O27" s="129">
        <f>IF(B27&lt;='VALOR POR PL'!$P$5,'CP RESUMO'!Z51,"")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HISTORICOS'!AA9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RESUMO'!AA9</f>
        <v/>
      </c>
      <c r="N28" s="130">
        <f>MAX(0,M28-M27)</f>
        <v/>
      </c>
      <c r="O28" s="129">
        <f>IF(B28&lt;='VALOR POR PL'!$P$5,'CP RESUMO'!AA51,"")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HISTORICOS'!AB9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RESUMO'!AB9</f>
        <v/>
      </c>
      <c r="N29" s="130">
        <f>MAX(0,M29-M28)</f>
        <v/>
      </c>
      <c r="O29" s="129">
        <f>IF(B29&lt;='VALOR POR PL'!$P$5,'CP RESUMO'!AB51,"")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HISTORICOS'!AC9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RESUMO'!AC9</f>
        <v/>
      </c>
      <c r="N30" s="130">
        <f>MAX(0,M30-M29)</f>
        <v/>
      </c>
      <c r="O30" s="129">
        <f>IF(B30&lt;='VALOR POR PL'!$P$5,'CP RESUMO'!AC51,"")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HISTORICOS'!AD9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RESUMO'!AD9</f>
        <v/>
      </c>
      <c r="N31" s="130">
        <f>MAX(0,M31-M30)</f>
        <v/>
      </c>
      <c r="O31" s="129">
        <f>IF(B31&lt;='VALOR POR PL'!$P$5,'CP RESUMO'!AD51,"")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HISTORICOS'!AE9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RESUMO'!AE9</f>
        <v/>
      </c>
      <c r="N32" s="130">
        <f>MAX(0,M32-M31)</f>
        <v/>
      </c>
      <c r="O32" s="129">
        <f>IF(B32&lt;='VALOR POR PL'!$P$5,'CP RESUMO'!AE51,"")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HISTORICOS'!AF9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RESUMO'!AF9</f>
        <v/>
      </c>
      <c r="N33" s="130">
        <f>MAX(0,M33-M32)</f>
        <v/>
      </c>
      <c r="O33" s="129">
        <f>IF(B33&lt;='VALOR POR PL'!$P$5,'CP RESUMO'!AF51,"")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HISTORICOS'!AG9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RESUMO'!AG9</f>
        <v/>
      </c>
      <c r="N34" s="130">
        <f>MAX(0,M34-M33)</f>
        <v/>
      </c>
      <c r="O34" s="129">
        <f>IF(B34&lt;='VALOR POR PL'!$P$5,'CP RESUMO'!AG51,"")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HISTORICOS'!AH9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RESUMO'!AH9</f>
        <v/>
      </c>
      <c r="N35" s="130">
        <f>MAX(0,M35-M34)</f>
        <v/>
      </c>
      <c r="O35" s="129">
        <f>IF(B35&lt;='VALOR POR PL'!$P$5,'CP RESUMO'!AH51,"")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HISTORICOS'!AI9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RESUMO'!AI9</f>
        <v/>
      </c>
      <c r="N36" s="130">
        <f>MAX(0,M36-M35)</f>
        <v/>
      </c>
      <c r="O36" s="129">
        <f>IF(B36&lt;='VALOR POR PL'!$P$5,'CP RESUMO'!AI51,"")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HISTORICOS'!AJ9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RESUMO'!AJ9</f>
        <v/>
      </c>
      <c r="N37" s="130">
        <f>MAX(0,M37-M36)</f>
        <v/>
      </c>
      <c r="O37" s="129">
        <f>IF(B37&lt;='VALOR POR PL'!$P$5,'CP RESUMO'!AJ51,"")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HISTORICOS'!AK9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RESUMO'!AK9</f>
        <v/>
      </c>
      <c r="N38" s="130">
        <f>MAX(0,M38-M37)</f>
        <v/>
      </c>
      <c r="O38" s="129">
        <f>IF(B38&lt;='VALOR POR PL'!$P$5,'CP RESUMO'!AK51,"")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HISTORICOS'!AL9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RESUMO'!AL9</f>
        <v/>
      </c>
      <c r="N39" s="130">
        <f>MAX(0,M39-M38)</f>
        <v/>
      </c>
      <c r="O39" s="129">
        <f>IF(B39&lt;='VALOR POR PL'!$P$5,'CP RESUMO'!AL51,"")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HISTORICOS'!AM9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RESUMO'!AM9</f>
        <v/>
      </c>
      <c r="N40" s="130">
        <f>MAX(0,M40-M39)</f>
        <v/>
      </c>
      <c r="O40" s="129">
        <f>IF(B40&lt;='VALOR POR PL'!$P$5,'CP RESUMO'!AM51,"")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HISTORICOS'!AN9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RESUMO'!AN9</f>
        <v/>
      </c>
      <c r="N41" s="130">
        <f>MAX(0,M41-M40)</f>
        <v/>
      </c>
      <c r="O41" s="129">
        <f>IF(B41&lt;='VALOR POR PL'!$P$5,'CP RESUMO'!AN51,"")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HISTORICOS'!AO9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RESUMO'!AO9</f>
        <v/>
      </c>
      <c r="N42" s="130">
        <f>MAX(0,M42-M41)</f>
        <v/>
      </c>
      <c r="O42" s="129">
        <f>IF(B42&lt;='VALOR POR PL'!$P$5,'CP RESUMO'!AO51,"")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HISTORICOS'!AP9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RESUMO'!AP9</f>
        <v/>
      </c>
      <c r="N43" s="130">
        <f>MAX(0,M43-M42)</f>
        <v/>
      </c>
      <c r="O43" s="129">
        <f>IF(B43&lt;='VALOR POR PL'!$P$5,'CP RESUMO'!AP51,"")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HISTORICOS'!AQ9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RESUMO'!AQ9</f>
        <v/>
      </c>
      <c r="N44" s="130">
        <f>MAX(0,M44-M43)</f>
        <v/>
      </c>
      <c r="O44" s="129">
        <f>IF(B44&lt;='VALOR POR PL'!$P$5,'CP RESUMO'!AQ51,"")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HISTORICOS'!AR9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RESUMO'!AR9</f>
        <v/>
      </c>
      <c r="N45" s="130">
        <f>MAX(0,M45-M44)</f>
        <v/>
      </c>
      <c r="O45" s="129">
        <f>IF(B45&lt;='VALOR POR PL'!$P$5,'CP RESUMO'!AR51,"")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HISTORICOS'!AS9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RESUMO'!AS9</f>
        <v/>
      </c>
      <c r="N46" s="130">
        <f>MAX(0,M46-M45)</f>
        <v/>
      </c>
      <c r="O46" s="129">
        <f>IF(B46&lt;='VALOR POR PL'!$P$5,'CP RESUMO'!AS51,"")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HISTORICOS'!AT9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RESUMO'!AT9</f>
        <v/>
      </c>
      <c r="N47" s="130">
        <f>MAX(0,M47-M46)</f>
        <v/>
      </c>
      <c r="O47" s="129">
        <f>IF(B47&lt;='VALOR POR PL'!$P$5,'CP RESUMO'!AT51,"")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HISTORICOS'!AU9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RESUMO'!AU9</f>
        <v/>
      </c>
      <c r="N48" s="130">
        <f>MAX(0,M48-M47)</f>
        <v/>
      </c>
      <c r="O48" s="129">
        <f>IF(B48&lt;='VALOR POR PL'!$P$5,'CP RESUMO'!AU51,"")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HISTORICOS'!AV9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RESUMO'!AV9</f>
        <v/>
      </c>
      <c r="N49" s="130">
        <f>MAX(0,M49-M48)</f>
        <v/>
      </c>
      <c r="O49" s="129">
        <f>IF(B49&lt;='VALOR POR PL'!$P$5,'CP RESUMO'!AV51,"")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HISTORICOS'!AW9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RESUMO'!AW9</f>
        <v/>
      </c>
      <c r="N50" s="130">
        <f>MAX(0,M50-M49)</f>
        <v/>
      </c>
      <c r="O50" s="129">
        <f>IF(B50&lt;='VALOR POR PL'!$P$5,'CP RESUMO'!AW51,"")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HISTORICOS'!AX9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RESUMO'!AX9</f>
        <v/>
      </c>
      <c r="N51" s="130">
        <f>MAX(0,M51-M50)</f>
        <v/>
      </c>
      <c r="O51" s="129">
        <f>IF(B51&lt;='VALOR POR PL'!$P$5,'CP RESUMO'!AX51,"")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HISTORICOS'!AY9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RESUMO'!AY9</f>
        <v/>
      </c>
      <c r="N52" s="130">
        <f>MAX(0,M52-M51)</f>
        <v/>
      </c>
      <c r="O52" s="129">
        <f>IF(B52&lt;='VALOR POR PL'!$P$5,'CP RESUMO'!AY51,"")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HISTORICOS'!AZ9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RESUMO'!AZ9</f>
        <v/>
      </c>
      <c r="N53" s="130">
        <f>MAX(0,M53-M52)</f>
        <v/>
      </c>
      <c r="O53" s="129">
        <f>IF(B53&lt;='VALOR POR PL'!$P$5,'CP RESUMO'!AZ51,"")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HISTORICOS'!BA9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RESUMO'!BA9</f>
        <v/>
      </c>
      <c r="N54" s="130">
        <f>MAX(0,M54-M53)</f>
        <v/>
      </c>
      <c r="O54" s="129">
        <f>IF(B54&lt;='VALOR POR PL'!$P$5,'CP RESUMO'!BA51,"")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HISTORICOS'!BB9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RESUMO'!BB9</f>
        <v/>
      </c>
      <c r="N55" s="130">
        <f>MAX(0,M55-M54)</f>
        <v/>
      </c>
      <c r="O55" s="129">
        <f>IF(B55&lt;='VALOR POR PL'!$P$5,'CP RESUMO'!BB51,"")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HISTORICOS'!BC9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RESUMO'!BC9</f>
        <v/>
      </c>
      <c r="N56" s="130">
        <f>MAX(0,M56-M55)</f>
        <v/>
      </c>
      <c r="O56" s="129">
        <f>IF(B56&lt;='VALOR POR PL'!$P$5,'CP RESUMO'!BC51,"")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HISTORICOS'!BD9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RESUMO'!BD9</f>
        <v/>
      </c>
      <c r="N57" s="130">
        <f>MAX(0,M57-M56)</f>
        <v/>
      </c>
      <c r="O57" s="129">
        <f>IF(B57&lt;='VALOR POR PL'!$P$5,'CP RESUMO'!BD51,"")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HISTORICOS'!BE9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RESUMO'!BE9</f>
        <v/>
      </c>
      <c r="N58" s="130">
        <f>MAX(0,M58-M57)</f>
        <v/>
      </c>
      <c r="O58" s="129">
        <f>IF(B58&lt;='VALOR POR PL'!$P$5,'CP RESUMO'!BE51,"")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HISTORICOS'!BF9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RESUMO'!BF9</f>
        <v/>
      </c>
      <c r="N59" s="130">
        <f>MAX(0,M59-M58)</f>
        <v/>
      </c>
      <c r="O59" s="129">
        <f>IF(B59&lt;='VALOR POR PL'!$P$5,'CP RESUMO'!BF51,"")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HISTORICOS'!BG9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RESUMO'!BG9</f>
        <v/>
      </c>
      <c r="N60" s="130">
        <f>MAX(0,M60-M59)</f>
        <v/>
      </c>
      <c r="O60" s="129">
        <f>IF(B60&lt;='VALOR POR PL'!$P$5,'CP RESUMO'!BG51,"")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HISTORICOS'!BH9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RESUMO'!BH9</f>
        <v/>
      </c>
      <c r="N61" s="130">
        <f>MAX(0,M61-M60)</f>
        <v/>
      </c>
      <c r="O61" s="129">
        <f>IF(B61&lt;='VALOR POR PL'!$P$5,'CP RESUMO'!BH51,"")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HISTORICOS'!BI9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RESUMO'!BI9</f>
        <v/>
      </c>
      <c r="N62" s="130">
        <f>MAX(0,M62-M61)</f>
        <v/>
      </c>
      <c r="O62" s="129">
        <f>IF(B62&lt;='VALOR POR PL'!$P$5,'CP RESUMO'!BI51,"")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HISTORICOS'!BJ9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RESUMO'!BJ9</f>
        <v/>
      </c>
      <c r="N63" s="130">
        <f>MAX(0,M63-M62)</f>
        <v/>
      </c>
      <c r="O63" s="129">
        <f>IF(B63&lt;='VALOR POR PL'!$P$5,'CP RESUMO'!BJ51,"")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HISTORICOS'!BK9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RESUMO'!BK9</f>
        <v/>
      </c>
      <c r="N64" s="130">
        <f>MAX(0,M64-M63)</f>
        <v/>
      </c>
      <c r="O64" s="129">
        <f>IF(B64&lt;='VALOR POR PL'!$P$5,'CP RESUMO'!BK51,"")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HISTORICOS'!BL9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RESUMO'!BL9</f>
        <v/>
      </c>
      <c r="N65" s="130">
        <f>MAX(0,M65-M64)</f>
        <v/>
      </c>
      <c r="O65" s="129">
        <f>IF(B65&lt;='VALOR POR PL'!$P$5,'CP RESUMO'!BL51,"")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HISTORICOS'!BM9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RESUMO'!BM9</f>
        <v/>
      </c>
      <c r="N66" s="130">
        <f>MAX(0,M66-M65)</f>
        <v/>
      </c>
      <c r="O66" s="129">
        <f>IF(B66&lt;='VALOR POR PL'!$P$5,'CP RESUMO'!BM51,"")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HISTORICOS'!BN9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RESUMO'!BN9</f>
        <v/>
      </c>
      <c r="N67" s="130">
        <f>MAX(0,M67-M66)</f>
        <v/>
      </c>
      <c r="O67" s="129">
        <f>IF(B67&lt;='VALOR POR PL'!$P$5,'CP RESUMO'!BN51,"")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HISTORICOS'!BO9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RESUMO'!BO9</f>
        <v/>
      </c>
      <c r="N68" s="130">
        <f>MAX(0,M68-M67)</f>
        <v/>
      </c>
      <c r="O68" s="129">
        <f>IF(B68&lt;='VALOR POR PL'!$P$5,'CP RESUMO'!BO51,"")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HISTORICOS'!BP9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RESUMO'!BP9</f>
        <v/>
      </c>
      <c r="N69" s="130">
        <f>MAX(0,M69-M68)</f>
        <v/>
      </c>
      <c r="O69" s="129">
        <f>IF(B69&lt;='VALOR POR PL'!$P$5,'CP RESUMO'!BP51,"")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HISTORICOS'!BQ9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RESUMO'!BQ9</f>
        <v/>
      </c>
      <c r="N70" s="130">
        <f>MAX(0,M70-M69)</f>
        <v/>
      </c>
      <c r="O70" s="129">
        <f>IF(B70&lt;='VALOR POR PL'!$P$5,'CP RESUMO'!BQ51,"")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HISTORICOS'!BR9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RESUMO'!BR9</f>
        <v/>
      </c>
      <c r="N71" s="130">
        <f>MAX(0,M71-M70)</f>
        <v/>
      </c>
      <c r="O71" s="129">
        <f>IF(B71&lt;='VALOR POR PL'!$P$5,'CP RESUMO'!BR51,"")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HISTORICOS'!BS9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RESUMO'!BS9</f>
        <v/>
      </c>
      <c r="N72" s="130">
        <f>MAX(0,M72-M71)</f>
        <v/>
      </c>
      <c r="O72" s="129">
        <f>IF(B72&lt;='VALOR POR PL'!$P$5,'CP RESUMO'!BS51,"")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HISTORICOS'!BT9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RESUMO'!BT9</f>
        <v/>
      </c>
      <c r="N73" s="130">
        <f>MAX(0,M73-M72)</f>
        <v/>
      </c>
      <c r="O73" s="129">
        <f>IF(B73&lt;='VALOR POR PL'!$P$5,'CP RESUMO'!BT51,"")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HISTORICOS'!BU9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RESUMO'!BU9</f>
        <v/>
      </c>
      <c r="N74" s="130">
        <f>MAX(0,M74-M73)</f>
        <v/>
      </c>
      <c r="O74" s="129">
        <f>IF(B74&lt;='VALOR POR PL'!$P$5,'CP RESUMO'!BU51,"")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HISTORICOS'!BV9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RESUMO'!BV9</f>
        <v/>
      </c>
      <c r="N75" s="130">
        <f>MAX(0,M75-M74)</f>
        <v/>
      </c>
      <c r="O75" s="129">
        <f>IF(B75&lt;='VALOR POR PL'!$P$5,'CP RESUMO'!BV51,"")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HISTORICOS'!BW9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RESUMO'!BW9</f>
        <v/>
      </c>
      <c r="N76" s="130">
        <f>MAX(0,M76-M75)</f>
        <v/>
      </c>
      <c r="O76" s="129">
        <f>IF(B76&lt;='VALOR POR PL'!$P$5,'CP RESUMO'!BW51,"")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HISTORICOS'!D10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PL'!F16</f>
        <v/>
      </c>
      <c r="K5" s="62">
        <f>'VALOR POR PL'!G16</f>
        <v/>
      </c>
      <c r="M5" s="129">
        <f>'CP RESUMO'!D10</f>
        <v/>
      </c>
      <c r="N5" s="130" t="n">
        <v>0</v>
      </c>
      <c r="O5" s="129">
        <f>IF(B5&lt;='VALOR POR PL'!$P$5,'CP RESUMO'!D52,"")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HISTORICOS'!E10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RESUMO'!E10</f>
        <v/>
      </c>
      <c r="N6" s="130">
        <f>MAX(0,M6-M5)</f>
        <v/>
      </c>
      <c r="O6" s="129">
        <f>IF(B6&lt;='VALOR POR PL'!$P$5,'CP RESUMO'!E52,"")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HISTORICOS'!F10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PL'!L16</f>
        <v/>
      </c>
      <c r="M7" s="129">
        <f>'CP RESUMO'!F10</f>
        <v/>
      </c>
      <c r="N7" s="130">
        <f>MAX(0,M7-M6)</f>
        <v/>
      </c>
      <c r="O7" s="129">
        <f>IF(B7&lt;='VALOR POR PL'!$P$5,'CP RESUMO'!F52,"")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HISTORICOS'!G10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RESUMO'!G10</f>
        <v/>
      </c>
      <c r="N8" s="130">
        <f>MAX(0,M8-M7)</f>
        <v/>
      </c>
      <c r="O8" s="129">
        <f>IF(B8&lt;='VALOR POR PL'!$P$5,'CP RESUMO'!G52,"")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HISTORICOS'!H10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RESUMO'!H10</f>
        <v/>
      </c>
      <c r="N9" s="130">
        <f>MAX(0,M9-M8)</f>
        <v/>
      </c>
      <c r="O9" s="129">
        <f>IF(B9&lt;='VALOR POR PL'!$P$5,'CP RESUMO'!H52,"")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HISTORICOS'!I10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RESUMO'!I10</f>
        <v/>
      </c>
      <c r="N10" s="130">
        <f>MAX(0,M10-M9)</f>
        <v/>
      </c>
      <c r="O10" s="129">
        <f>IF(B10&lt;='VALOR POR PL'!$P$5,'CP RESUMO'!I52,"")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HISTORICOS'!J10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RESUMO'!J10</f>
        <v/>
      </c>
      <c r="N11" s="130">
        <f>MAX(0,M11-M10)</f>
        <v/>
      </c>
      <c r="O11" s="129">
        <f>IF(B11&lt;='VALOR POR PL'!$P$5,'CP RESUMO'!J52,"")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HISTORICOS'!K10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RESUMO'!K10</f>
        <v/>
      </c>
      <c r="N12" s="130">
        <f>MAX(0,M12-M11)</f>
        <v/>
      </c>
      <c r="O12" s="129">
        <f>IF(B12&lt;='VALOR POR PL'!$P$5,'CP RESUMO'!K52,"")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HISTORICOS'!L10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PL'!I16</f>
        <v/>
      </c>
      <c r="M13" s="129">
        <f>'CP RESUMO'!L10</f>
        <v/>
      </c>
      <c r="N13" s="130">
        <f>MAX(0,M13-M12)</f>
        <v/>
      </c>
      <c r="O13" s="129">
        <f>IF(B13&lt;='VALOR POR PL'!$P$5,'CP RESUMO'!L52,"")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HISTORICOS'!M10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RESUMO'!$D$52:$BW$52,MATCH('VALOR POR PL'!$P$5,'CP RESUMO'!$D$4:$BW$4,0))/100,0)</f>
        <v/>
      </c>
      <c r="M14" s="129">
        <f>'CP RESUMO'!M10</f>
        <v/>
      </c>
      <c r="N14" s="130">
        <f>MAX(0,M14-M13)</f>
        <v/>
      </c>
      <c r="O14" s="129">
        <f>IF(B14&lt;='VALOR POR PL'!$P$5,'CP RESUMO'!M52,"")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HISTORICOS'!N10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RESUMO'!N10</f>
        <v/>
      </c>
      <c r="N15" s="130">
        <f>MAX(0,M15-M14)</f>
        <v/>
      </c>
      <c r="O15" s="129">
        <f>IF(B15&lt;='VALOR POR PL'!$P$5,'CP RESUMO'!N52,"")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HISTORICOS'!O10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RESUMO'!O10</f>
        <v/>
      </c>
      <c r="N16" s="130">
        <f>MAX(0,M16-M15)</f>
        <v/>
      </c>
      <c r="O16" s="129">
        <f>IF(B16&lt;='VALOR POR PL'!$P$5,'CP RESUMO'!O52,"")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HISTORICOS'!P10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RESUMO'!P10</f>
        <v/>
      </c>
      <c r="N17" s="130">
        <f>MAX(0,M17-M16)</f>
        <v/>
      </c>
      <c r="O17" s="129">
        <f>IF(B17&lt;='VALOR POR PL'!$P$5,'CP RESUMO'!P52,"")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HISTORICOS'!Q10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RESUMO'!Q10</f>
        <v/>
      </c>
      <c r="N18" s="130">
        <f>MAX(0,M18-M17)</f>
        <v/>
      </c>
      <c r="O18" s="129">
        <f>IF(B18&lt;='VALOR POR PL'!$P$5,'CP RESUMO'!Q52,"")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HISTORICOS'!R10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RESUMO'!R10</f>
        <v/>
      </c>
      <c r="N19" s="130">
        <f>MAX(0,M19-M18)</f>
        <v/>
      </c>
      <c r="O19" s="129">
        <f>IF(B19&lt;='VALOR POR PL'!$P$5,'CP RESUMO'!R52,"")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HISTORICOS'!S10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RESUMO'!S10</f>
        <v/>
      </c>
      <c r="N20" s="130">
        <f>MAX(0,M20-M19)</f>
        <v/>
      </c>
      <c r="O20" s="129">
        <f>IF(B20&lt;='VALOR POR PL'!$P$5,'CP RESUMO'!S52,"")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HISTORICOS'!T10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RESUMO'!T10</f>
        <v/>
      </c>
      <c r="N21" s="130">
        <f>MAX(0,M21-M20)</f>
        <v/>
      </c>
      <c r="O21" s="129">
        <f>IF(B21&lt;='VALOR POR PL'!$P$5,'CP RESUMO'!T52,"")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HISTORICOS'!U10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RESUMO'!U10</f>
        <v/>
      </c>
      <c r="N22" s="130">
        <f>MAX(0,M22-M21)</f>
        <v/>
      </c>
      <c r="O22" s="129">
        <f>IF(B22&lt;='VALOR POR PL'!$P$5,'CP RESUMO'!U52,"")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HISTORICOS'!V10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RESUMO'!V10</f>
        <v/>
      </c>
      <c r="N23" s="130">
        <f>MAX(0,M23-M22)</f>
        <v/>
      </c>
      <c r="O23" s="129">
        <f>IF(B23&lt;='VALOR POR PL'!$P$5,'CP RESUMO'!V52,"")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HISTORICOS'!W10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RESUMO'!W10</f>
        <v/>
      </c>
      <c r="N24" s="130">
        <f>MAX(0,M24-M23)</f>
        <v/>
      </c>
      <c r="O24" s="129">
        <f>IF(B24&lt;='VALOR POR PL'!$P$5,'CP RESUMO'!W52,"")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HISTORICOS'!X10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RESUMO'!X10</f>
        <v/>
      </c>
      <c r="N25" s="130">
        <f>MAX(0,M25-M24)</f>
        <v/>
      </c>
      <c r="O25" s="129">
        <f>IF(B25&lt;='VALOR POR PL'!$P$5,'CP RESUMO'!X52,"")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HISTORICOS'!Y10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10541.48</v>
      </c>
      <c r="M26" s="129">
        <f>'CP RESUMO'!Y10</f>
        <v/>
      </c>
      <c r="N26" s="130">
        <f>MAX(0,M26-M25)</f>
        <v/>
      </c>
      <c r="O26" s="129">
        <f>IF(B26&lt;='VALOR POR PL'!$P$5,'CP RESUMO'!Y52,"")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HISTORICOS'!Z10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11379.4</v>
      </c>
      <c r="M27" s="129">
        <f>'CP RESUMO'!Z10</f>
        <v/>
      </c>
      <c r="N27" s="130">
        <f>MAX(0,M27-M26)</f>
        <v/>
      </c>
      <c r="O27" s="129">
        <f>IF(B27&lt;='VALOR POR PL'!$P$5,'CP RESUMO'!Z52,"")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HISTORICOS'!AA10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11128.35</v>
      </c>
      <c r="M28" s="129">
        <f>'CP RESUMO'!AA10</f>
        <v/>
      </c>
      <c r="N28" s="130">
        <f>MAX(0,M28-M27)</f>
        <v/>
      </c>
      <c r="O28" s="129">
        <f>IF(B28&lt;='VALOR POR PL'!$P$5,'CP RESUMO'!AA52,"")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HISTORICOS'!AB10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10642.17</v>
      </c>
      <c r="M29" s="129">
        <f>'CP RESUMO'!AB10</f>
        <v/>
      </c>
      <c r="N29" s="130">
        <f>MAX(0,M29-M28)</f>
        <v/>
      </c>
      <c r="O29" s="129">
        <f>IF(B29&lt;='VALOR POR PL'!$P$5,'CP RESUMO'!AB52,"")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HISTORICOS'!AC10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10269.24</v>
      </c>
      <c r="M30" s="129">
        <f>'CP RESUMO'!AC10</f>
        <v/>
      </c>
      <c r="N30" s="130">
        <f>MAX(0,M30-M29)</f>
        <v/>
      </c>
      <c r="O30" s="129">
        <f>IF(B30&lt;='VALOR POR PL'!$P$5,'CP RESUMO'!AC52,"")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HISTORICOS'!AD10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11105.6</v>
      </c>
      <c r="M31" s="129">
        <f>'CP RESUMO'!AD10</f>
        <v/>
      </c>
      <c r="N31" s="130">
        <f>MAX(0,M31-M30)</f>
        <v/>
      </c>
      <c r="O31" s="129">
        <f>IF(B31&lt;='VALOR POR PL'!$P$5,'CP RESUMO'!AD52,"")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HISTORICOS'!AE10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11301.04</v>
      </c>
      <c r="M32" s="129">
        <f>'CP RESUMO'!AE10</f>
        <v/>
      </c>
      <c r="N32" s="130">
        <f>MAX(0,M32-M31)</f>
        <v/>
      </c>
      <c r="O32" s="129">
        <f>IF(B32&lt;='VALOR POR PL'!$P$5,'CP RESUMO'!AE52,"")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HISTORICOS'!AF10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10888.96</v>
      </c>
      <c r="M33" s="129">
        <f>'CP RESUMO'!AF10</f>
        <v/>
      </c>
      <c r="N33" s="130">
        <f>MAX(0,M33-M32)</f>
        <v/>
      </c>
      <c r="O33" s="129">
        <f>IF(B33&lt;='VALOR POR PL'!$P$5,'CP RESUMO'!AF52,"")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HISTORICOS'!AG10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11189.99</v>
      </c>
      <c r="M34" s="129">
        <f>'CP RESUMO'!AG10</f>
        <v/>
      </c>
      <c r="N34" s="130">
        <f>MAX(0,M34-M33)</f>
        <v/>
      </c>
      <c r="O34" s="129">
        <f>IF(B34&lt;='VALOR POR PL'!$P$5,'CP RESUMO'!AG52,"")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HISTORICOS'!AH10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11332.57</v>
      </c>
      <c r="M35" s="129">
        <f>'CP RESUMO'!AH10</f>
        <v/>
      </c>
      <c r="N35" s="130">
        <f>MAX(0,M35-M34)</f>
        <v/>
      </c>
      <c r="O35" s="129">
        <f>IF(B35&lt;='VALOR POR PL'!$P$5,'CP RESUMO'!AH52,"")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HISTORICOS'!AI10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11583.14</v>
      </c>
      <c r="M36" s="129">
        <f>'CP RESUMO'!AI10</f>
        <v/>
      </c>
      <c r="N36" s="130">
        <f>MAX(0,M36-M35)</f>
        <v/>
      </c>
      <c r="O36" s="129">
        <f>IF(B36&lt;='VALOR POR PL'!$P$5,'CP RESUMO'!AI52,"")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HISTORICOS'!AJ10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11935.17</v>
      </c>
      <c r="M37" s="129">
        <f>'CP RESUMO'!AJ10</f>
        <v/>
      </c>
      <c r="N37" s="130">
        <f>MAX(0,M37-M36)</f>
        <v/>
      </c>
      <c r="O37" s="129">
        <f>IF(B37&lt;='VALOR POR PL'!$P$5,'CP RESUMO'!AJ52,"")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HISTORICOS'!AK10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12480.22</v>
      </c>
      <c r="M38" s="129">
        <f>'CP RESUMO'!AK10</f>
        <v/>
      </c>
      <c r="N38" s="130">
        <f>MAX(0,M38-M37)</f>
        <v/>
      </c>
      <c r="O38" s="129">
        <f>IF(B38&lt;='VALOR POR PL'!$P$5,'CP RESUMO'!AK52,"")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HISTORICOS'!AL10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12867.83</v>
      </c>
      <c r="M39" s="129">
        <f>'CP RESUMO'!AL10</f>
        <v/>
      </c>
      <c r="N39" s="130">
        <f>MAX(0,M39-M38)</f>
        <v/>
      </c>
      <c r="O39" s="129">
        <f>IF(B39&lt;='VALOR POR PL'!$P$5,'CP RESUMO'!AL52,"")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HISTORICOS'!AM10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12853.32</v>
      </c>
      <c r="M40" s="129">
        <f>'CP RESUMO'!AM10</f>
        <v/>
      </c>
      <c r="N40" s="130">
        <f>MAX(0,M40-M39)</f>
        <v/>
      </c>
      <c r="O40" s="129">
        <f>IF(B40&lt;='VALOR POR PL'!$P$5,'CP RESUMO'!AM52,"")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HISTORICOS'!AN10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13195.68</v>
      </c>
      <c r="M41" s="129">
        <f>'CP RESUMO'!AN10</f>
        <v/>
      </c>
      <c r="N41" s="130">
        <f>MAX(0,M41-M40)</f>
        <v/>
      </c>
      <c r="O41" s="129">
        <f>IF(B41&lt;='VALOR POR PL'!$P$5,'CP RESUMO'!AN52,"")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HISTORICOS'!AO10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12006.76</v>
      </c>
      <c r="M42" s="129">
        <f>'CP RESUMO'!AO10</f>
        <v/>
      </c>
      <c r="N42" s="130">
        <f>MAX(0,M42-M41)</f>
        <v/>
      </c>
      <c r="O42" s="129">
        <f>IF(B42&lt;='VALOR POR PL'!$P$5,'CP RESUMO'!AO52,"")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HISTORICOS'!AP10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12952.12</v>
      </c>
      <c r="M43" s="129">
        <f>'CP RESUMO'!AP10</f>
        <v/>
      </c>
      <c r="N43" s="130">
        <f>MAX(0,M43-M42)</f>
        <v/>
      </c>
      <c r="O43" s="129">
        <f>IF(B43&lt;='VALOR POR PL'!$P$5,'CP RESUMO'!AP52,"")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HISTORICOS'!AQ10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12741.85</v>
      </c>
      <c r="M44" s="129">
        <f>'CP RESUMO'!AQ10</f>
        <v/>
      </c>
      <c r="N44" s="130">
        <f>MAX(0,M44-M43)</f>
        <v/>
      </c>
      <c r="O44" s="129">
        <f>IF(B44&lt;='VALOR POR PL'!$P$5,'CP RESUMO'!AQ52,"")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HISTORICOS'!AR10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12613.6</v>
      </c>
      <c r="M45" s="129">
        <f>'CP RESUMO'!AR10</f>
        <v/>
      </c>
      <c r="N45" s="130">
        <f>MAX(0,M45-M44)</f>
        <v/>
      </c>
      <c r="O45" s="129">
        <f>IF(B45&lt;='VALOR POR PL'!$P$5,'CP RESUMO'!AR52,"")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HISTORICOS'!AS10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12214.28</v>
      </c>
      <c r="M46" s="129">
        <f>'CP RESUMO'!AS10</f>
        <v/>
      </c>
      <c r="N46" s="130">
        <f>MAX(0,M46-M45)</f>
        <v/>
      </c>
      <c r="O46" s="129">
        <f>IF(B46&lt;='VALOR POR PL'!$P$5,'CP RESUMO'!AS52,"")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HISTORICOS'!AT10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12961.71</v>
      </c>
      <c r="M47" s="129">
        <f>'CP RESUMO'!AT10</f>
        <v/>
      </c>
      <c r="N47" s="130">
        <f>MAX(0,M47-M46)</f>
        <v/>
      </c>
      <c r="O47" s="129">
        <f>IF(B47&lt;='VALOR POR PL'!$P$5,'CP RESUMO'!AT52,"")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HISTORICOS'!AU10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12457.67</v>
      </c>
      <c r="M48" s="129">
        <f>'CP RESUMO'!AU10</f>
        <v/>
      </c>
      <c r="N48" s="130">
        <f>MAX(0,M48-M47)</f>
        <v/>
      </c>
      <c r="O48" s="129">
        <f>IF(B48&lt;='VALOR POR PL'!$P$5,'CP RESUMO'!AU52,"")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HISTORICOS'!AV10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12316.4</v>
      </c>
      <c r="M49" s="129">
        <f>'CP RESUMO'!AV10</f>
        <v/>
      </c>
      <c r="N49" s="130">
        <f>MAX(0,M49-M48)</f>
        <v/>
      </c>
      <c r="O49" s="129">
        <f>IF(B49&lt;='VALOR POR PL'!$P$5,'CP RESUMO'!AV52,"")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HISTORICOS'!AW10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12207.86</v>
      </c>
      <c r="M50" s="129">
        <f>'CP RESUMO'!AW10</f>
        <v/>
      </c>
      <c r="N50" s="130">
        <f>MAX(0,M50-M49)</f>
        <v/>
      </c>
      <c r="O50" s="129">
        <f>IF(B50&lt;='VALOR POR PL'!$P$5,'CP RESUMO'!AW52,"")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HISTORICOS'!AX10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11610.73</v>
      </c>
      <c r="M51" s="129">
        <f>'CP RESUMO'!AX10</f>
        <v/>
      </c>
      <c r="N51" s="130">
        <f>MAX(0,M51-M50)</f>
        <v/>
      </c>
      <c r="O51" s="129">
        <f>IF(B51&lt;='VALOR POR PL'!$P$5,'CP RESUMO'!AX52,"")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HISTORICOS'!AY10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11025.61</v>
      </c>
      <c r="M52" s="129">
        <f>'CP RESUMO'!AY10</f>
        <v/>
      </c>
      <c r="N52" s="130">
        <f>MAX(0,M52-M51)</f>
        <v/>
      </c>
      <c r="O52" s="129">
        <f>IF(B52&lt;='VALOR POR PL'!$P$5,'CP RESUMO'!AY52,"")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HISTORICOS'!AZ10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10312.1</v>
      </c>
      <c r="M53" s="129">
        <f>'CP RESUMO'!AZ10</f>
        <v/>
      </c>
      <c r="N53" s="130">
        <f>MAX(0,M53-M52)</f>
        <v/>
      </c>
      <c r="O53" s="129">
        <f>IF(B53&lt;='VALOR POR PL'!$P$5,'CP RESUMO'!AZ52,"")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HISTORICOS'!BA10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9972.52</v>
      </c>
      <c r="M54" s="129">
        <f>'CP RESUMO'!BA10</f>
        <v/>
      </c>
      <c r="N54" s="130">
        <f>MAX(0,M54-M53)</f>
        <v/>
      </c>
      <c r="O54" s="129">
        <f>IF(B54&lt;='VALOR POR PL'!$P$5,'CP RESUMO'!BA52,"")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HISTORICOS'!BB10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9937.309999999999</v>
      </c>
      <c r="M55" s="129">
        <f>'CP RESUMO'!BB10</f>
        <v/>
      </c>
      <c r="N55" s="130">
        <f>MAX(0,M55-M54)</f>
        <v/>
      </c>
      <c r="O55" s="129">
        <f>IF(B55&lt;='VALOR POR PL'!$P$5,'CP RESUMO'!BB52,"")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HISTORICOS'!BC10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9524.9</v>
      </c>
      <c r="M56" s="129">
        <f>'CP RESUMO'!BC10</f>
        <v/>
      </c>
      <c r="N56" s="130">
        <f>MAX(0,M56-M55)</f>
        <v/>
      </c>
      <c r="O56" s="129">
        <f>IF(B56&lt;='VALOR POR PL'!$P$5,'CP RESUMO'!BC52,"")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HISTORICOS'!BD10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9124.110000000001</v>
      </c>
      <c r="M57" s="129">
        <f>'CP RESUMO'!BD10</f>
        <v/>
      </c>
      <c r="N57" s="130">
        <f>MAX(0,M57-M56)</f>
        <v/>
      </c>
      <c r="O57" s="129">
        <f>IF(B57&lt;='VALOR POR PL'!$P$5,'CP RESUMO'!BD52,"")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HISTORICOS'!BE10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9124.110000000001</v>
      </c>
      <c r="M58" s="129">
        <f>'CP RESUMO'!BE10</f>
        <v/>
      </c>
      <c r="N58" s="130">
        <f>MAX(0,M58-M57)</f>
        <v/>
      </c>
      <c r="O58" s="129">
        <f>IF(B58&lt;='VALOR POR PL'!$P$5,'CP RESUMO'!BE52,"")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HISTORICOS'!BF10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>
        <v>9124.110000000001</v>
      </c>
      <c r="M59" s="129">
        <f>'CP RESUMO'!BF10</f>
        <v/>
      </c>
      <c r="N59" s="130">
        <f>MAX(0,M59-M58)</f>
        <v/>
      </c>
      <c r="O59" s="129">
        <f>IF(B59&lt;='VALOR POR PL'!$P$5,'CP RESUMO'!BF52,"")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HISTORICOS'!BG10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RESUMO'!BG10</f>
        <v/>
      </c>
      <c r="N60" s="130">
        <f>MAX(0,M60-M59)</f>
        <v/>
      </c>
      <c r="O60" s="129">
        <f>IF(B60&lt;='VALOR POR PL'!$P$5,'CP RESUMO'!BG52,"")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HISTORICOS'!BH10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>
        <v>107586.39</v>
      </c>
      <c r="M61" s="129">
        <f>'CP RESUMO'!BH10</f>
        <v/>
      </c>
      <c r="N61" s="130">
        <f>MAX(0,M61-M60)</f>
        <v/>
      </c>
      <c r="O61" s="129">
        <f>IF(B61&lt;='VALOR POR PL'!$P$5,'CP RESUMO'!BH52,"")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HISTORICOS'!BI10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RESUMO'!BI10</f>
        <v/>
      </c>
      <c r="N62" s="130">
        <f>MAX(0,M62-M61)</f>
        <v/>
      </c>
      <c r="O62" s="129">
        <f>IF(B62&lt;='VALOR POR PL'!$P$5,'CP RESUMO'!BI52,"")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HISTORICOS'!BJ10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RESUMO'!BJ10</f>
        <v/>
      </c>
      <c r="N63" s="130">
        <f>MAX(0,M63-M62)</f>
        <v/>
      </c>
      <c r="O63" s="129">
        <f>IF(B63&lt;='VALOR POR PL'!$P$5,'CP RESUMO'!BJ52,"")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HISTORICOS'!BK10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RESUMO'!BK10</f>
        <v/>
      </c>
      <c r="N64" s="130">
        <f>MAX(0,M64-M63)</f>
        <v/>
      </c>
      <c r="O64" s="129">
        <f>IF(B64&lt;='VALOR POR PL'!$P$5,'CP RESUMO'!BK52,"")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HISTORICOS'!BL10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RESUMO'!BL10</f>
        <v/>
      </c>
      <c r="N65" s="130">
        <f>MAX(0,M65-M64)</f>
        <v/>
      </c>
      <c r="O65" s="129">
        <f>IF(B65&lt;='VALOR POR PL'!$P$5,'CP RESUMO'!BL52,"")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HISTORICOS'!BM10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RESUMO'!BM10</f>
        <v/>
      </c>
      <c r="N66" s="130">
        <f>MAX(0,M66-M65)</f>
        <v/>
      </c>
      <c r="O66" s="129">
        <f>IF(B66&lt;='VALOR POR PL'!$P$5,'CP RESUMO'!BM52,"")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HISTORICOS'!BN10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RESUMO'!BN10</f>
        <v/>
      </c>
      <c r="N67" s="130">
        <f>MAX(0,M67-M66)</f>
        <v/>
      </c>
      <c r="O67" s="129">
        <f>IF(B67&lt;='VALOR POR PL'!$P$5,'CP RESUMO'!BN52,"")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HISTORICOS'!BO10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RESUMO'!BO10</f>
        <v/>
      </c>
      <c r="N68" s="130">
        <f>MAX(0,M68-M67)</f>
        <v/>
      </c>
      <c r="O68" s="129">
        <f>IF(B68&lt;='VALOR POR PL'!$P$5,'CP RESUMO'!BO52,"")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HISTORICOS'!BP10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RESUMO'!BP10</f>
        <v/>
      </c>
      <c r="N69" s="130">
        <f>MAX(0,M69-M68)</f>
        <v/>
      </c>
      <c r="O69" s="129">
        <f>IF(B69&lt;='VALOR POR PL'!$P$5,'CP RESUMO'!BP52,"")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HISTORICOS'!BQ10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RESUMO'!BQ10</f>
        <v/>
      </c>
      <c r="N70" s="130">
        <f>MAX(0,M70-M69)</f>
        <v/>
      </c>
      <c r="O70" s="129">
        <f>IF(B70&lt;='VALOR POR PL'!$P$5,'CP RESUMO'!BQ52,"")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HISTORICOS'!BR10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RESUMO'!BR10</f>
        <v/>
      </c>
      <c r="N71" s="130">
        <f>MAX(0,M71-M70)</f>
        <v/>
      </c>
      <c r="O71" s="129">
        <f>IF(B71&lt;='VALOR POR PL'!$P$5,'CP RESUMO'!BR52,"")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HISTORICOS'!BS10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RESUMO'!BS10</f>
        <v/>
      </c>
      <c r="N72" s="130">
        <f>MAX(0,M72-M71)</f>
        <v/>
      </c>
      <c r="O72" s="129">
        <f>IF(B72&lt;='VALOR POR PL'!$P$5,'CP RESUMO'!BS52,"")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HISTORICOS'!BT10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RESUMO'!BT10</f>
        <v/>
      </c>
      <c r="N73" s="130">
        <f>MAX(0,M73-M72)</f>
        <v/>
      </c>
      <c r="O73" s="129">
        <f>IF(B73&lt;='VALOR POR PL'!$P$5,'CP RESUMO'!BT52,"")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HISTORICOS'!BU10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RESUMO'!BU10</f>
        <v/>
      </c>
      <c r="N74" s="130">
        <f>MAX(0,M74-M73)</f>
        <v/>
      </c>
      <c r="O74" s="129">
        <f>IF(B74&lt;='VALOR POR PL'!$P$5,'CP RESUMO'!BU52,"")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HISTORICOS'!BV10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RESUMO'!BV10</f>
        <v/>
      </c>
      <c r="N75" s="130">
        <f>MAX(0,M75-M74)</f>
        <v/>
      </c>
      <c r="O75" s="129">
        <f>IF(B75&lt;='VALOR POR PL'!$P$5,'CP RESUMO'!BV52,"")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HISTORICOS'!BW10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RESUMO'!BW10</f>
        <v/>
      </c>
      <c r="N76" s="130">
        <f>MAX(0,M76-M75)</f>
        <v/>
      </c>
      <c r="O76" s="129">
        <f>IF(B76&lt;='VALOR POR PL'!$P$5,'CP RESUMO'!BW52,"")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HISTORICOS'!D11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PL'!F17</f>
        <v/>
      </c>
      <c r="K5" s="62">
        <f>'VALOR POR PL'!G17</f>
        <v/>
      </c>
      <c r="M5" s="129">
        <f>'CP RESUMO'!D11</f>
        <v/>
      </c>
      <c r="N5" s="130" t="n">
        <v>0</v>
      </c>
      <c r="O5" s="129">
        <f>IF(B5&lt;='VALOR POR PL'!$P$5,'CP RESUMO'!D53,"")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HISTORICOS'!E11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RESUMO'!E11</f>
        <v/>
      </c>
      <c r="N6" s="130">
        <f>MAX(0,M6-M5)</f>
        <v/>
      </c>
      <c r="O6" s="129">
        <f>IF(B6&lt;='VALOR POR PL'!$P$5,'CP RESUMO'!E53,"")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HISTORICOS'!F11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PL'!L17</f>
        <v/>
      </c>
      <c r="M7" s="129">
        <f>'CP RESUMO'!F11</f>
        <v/>
      </c>
      <c r="N7" s="130">
        <f>MAX(0,M7-M6)</f>
        <v/>
      </c>
      <c r="O7" s="129">
        <f>IF(B7&lt;='VALOR POR PL'!$P$5,'CP RESUMO'!F53,"")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HISTORICOS'!G11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RESUMO'!G11</f>
        <v/>
      </c>
      <c r="N8" s="130">
        <f>MAX(0,M8-M7)</f>
        <v/>
      </c>
      <c r="O8" s="129">
        <f>IF(B8&lt;='VALOR POR PL'!$P$5,'CP RESUMO'!G53,"")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HISTORICOS'!H11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RESUMO'!H11</f>
        <v/>
      </c>
      <c r="N9" s="130">
        <f>MAX(0,M9-M8)</f>
        <v/>
      </c>
      <c r="O9" s="129">
        <f>IF(B9&lt;='VALOR POR PL'!$P$5,'CP RESUMO'!H53,"")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HISTORICOS'!I11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RESUMO'!I11</f>
        <v/>
      </c>
      <c r="N10" s="130">
        <f>MAX(0,M10-M9)</f>
        <v/>
      </c>
      <c r="O10" s="129">
        <f>IF(B10&lt;='VALOR POR PL'!$P$5,'CP RESUMO'!I53,"")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HISTORICOS'!J11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RESUMO'!J11</f>
        <v/>
      </c>
      <c r="N11" s="130">
        <f>MAX(0,M11-M10)</f>
        <v/>
      </c>
      <c r="O11" s="129">
        <f>IF(B11&lt;='VALOR POR PL'!$P$5,'CP RESUMO'!J53,"")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HISTORICOS'!K11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RESUMO'!K11</f>
        <v/>
      </c>
      <c r="N12" s="130">
        <f>MAX(0,M12-M11)</f>
        <v/>
      </c>
      <c r="O12" s="129">
        <f>IF(B12&lt;='VALOR POR PL'!$P$5,'CP RESUMO'!K53,"")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HISTORICOS'!L11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PL'!I17</f>
        <v/>
      </c>
      <c r="M13" s="129">
        <f>'CP RESUMO'!L11</f>
        <v/>
      </c>
      <c r="N13" s="130">
        <f>MAX(0,M13-M12)</f>
        <v/>
      </c>
      <c r="O13" s="129">
        <f>IF(B13&lt;='VALOR POR PL'!$P$5,'CP RESUMO'!L53,"")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HISTORICOS'!M11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RESUMO'!$D$53:$BW$53,MATCH('VALOR POR PL'!$P$5,'CP RESUMO'!$D$4:$BW$4,0))/100,0)</f>
        <v/>
      </c>
      <c r="M14" s="129">
        <f>'CP RESUMO'!M11</f>
        <v/>
      </c>
      <c r="N14" s="130">
        <f>MAX(0,M14-M13)</f>
        <v/>
      </c>
      <c r="O14" s="129">
        <f>IF(B14&lt;='VALOR POR PL'!$P$5,'CP RESUMO'!M53,"")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HISTORICOS'!N11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RESUMO'!N11</f>
        <v/>
      </c>
      <c r="N15" s="130">
        <f>MAX(0,M15-M14)</f>
        <v/>
      </c>
      <c r="O15" s="129">
        <f>IF(B15&lt;='VALOR POR PL'!$P$5,'CP RESUMO'!N53,"")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HISTORICOS'!O11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RESUMO'!O11</f>
        <v/>
      </c>
      <c r="N16" s="130">
        <f>MAX(0,M16-M15)</f>
        <v/>
      </c>
      <c r="O16" s="129">
        <f>IF(B16&lt;='VALOR POR PL'!$P$5,'CP RESUMO'!O53,"")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HISTORICOS'!P11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RESUMO'!P11</f>
        <v/>
      </c>
      <c r="N17" s="130">
        <f>MAX(0,M17-M16)</f>
        <v/>
      </c>
      <c r="O17" s="129">
        <f>IF(B17&lt;='VALOR POR PL'!$P$5,'CP RESUMO'!P53,"")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HISTORICOS'!Q11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RESUMO'!Q11</f>
        <v/>
      </c>
      <c r="N18" s="130">
        <f>MAX(0,M18-M17)</f>
        <v/>
      </c>
      <c r="O18" s="129">
        <f>IF(B18&lt;='VALOR POR PL'!$P$5,'CP RESUMO'!Q53,"")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HISTORICOS'!R11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RESUMO'!R11</f>
        <v/>
      </c>
      <c r="N19" s="130">
        <f>MAX(0,M19-M18)</f>
        <v/>
      </c>
      <c r="O19" s="129">
        <f>IF(B19&lt;='VALOR POR PL'!$P$5,'CP RESUMO'!R53,"")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HISTORICOS'!S11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RESUMO'!S11</f>
        <v/>
      </c>
      <c r="N20" s="130">
        <f>MAX(0,M20-M19)</f>
        <v/>
      </c>
      <c r="O20" s="129">
        <f>IF(B20&lt;='VALOR POR PL'!$P$5,'CP RESUMO'!S53,"")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HISTORICOS'!T11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RESUMO'!T11</f>
        <v/>
      </c>
      <c r="N21" s="130">
        <f>MAX(0,M21-M20)</f>
        <v/>
      </c>
      <c r="O21" s="129">
        <f>IF(B21&lt;='VALOR POR PL'!$P$5,'CP RESUMO'!T53,"")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HISTORICOS'!U11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RESUMO'!U11</f>
        <v/>
      </c>
      <c r="N22" s="130">
        <f>MAX(0,M22-M21)</f>
        <v/>
      </c>
      <c r="O22" s="129">
        <f>IF(B22&lt;='VALOR POR PL'!$P$5,'CP RESUMO'!U53,"")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HISTORICOS'!V11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RESUMO'!V11</f>
        <v/>
      </c>
      <c r="N23" s="130">
        <f>MAX(0,M23-M22)</f>
        <v/>
      </c>
      <c r="O23" s="129">
        <f>IF(B23&lt;='VALOR POR PL'!$P$5,'CP RESUMO'!V53,"")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HISTORICOS'!W11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RESUMO'!W11</f>
        <v/>
      </c>
      <c r="N24" s="130">
        <f>MAX(0,M24-M23)</f>
        <v/>
      </c>
      <c r="O24" s="129">
        <f>IF(B24&lt;='VALOR POR PL'!$P$5,'CP RESUMO'!W53,"")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HISTORICOS'!X11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RESUMO'!X11</f>
        <v/>
      </c>
      <c r="N25" s="130">
        <f>MAX(0,M25-M24)</f>
        <v/>
      </c>
      <c r="O25" s="129">
        <f>IF(B25&lt;='VALOR POR PL'!$P$5,'CP RESUMO'!X53,"")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HISTORICOS'!Y11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860.64</v>
      </c>
      <c r="M26" s="129">
        <f>'CP RESUMO'!Y11</f>
        <v/>
      </c>
      <c r="N26" s="130">
        <f>MAX(0,M26-M25)</f>
        <v/>
      </c>
      <c r="O26" s="129">
        <f>IF(B26&lt;='VALOR POR PL'!$P$5,'CP RESUMO'!Y53,"")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HISTORICOS'!Z11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3259.22</v>
      </c>
      <c r="M27" s="129">
        <f>'CP RESUMO'!Z11</f>
        <v/>
      </c>
      <c r="N27" s="130">
        <f>MAX(0,M27-M26)</f>
        <v/>
      </c>
      <c r="O27" s="129">
        <f>IF(B27&lt;='VALOR POR PL'!$P$5,'CP RESUMO'!Z53,"")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HISTORICOS'!AA11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4542.16</v>
      </c>
      <c r="M28" s="129">
        <f>'CP RESUMO'!AA11</f>
        <v/>
      </c>
      <c r="N28" s="130">
        <f>MAX(0,M28-M27)</f>
        <v/>
      </c>
      <c r="O28" s="129">
        <f>IF(B28&lt;='VALOR POR PL'!$P$5,'CP RESUMO'!AA53,"")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HISTORICOS'!AB11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4253.68</v>
      </c>
      <c r="M29" s="129">
        <f>'CP RESUMO'!AB11</f>
        <v/>
      </c>
      <c r="N29" s="130">
        <f>MAX(0,M29-M28)</f>
        <v/>
      </c>
      <c r="O29" s="129">
        <f>IF(B29&lt;='VALOR POR PL'!$P$5,'CP RESUMO'!AB53,"")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HISTORICOS'!AC11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4032.4</v>
      </c>
      <c r="M30" s="129">
        <f>'CP RESUMO'!AC11</f>
        <v/>
      </c>
      <c r="N30" s="130">
        <f>MAX(0,M30-M29)</f>
        <v/>
      </c>
      <c r="O30" s="129">
        <f>IF(B30&lt;='VALOR POR PL'!$P$5,'CP RESUMO'!AC53,"")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HISTORICOS'!AD11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4890.72</v>
      </c>
      <c r="M31" s="129">
        <f>'CP RESUMO'!AD11</f>
        <v/>
      </c>
      <c r="N31" s="130">
        <f>MAX(0,M31-M30)</f>
        <v/>
      </c>
      <c r="O31" s="129">
        <f>IF(B31&lt;='VALOR POR PL'!$P$5,'CP RESUMO'!AD53,"")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HISTORICOS'!AE11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5097.2</v>
      </c>
      <c r="M32" s="129">
        <f>'CP RESUMO'!AE11</f>
        <v/>
      </c>
      <c r="N32" s="130">
        <f>MAX(0,M32-M31)</f>
        <v/>
      </c>
      <c r="O32" s="129">
        <f>IF(B32&lt;='VALOR POR PL'!$P$5,'CP RESUMO'!AE53,"")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HISTORICOS'!AF11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4852.69</v>
      </c>
      <c r="M33" s="129">
        <f>'CP RESUMO'!AF11</f>
        <v/>
      </c>
      <c r="N33" s="130">
        <f>MAX(0,M33-M32)</f>
        <v/>
      </c>
      <c r="O33" s="129">
        <f>IF(B33&lt;='VALOR POR PL'!$P$5,'CP RESUMO'!AF53,"")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HISTORICOS'!AG11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5121.82</v>
      </c>
      <c r="M34" s="129">
        <f>'CP RESUMO'!AG11</f>
        <v/>
      </c>
      <c r="N34" s="130">
        <f>MAX(0,M34-M33)</f>
        <v/>
      </c>
      <c r="O34" s="129">
        <f>IF(B34&lt;='VALOR POR PL'!$P$5,'CP RESUMO'!AG53,"")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HISTORICOS'!AH11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5296.94</v>
      </c>
      <c r="M35" s="129">
        <f>'CP RESUMO'!AH11</f>
        <v/>
      </c>
      <c r="N35" s="130">
        <f>MAX(0,M35-M34)</f>
        <v/>
      </c>
      <c r="O35" s="129">
        <f>IF(B35&lt;='VALOR POR PL'!$P$5,'CP RESUMO'!AH53,"")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HISTORICOS'!AI11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5355.1</v>
      </c>
      <c r="M36" s="129">
        <f>'CP RESUMO'!AI11</f>
        <v/>
      </c>
      <c r="N36" s="130">
        <f>MAX(0,M36-M35)</f>
        <v/>
      </c>
      <c r="O36" s="129">
        <f>IF(B36&lt;='VALOR POR PL'!$P$5,'CP RESUMO'!AI53,"")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HISTORICOS'!AJ11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5563.98</v>
      </c>
      <c r="M37" s="129">
        <f>'CP RESUMO'!AJ11</f>
        <v/>
      </c>
      <c r="N37" s="130">
        <f>MAX(0,M37-M36)</f>
        <v/>
      </c>
      <c r="O37" s="129">
        <f>IF(B37&lt;='VALOR POR PL'!$P$5,'CP RESUMO'!AJ53,"")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HISTORICOS'!AK11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5977.91</v>
      </c>
      <c r="M38" s="129">
        <f>'CP RESUMO'!AK11</f>
        <v/>
      </c>
      <c r="N38" s="130">
        <f>MAX(0,M38-M37)</f>
        <v/>
      </c>
      <c r="O38" s="129">
        <f>IF(B38&lt;='VALOR POR PL'!$P$5,'CP RESUMO'!AK53,"")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HISTORICOS'!AL11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6207.91</v>
      </c>
      <c r="M39" s="129">
        <f>'CP RESUMO'!AL11</f>
        <v/>
      </c>
      <c r="N39" s="130">
        <f>MAX(0,M39-M38)</f>
        <v/>
      </c>
      <c r="O39" s="129">
        <f>IF(B39&lt;='VALOR POR PL'!$P$5,'CP RESUMO'!AL53,"")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HISTORICOS'!AM11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6018.27</v>
      </c>
      <c r="M40" s="129">
        <f>'CP RESUMO'!AM11</f>
        <v/>
      </c>
      <c r="N40" s="130">
        <f>MAX(0,M40-M39)</f>
        <v/>
      </c>
      <c r="O40" s="129">
        <f>IF(B40&lt;='VALOR POR PL'!$P$5,'CP RESUMO'!AM53,"")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HISTORICOS'!AN11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6221.41</v>
      </c>
      <c r="M41" s="129">
        <f>'CP RESUMO'!AN11</f>
        <v/>
      </c>
      <c r="N41" s="130">
        <f>MAX(0,M41-M40)</f>
        <v/>
      </c>
      <c r="O41" s="129">
        <f>IF(B41&lt;='VALOR POR PL'!$P$5,'CP RESUMO'!AN53,"")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HISTORICOS'!AO11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5515.95</v>
      </c>
      <c r="M42" s="129">
        <f>'CP RESUMO'!AO11</f>
        <v/>
      </c>
      <c r="N42" s="130">
        <f>MAX(0,M42-M41)</f>
        <v/>
      </c>
      <c r="O42" s="129">
        <f>IF(B42&lt;='VALOR POR PL'!$P$5,'CP RESUMO'!AO53,"")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HISTORICOS'!AP11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6076.89</v>
      </c>
      <c r="M43" s="129">
        <f>'CP RESUMO'!AP11</f>
        <v/>
      </c>
      <c r="N43" s="130">
        <f>MAX(0,M43-M42)</f>
        <v/>
      </c>
      <c r="O43" s="129">
        <f>IF(B43&lt;='VALOR POR PL'!$P$5,'CP RESUMO'!AP53,"")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HISTORICOS'!AQ11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5861.61</v>
      </c>
      <c r="M44" s="129">
        <f>'CP RESUMO'!AQ11</f>
        <v/>
      </c>
      <c r="N44" s="130">
        <f>MAX(0,M44-M43)</f>
        <v/>
      </c>
      <c r="O44" s="129">
        <f>IF(B44&lt;='VALOR POR PL'!$P$5,'CP RESUMO'!AQ53,"")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HISTORICOS'!AR11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5785.51</v>
      </c>
      <c r="M45" s="129">
        <f>'CP RESUMO'!AR11</f>
        <v/>
      </c>
      <c r="N45" s="130">
        <f>MAX(0,M45-M44)</f>
        <v/>
      </c>
      <c r="O45" s="129">
        <f>IF(B45&lt;='VALOR POR PL'!$P$5,'CP RESUMO'!AR53,"")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HISTORICOS'!AS11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5458.06</v>
      </c>
      <c r="M46" s="129">
        <f>'CP RESUMO'!AS11</f>
        <v/>
      </c>
      <c r="N46" s="130">
        <f>MAX(0,M46-M45)</f>
        <v/>
      </c>
      <c r="O46" s="129">
        <f>IF(B46&lt;='VALOR POR PL'!$P$5,'CP RESUMO'!AS53,"")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HISTORICOS'!AT11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5901.55</v>
      </c>
      <c r="M47" s="129">
        <f>'CP RESUMO'!AT11</f>
        <v/>
      </c>
      <c r="N47" s="130">
        <f>MAX(0,M47-M46)</f>
        <v/>
      </c>
      <c r="O47" s="129">
        <f>IF(B47&lt;='VALOR POR PL'!$P$5,'CP RESUMO'!AT53,"")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HISTORICOS'!AU11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5602.48</v>
      </c>
      <c r="M48" s="129">
        <f>'CP RESUMO'!AU11</f>
        <v/>
      </c>
      <c r="N48" s="130">
        <f>MAX(0,M48-M47)</f>
        <v/>
      </c>
      <c r="O48" s="129">
        <f>IF(B48&lt;='VALOR POR PL'!$P$5,'CP RESUMO'!AU53,"")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HISTORICOS'!AV11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5518.65</v>
      </c>
      <c r="M49" s="129">
        <f>'CP RESUMO'!AV11</f>
        <v/>
      </c>
      <c r="N49" s="130">
        <f>MAX(0,M49-M48)</f>
        <v/>
      </c>
      <c r="O49" s="129">
        <f>IF(B49&lt;='VALOR POR PL'!$P$5,'CP RESUMO'!AV53,"")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HISTORICOS'!AW11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5273.22</v>
      </c>
      <c r="M50" s="129">
        <f>'CP RESUMO'!AW11</f>
        <v/>
      </c>
      <c r="N50" s="130">
        <f>MAX(0,M50-M49)</f>
        <v/>
      </c>
      <c r="O50" s="129">
        <f>IF(B50&lt;='VALOR POR PL'!$P$5,'CP RESUMO'!AW53,"")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HISTORICOS'!AX11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4918.9</v>
      </c>
      <c r="M51" s="129">
        <f>'CP RESUMO'!AX11</f>
        <v/>
      </c>
      <c r="N51" s="130">
        <f>MAX(0,M51-M50)</f>
        <v/>
      </c>
      <c r="O51" s="129">
        <f>IF(B51&lt;='VALOR POR PL'!$P$5,'CP RESUMO'!AX53,"")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HISTORICOS'!AY11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4571.72</v>
      </c>
      <c r="M52" s="129">
        <f>'CP RESUMO'!AY11</f>
        <v/>
      </c>
      <c r="N52" s="130">
        <f>MAX(0,M52-M51)</f>
        <v/>
      </c>
      <c r="O52" s="129">
        <f>IF(B52&lt;='VALOR POR PL'!$P$5,'CP RESUMO'!AY53,"")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HISTORICOS'!AZ11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3695.77</v>
      </c>
      <c r="M53" s="129">
        <f>'CP RESUMO'!AZ11</f>
        <v/>
      </c>
      <c r="N53" s="130">
        <f>MAX(0,M53-M52)</f>
        <v/>
      </c>
      <c r="O53" s="129">
        <f>IF(B53&lt;='VALOR POR PL'!$P$5,'CP RESUMO'!AZ53,"")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HISTORICOS'!BA11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3222.74</v>
      </c>
      <c r="M54" s="129">
        <f>'CP RESUMO'!BA11</f>
        <v/>
      </c>
      <c r="N54" s="130">
        <f>MAX(0,M54-M53)</f>
        <v/>
      </c>
      <c r="O54" s="129">
        <f>IF(B54&lt;='VALOR POR PL'!$P$5,'CP RESUMO'!BA53,"")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HISTORICOS'!BB11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3201.84</v>
      </c>
      <c r="M55" s="129">
        <f>'CP RESUMO'!BB11</f>
        <v/>
      </c>
      <c r="N55" s="130">
        <f>MAX(0,M55-M54)</f>
        <v/>
      </c>
      <c r="O55" s="129">
        <f>IF(B55&lt;='VALOR POR PL'!$P$5,'CP RESUMO'!BB53,"")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HISTORICOS'!BC11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2504.57</v>
      </c>
      <c r="M56" s="129">
        <f>'CP RESUMO'!BC11</f>
        <v/>
      </c>
      <c r="N56" s="130">
        <f>MAX(0,M56-M55)</f>
        <v/>
      </c>
      <c r="O56" s="129">
        <f>IF(B56&lt;='VALOR POR PL'!$P$5,'CP RESUMO'!BC53,"")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HISTORICOS'!BD11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4419.96</v>
      </c>
      <c r="M57" s="129">
        <f>'CP RESUMO'!BD11</f>
        <v/>
      </c>
      <c r="N57" s="130">
        <f>MAX(0,M57-M56)</f>
        <v/>
      </c>
      <c r="O57" s="129">
        <f>IF(B57&lt;='VALOR POR PL'!$P$5,'CP RESUMO'!BD53,"")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HISTORICOS'!BE11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RESUMO'!BE11</f>
        <v/>
      </c>
      <c r="N58" s="130">
        <f>MAX(0,M58-M57)</f>
        <v/>
      </c>
      <c r="O58" s="129">
        <f>IF(B58&lt;='VALOR POR PL'!$P$5,'CP RESUMO'!BE53,"")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HISTORICOS'!BF11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RESUMO'!BF11</f>
        <v/>
      </c>
      <c r="N59" s="130">
        <f>MAX(0,M59-M58)</f>
        <v/>
      </c>
      <c r="O59" s="129">
        <f>IF(B59&lt;='VALOR POR PL'!$P$5,'CP RESUMO'!BF53,"")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HISTORICOS'!BG11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RESUMO'!BG11</f>
        <v/>
      </c>
      <c r="N60" s="130">
        <f>MAX(0,M60-M59)</f>
        <v/>
      </c>
      <c r="O60" s="129">
        <f>IF(B60&lt;='VALOR POR PL'!$P$5,'CP RESUMO'!BG53,"")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HISTORICOS'!BH11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RESUMO'!BH11</f>
        <v/>
      </c>
      <c r="N61" s="130">
        <f>MAX(0,M61-M60)</f>
        <v/>
      </c>
      <c r="O61" s="129">
        <f>IF(B61&lt;='VALOR POR PL'!$P$5,'CP RESUMO'!BH53,"")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HISTORICOS'!BI11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RESUMO'!BI11</f>
        <v/>
      </c>
      <c r="N62" s="130">
        <f>MAX(0,M62-M61)</f>
        <v/>
      </c>
      <c r="O62" s="129">
        <f>IF(B62&lt;='VALOR POR PL'!$P$5,'CP RESUMO'!BI53,"")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HISTORICOS'!BJ11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RESUMO'!BJ11</f>
        <v/>
      </c>
      <c r="N63" s="130">
        <f>MAX(0,M63-M62)</f>
        <v/>
      </c>
      <c r="O63" s="129">
        <f>IF(B63&lt;='VALOR POR PL'!$P$5,'CP RESUMO'!BJ53,"")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HISTORICOS'!BK11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RESUMO'!BK11</f>
        <v/>
      </c>
      <c r="N64" s="130">
        <f>MAX(0,M64-M63)</f>
        <v/>
      </c>
      <c r="O64" s="129">
        <f>IF(B64&lt;='VALOR POR PL'!$P$5,'CP RESUMO'!BK53,"")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HISTORICOS'!BL11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RESUMO'!BL11</f>
        <v/>
      </c>
      <c r="N65" s="130">
        <f>MAX(0,M65-M64)</f>
        <v/>
      </c>
      <c r="O65" s="129">
        <f>IF(B65&lt;='VALOR POR PL'!$P$5,'CP RESUMO'!BL53,"")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HISTORICOS'!BM11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RESUMO'!BM11</f>
        <v/>
      </c>
      <c r="N66" s="130">
        <f>MAX(0,M66-M65)</f>
        <v/>
      </c>
      <c r="O66" s="129">
        <f>IF(B66&lt;='VALOR POR PL'!$P$5,'CP RESUMO'!BM53,"")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HISTORICOS'!BN11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RESUMO'!BN11</f>
        <v/>
      </c>
      <c r="N67" s="130">
        <f>MAX(0,M67-M66)</f>
        <v/>
      </c>
      <c r="O67" s="129">
        <f>IF(B67&lt;='VALOR POR PL'!$P$5,'CP RESUMO'!BN53,"")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HISTORICOS'!BO11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RESUMO'!BO11</f>
        <v/>
      </c>
      <c r="N68" s="130">
        <f>MAX(0,M68-M67)</f>
        <v/>
      </c>
      <c r="O68" s="129">
        <f>IF(B68&lt;='VALOR POR PL'!$P$5,'CP RESUMO'!BO53,"")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HISTORICOS'!BP11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RESUMO'!BP11</f>
        <v/>
      </c>
      <c r="N69" s="130">
        <f>MAX(0,M69-M68)</f>
        <v/>
      </c>
      <c r="O69" s="129">
        <f>IF(B69&lt;='VALOR POR PL'!$P$5,'CP RESUMO'!BP53,"")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HISTORICOS'!BQ11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RESUMO'!BQ11</f>
        <v/>
      </c>
      <c r="N70" s="130">
        <f>MAX(0,M70-M69)</f>
        <v/>
      </c>
      <c r="O70" s="129">
        <f>IF(B70&lt;='VALOR POR PL'!$P$5,'CP RESUMO'!BQ53,"")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HISTORICOS'!BR11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RESUMO'!BR11</f>
        <v/>
      </c>
      <c r="N71" s="130">
        <f>MAX(0,M71-M70)</f>
        <v/>
      </c>
      <c r="O71" s="129">
        <f>IF(B71&lt;='VALOR POR PL'!$P$5,'CP RESUMO'!BR53,"")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HISTORICOS'!BS11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RESUMO'!BS11</f>
        <v/>
      </c>
      <c r="N72" s="130">
        <f>MAX(0,M72-M71)</f>
        <v/>
      </c>
      <c r="O72" s="129">
        <f>IF(B72&lt;='VALOR POR PL'!$P$5,'CP RESUMO'!BS53,"")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HISTORICOS'!BT11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RESUMO'!BT11</f>
        <v/>
      </c>
      <c r="N73" s="130">
        <f>MAX(0,M73-M72)</f>
        <v/>
      </c>
      <c r="O73" s="129">
        <f>IF(B73&lt;='VALOR POR PL'!$P$5,'CP RESUMO'!BT53,"")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HISTORICOS'!BU11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RESUMO'!BU11</f>
        <v/>
      </c>
      <c r="N74" s="130">
        <f>MAX(0,M74-M73)</f>
        <v/>
      </c>
      <c r="O74" s="129">
        <f>IF(B74&lt;='VALOR POR PL'!$P$5,'CP RESUMO'!BU53,"")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HISTORICOS'!BV11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RESUMO'!BV11</f>
        <v/>
      </c>
      <c r="N75" s="130">
        <f>MAX(0,M75-M74)</f>
        <v/>
      </c>
      <c r="O75" s="129">
        <f>IF(B75&lt;='VALOR POR PL'!$P$5,'CP RESUMO'!BV53,"")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HISTORICOS'!BW11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RESUMO'!BW11</f>
        <v/>
      </c>
      <c r="N76" s="130">
        <f>MAX(0,M76-M75)</f>
        <v/>
      </c>
      <c r="O76" s="129">
        <f>IF(B76&lt;='VALOR POR PL'!$P$5,'CP RESUMO'!BW53,"")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HISTORICOS'!D12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PL'!F18</f>
        <v/>
      </c>
      <c r="K5" s="62">
        <f>'VALOR POR PL'!G18</f>
        <v/>
      </c>
      <c r="M5" s="129">
        <f>'CP RESUMO'!D12</f>
        <v/>
      </c>
      <c r="N5" s="130" t="n">
        <v>0</v>
      </c>
      <c r="O5" s="129">
        <f>IF(B5&lt;='VALOR POR PL'!$P$5,'CP RESUMO'!D54,"")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HISTORICOS'!E12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RESUMO'!E12</f>
        <v/>
      </c>
      <c r="N6" s="130">
        <f>MAX(0,M6-M5)</f>
        <v/>
      </c>
      <c r="O6" s="129">
        <f>IF(B6&lt;='VALOR POR PL'!$P$5,'CP RESUMO'!E54,"")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HISTORICOS'!F12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PL'!L18</f>
        <v/>
      </c>
      <c r="M7" s="129">
        <f>'CP RESUMO'!F12</f>
        <v/>
      </c>
      <c r="N7" s="130">
        <f>MAX(0,M7-M6)</f>
        <v/>
      </c>
      <c r="O7" s="129">
        <f>IF(B7&lt;='VALOR POR PL'!$P$5,'CP RESUMO'!F54,"")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HISTORICOS'!G12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RESUMO'!G12</f>
        <v/>
      </c>
      <c r="N8" s="130">
        <f>MAX(0,M8-M7)</f>
        <v/>
      </c>
      <c r="O8" s="129">
        <f>IF(B8&lt;='VALOR POR PL'!$P$5,'CP RESUMO'!G54,"")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HISTORICOS'!H12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RESUMO'!H12</f>
        <v/>
      </c>
      <c r="N9" s="130">
        <f>MAX(0,M9-M8)</f>
        <v/>
      </c>
      <c r="O9" s="129">
        <f>IF(B9&lt;='VALOR POR PL'!$P$5,'CP RESUMO'!H54,"")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HISTORICOS'!I12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RESUMO'!I12</f>
        <v/>
      </c>
      <c r="N10" s="130">
        <f>MAX(0,M10-M9)</f>
        <v/>
      </c>
      <c r="O10" s="129">
        <f>IF(B10&lt;='VALOR POR PL'!$P$5,'CP RESUMO'!I54,"")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HISTORICOS'!J12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RESUMO'!J12</f>
        <v/>
      </c>
      <c r="N11" s="130">
        <f>MAX(0,M11-M10)</f>
        <v/>
      </c>
      <c r="O11" s="129">
        <f>IF(B11&lt;='VALOR POR PL'!$P$5,'CP RESUMO'!J54,"")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HISTORICOS'!K12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RESUMO'!K12</f>
        <v/>
      </c>
      <c r="N12" s="130">
        <f>MAX(0,M12-M11)</f>
        <v/>
      </c>
      <c r="O12" s="129">
        <f>IF(B12&lt;='VALOR POR PL'!$P$5,'CP RESUMO'!K54,"")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HISTORICOS'!L12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PL'!I18</f>
        <v/>
      </c>
      <c r="M13" s="129">
        <f>'CP RESUMO'!L12</f>
        <v/>
      </c>
      <c r="N13" s="130">
        <f>MAX(0,M13-M12)</f>
        <v/>
      </c>
      <c r="O13" s="129">
        <f>IF(B13&lt;='VALOR POR PL'!$P$5,'CP RESUMO'!L54,"")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HISTORICOS'!M12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RESUMO'!$D$54:$BW$54,MATCH('VALOR POR PL'!$P$5,'CP RESUMO'!$D$4:$BW$4,0))/100,0)</f>
        <v/>
      </c>
      <c r="M14" s="129">
        <f>'CP RESUMO'!M12</f>
        <v/>
      </c>
      <c r="N14" s="130">
        <f>MAX(0,M14-M13)</f>
        <v/>
      </c>
      <c r="O14" s="129">
        <f>IF(B14&lt;='VALOR POR PL'!$P$5,'CP RESUMO'!M54,"")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HISTORICOS'!N12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RESUMO'!N12</f>
        <v/>
      </c>
      <c r="N15" s="130">
        <f>MAX(0,M15-M14)</f>
        <v/>
      </c>
      <c r="O15" s="129">
        <f>IF(B15&lt;='VALOR POR PL'!$P$5,'CP RESUMO'!N54,"")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HISTORICOS'!O12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RESUMO'!O12</f>
        <v/>
      </c>
      <c r="N16" s="130">
        <f>MAX(0,M16-M15)</f>
        <v/>
      </c>
      <c r="O16" s="129">
        <f>IF(B16&lt;='VALOR POR PL'!$P$5,'CP RESUMO'!O54,"")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HISTORICOS'!P12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RESUMO'!P12</f>
        <v/>
      </c>
      <c r="N17" s="130">
        <f>MAX(0,M17-M16)</f>
        <v/>
      </c>
      <c r="O17" s="129">
        <f>IF(B17&lt;='VALOR POR PL'!$P$5,'CP RESUMO'!P54,"")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HISTORICOS'!Q12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RESUMO'!Q12</f>
        <v/>
      </c>
      <c r="N18" s="130">
        <f>MAX(0,M18-M17)</f>
        <v/>
      </c>
      <c r="O18" s="129">
        <f>IF(B18&lt;='VALOR POR PL'!$P$5,'CP RESUMO'!Q54,"")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HISTORICOS'!R12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RESUMO'!R12</f>
        <v/>
      </c>
      <c r="N19" s="130">
        <f>MAX(0,M19-M18)</f>
        <v/>
      </c>
      <c r="O19" s="129">
        <f>IF(B19&lt;='VALOR POR PL'!$P$5,'CP RESUMO'!R54,"")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HISTORICOS'!S12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RESUMO'!S12</f>
        <v/>
      </c>
      <c r="N20" s="130">
        <f>MAX(0,M20-M19)</f>
        <v/>
      </c>
      <c r="O20" s="129">
        <f>IF(B20&lt;='VALOR POR PL'!$P$5,'CP RESUMO'!S54,"")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HISTORICOS'!T12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RESUMO'!T12</f>
        <v/>
      </c>
      <c r="N21" s="130">
        <f>MAX(0,M21-M20)</f>
        <v/>
      </c>
      <c r="O21" s="129">
        <f>IF(B21&lt;='VALOR POR PL'!$P$5,'CP RESUMO'!T54,"")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HISTORICOS'!U12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RESUMO'!U12</f>
        <v/>
      </c>
      <c r="N22" s="130">
        <f>MAX(0,M22-M21)</f>
        <v/>
      </c>
      <c r="O22" s="129">
        <f>IF(B22&lt;='VALOR POR PL'!$P$5,'CP RESUMO'!U54,"")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HISTORICOS'!V12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RESUMO'!V12</f>
        <v/>
      </c>
      <c r="N23" s="130">
        <f>MAX(0,M23-M22)</f>
        <v/>
      </c>
      <c r="O23" s="129">
        <f>IF(B23&lt;='VALOR POR PL'!$P$5,'CP RESUMO'!V54,"")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HISTORICOS'!W12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RESUMO'!W12</f>
        <v/>
      </c>
      <c r="N24" s="130">
        <f>MAX(0,M24-M23)</f>
        <v/>
      </c>
      <c r="O24" s="129">
        <f>IF(B24&lt;='VALOR POR PL'!$P$5,'CP RESUMO'!W54,"")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HISTORICOS'!X12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RESUMO'!X12</f>
        <v/>
      </c>
      <c r="N25" s="130">
        <f>MAX(0,M25-M24)</f>
        <v/>
      </c>
      <c r="O25" s="129">
        <f>IF(B25&lt;='VALOR POR PL'!$P$5,'CP RESUMO'!X54,"")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HISTORICOS'!Y12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14226.77</v>
      </c>
      <c r="M26" s="129">
        <f>'CP RESUMO'!Y12</f>
        <v/>
      </c>
      <c r="N26" s="130">
        <f>MAX(0,M26-M25)</f>
        <v/>
      </c>
      <c r="O26" s="129">
        <f>IF(B26&lt;='VALOR POR PL'!$P$5,'CP RESUMO'!Y54,"")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HISTORICOS'!Z12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17910.28</v>
      </c>
      <c r="M27" s="129">
        <f>'CP RESUMO'!Z12</f>
        <v/>
      </c>
      <c r="N27" s="130">
        <f>MAX(0,M27-M26)</f>
        <v/>
      </c>
      <c r="O27" s="129">
        <f>IF(B27&lt;='VALOR POR PL'!$P$5,'CP RESUMO'!Z54,"")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HISTORICOS'!AA12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12060.18</v>
      </c>
      <c r="M28" s="129">
        <f>'CP RESUMO'!AA12</f>
        <v/>
      </c>
      <c r="N28" s="130">
        <f>MAX(0,M28-M27)</f>
        <v/>
      </c>
      <c r="O28" s="129">
        <f>IF(B28&lt;='VALOR POR PL'!$P$5,'CP RESUMO'!AA54,"")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HISTORICOS'!AB12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12369.16</v>
      </c>
      <c r="M29" s="129">
        <f>'CP RESUMO'!AB12</f>
        <v/>
      </c>
      <c r="N29" s="130">
        <f>MAX(0,M29-M28)</f>
        <v/>
      </c>
      <c r="O29" s="129">
        <f>IF(B29&lt;='VALOR POR PL'!$P$5,'CP RESUMO'!AB54,"")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HISTORICOS'!AC12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16309.5</v>
      </c>
      <c r="M30" s="129">
        <f>'CP RESUMO'!AC12</f>
        <v/>
      </c>
      <c r="N30" s="130">
        <f>MAX(0,M30-M29)</f>
        <v/>
      </c>
      <c r="O30" s="129">
        <f>IF(B30&lt;='VALOR POR PL'!$P$5,'CP RESUMO'!AC54,"")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HISTORICOS'!AD12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28235.87</v>
      </c>
      <c r="M31" s="129">
        <f>'CP RESUMO'!AD12</f>
        <v/>
      </c>
      <c r="N31" s="130">
        <f>MAX(0,M31-M30)</f>
        <v/>
      </c>
      <c r="O31" s="129">
        <f>IF(B31&lt;='VALOR POR PL'!$P$5,'CP RESUMO'!AD54,"")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HISTORICOS'!AE12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25515.02</v>
      </c>
      <c r="M32" s="129">
        <f>'CP RESUMO'!AE12</f>
        <v/>
      </c>
      <c r="N32" s="130">
        <f>MAX(0,M32-M31)</f>
        <v/>
      </c>
      <c r="O32" s="129">
        <f>IF(B32&lt;='VALOR POR PL'!$P$5,'CP RESUMO'!AE54,"")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HISTORICOS'!AF12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29900.88</v>
      </c>
      <c r="M33" s="129">
        <f>'CP RESUMO'!AF12</f>
        <v/>
      </c>
      <c r="N33" s="130">
        <f>MAX(0,M33-M32)</f>
        <v/>
      </c>
      <c r="O33" s="129">
        <f>IF(B33&lt;='VALOR POR PL'!$P$5,'CP RESUMO'!AF54,"")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HISTORICOS'!AG12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30199.63</v>
      </c>
      <c r="M34" s="129">
        <f>'CP RESUMO'!AG12</f>
        <v/>
      </c>
      <c r="N34" s="130">
        <f>MAX(0,M34-M33)</f>
        <v/>
      </c>
      <c r="O34" s="129">
        <f>IF(B34&lt;='VALOR POR PL'!$P$5,'CP RESUMO'!AG54,"")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HISTORICOS'!AH12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34501.02</v>
      </c>
      <c r="M35" s="129">
        <f>'CP RESUMO'!AH12</f>
        <v/>
      </c>
      <c r="N35" s="130">
        <f>MAX(0,M35-M34)</f>
        <v/>
      </c>
      <c r="O35" s="129">
        <f>IF(B35&lt;='VALOR POR PL'!$P$5,'CP RESUMO'!AH54,"")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HISTORICOS'!AI12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32780.44</v>
      </c>
      <c r="M36" s="129">
        <f>'CP RESUMO'!AI12</f>
        <v/>
      </c>
      <c r="N36" s="130">
        <f>MAX(0,M36-M35)</f>
        <v/>
      </c>
      <c r="O36" s="129">
        <f>IF(B36&lt;='VALOR POR PL'!$P$5,'CP RESUMO'!AI54,"")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HISTORICOS'!AJ12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31177.91</v>
      </c>
      <c r="M37" s="129">
        <f>'CP RESUMO'!AJ12</f>
        <v/>
      </c>
      <c r="N37" s="130">
        <f>MAX(0,M37-M36)</f>
        <v/>
      </c>
      <c r="O37" s="129">
        <f>IF(B37&lt;='VALOR POR PL'!$P$5,'CP RESUMO'!AJ54,"")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HISTORICOS'!AK12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34021.99</v>
      </c>
      <c r="M38" s="129">
        <f>'CP RESUMO'!AK12</f>
        <v/>
      </c>
      <c r="N38" s="130">
        <f>MAX(0,M38-M37)</f>
        <v/>
      </c>
      <c r="O38" s="129">
        <f>IF(B38&lt;='VALOR POR PL'!$P$5,'CP RESUMO'!AK54,"")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HISTORICOS'!AL12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29443.74</v>
      </c>
      <c r="M39" s="129">
        <f>'CP RESUMO'!AL12</f>
        <v/>
      </c>
      <c r="N39" s="130">
        <f>MAX(0,M39-M38)</f>
        <v/>
      </c>
      <c r="O39" s="129">
        <f>IF(B39&lt;='VALOR POR PL'!$P$5,'CP RESUMO'!AL54,"")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HISTORICOS'!AM12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26464.19</v>
      </c>
      <c r="M40" s="129">
        <f>'CP RESUMO'!AM12</f>
        <v/>
      </c>
      <c r="N40" s="130">
        <f>MAX(0,M40-M39)</f>
        <v/>
      </c>
      <c r="O40" s="129">
        <f>IF(B40&lt;='VALOR POR PL'!$P$5,'CP RESUMO'!AM54,"")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HISTORICOS'!AN12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29004.48</v>
      </c>
      <c r="M41" s="129">
        <f>'CP RESUMO'!AN12</f>
        <v/>
      </c>
      <c r="N41" s="130">
        <f>MAX(0,M41-M40)</f>
        <v/>
      </c>
      <c r="O41" s="129">
        <f>IF(B41&lt;='VALOR POR PL'!$P$5,'CP RESUMO'!AN54,"")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HISTORICOS'!AO12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31522.3</v>
      </c>
      <c r="M42" s="129">
        <f>'CP RESUMO'!AO12</f>
        <v/>
      </c>
      <c r="N42" s="130">
        <f>MAX(0,M42-M41)</f>
        <v/>
      </c>
      <c r="O42" s="129">
        <f>IF(B42&lt;='VALOR POR PL'!$P$5,'CP RESUMO'!AO54,"")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HISTORICOS'!AP12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31011.94</v>
      </c>
      <c r="M43" s="129">
        <f>'CP RESUMO'!AP12</f>
        <v/>
      </c>
      <c r="N43" s="130">
        <f>MAX(0,M43-M42)</f>
        <v/>
      </c>
      <c r="O43" s="129">
        <f>IF(B43&lt;='VALOR POR PL'!$P$5,'CP RESUMO'!AP54,"")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HISTORICOS'!AQ12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20653.6</v>
      </c>
      <c r="M44" s="129">
        <f>'CP RESUMO'!AQ12</f>
        <v/>
      </c>
      <c r="N44" s="130">
        <f>MAX(0,M44-M43)</f>
        <v/>
      </c>
      <c r="O44" s="129">
        <f>IF(B44&lt;='VALOR POR PL'!$P$5,'CP RESUMO'!AQ54,"")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HISTORICOS'!AR12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12928.22</v>
      </c>
      <c r="M45" s="129">
        <f>'CP RESUMO'!AR12</f>
        <v/>
      </c>
      <c r="N45" s="130">
        <f>MAX(0,M45-M44)</f>
        <v/>
      </c>
      <c r="O45" s="129">
        <f>IF(B45&lt;='VALOR POR PL'!$P$5,'CP RESUMO'!AR54,"")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HISTORICOS'!AS12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12928.22</v>
      </c>
      <c r="M46" s="129">
        <f>'CP RESUMO'!AS12</f>
        <v/>
      </c>
      <c r="N46" s="130">
        <f>MAX(0,M46-M45)</f>
        <v/>
      </c>
      <c r="O46" s="129">
        <f>IF(B46&lt;='VALOR POR PL'!$P$5,'CP RESUMO'!AS54,"")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HISTORICOS'!AT12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12928.22</v>
      </c>
      <c r="M47" s="129">
        <f>'CP RESUMO'!AT12</f>
        <v/>
      </c>
      <c r="N47" s="130">
        <f>MAX(0,M47-M46)</f>
        <v/>
      </c>
      <c r="O47" s="129">
        <f>IF(B47&lt;='VALOR POR PL'!$P$5,'CP RESUMO'!AT54,"")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HISTORICOS'!AU12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12928.22</v>
      </c>
      <c r="M48" s="129">
        <f>'CP RESUMO'!AU12</f>
        <v/>
      </c>
      <c r="N48" s="130">
        <f>MAX(0,M48-M47)</f>
        <v/>
      </c>
      <c r="O48" s="129">
        <f>IF(B48&lt;='VALOR POR PL'!$P$5,'CP RESUMO'!AU54,"")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HISTORICOS'!AV12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12928.22</v>
      </c>
      <c r="M49" s="129">
        <f>'CP RESUMO'!AV12</f>
        <v/>
      </c>
      <c r="N49" s="130">
        <f>MAX(0,M49-M48)</f>
        <v/>
      </c>
      <c r="O49" s="129">
        <f>IF(B49&lt;='VALOR POR PL'!$P$5,'CP RESUMO'!AV54,"")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HISTORICOS'!AW12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12928.22</v>
      </c>
      <c r="M50" s="129">
        <f>'CP RESUMO'!AW12</f>
        <v/>
      </c>
      <c r="N50" s="130">
        <f>MAX(0,M50-M49)</f>
        <v/>
      </c>
      <c r="O50" s="129">
        <f>IF(B50&lt;='VALOR POR PL'!$P$5,'CP RESUMO'!AW54,"")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HISTORICOS'!AX12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12928.22</v>
      </c>
      <c r="M51" s="129">
        <f>'CP RESUMO'!AX12</f>
        <v/>
      </c>
      <c r="N51" s="130">
        <f>MAX(0,M51-M50)</f>
        <v/>
      </c>
      <c r="O51" s="129">
        <f>IF(B51&lt;='VALOR POR PL'!$P$5,'CP RESUMO'!AX54,"")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HISTORICOS'!AY12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12928.22</v>
      </c>
      <c r="M52" s="129">
        <f>'CP RESUMO'!AY12</f>
        <v/>
      </c>
      <c r="N52" s="130">
        <f>MAX(0,M52-M51)</f>
        <v/>
      </c>
      <c r="O52" s="129">
        <f>IF(B52&lt;='VALOR POR PL'!$P$5,'CP RESUMO'!AY54,"")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HISTORICOS'!AZ12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12928.22</v>
      </c>
      <c r="M53" s="129">
        <f>'CP RESUMO'!AZ12</f>
        <v/>
      </c>
      <c r="N53" s="130">
        <f>MAX(0,M53-M52)</f>
        <v/>
      </c>
      <c r="O53" s="129">
        <f>IF(B53&lt;='VALOR POR PL'!$P$5,'CP RESUMO'!AZ54,"")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HISTORICOS'!BA12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12928.22</v>
      </c>
      <c r="M54" s="129">
        <f>'CP RESUMO'!BA12</f>
        <v/>
      </c>
      <c r="N54" s="130">
        <f>MAX(0,M54-M53)</f>
        <v/>
      </c>
      <c r="O54" s="129">
        <f>IF(B54&lt;='VALOR POR PL'!$P$5,'CP RESUMO'!BA54,"")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HISTORICOS'!BB12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6000</v>
      </c>
      <c r="M55" s="129">
        <f>'CP RESUMO'!BB12</f>
        <v/>
      </c>
      <c r="N55" s="130">
        <f>MAX(0,M55-M54)</f>
        <v/>
      </c>
      <c r="O55" s="129">
        <f>IF(B55&lt;='VALOR POR PL'!$P$5,'CP RESUMO'!BB54,"")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HISTORICOS'!BC12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65559.00999999999</v>
      </c>
      <c r="M56" s="129">
        <f>'CP RESUMO'!BC12</f>
        <v/>
      </c>
      <c r="N56" s="130">
        <f>MAX(0,M56-M55)</f>
        <v/>
      </c>
      <c r="O56" s="129">
        <f>IF(B56&lt;='VALOR POR PL'!$P$5,'CP RESUMO'!BC54,"")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HISTORICOS'!BD12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19438.3</v>
      </c>
      <c r="M57" s="129">
        <f>'CP RESUMO'!BD12</f>
        <v/>
      </c>
      <c r="N57" s="130">
        <f>MAX(0,M57-M56)</f>
        <v/>
      </c>
      <c r="O57" s="129">
        <f>IF(B57&lt;='VALOR POR PL'!$P$5,'CP RESUMO'!BD54,"")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HISTORICOS'!BE12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37708.87</v>
      </c>
      <c r="M58" s="129">
        <f>'CP RESUMO'!BE12</f>
        <v/>
      </c>
      <c r="N58" s="130">
        <f>MAX(0,M58-M57)</f>
        <v/>
      </c>
      <c r="O58" s="129">
        <f>IF(B58&lt;='VALOR POR PL'!$P$5,'CP RESUMO'!BE54,"")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HISTORICOS'!BF12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RESUMO'!BF12</f>
        <v/>
      </c>
      <c r="N59" s="130">
        <f>MAX(0,M59-M58)</f>
        <v/>
      </c>
      <c r="O59" s="129">
        <f>IF(B59&lt;='VALOR POR PL'!$P$5,'CP RESUMO'!BF54,"")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HISTORICOS'!BG12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RESUMO'!BG12</f>
        <v/>
      </c>
      <c r="N60" s="130">
        <f>MAX(0,M60-M59)</f>
        <v/>
      </c>
      <c r="O60" s="129">
        <f>IF(B60&lt;='VALOR POR PL'!$P$5,'CP RESUMO'!BG54,"")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HISTORICOS'!BH12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RESUMO'!BH12</f>
        <v/>
      </c>
      <c r="N61" s="130">
        <f>MAX(0,M61-M60)</f>
        <v/>
      </c>
      <c r="O61" s="129">
        <f>IF(B61&lt;='VALOR POR PL'!$P$5,'CP RESUMO'!BH54,"")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HISTORICOS'!BI12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RESUMO'!BI12</f>
        <v/>
      </c>
      <c r="N62" s="130">
        <f>MAX(0,M62-M61)</f>
        <v/>
      </c>
      <c r="O62" s="129">
        <f>IF(B62&lt;='VALOR POR PL'!$P$5,'CP RESUMO'!BI54,"")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HISTORICOS'!BJ12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RESUMO'!BJ12</f>
        <v/>
      </c>
      <c r="N63" s="130">
        <f>MAX(0,M63-M62)</f>
        <v/>
      </c>
      <c r="O63" s="129">
        <f>IF(B63&lt;='VALOR POR PL'!$P$5,'CP RESUMO'!BJ54,"")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HISTORICOS'!BK12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RESUMO'!BK12</f>
        <v/>
      </c>
      <c r="N64" s="130">
        <f>MAX(0,M64-M63)</f>
        <v/>
      </c>
      <c r="O64" s="129">
        <f>IF(B64&lt;='VALOR POR PL'!$P$5,'CP RESUMO'!BK54,"")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HISTORICOS'!BL12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RESUMO'!BL12</f>
        <v/>
      </c>
      <c r="N65" s="130">
        <f>MAX(0,M65-M64)</f>
        <v/>
      </c>
      <c r="O65" s="129">
        <f>IF(B65&lt;='VALOR POR PL'!$P$5,'CP RESUMO'!BL54,"")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HISTORICOS'!BM12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RESUMO'!BM12</f>
        <v/>
      </c>
      <c r="N66" s="130">
        <f>MAX(0,M66-M65)</f>
        <v/>
      </c>
      <c r="O66" s="129">
        <f>IF(B66&lt;='VALOR POR PL'!$P$5,'CP RESUMO'!BM54,"")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HISTORICOS'!BN12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RESUMO'!BN12</f>
        <v/>
      </c>
      <c r="N67" s="130">
        <f>MAX(0,M67-M66)</f>
        <v/>
      </c>
      <c r="O67" s="129">
        <f>IF(B67&lt;='VALOR POR PL'!$P$5,'CP RESUMO'!BN54,"")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HISTORICOS'!BO12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RESUMO'!BO12</f>
        <v/>
      </c>
      <c r="N68" s="130">
        <f>MAX(0,M68-M67)</f>
        <v/>
      </c>
      <c r="O68" s="129">
        <f>IF(B68&lt;='VALOR POR PL'!$P$5,'CP RESUMO'!BO54,"")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HISTORICOS'!BP12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RESUMO'!BP12</f>
        <v/>
      </c>
      <c r="N69" s="130">
        <f>MAX(0,M69-M68)</f>
        <v/>
      </c>
      <c r="O69" s="129">
        <f>IF(B69&lt;='VALOR POR PL'!$P$5,'CP RESUMO'!BP54,"")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HISTORICOS'!BQ12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RESUMO'!BQ12</f>
        <v/>
      </c>
      <c r="N70" s="130">
        <f>MAX(0,M70-M69)</f>
        <v/>
      </c>
      <c r="O70" s="129">
        <f>IF(B70&lt;='VALOR POR PL'!$P$5,'CP RESUMO'!BQ54,"")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HISTORICOS'!BR12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RESUMO'!BR12</f>
        <v/>
      </c>
      <c r="N71" s="130">
        <f>MAX(0,M71-M70)</f>
        <v/>
      </c>
      <c r="O71" s="129">
        <f>IF(B71&lt;='VALOR POR PL'!$P$5,'CP RESUMO'!BR54,"")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HISTORICOS'!BS12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RESUMO'!BS12</f>
        <v/>
      </c>
      <c r="N72" s="130">
        <f>MAX(0,M72-M71)</f>
        <v/>
      </c>
      <c r="O72" s="129">
        <f>IF(B72&lt;='VALOR POR PL'!$P$5,'CP RESUMO'!BS54,"")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HISTORICOS'!BT12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RESUMO'!BT12</f>
        <v/>
      </c>
      <c r="N73" s="130">
        <f>MAX(0,M73-M72)</f>
        <v/>
      </c>
      <c r="O73" s="129">
        <f>IF(B73&lt;='VALOR POR PL'!$P$5,'CP RESUMO'!BT54,"")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HISTORICOS'!BU12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RESUMO'!BU12</f>
        <v/>
      </c>
      <c r="N74" s="130">
        <f>MAX(0,M74-M73)</f>
        <v/>
      </c>
      <c r="O74" s="129">
        <f>IF(B74&lt;='VALOR POR PL'!$P$5,'CP RESUMO'!BU54,"")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HISTORICOS'!BV12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RESUMO'!BV12</f>
        <v/>
      </c>
      <c r="N75" s="130">
        <f>MAX(0,M75-M74)</f>
        <v/>
      </c>
      <c r="O75" s="129">
        <f>IF(B75&lt;='VALOR POR PL'!$P$5,'CP RESUMO'!BV54,"")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HISTORICOS'!BW12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RESUMO'!BW12</f>
        <v/>
      </c>
      <c r="N76" s="130">
        <f>MAX(0,M76-M75)</f>
        <v/>
      </c>
      <c r="O76" s="129">
        <f>IF(B76&lt;='VALOR POR PL'!$P$5,'CP RESUMO'!BW54,"")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HISTORICOS'!D13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PL'!F19</f>
        <v/>
      </c>
      <c r="K5" s="62">
        <f>'VALOR POR PL'!G19</f>
        <v/>
      </c>
      <c r="M5" s="129">
        <f>'CP RESUMO'!D13</f>
        <v/>
      </c>
      <c r="N5" s="130" t="n">
        <v>0</v>
      </c>
      <c r="O5" s="129">
        <f>IF(B5&lt;='VALOR POR PL'!$P$5,'CP RESUMO'!D55,"")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HISTORICOS'!E13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RESUMO'!E13</f>
        <v/>
      </c>
      <c r="N6" s="130">
        <f>MAX(0,M6-M5)</f>
        <v/>
      </c>
      <c r="O6" s="129">
        <f>IF(B6&lt;='VALOR POR PL'!$P$5,'CP RESUMO'!E55,"")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HISTORICOS'!F13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PL'!L19</f>
        <v/>
      </c>
      <c r="M7" s="129">
        <f>'CP RESUMO'!F13</f>
        <v/>
      </c>
      <c r="N7" s="130">
        <f>MAX(0,M7-M6)</f>
        <v/>
      </c>
      <c r="O7" s="129">
        <f>IF(B7&lt;='VALOR POR PL'!$P$5,'CP RESUMO'!F55,"")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HISTORICOS'!G13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RESUMO'!G13</f>
        <v/>
      </c>
      <c r="N8" s="130">
        <f>MAX(0,M8-M7)</f>
        <v/>
      </c>
      <c r="O8" s="129">
        <f>IF(B8&lt;='VALOR POR PL'!$P$5,'CP RESUMO'!G55,"")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HISTORICOS'!H13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RESUMO'!H13</f>
        <v/>
      </c>
      <c r="N9" s="130">
        <f>MAX(0,M9-M8)</f>
        <v/>
      </c>
      <c r="O9" s="129">
        <f>IF(B9&lt;='VALOR POR PL'!$P$5,'CP RESUMO'!H55,"")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HISTORICOS'!I13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RESUMO'!I13</f>
        <v/>
      </c>
      <c r="N10" s="130">
        <f>MAX(0,M10-M9)</f>
        <v/>
      </c>
      <c r="O10" s="129">
        <f>IF(B10&lt;='VALOR POR PL'!$P$5,'CP RESUMO'!I55,"")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HISTORICOS'!J13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RESUMO'!J13</f>
        <v/>
      </c>
      <c r="N11" s="130">
        <f>MAX(0,M11-M10)</f>
        <v/>
      </c>
      <c r="O11" s="129">
        <f>IF(B11&lt;='VALOR POR PL'!$P$5,'CP RESUMO'!J55,"")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HISTORICOS'!K13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RESUMO'!K13</f>
        <v/>
      </c>
      <c r="N12" s="130">
        <f>MAX(0,M12-M11)</f>
        <v/>
      </c>
      <c r="O12" s="129">
        <f>IF(B12&lt;='VALOR POR PL'!$P$5,'CP RESUMO'!K55,"")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HISTORICOS'!L13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PL'!I19</f>
        <v/>
      </c>
      <c r="M13" s="129">
        <f>'CP RESUMO'!L13</f>
        <v/>
      </c>
      <c r="N13" s="130">
        <f>MAX(0,M13-M12)</f>
        <v/>
      </c>
      <c r="O13" s="129">
        <f>IF(B13&lt;='VALOR POR PL'!$P$5,'CP RESUMO'!L55,"")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HISTORICOS'!M13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RESUMO'!$D$55:$BW$55,MATCH('VALOR POR PL'!$P$5,'CP RESUMO'!$D$4:$BW$4,0))/100,0)</f>
        <v/>
      </c>
      <c r="M14" s="129">
        <f>'CP RESUMO'!M13</f>
        <v/>
      </c>
      <c r="N14" s="130">
        <f>MAX(0,M14-M13)</f>
        <v/>
      </c>
      <c r="O14" s="129">
        <f>IF(B14&lt;='VALOR POR PL'!$P$5,'CP RESUMO'!M55,"")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HISTORICOS'!N13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RESUMO'!N13</f>
        <v/>
      </c>
      <c r="N15" s="130">
        <f>MAX(0,M15-M14)</f>
        <v/>
      </c>
      <c r="O15" s="129">
        <f>IF(B15&lt;='VALOR POR PL'!$P$5,'CP RESUMO'!N55,"")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HISTORICOS'!O13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RESUMO'!O13</f>
        <v/>
      </c>
      <c r="N16" s="130">
        <f>MAX(0,M16-M15)</f>
        <v/>
      </c>
      <c r="O16" s="129">
        <f>IF(B16&lt;='VALOR POR PL'!$P$5,'CP RESUMO'!O55,"")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HISTORICOS'!P13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RESUMO'!P13</f>
        <v/>
      </c>
      <c r="N17" s="130">
        <f>MAX(0,M17-M16)</f>
        <v/>
      </c>
      <c r="O17" s="129">
        <f>IF(B17&lt;='VALOR POR PL'!$P$5,'CP RESUMO'!P55,"")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HISTORICOS'!Q13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RESUMO'!Q13</f>
        <v/>
      </c>
      <c r="N18" s="130">
        <f>MAX(0,M18-M17)</f>
        <v/>
      </c>
      <c r="O18" s="129">
        <f>IF(B18&lt;='VALOR POR PL'!$P$5,'CP RESUMO'!Q55,"")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HISTORICOS'!R13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RESUMO'!R13</f>
        <v/>
      </c>
      <c r="N19" s="130">
        <f>MAX(0,M19-M18)</f>
        <v/>
      </c>
      <c r="O19" s="129">
        <f>IF(B19&lt;='VALOR POR PL'!$P$5,'CP RESUMO'!R55,"")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HISTORICOS'!S13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RESUMO'!S13</f>
        <v/>
      </c>
      <c r="N20" s="130">
        <f>MAX(0,M20-M19)</f>
        <v/>
      </c>
      <c r="O20" s="129">
        <f>IF(B20&lt;='VALOR POR PL'!$P$5,'CP RESUMO'!S55,"")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HISTORICOS'!T13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RESUMO'!T13</f>
        <v/>
      </c>
      <c r="N21" s="130">
        <f>MAX(0,M21-M20)</f>
        <v/>
      </c>
      <c r="O21" s="129">
        <f>IF(B21&lt;='VALOR POR PL'!$P$5,'CP RESUMO'!T55,"")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HISTORICOS'!U13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RESUMO'!U13</f>
        <v/>
      </c>
      <c r="N22" s="130">
        <f>MAX(0,M22-M21)</f>
        <v/>
      </c>
      <c r="O22" s="129">
        <f>IF(B22&lt;='VALOR POR PL'!$P$5,'CP RESUMO'!U55,"")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HISTORICOS'!V13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RESUMO'!V13</f>
        <v/>
      </c>
      <c r="N23" s="130">
        <f>MAX(0,M23-M22)</f>
        <v/>
      </c>
      <c r="O23" s="129">
        <f>IF(B23&lt;='VALOR POR PL'!$P$5,'CP RESUMO'!V55,"")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HISTORICOS'!W13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RESUMO'!W13</f>
        <v/>
      </c>
      <c r="N24" s="130">
        <f>MAX(0,M24-M23)</f>
        <v/>
      </c>
      <c r="O24" s="129">
        <f>IF(B24&lt;='VALOR POR PL'!$P$5,'CP RESUMO'!W55,"")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HISTORICOS'!X13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RESUMO'!X13</f>
        <v/>
      </c>
      <c r="N25" s="130">
        <f>MAX(0,M25-M24)</f>
        <v/>
      </c>
      <c r="O25" s="129">
        <f>IF(B25&lt;='VALOR POR PL'!$P$5,'CP RESUMO'!X55,"")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HISTORICOS'!Y13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29236.97</v>
      </c>
      <c r="M26" s="129">
        <f>'CP RESUMO'!Y13</f>
        <v/>
      </c>
      <c r="N26" s="130">
        <f>MAX(0,M26-M25)</f>
        <v/>
      </c>
      <c r="O26" s="129">
        <f>IF(B26&lt;='VALOR POR PL'!$P$5,'CP RESUMO'!Y55,"")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HISTORICOS'!Z13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24991.46</v>
      </c>
      <c r="M27" s="129">
        <f>'CP RESUMO'!Z13</f>
        <v/>
      </c>
      <c r="N27" s="130">
        <f>MAX(0,M27-M26)</f>
        <v/>
      </c>
      <c r="O27" s="129">
        <f>IF(B27&lt;='VALOR POR PL'!$P$5,'CP RESUMO'!Z55,"")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HISTORICOS'!AA13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22791.46</v>
      </c>
      <c r="M28" s="129">
        <f>'CP RESUMO'!AA13</f>
        <v/>
      </c>
      <c r="N28" s="130">
        <f>MAX(0,M28-M27)</f>
        <v/>
      </c>
      <c r="O28" s="129">
        <f>IF(B28&lt;='VALOR POR PL'!$P$5,'CP RESUMO'!AA55,"")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HISTORICOS'!AB13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22791.46</v>
      </c>
      <c r="M29" s="129">
        <f>'CP RESUMO'!AB13</f>
        <v/>
      </c>
      <c r="N29" s="130">
        <f>MAX(0,M29-M28)</f>
        <v/>
      </c>
      <c r="O29" s="129">
        <f>IF(B29&lt;='VALOR POR PL'!$P$5,'CP RESUMO'!AB55,"")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HISTORICOS'!AC13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25692.74</v>
      </c>
      <c r="M30" s="129">
        <f>'CP RESUMO'!AC13</f>
        <v/>
      </c>
      <c r="N30" s="130">
        <f>MAX(0,M30-M29)</f>
        <v/>
      </c>
      <c r="O30" s="129">
        <f>IF(B30&lt;='VALOR POR PL'!$P$5,'CP RESUMO'!AC55,"")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HISTORICOS'!AD13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19492.74</v>
      </c>
      <c r="M31" s="129">
        <f>'CP RESUMO'!AD13</f>
        <v/>
      </c>
      <c r="N31" s="130">
        <f>MAX(0,M31-M30)</f>
        <v/>
      </c>
      <c r="O31" s="129">
        <f>IF(B31&lt;='VALOR POR PL'!$P$5,'CP RESUMO'!AD55,"")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HISTORICOS'!AE13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19492.74</v>
      </c>
      <c r="M32" s="129">
        <f>'CP RESUMO'!AE13</f>
        <v/>
      </c>
      <c r="N32" s="130">
        <f>MAX(0,M32-M31)</f>
        <v/>
      </c>
      <c r="O32" s="129">
        <f>IF(B32&lt;='VALOR POR PL'!$P$5,'CP RESUMO'!AE55,"")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HISTORICOS'!AF13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21692.74</v>
      </c>
      <c r="M33" s="129">
        <f>'CP RESUMO'!AF13</f>
        <v/>
      </c>
      <c r="N33" s="130">
        <f>MAX(0,M33-M32)</f>
        <v/>
      </c>
      <c r="O33" s="129">
        <f>IF(B33&lt;='VALOR POR PL'!$P$5,'CP RESUMO'!AF55,"")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HISTORICOS'!AG13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19492.74</v>
      </c>
      <c r="M34" s="129">
        <f>'CP RESUMO'!AG13</f>
        <v/>
      </c>
      <c r="N34" s="130">
        <f>MAX(0,M34-M33)</f>
        <v/>
      </c>
      <c r="O34" s="129">
        <f>IF(B34&lt;='VALOR POR PL'!$P$5,'CP RESUMO'!AG55,"")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HISTORICOS'!AH13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24517.74</v>
      </c>
      <c r="M35" s="129">
        <f>'CP RESUMO'!AH13</f>
        <v/>
      </c>
      <c r="N35" s="130">
        <f>MAX(0,M35-M34)</f>
        <v/>
      </c>
      <c r="O35" s="129">
        <f>IF(B35&lt;='VALOR POR PL'!$P$5,'CP RESUMO'!AH55,"")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HISTORICOS'!AI13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21692.74</v>
      </c>
      <c r="M36" s="129">
        <f>'CP RESUMO'!AI13</f>
        <v/>
      </c>
      <c r="N36" s="130">
        <f>MAX(0,M36-M35)</f>
        <v/>
      </c>
      <c r="O36" s="129">
        <f>IF(B36&lt;='VALOR POR PL'!$P$5,'CP RESUMO'!AI55,"")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HISTORICOS'!AJ13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19492.74</v>
      </c>
      <c r="M37" s="129">
        <f>'CP RESUMO'!AJ13</f>
        <v/>
      </c>
      <c r="N37" s="130">
        <f>MAX(0,M37-M36)</f>
        <v/>
      </c>
      <c r="O37" s="129">
        <f>IF(B37&lt;='VALOR POR PL'!$P$5,'CP RESUMO'!AJ55,"")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HISTORICOS'!AK13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19492.74</v>
      </c>
      <c r="M38" s="129">
        <f>'CP RESUMO'!AK13</f>
        <v/>
      </c>
      <c r="N38" s="130">
        <f>MAX(0,M38-M37)</f>
        <v/>
      </c>
      <c r="O38" s="129">
        <f>IF(B38&lt;='VALOR POR PL'!$P$5,'CP RESUMO'!AK55,"")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HISTORICOS'!AL13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21692.74</v>
      </c>
      <c r="M39" s="129">
        <f>'CP RESUMO'!AL13</f>
        <v/>
      </c>
      <c r="N39" s="130">
        <f>MAX(0,M39-M38)</f>
        <v/>
      </c>
      <c r="O39" s="129">
        <f>IF(B39&lt;='VALOR POR PL'!$P$5,'CP RESUMO'!AL55,"")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HISTORICOS'!AM13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19492.74</v>
      </c>
      <c r="M40" s="129">
        <f>'CP RESUMO'!AM13</f>
        <v/>
      </c>
      <c r="N40" s="130">
        <f>MAX(0,M40-M39)</f>
        <v/>
      </c>
      <c r="O40" s="129">
        <f>IF(B40&lt;='VALOR POR PL'!$P$5,'CP RESUMO'!AM55,"")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HISTORICOS'!AN13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15610.78</v>
      </c>
      <c r="M41" s="129">
        <f>'CP RESUMO'!AN13</f>
        <v/>
      </c>
      <c r="N41" s="130">
        <f>MAX(0,M41-M40)</f>
        <v/>
      </c>
      <c r="O41" s="129">
        <f>IF(B41&lt;='VALOR POR PL'!$P$5,'CP RESUMO'!AN55,"")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HISTORICOS'!AO13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17385.68</v>
      </c>
      <c r="M42" s="129">
        <f>'CP RESUMO'!AO13</f>
        <v/>
      </c>
      <c r="N42" s="130">
        <f>MAX(0,M42-M41)</f>
        <v/>
      </c>
      <c r="O42" s="129">
        <f>IF(B42&lt;='VALOR POR PL'!$P$5,'CP RESUMO'!AO55,"")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HISTORICOS'!AP13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15185.68</v>
      </c>
      <c r="M43" s="129">
        <f>'CP RESUMO'!AP13</f>
        <v/>
      </c>
      <c r="N43" s="130">
        <f>MAX(0,M43-M42)</f>
        <v/>
      </c>
      <c r="O43" s="129">
        <f>IF(B43&lt;='VALOR POR PL'!$P$5,'CP RESUMO'!AP55,"")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HISTORICOS'!AQ13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11185.68</v>
      </c>
      <c r="M44" s="129">
        <f>'CP RESUMO'!AQ13</f>
        <v/>
      </c>
      <c r="N44" s="130">
        <f>MAX(0,M44-M43)</f>
        <v/>
      </c>
      <c r="O44" s="129">
        <f>IF(B44&lt;='VALOR POR PL'!$P$5,'CP RESUMO'!AQ55,"")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HISTORICOS'!AR13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13385.68</v>
      </c>
      <c r="M45" s="129">
        <f>'CP RESUMO'!AR13</f>
        <v/>
      </c>
      <c r="N45" s="130">
        <f>MAX(0,M45-M44)</f>
        <v/>
      </c>
      <c r="O45" s="129">
        <f>IF(B45&lt;='VALOR POR PL'!$P$5,'CP RESUMO'!AR55,"")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HISTORICOS'!AS13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11185.68</v>
      </c>
      <c r="M46" s="129">
        <f>'CP RESUMO'!AS13</f>
        <v/>
      </c>
      <c r="N46" s="130">
        <f>MAX(0,M46-M45)</f>
        <v/>
      </c>
      <c r="O46" s="129">
        <f>IF(B46&lt;='VALOR POR PL'!$P$5,'CP RESUMO'!AS55,"")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HISTORICOS'!AT13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16210.68</v>
      </c>
      <c r="M47" s="129">
        <f>'CP RESUMO'!AT13</f>
        <v/>
      </c>
      <c r="N47" s="130">
        <f>MAX(0,M47-M46)</f>
        <v/>
      </c>
      <c r="O47" s="129">
        <f>IF(B47&lt;='VALOR POR PL'!$P$5,'CP RESUMO'!AT55,"")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HISTORICOS'!AU13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13385.68</v>
      </c>
      <c r="M48" s="129">
        <f>'CP RESUMO'!AU13</f>
        <v/>
      </c>
      <c r="N48" s="130">
        <f>MAX(0,M48-M47)</f>
        <v/>
      </c>
      <c r="O48" s="129">
        <f>IF(B48&lt;='VALOR POR PL'!$P$5,'CP RESUMO'!AU55,"")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HISTORICOS'!AV13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48685.68</v>
      </c>
      <c r="M49" s="129">
        <f>'CP RESUMO'!AV13</f>
        <v/>
      </c>
      <c r="N49" s="130">
        <f>MAX(0,M49-M48)</f>
        <v/>
      </c>
      <c r="O49" s="129">
        <f>IF(B49&lt;='VALOR POR PL'!$P$5,'CP RESUMO'!AV55,"")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HISTORICOS'!AW13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50885.68</v>
      </c>
      <c r="M50" s="129">
        <f>'CP RESUMO'!AW13</f>
        <v/>
      </c>
      <c r="N50" s="130">
        <f>MAX(0,M50-M49)</f>
        <v/>
      </c>
      <c r="O50" s="129">
        <f>IF(B50&lt;='VALOR POR PL'!$P$5,'CP RESUMO'!AW55,"")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HISTORICOS'!AX13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11185.68</v>
      </c>
      <c r="M51" s="129">
        <f>'CP RESUMO'!AX13</f>
        <v/>
      </c>
      <c r="N51" s="130">
        <f>MAX(0,M51-M50)</f>
        <v/>
      </c>
      <c r="O51" s="129">
        <f>IF(B51&lt;='VALOR POR PL'!$P$5,'CP RESUMO'!AX55,"")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HISTORICOS'!AY13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10483.68</v>
      </c>
      <c r="M52" s="129">
        <f>'CP RESUMO'!AY13</f>
        <v/>
      </c>
      <c r="N52" s="130">
        <f>MAX(0,M52-M51)</f>
        <v/>
      </c>
      <c r="O52" s="129">
        <f>IF(B52&lt;='VALOR POR PL'!$P$5,'CP RESUMO'!AY55,"")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HISTORICOS'!AZ13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12683.68</v>
      </c>
      <c r="M53" s="129">
        <f>'CP RESUMO'!AZ13</f>
        <v/>
      </c>
      <c r="N53" s="130">
        <f>MAX(0,M53-M52)</f>
        <v/>
      </c>
      <c r="O53" s="129">
        <f>IF(B53&lt;='VALOR POR PL'!$P$5,'CP RESUMO'!AZ55,"")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HISTORICOS'!BA13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9485.68</v>
      </c>
      <c r="M54" s="129">
        <f>'CP RESUMO'!BA13</f>
        <v/>
      </c>
      <c r="N54" s="130">
        <f>MAX(0,M54-M53)</f>
        <v/>
      </c>
      <c r="O54" s="129">
        <f>IF(B54&lt;='VALOR POR PL'!$P$5,'CP RESUMO'!BA55,"")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HISTORICOS'!BB13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5685.68</v>
      </c>
      <c r="M55" s="129">
        <f>'CP RESUMO'!BB13</f>
        <v/>
      </c>
      <c r="N55" s="130">
        <f>MAX(0,M55-M54)</f>
        <v/>
      </c>
      <c r="O55" s="129">
        <f>IF(B55&lt;='VALOR POR PL'!$P$5,'CP RESUMO'!BB55,"")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HISTORICOS'!BC13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77255.59</v>
      </c>
      <c r="M56" s="129">
        <f>'CP RESUMO'!BC13</f>
        <v/>
      </c>
      <c r="N56" s="130">
        <f>MAX(0,M56-M55)</f>
        <v/>
      </c>
      <c r="O56" s="129">
        <f>IF(B56&lt;='VALOR POR PL'!$P$5,'CP RESUMO'!BC55,"")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HISTORICOS'!BD13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RESUMO'!BD13</f>
        <v/>
      </c>
      <c r="N57" s="130">
        <f>MAX(0,M57-M56)</f>
        <v/>
      </c>
      <c r="O57" s="129">
        <f>IF(B57&lt;='VALOR POR PL'!$P$5,'CP RESUMO'!BD55,"")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HISTORICOS'!BE13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RESUMO'!BE13</f>
        <v/>
      </c>
      <c r="N58" s="130">
        <f>MAX(0,M58-M57)</f>
        <v/>
      </c>
      <c r="O58" s="129">
        <f>IF(B58&lt;='VALOR POR PL'!$P$5,'CP RESUMO'!BE55,"")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HISTORICOS'!BF13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RESUMO'!BF13</f>
        <v/>
      </c>
      <c r="N59" s="130">
        <f>MAX(0,M59-M58)</f>
        <v/>
      </c>
      <c r="O59" s="129">
        <f>IF(B59&lt;='VALOR POR PL'!$P$5,'CP RESUMO'!BF55,"")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HISTORICOS'!BG13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RESUMO'!BG13</f>
        <v/>
      </c>
      <c r="N60" s="130">
        <f>MAX(0,M60-M59)</f>
        <v/>
      </c>
      <c r="O60" s="129">
        <f>IF(B60&lt;='VALOR POR PL'!$P$5,'CP RESUMO'!BG55,"")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HISTORICOS'!BH13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RESUMO'!BH13</f>
        <v/>
      </c>
      <c r="N61" s="130">
        <f>MAX(0,M61-M60)</f>
        <v/>
      </c>
      <c r="O61" s="129">
        <f>IF(B61&lt;='VALOR POR PL'!$P$5,'CP RESUMO'!BH55,"")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HISTORICOS'!BI13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RESUMO'!BI13</f>
        <v/>
      </c>
      <c r="N62" s="130">
        <f>MAX(0,M62-M61)</f>
        <v/>
      </c>
      <c r="O62" s="129">
        <f>IF(B62&lt;='VALOR POR PL'!$P$5,'CP RESUMO'!BI55,"")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HISTORICOS'!BJ13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RESUMO'!BJ13</f>
        <v/>
      </c>
      <c r="N63" s="130">
        <f>MAX(0,M63-M62)</f>
        <v/>
      </c>
      <c r="O63" s="129">
        <f>IF(B63&lt;='VALOR POR PL'!$P$5,'CP RESUMO'!BJ55,"")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HISTORICOS'!BK13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RESUMO'!BK13</f>
        <v/>
      </c>
      <c r="N64" s="130">
        <f>MAX(0,M64-M63)</f>
        <v/>
      </c>
      <c r="O64" s="129">
        <f>IF(B64&lt;='VALOR POR PL'!$P$5,'CP RESUMO'!BK55,"")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HISTORICOS'!BL13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RESUMO'!BL13</f>
        <v/>
      </c>
      <c r="N65" s="130">
        <f>MAX(0,M65-M64)</f>
        <v/>
      </c>
      <c r="O65" s="129">
        <f>IF(B65&lt;='VALOR POR PL'!$P$5,'CP RESUMO'!BL55,"")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HISTORICOS'!BM13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RESUMO'!BM13</f>
        <v/>
      </c>
      <c r="N66" s="130">
        <f>MAX(0,M66-M65)</f>
        <v/>
      </c>
      <c r="O66" s="129">
        <f>IF(B66&lt;='VALOR POR PL'!$P$5,'CP RESUMO'!BM55,"")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HISTORICOS'!BN13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RESUMO'!BN13</f>
        <v/>
      </c>
      <c r="N67" s="130">
        <f>MAX(0,M67-M66)</f>
        <v/>
      </c>
      <c r="O67" s="129">
        <f>IF(B67&lt;='VALOR POR PL'!$P$5,'CP RESUMO'!BN55,"")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HISTORICOS'!BO13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RESUMO'!BO13</f>
        <v/>
      </c>
      <c r="N68" s="130">
        <f>MAX(0,M68-M67)</f>
        <v/>
      </c>
      <c r="O68" s="129">
        <f>IF(B68&lt;='VALOR POR PL'!$P$5,'CP RESUMO'!BO55,"")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HISTORICOS'!BP13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RESUMO'!BP13</f>
        <v/>
      </c>
      <c r="N69" s="130">
        <f>MAX(0,M69-M68)</f>
        <v/>
      </c>
      <c r="O69" s="129">
        <f>IF(B69&lt;='VALOR POR PL'!$P$5,'CP RESUMO'!BP55,"")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HISTORICOS'!BQ13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RESUMO'!BQ13</f>
        <v/>
      </c>
      <c r="N70" s="130">
        <f>MAX(0,M70-M69)</f>
        <v/>
      </c>
      <c r="O70" s="129">
        <f>IF(B70&lt;='VALOR POR PL'!$P$5,'CP RESUMO'!BQ55,"")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HISTORICOS'!BR13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RESUMO'!BR13</f>
        <v/>
      </c>
      <c r="N71" s="130">
        <f>MAX(0,M71-M70)</f>
        <v/>
      </c>
      <c r="O71" s="129">
        <f>IF(B71&lt;='VALOR POR PL'!$P$5,'CP RESUMO'!BR55,"")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HISTORICOS'!BS13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RESUMO'!BS13</f>
        <v/>
      </c>
      <c r="N72" s="130">
        <f>MAX(0,M72-M71)</f>
        <v/>
      </c>
      <c r="O72" s="129">
        <f>IF(B72&lt;='VALOR POR PL'!$P$5,'CP RESUMO'!BS55,"")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HISTORICOS'!BT13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RESUMO'!BT13</f>
        <v/>
      </c>
      <c r="N73" s="130">
        <f>MAX(0,M73-M72)</f>
        <v/>
      </c>
      <c r="O73" s="129">
        <f>IF(B73&lt;='VALOR POR PL'!$P$5,'CP RESUMO'!BT55,"")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HISTORICOS'!BU13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RESUMO'!BU13</f>
        <v/>
      </c>
      <c r="N74" s="130">
        <f>MAX(0,M74-M73)</f>
        <v/>
      </c>
      <c r="O74" s="129">
        <f>IF(B74&lt;='VALOR POR PL'!$P$5,'CP RESUMO'!BU55,"")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HISTORICOS'!BV13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RESUMO'!BV13</f>
        <v/>
      </c>
      <c r="N75" s="130">
        <f>MAX(0,M75-M74)</f>
        <v/>
      </c>
      <c r="O75" s="129">
        <f>IF(B75&lt;='VALOR POR PL'!$P$5,'CP RESUMO'!BV55,"")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HISTORICOS'!BW13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RESUMO'!BW13</f>
        <v/>
      </c>
      <c r="N76" s="130">
        <f>MAX(0,M76-M75)</f>
        <v/>
      </c>
      <c r="O76" s="129">
        <f>IF(B76&lt;='VALOR POR PL'!$P$5,'CP RESUMO'!BW55,"")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HISTORICOS'!D14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PL'!F20</f>
        <v/>
      </c>
      <c r="K5" s="62">
        <f>'VALOR POR PL'!G20</f>
        <v/>
      </c>
      <c r="M5" s="129">
        <f>'CP RESUMO'!D14</f>
        <v/>
      </c>
      <c r="N5" s="130" t="n">
        <v>0</v>
      </c>
      <c r="O5" s="129">
        <f>IF(B5&lt;='VALOR POR PL'!$P$5,'CP RESUMO'!D56,"")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HISTORICOS'!E14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RESUMO'!E14</f>
        <v/>
      </c>
      <c r="N6" s="130">
        <f>MAX(0,M6-M5)</f>
        <v/>
      </c>
      <c r="O6" s="129">
        <f>IF(B6&lt;='VALOR POR PL'!$P$5,'CP RESUMO'!E56,"")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HISTORICOS'!F14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PL'!L20</f>
        <v/>
      </c>
      <c r="M7" s="129">
        <f>'CP RESUMO'!F14</f>
        <v/>
      </c>
      <c r="N7" s="130">
        <f>MAX(0,M7-M6)</f>
        <v/>
      </c>
      <c r="O7" s="129">
        <f>IF(B7&lt;='VALOR POR PL'!$P$5,'CP RESUMO'!F56,"")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HISTORICOS'!G14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RESUMO'!G14</f>
        <v/>
      </c>
      <c r="N8" s="130">
        <f>MAX(0,M8-M7)</f>
        <v/>
      </c>
      <c r="O8" s="129">
        <f>IF(B8&lt;='VALOR POR PL'!$P$5,'CP RESUMO'!G56,"")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HISTORICOS'!H14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RESUMO'!H14</f>
        <v/>
      </c>
      <c r="N9" s="130">
        <f>MAX(0,M9-M8)</f>
        <v/>
      </c>
      <c r="O9" s="129">
        <f>IF(B9&lt;='VALOR POR PL'!$P$5,'CP RESUMO'!H56,"")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HISTORICOS'!I14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RESUMO'!I14</f>
        <v/>
      </c>
      <c r="N10" s="130">
        <f>MAX(0,M10-M9)</f>
        <v/>
      </c>
      <c r="O10" s="129">
        <f>IF(B10&lt;='VALOR POR PL'!$P$5,'CP RESUMO'!I56,"")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HISTORICOS'!J14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RESUMO'!J14</f>
        <v/>
      </c>
      <c r="N11" s="130">
        <f>MAX(0,M11-M10)</f>
        <v/>
      </c>
      <c r="O11" s="129">
        <f>IF(B11&lt;='VALOR POR PL'!$P$5,'CP RESUMO'!J56,"")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HISTORICOS'!K14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RESUMO'!K14</f>
        <v/>
      </c>
      <c r="N12" s="130">
        <f>MAX(0,M12-M11)</f>
        <v/>
      </c>
      <c r="O12" s="129">
        <f>IF(B12&lt;='VALOR POR PL'!$P$5,'CP RESUMO'!K56,"")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HISTORICOS'!L14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PL'!I20</f>
        <v/>
      </c>
      <c r="M13" s="129">
        <f>'CP RESUMO'!L14</f>
        <v/>
      </c>
      <c r="N13" s="130">
        <f>MAX(0,M13-M12)</f>
        <v/>
      </c>
      <c r="O13" s="129">
        <f>IF(B13&lt;='VALOR POR PL'!$P$5,'CP RESUMO'!L56,"")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HISTORICOS'!M14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RESUMO'!$D$56:$BW$56,MATCH('VALOR POR PL'!$P$5,'CP RESUMO'!$D$4:$BW$4,0))/100,0)</f>
        <v/>
      </c>
      <c r="M14" s="129">
        <f>'CP RESUMO'!M14</f>
        <v/>
      </c>
      <c r="N14" s="130">
        <f>MAX(0,M14-M13)</f>
        <v/>
      </c>
      <c r="O14" s="129">
        <f>IF(B14&lt;='VALOR POR PL'!$P$5,'CP RESUMO'!M56,"")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HISTORICOS'!N14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RESUMO'!N14</f>
        <v/>
      </c>
      <c r="N15" s="130">
        <f>MAX(0,M15-M14)</f>
        <v/>
      </c>
      <c r="O15" s="129">
        <f>IF(B15&lt;='VALOR POR PL'!$P$5,'CP RESUMO'!N56,"")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HISTORICOS'!O14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RESUMO'!O14</f>
        <v/>
      </c>
      <c r="N16" s="130">
        <f>MAX(0,M16-M15)</f>
        <v/>
      </c>
      <c r="O16" s="129">
        <f>IF(B16&lt;='VALOR POR PL'!$P$5,'CP RESUMO'!O56,"")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HISTORICOS'!P14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RESUMO'!P14</f>
        <v/>
      </c>
      <c r="N17" s="130">
        <f>MAX(0,M17-M16)</f>
        <v/>
      </c>
      <c r="O17" s="129">
        <f>IF(B17&lt;='VALOR POR PL'!$P$5,'CP RESUMO'!P56,"")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HISTORICOS'!Q14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RESUMO'!Q14</f>
        <v/>
      </c>
      <c r="N18" s="130">
        <f>MAX(0,M18-M17)</f>
        <v/>
      </c>
      <c r="O18" s="129">
        <f>IF(B18&lt;='VALOR POR PL'!$P$5,'CP RESUMO'!Q56,"")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HISTORICOS'!R14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RESUMO'!R14</f>
        <v/>
      </c>
      <c r="N19" s="130">
        <f>MAX(0,M19-M18)</f>
        <v/>
      </c>
      <c r="O19" s="129">
        <f>IF(B19&lt;='VALOR POR PL'!$P$5,'CP RESUMO'!R56,"")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HISTORICOS'!S14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RESUMO'!S14</f>
        <v/>
      </c>
      <c r="N20" s="130">
        <f>MAX(0,M20-M19)</f>
        <v/>
      </c>
      <c r="O20" s="129">
        <f>IF(B20&lt;='VALOR POR PL'!$P$5,'CP RESUMO'!S56,"")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HISTORICOS'!T14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RESUMO'!T14</f>
        <v/>
      </c>
      <c r="N21" s="130">
        <f>MAX(0,M21-M20)</f>
        <v/>
      </c>
      <c r="O21" s="129">
        <f>IF(B21&lt;='VALOR POR PL'!$P$5,'CP RESUMO'!T56,"")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HISTORICOS'!U14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RESUMO'!U14</f>
        <v/>
      </c>
      <c r="N22" s="130">
        <f>MAX(0,M22-M21)</f>
        <v/>
      </c>
      <c r="O22" s="129">
        <f>IF(B22&lt;='VALOR POR PL'!$P$5,'CP RESUMO'!U56,"")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HISTORICOS'!V14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RESUMO'!V14</f>
        <v/>
      </c>
      <c r="N23" s="130">
        <f>MAX(0,M23-M22)</f>
        <v/>
      </c>
      <c r="O23" s="129">
        <f>IF(B23&lt;='VALOR POR PL'!$P$5,'CP RESUMO'!V56,"")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HISTORICOS'!W14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RESUMO'!W14</f>
        <v/>
      </c>
      <c r="N24" s="130">
        <f>MAX(0,M24-M23)</f>
        <v/>
      </c>
      <c r="O24" s="129">
        <f>IF(B24&lt;='VALOR POR PL'!$P$5,'CP RESUMO'!W56,"")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HISTORICOS'!X14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RESUMO'!X14</f>
        <v/>
      </c>
      <c r="N25" s="130">
        <f>MAX(0,M25-M24)</f>
        <v/>
      </c>
      <c r="O25" s="129">
        <f>IF(B25&lt;='VALOR POR PL'!$P$5,'CP RESUMO'!X56,"")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HISTORICOS'!Y14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140080.31</v>
      </c>
      <c r="M26" s="129">
        <f>'CP RESUMO'!Y14</f>
        <v/>
      </c>
      <c r="N26" s="130">
        <f>MAX(0,M26-M25)</f>
        <v/>
      </c>
      <c r="O26" s="129">
        <f>IF(B26&lt;='VALOR POR PL'!$P$5,'CP RESUMO'!Y56,"")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HISTORICOS'!Z14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252136.45</v>
      </c>
      <c r="M27" s="129">
        <f>'CP RESUMO'!Z14</f>
        <v/>
      </c>
      <c r="N27" s="130">
        <f>MAX(0,M27-M26)</f>
        <v/>
      </c>
      <c r="O27" s="129">
        <f>IF(B27&lt;='VALOR POR PL'!$P$5,'CP RESUMO'!Z56,"")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HISTORICOS'!AA14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284644.73</v>
      </c>
      <c r="M28" s="129">
        <f>'CP RESUMO'!AA14</f>
        <v/>
      </c>
      <c r="N28" s="130">
        <f>MAX(0,M28-M27)</f>
        <v/>
      </c>
      <c r="O28" s="129">
        <f>IF(B28&lt;='VALOR POR PL'!$P$5,'CP RESUMO'!AA56,"")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HISTORICOS'!AB14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328768.1</v>
      </c>
      <c r="M29" s="129">
        <f>'CP RESUMO'!AB14</f>
        <v/>
      </c>
      <c r="N29" s="130">
        <f>MAX(0,M29-M28)</f>
        <v/>
      </c>
      <c r="O29" s="129">
        <f>IF(B29&lt;='VALOR POR PL'!$P$5,'CP RESUMO'!AB56,"")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HISTORICOS'!AC14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488589.71</v>
      </c>
      <c r="M30" s="129">
        <f>'CP RESUMO'!AC14</f>
        <v/>
      </c>
      <c r="N30" s="130">
        <f>MAX(0,M30-M29)</f>
        <v/>
      </c>
      <c r="O30" s="129">
        <f>IF(B30&lt;='VALOR POR PL'!$P$5,'CP RESUMO'!AC56,"")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HISTORICOS'!AD14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439669.52</v>
      </c>
      <c r="M31" s="129">
        <f>'CP RESUMO'!AD14</f>
        <v/>
      </c>
      <c r="N31" s="130">
        <f>MAX(0,M31-M30)</f>
        <v/>
      </c>
      <c r="O31" s="129">
        <f>IF(B31&lt;='VALOR POR PL'!$P$5,'CP RESUMO'!AD56,"")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HISTORICOS'!AE14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437483.96</v>
      </c>
      <c r="M32" s="129">
        <f>'CP RESUMO'!AE14</f>
        <v/>
      </c>
      <c r="N32" s="130">
        <f>MAX(0,M32-M31)</f>
        <v/>
      </c>
      <c r="O32" s="129">
        <f>IF(B32&lt;='VALOR POR PL'!$P$5,'CP RESUMO'!AE56,"")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HISTORICOS'!AF14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450976.08</v>
      </c>
      <c r="M33" s="129">
        <f>'CP RESUMO'!AF14</f>
        <v/>
      </c>
      <c r="N33" s="130">
        <f>MAX(0,M33-M32)</f>
        <v/>
      </c>
      <c r="O33" s="129">
        <f>IF(B33&lt;='VALOR POR PL'!$P$5,'CP RESUMO'!AF56,"")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HISTORICOS'!AG14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456518.18</v>
      </c>
      <c r="M34" s="129">
        <f>'CP RESUMO'!AG14</f>
        <v/>
      </c>
      <c r="N34" s="130">
        <f>MAX(0,M34-M33)</f>
        <v/>
      </c>
      <c r="O34" s="129">
        <f>IF(B34&lt;='VALOR POR PL'!$P$5,'CP RESUMO'!AG56,"")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HISTORICOS'!AH14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456518.18</v>
      </c>
      <c r="M35" s="129">
        <f>'CP RESUMO'!AH14</f>
        <v/>
      </c>
      <c r="N35" s="130">
        <f>MAX(0,M35-M34)</f>
        <v/>
      </c>
      <c r="O35" s="129">
        <f>IF(B35&lt;='VALOR POR PL'!$P$5,'CP RESUMO'!AH56,"")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HISTORICOS'!AI14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456518.18</v>
      </c>
      <c r="M36" s="129">
        <f>'CP RESUMO'!AI14</f>
        <v/>
      </c>
      <c r="N36" s="130">
        <f>MAX(0,M36-M35)</f>
        <v/>
      </c>
      <c r="O36" s="129">
        <f>IF(B36&lt;='VALOR POR PL'!$P$5,'CP RESUMO'!AI56,"")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HISTORICOS'!AJ14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464593.44</v>
      </c>
      <c r="M37" s="129">
        <f>'CP RESUMO'!AJ14</f>
        <v/>
      </c>
      <c r="N37" s="130">
        <f>MAX(0,M37-M36)</f>
        <v/>
      </c>
      <c r="O37" s="129">
        <f>IF(B37&lt;='VALOR POR PL'!$P$5,'CP RESUMO'!AJ56,"")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HISTORICOS'!AK14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464593.44</v>
      </c>
      <c r="M38" s="129">
        <f>'CP RESUMO'!AK14</f>
        <v/>
      </c>
      <c r="N38" s="130">
        <f>MAX(0,M38-M37)</f>
        <v/>
      </c>
      <c r="O38" s="129">
        <f>IF(B38&lt;='VALOR POR PL'!$P$5,'CP RESUMO'!AK56,"")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HISTORICOS'!AL14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463729.92</v>
      </c>
      <c r="M39" s="129">
        <f>'CP RESUMO'!AL14</f>
        <v/>
      </c>
      <c r="N39" s="130">
        <f>MAX(0,M39-M38)</f>
        <v/>
      </c>
      <c r="O39" s="129">
        <f>IF(B39&lt;='VALOR POR PL'!$P$5,'CP RESUMO'!AL56,"")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HISTORICOS'!AM14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592235.9300000001</v>
      </c>
      <c r="M40" s="129">
        <f>'CP RESUMO'!AM14</f>
        <v/>
      </c>
      <c r="N40" s="130">
        <f>MAX(0,M40-M39)</f>
        <v/>
      </c>
      <c r="O40" s="129">
        <f>IF(B40&lt;='VALOR POR PL'!$P$5,'CP RESUMO'!AM56,"")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HISTORICOS'!AN14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583784.24</v>
      </c>
      <c r="M41" s="129">
        <f>'CP RESUMO'!AN14</f>
        <v/>
      </c>
      <c r="N41" s="130">
        <f>MAX(0,M41-M40)</f>
        <v/>
      </c>
      <c r="O41" s="129">
        <f>IF(B41&lt;='VALOR POR PL'!$P$5,'CP RESUMO'!AN56,"")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HISTORICOS'!AO14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464593.44</v>
      </c>
      <c r="M42" s="129">
        <f>'CP RESUMO'!AO14</f>
        <v/>
      </c>
      <c r="N42" s="130">
        <f>MAX(0,M42-M41)</f>
        <v/>
      </c>
      <c r="O42" s="129">
        <f>IF(B42&lt;='VALOR POR PL'!$P$5,'CP RESUMO'!AO56,"")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HISTORICOS'!AP14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464593.44</v>
      </c>
      <c r="M43" s="129">
        <f>'CP RESUMO'!AP14</f>
        <v/>
      </c>
      <c r="N43" s="130">
        <f>MAX(0,M43-M42)</f>
        <v/>
      </c>
      <c r="O43" s="129">
        <f>IF(B43&lt;='VALOR POR PL'!$P$5,'CP RESUMO'!AP56,"")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HISTORICOS'!AQ14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464593.44</v>
      </c>
      <c r="M44" s="129">
        <f>'CP RESUMO'!AQ14</f>
        <v/>
      </c>
      <c r="N44" s="130">
        <f>MAX(0,M44-M43)</f>
        <v/>
      </c>
      <c r="O44" s="129">
        <f>IF(B44&lt;='VALOR POR PL'!$P$5,'CP RESUMO'!AQ56,"")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HISTORICOS'!AR14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446460.19</v>
      </c>
      <c r="M45" s="129">
        <f>'CP RESUMO'!AR14</f>
        <v/>
      </c>
      <c r="N45" s="130">
        <f>MAX(0,M45-M44)</f>
        <v/>
      </c>
      <c r="O45" s="129">
        <f>IF(B45&lt;='VALOR POR PL'!$P$5,'CP RESUMO'!AR56,"")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HISTORICOS'!AS14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446460.19</v>
      </c>
      <c r="M46" s="129">
        <f>'CP RESUMO'!AS14</f>
        <v/>
      </c>
      <c r="N46" s="130">
        <f>MAX(0,M46-M45)</f>
        <v/>
      </c>
      <c r="O46" s="129">
        <f>IF(B46&lt;='VALOR POR PL'!$P$5,'CP RESUMO'!AS56,"")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HISTORICOS'!AT14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446460.19</v>
      </c>
      <c r="M47" s="129">
        <f>'CP RESUMO'!AT14</f>
        <v/>
      </c>
      <c r="N47" s="130">
        <f>MAX(0,M47-M46)</f>
        <v/>
      </c>
      <c r="O47" s="129">
        <f>IF(B47&lt;='VALOR POR PL'!$P$5,'CP RESUMO'!AT56,"")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HISTORICOS'!AU14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430208.77</v>
      </c>
      <c r="M48" s="129">
        <f>'CP RESUMO'!AU14</f>
        <v/>
      </c>
      <c r="N48" s="130">
        <f>MAX(0,M48-M47)</f>
        <v/>
      </c>
      <c r="O48" s="129">
        <f>IF(B48&lt;='VALOR POR PL'!$P$5,'CP RESUMO'!AU56,"")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HISTORICOS'!AV14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409025.96</v>
      </c>
      <c r="M49" s="129">
        <f>'CP RESUMO'!AV14</f>
        <v/>
      </c>
      <c r="N49" s="130">
        <f>MAX(0,M49-M48)</f>
        <v/>
      </c>
      <c r="O49" s="129">
        <f>IF(B49&lt;='VALOR POR PL'!$P$5,'CP RESUMO'!AV56,"")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HISTORICOS'!AW14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409025.96</v>
      </c>
      <c r="M50" s="129">
        <f>'CP RESUMO'!AW14</f>
        <v/>
      </c>
      <c r="N50" s="130">
        <f>MAX(0,M50-M49)</f>
        <v/>
      </c>
      <c r="O50" s="129">
        <f>IF(B50&lt;='VALOR POR PL'!$P$5,'CP RESUMO'!AW56,"")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HISTORICOS'!AX14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409025.96</v>
      </c>
      <c r="M51" s="129">
        <f>'CP RESUMO'!AX14</f>
        <v/>
      </c>
      <c r="N51" s="130">
        <f>MAX(0,M51-M50)</f>
        <v/>
      </c>
      <c r="O51" s="129">
        <f>IF(B51&lt;='VALOR POR PL'!$P$5,'CP RESUMO'!AX56,"")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HISTORICOS'!AY14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580495.28</v>
      </c>
      <c r="M52" s="129">
        <f>'CP RESUMO'!AY14</f>
        <v/>
      </c>
      <c r="N52" s="130">
        <f>MAX(0,M52-M51)</f>
        <v/>
      </c>
      <c r="O52" s="129">
        <f>IF(B52&lt;='VALOR POR PL'!$P$5,'CP RESUMO'!AY56,"")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HISTORICOS'!AZ14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605762.34</v>
      </c>
      <c r="M53" s="129">
        <f>'CP RESUMO'!AZ14</f>
        <v/>
      </c>
      <c r="N53" s="130">
        <f>MAX(0,M53-M52)</f>
        <v/>
      </c>
      <c r="O53" s="129">
        <f>IF(B53&lt;='VALOR POR PL'!$P$5,'CP RESUMO'!AZ56,"")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HISTORICOS'!BA14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473473.39</v>
      </c>
      <c r="M54" s="129">
        <f>'CP RESUMO'!BA14</f>
        <v/>
      </c>
      <c r="N54" s="130">
        <f>MAX(0,M54-M53)</f>
        <v/>
      </c>
      <c r="O54" s="129">
        <f>IF(B54&lt;='VALOR POR PL'!$P$5,'CP RESUMO'!BA56,"")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HISTORICOS'!BB14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437920</v>
      </c>
      <c r="M55" s="129">
        <f>'CP RESUMO'!BB14</f>
        <v/>
      </c>
      <c r="N55" s="130">
        <f>MAX(0,M55-M54)</f>
        <v/>
      </c>
      <c r="O55" s="129">
        <f>IF(B55&lt;='VALOR POR PL'!$P$5,'CP RESUMO'!BB56,"")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HISTORICOS'!BC14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437920</v>
      </c>
      <c r="M56" s="129">
        <f>'CP RESUMO'!BC14</f>
        <v/>
      </c>
      <c r="N56" s="130">
        <f>MAX(0,M56-M55)</f>
        <v/>
      </c>
      <c r="O56" s="129">
        <f>IF(B56&lt;='VALOR POR PL'!$P$5,'CP RESUMO'!BC56,"")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HISTORICOS'!BD14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615518.9300000001</v>
      </c>
      <c r="M57" s="129">
        <f>'CP RESUMO'!BD14</f>
        <v/>
      </c>
      <c r="N57" s="130">
        <f>MAX(0,M57-M56)</f>
        <v/>
      </c>
      <c r="O57" s="129">
        <f>IF(B57&lt;='VALOR POR PL'!$P$5,'CP RESUMO'!BD56,"")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HISTORICOS'!BE14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163135.14</v>
      </c>
      <c r="M58" s="129">
        <f>'CP RESUMO'!BE14</f>
        <v/>
      </c>
      <c r="N58" s="130">
        <f>MAX(0,M58-M57)</f>
        <v/>
      </c>
      <c r="O58" s="129">
        <f>IF(B58&lt;='VALOR POR PL'!$P$5,'CP RESUMO'!BE56,"")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HISTORICOS'!BF14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>
        <v>63372.54</v>
      </c>
      <c r="M59" s="129">
        <f>'CP RESUMO'!BF14</f>
        <v/>
      </c>
      <c r="N59" s="130">
        <f>MAX(0,M59-M58)</f>
        <v/>
      </c>
      <c r="O59" s="129">
        <f>IF(B59&lt;='VALOR POR PL'!$P$5,'CP RESUMO'!BF56,"")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HISTORICOS'!BG14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>
        <v>63372.54</v>
      </c>
      <c r="M60" s="129">
        <f>'CP RESUMO'!BG14</f>
        <v/>
      </c>
      <c r="N60" s="130">
        <f>MAX(0,M60-M59)</f>
        <v/>
      </c>
      <c r="O60" s="129">
        <f>IF(B60&lt;='VALOR POR PL'!$P$5,'CP RESUMO'!BG56,"")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HISTORICOS'!BH14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RESUMO'!BH14</f>
        <v/>
      </c>
      <c r="N61" s="130">
        <f>MAX(0,M61-M60)</f>
        <v/>
      </c>
      <c r="O61" s="129">
        <f>IF(B61&lt;='VALOR POR PL'!$P$5,'CP RESUMO'!BH56,"")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HISTORICOS'!BI14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RESUMO'!BI14</f>
        <v/>
      </c>
      <c r="N62" s="130">
        <f>MAX(0,M62-M61)</f>
        <v/>
      </c>
      <c r="O62" s="129">
        <f>IF(B62&lt;='VALOR POR PL'!$P$5,'CP RESUMO'!BI56,"")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HISTORICOS'!BJ14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>
        <v>2465795.78</v>
      </c>
      <c r="M63" s="129">
        <f>'CP RESUMO'!BJ14</f>
        <v/>
      </c>
      <c r="N63" s="130">
        <f>MAX(0,M63-M62)</f>
        <v/>
      </c>
      <c r="O63" s="129">
        <f>IF(B63&lt;='VALOR POR PL'!$P$5,'CP RESUMO'!BJ56,"")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HISTORICOS'!BK14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RESUMO'!BK14</f>
        <v/>
      </c>
      <c r="N64" s="130">
        <f>MAX(0,M64-M63)</f>
        <v/>
      </c>
      <c r="O64" s="129">
        <f>IF(B64&lt;='VALOR POR PL'!$P$5,'CP RESUMO'!BK56,"")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HISTORICOS'!BL14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RESUMO'!BL14</f>
        <v/>
      </c>
      <c r="N65" s="130">
        <f>MAX(0,M65-M64)</f>
        <v/>
      </c>
      <c r="O65" s="129">
        <f>IF(B65&lt;='VALOR POR PL'!$P$5,'CP RESUMO'!BL56,"")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HISTORICOS'!BM14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RESUMO'!BM14</f>
        <v/>
      </c>
      <c r="N66" s="130">
        <f>MAX(0,M66-M65)</f>
        <v/>
      </c>
      <c r="O66" s="129">
        <f>IF(B66&lt;='VALOR POR PL'!$P$5,'CP RESUMO'!BM56,"")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HISTORICOS'!BN14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RESUMO'!BN14</f>
        <v/>
      </c>
      <c r="N67" s="130">
        <f>MAX(0,M67-M66)</f>
        <v/>
      </c>
      <c r="O67" s="129">
        <f>IF(B67&lt;='VALOR POR PL'!$P$5,'CP RESUMO'!BN56,"")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HISTORICOS'!BO14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RESUMO'!BO14</f>
        <v/>
      </c>
      <c r="N68" s="130">
        <f>MAX(0,M68-M67)</f>
        <v/>
      </c>
      <c r="O68" s="129">
        <f>IF(B68&lt;='VALOR POR PL'!$P$5,'CP RESUMO'!BO56,"")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HISTORICOS'!BP14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RESUMO'!BP14</f>
        <v/>
      </c>
      <c r="N69" s="130">
        <f>MAX(0,M69-M68)</f>
        <v/>
      </c>
      <c r="O69" s="129">
        <f>IF(B69&lt;='VALOR POR PL'!$P$5,'CP RESUMO'!BP56,"")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HISTORICOS'!BQ14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RESUMO'!BQ14</f>
        <v/>
      </c>
      <c r="N70" s="130">
        <f>MAX(0,M70-M69)</f>
        <v/>
      </c>
      <c r="O70" s="129">
        <f>IF(B70&lt;='VALOR POR PL'!$P$5,'CP RESUMO'!BQ56,"")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HISTORICOS'!BR14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RESUMO'!BR14</f>
        <v/>
      </c>
      <c r="N71" s="130">
        <f>MAX(0,M71-M70)</f>
        <v/>
      </c>
      <c r="O71" s="129">
        <f>IF(B71&lt;='VALOR POR PL'!$P$5,'CP RESUMO'!BR56,"")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HISTORICOS'!BS14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RESUMO'!BS14</f>
        <v/>
      </c>
      <c r="N72" s="130">
        <f>MAX(0,M72-M71)</f>
        <v/>
      </c>
      <c r="O72" s="129">
        <f>IF(B72&lt;='VALOR POR PL'!$P$5,'CP RESUMO'!BS56,"")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HISTORICOS'!BT14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RESUMO'!BT14</f>
        <v/>
      </c>
      <c r="N73" s="130">
        <f>MAX(0,M73-M72)</f>
        <v/>
      </c>
      <c r="O73" s="129">
        <f>IF(B73&lt;='VALOR POR PL'!$P$5,'CP RESUMO'!BT56,"")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HISTORICOS'!BU14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RESUMO'!BU14</f>
        <v/>
      </c>
      <c r="N74" s="130">
        <f>MAX(0,M74-M73)</f>
        <v/>
      </c>
      <c r="O74" s="129">
        <f>IF(B74&lt;='VALOR POR PL'!$P$5,'CP RESUMO'!BU56,"")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HISTORICOS'!BV14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RESUMO'!BV14</f>
        <v/>
      </c>
      <c r="N75" s="130">
        <f>MAX(0,M75-M74)</f>
        <v/>
      </c>
      <c r="O75" s="129">
        <f>IF(B75&lt;='VALOR POR PL'!$P$5,'CP RESUMO'!BV56,"")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HISTORICOS'!BW14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RESUMO'!BW14</f>
        <v/>
      </c>
      <c r="N76" s="130">
        <f>MAX(0,M76-M75)</f>
        <v/>
      </c>
      <c r="O76" s="129">
        <f>IF(B76&lt;='VALOR POR PL'!$P$5,'CP RESUMO'!BW56,"")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HISTORICOS'!D15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PL'!F21</f>
        <v/>
      </c>
      <c r="K5" s="62">
        <f>'VALOR POR PL'!G21</f>
        <v/>
      </c>
      <c r="M5" s="129">
        <f>'CP RESUMO'!D15</f>
        <v/>
      </c>
      <c r="N5" s="130" t="n">
        <v>0</v>
      </c>
      <c r="O5" s="129">
        <f>IF(B5&lt;='VALOR POR PL'!$P$5,'CP RESUMO'!D57,"")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HISTORICOS'!E15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RESUMO'!E15</f>
        <v/>
      </c>
      <c r="N6" s="130">
        <f>MAX(0,M6-M5)</f>
        <v/>
      </c>
      <c r="O6" s="129">
        <f>IF(B6&lt;='VALOR POR PL'!$P$5,'CP RESUMO'!E57,"")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HISTORICOS'!F15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PL'!L21</f>
        <v/>
      </c>
      <c r="M7" s="129">
        <f>'CP RESUMO'!F15</f>
        <v/>
      </c>
      <c r="N7" s="130">
        <f>MAX(0,M7-M6)</f>
        <v/>
      </c>
      <c r="O7" s="129">
        <f>IF(B7&lt;='VALOR POR PL'!$P$5,'CP RESUMO'!F57,"")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HISTORICOS'!G15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RESUMO'!G15</f>
        <v/>
      </c>
      <c r="N8" s="130">
        <f>MAX(0,M8-M7)</f>
        <v/>
      </c>
      <c r="O8" s="129">
        <f>IF(B8&lt;='VALOR POR PL'!$P$5,'CP RESUMO'!G57,"")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HISTORICOS'!H15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RESUMO'!H15</f>
        <v/>
      </c>
      <c r="N9" s="130">
        <f>MAX(0,M9-M8)</f>
        <v/>
      </c>
      <c r="O9" s="129">
        <f>IF(B9&lt;='VALOR POR PL'!$P$5,'CP RESUMO'!H57,"")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HISTORICOS'!I15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RESUMO'!I15</f>
        <v/>
      </c>
      <c r="N10" s="130">
        <f>MAX(0,M10-M9)</f>
        <v/>
      </c>
      <c r="O10" s="129">
        <f>IF(B10&lt;='VALOR POR PL'!$P$5,'CP RESUMO'!I57,"")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HISTORICOS'!J15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RESUMO'!J15</f>
        <v/>
      </c>
      <c r="N11" s="130">
        <f>MAX(0,M11-M10)</f>
        <v/>
      </c>
      <c r="O11" s="129">
        <f>IF(B11&lt;='VALOR POR PL'!$P$5,'CP RESUMO'!J57,"")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HISTORICOS'!K15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RESUMO'!K15</f>
        <v/>
      </c>
      <c r="N12" s="130">
        <f>MAX(0,M12-M11)</f>
        <v/>
      </c>
      <c r="O12" s="129">
        <f>IF(B12&lt;='VALOR POR PL'!$P$5,'CP RESUMO'!K57,"")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HISTORICOS'!L15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PL'!I21</f>
        <v/>
      </c>
      <c r="M13" s="129">
        <f>'CP RESUMO'!L15</f>
        <v/>
      </c>
      <c r="N13" s="130">
        <f>MAX(0,M13-M12)</f>
        <v/>
      </c>
      <c r="O13" s="129">
        <f>IF(B13&lt;='VALOR POR PL'!$P$5,'CP RESUMO'!L57,"")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HISTORICOS'!M15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RESUMO'!$D$57:$BW$57,MATCH('VALOR POR PL'!$P$5,'CP RESUMO'!$D$4:$BW$4,0))/100,0)</f>
        <v/>
      </c>
      <c r="M14" s="129">
        <f>'CP RESUMO'!M15</f>
        <v/>
      </c>
      <c r="N14" s="130">
        <f>MAX(0,M14-M13)</f>
        <v/>
      </c>
      <c r="O14" s="129">
        <f>IF(B14&lt;='VALOR POR PL'!$P$5,'CP RESUMO'!M57,"")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HISTORICOS'!N15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RESUMO'!N15</f>
        <v/>
      </c>
      <c r="N15" s="130">
        <f>MAX(0,M15-M14)</f>
        <v/>
      </c>
      <c r="O15" s="129">
        <f>IF(B15&lt;='VALOR POR PL'!$P$5,'CP RESUMO'!N57,"")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HISTORICOS'!O15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RESUMO'!O15</f>
        <v/>
      </c>
      <c r="N16" s="130">
        <f>MAX(0,M16-M15)</f>
        <v/>
      </c>
      <c r="O16" s="129">
        <f>IF(B16&lt;='VALOR POR PL'!$P$5,'CP RESUMO'!O57,"")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HISTORICOS'!P15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RESUMO'!P15</f>
        <v/>
      </c>
      <c r="N17" s="130">
        <f>MAX(0,M17-M16)</f>
        <v/>
      </c>
      <c r="O17" s="129">
        <f>IF(B17&lt;='VALOR POR PL'!$P$5,'CP RESUMO'!P57,"")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HISTORICOS'!Q15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RESUMO'!Q15</f>
        <v/>
      </c>
      <c r="N18" s="130">
        <f>MAX(0,M18-M17)</f>
        <v/>
      </c>
      <c r="O18" s="129">
        <f>IF(B18&lt;='VALOR POR PL'!$P$5,'CP RESUMO'!Q57,"")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HISTORICOS'!R15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RESUMO'!R15</f>
        <v/>
      </c>
      <c r="N19" s="130">
        <f>MAX(0,M19-M18)</f>
        <v/>
      </c>
      <c r="O19" s="129">
        <f>IF(B19&lt;='VALOR POR PL'!$P$5,'CP RESUMO'!R57,"")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HISTORICOS'!S15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RESUMO'!S15</f>
        <v/>
      </c>
      <c r="N20" s="130">
        <f>MAX(0,M20-M19)</f>
        <v/>
      </c>
      <c r="O20" s="129">
        <f>IF(B20&lt;='VALOR POR PL'!$P$5,'CP RESUMO'!S57,"")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HISTORICOS'!T15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RESUMO'!T15</f>
        <v/>
      </c>
      <c r="N21" s="130">
        <f>MAX(0,M21-M20)</f>
        <v/>
      </c>
      <c r="O21" s="129">
        <f>IF(B21&lt;='VALOR POR PL'!$P$5,'CP RESUMO'!T57,"")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HISTORICOS'!U15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RESUMO'!U15</f>
        <v/>
      </c>
      <c r="N22" s="130">
        <f>MAX(0,M22-M21)</f>
        <v/>
      </c>
      <c r="O22" s="129">
        <f>IF(B22&lt;='VALOR POR PL'!$P$5,'CP RESUMO'!U57,"")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HISTORICOS'!V15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RESUMO'!V15</f>
        <v/>
      </c>
      <c r="N23" s="130">
        <f>MAX(0,M23-M22)</f>
        <v/>
      </c>
      <c r="O23" s="129">
        <f>IF(B23&lt;='VALOR POR PL'!$P$5,'CP RESUMO'!V57,"")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HISTORICOS'!W15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RESUMO'!W15</f>
        <v/>
      </c>
      <c r="N24" s="130">
        <f>MAX(0,M24-M23)</f>
        <v/>
      </c>
      <c r="O24" s="129">
        <f>IF(B24&lt;='VALOR POR PL'!$P$5,'CP RESUMO'!W57,"")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HISTORICOS'!X15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RESUMO'!X15</f>
        <v/>
      </c>
      <c r="N25" s="130">
        <f>MAX(0,M25-M24)</f>
        <v/>
      </c>
      <c r="O25" s="129">
        <f>IF(B25&lt;='VALOR POR PL'!$P$5,'CP RESUMO'!X57,"")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HISTORICOS'!Y15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94939.97</v>
      </c>
      <c r="M26" s="129">
        <f>'CP RESUMO'!Y15</f>
        <v/>
      </c>
      <c r="N26" s="130">
        <f>MAX(0,M26-M25)</f>
        <v/>
      </c>
      <c r="O26" s="129">
        <f>IF(B26&lt;='VALOR POR PL'!$P$5,'CP RESUMO'!Y57,"")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HISTORICOS'!Z15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158564.58</v>
      </c>
      <c r="M27" s="129">
        <f>'CP RESUMO'!Z15</f>
        <v/>
      </c>
      <c r="N27" s="130">
        <f>MAX(0,M27-M26)</f>
        <v/>
      </c>
      <c r="O27" s="129">
        <f>IF(B27&lt;='VALOR POR PL'!$P$5,'CP RESUMO'!Z57,"")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HISTORICOS'!AA15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95745</v>
      </c>
      <c r="M28" s="129">
        <f>'CP RESUMO'!AA15</f>
        <v/>
      </c>
      <c r="N28" s="130">
        <f>MAX(0,M28-M27)</f>
        <v/>
      </c>
      <c r="O28" s="129">
        <f>IF(B28&lt;='VALOR POR PL'!$P$5,'CP RESUMO'!AA57,"")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HISTORICOS'!AB15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201083.08</v>
      </c>
      <c r="M29" s="129">
        <f>'CP RESUMO'!AB15</f>
        <v/>
      </c>
      <c r="N29" s="130">
        <f>MAX(0,M29-M28)</f>
        <v/>
      </c>
      <c r="O29" s="129">
        <f>IF(B29&lt;='VALOR POR PL'!$P$5,'CP RESUMO'!AB57,"")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HISTORICOS'!AC15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98138.38</v>
      </c>
      <c r="M30" s="129">
        <f>'CP RESUMO'!AC15</f>
        <v/>
      </c>
      <c r="N30" s="130">
        <f>MAX(0,M30-M29)</f>
        <v/>
      </c>
      <c r="O30" s="129">
        <f>IF(B30&lt;='VALOR POR PL'!$P$5,'CP RESUMO'!AC57,"")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HISTORICOS'!AD15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197907.52</v>
      </c>
      <c r="M31" s="129">
        <f>'CP RESUMO'!AD15</f>
        <v/>
      </c>
      <c r="N31" s="130">
        <f>MAX(0,M31-M30)</f>
        <v/>
      </c>
      <c r="O31" s="129">
        <f>IF(B31&lt;='VALOR POR PL'!$P$5,'CP RESUMO'!AD57,"")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HISTORICOS'!AE15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162918.89</v>
      </c>
      <c r="M32" s="129">
        <f>'CP RESUMO'!AE15</f>
        <v/>
      </c>
      <c r="N32" s="130">
        <f>MAX(0,M32-M31)</f>
        <v/>
      </c>
      <c r="O32" s="129">
        <f>IF(B32&lt;='VALOR POR PL'!$P$5,'CP RESUMO'!AE57,"")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HISTORICOS'!AF15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169058.89</v>
      </c>
      <c r="M33" s="129">
        <f>'CP RESUMO'!AF15</f>
        <v/>
      </c>
      <c r="N33" s="130">
        <f>MAX(0,M33-M32)</f>
        <v/>
      </c>
      <c r="O33" s="129">
        <f>IF(B33&lt;='VALOR POR PL'!$P$5,'CP RESUMO'!AF57,"")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HISTORICOS'!AG15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273009.59</v>
      </c>
      <c r="M34" s="129">
        <f>'CP RESUMO'!AG15</f>
        <v/>
      </c>
      <c r="N34" s="130">
        <f>MAX(0,M34-M33)</f>
        <v/>
      </c>
      <c r="O34" s="129">
        <f>IF(B34&lt;='VALOR POR PL'!$P$5,'CP RESUMO'!AG57,"")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HISTORICOS'!AH15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218406.22</v>
      </c>
      <c r="M35" s="129">
        <f>'CP RESUMO'!AH15</f>
        <v/>
      </c>
      <c r="N35" s="130">
        <f>MAX(0,M35-M34)</f>
        <v/>
      </c>
      <c r="O35" s="129">
        <f>IF(B35&lt;='VALOR POR PL'!$P$5,'CP RESUMO'!AH57,"")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HISTORICOS'!AI15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267270.57</v>
      </c>
      <c r="M36" s="129">
        <f>'CP RESUMO'!AI15</f>
        <v/>
      </c>
      <c r="N36" s="130">
        <f>MAX(0,M36-M35)</f>
        <v/>
      </c>
      <c r="O36" s="129">
        <f>IF(B36&lt;='VALOR POR PL'!$P$5,'CP RESUMO'!AI57,"")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HISTORICOS'!AJ15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233262.22</v>
      </c>
      <c r="M37" s="129">
        <f>'CP RESUMO'!AJ15</f>
        <v/>
      </c>
      <c r="N37" s="130">
        <f>MAX(0,M37-M36)</f>
        <v/>
      </c>
      <c r="O37" s="129">
        <f>IF(B37&lt;='VALOR POR PL'!$P$5,'CP RESUMO'!AJ57,"")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HISTORICOS'!AK15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229592.22</v>
      </c>
      <c r="M38" s="129">
        <f>'CP RESUMO'!AK15</f>
        <v/>
      </c>
      <c r="N38" s="130">
        <f>MAX(0,M38-M37)</f>
        <v/>
      </c>
      <c r="O38" s="129">
        <f>IF(B38&lt;='VALOR POR PL'!$P$5,'CP RESUMO'!AK57,"")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HISTORICOS'!AL15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286769.57</v>
      </c>
      <c r="M39" s="129">
        <f>'CP RESUMO'!AL15</f>
        <v/>
      </c>
      <c r="N39" s="130">
        <f>MAX(0,M39-M38)</f>
        <v/>
      </c>
      <c r="O39" s="129">
        <f>IF(B39&lt;='VALOR POR PL'!$P$5,'CP RESUMO'!AL57,"")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HISTORICOS'!AM15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327219.86</v>
      </c>
      <c r="M40" s="129">
        <f>'CP RESUMO'!AM15</f>
        <v/>
      </c>
      <c r="N40" s="130">
        <f>MAX(0,M40-M39)</f>
        <v/>
      </c>
      <c r="O40" s="129">
        <f>IF(B40&lt;='VALOR POR PL'!$P$5,'CP RESUMO'!AM57,"")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HISTORICOS'!AN15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263647.68</v>
      </c>
      <c r="M41" s="129">
        <f>'CP RESUMO'!AN15</f>
        <v/>
      </c>
      <c r="N41" s="130">
        <f>MAX(0,M41-M40)</f>
        <v/>
      </c>
      <c r="O41" s="129">
        <f>IF(B41&lt;='VALOR POR PL'!$P$5,'CP RESUMO'!AN57,"")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HISTORICOS'!AO15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245007.68</v>
      </c>
      <c r="M42" s="129">
        <f>'CP RESUMO'!AO15</f>
        <v/>
      </c>
      <c r="N42" s="130">
        <f>MAX(0,M42-M41)</f>
        <v/>
      </c>
      <c r="O42" s="129">
        <f>IF(B42&lt;='VALOR POR PL'!$P$5,'CP RESUMO'!AO57,"")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HISTORICOS'!AP15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249007.68</v>
      </c>
      <c r="M43" s="129">
        <f>'CP RESUMO'!AP15</f>
        <v/>
      </c>
      <c r="N43" s="130">
        <f>MAX(0,M43-M42)</f>
        <v/>
      </c>
      <c r="O43" s="129">
        <f>IF(B43&lt;='VALOR POR PL'!$P$5,'CP RESUMO'!AP57,"")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HISTORICOS'!AQ15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239688.68</v>
      </c>
      <c r="M44" s="129">
        <f>'CP RESUMO'!AQ15</f>
        <v/>
      </c>
      <c r="N44" s="130">
        <f>MAX(0,M44-M43)</f>
        <v/>
      </c>
      <c r="O44" s="129">
        <f>IF(B44&lt;='VALOR POR PL'!$P$5,'CP RESUMO'!AQ57,"")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HISTORICOS'!AR15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250628.68</v>
      </c>
      <c r="M45" s="129">
        <f>'CP RESUMO'!AR15</f>
        <v/>
      </c>
      <c r="N45" s="130">
        <f>MAX(0,M45-M44)</f>
        <v/>
      </c>
      <c r="O45" s="129">
        <f>IF(B45&lt;='VALOR POR PL'!$P$5,'CP RESUMO'!AR57,"")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HISTORICOS'!AS15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263254.68</v>
      </c>
      <c r="M46" s="129">
        <f>'CP RESUMO'!AS15</f>
        <v/>
      </c>
      <c r="N46" s="130">
        <f>MAX(0,M46-M45)</f>
        <v/>
      </c>
      <c r="O46" s="129">
        <f>IF(B46&lt;='VALOR POR PL'!$P$5,'CP RESUMO'!AS57,"")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HISTORICOS'!AT15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249749.3</v>
      </c>
      <c r="M47" s="129">
        <f>'CP RESUMO'!AT15</f>
        <v/>
      </c>
      <c r="N47" s="130">
        <f>MAX(0,M47-M46)</f>
        <v/>
      </c>
      <c r="O47" s="129">
        <f>IF(B47&lt;='VALOR POR PL'!$P$5,'CP RESUMO'!AT57,"")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HISTORICOS'!AU15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260865.91</v>
      </c>
      <c r="M48" s="129">
        <f>'CP RESUMO'!AU15</f>
        <v/>
      </c>
      <c r="N48" s="130">
        <f>MAX(0,M48-M47)</f>
        <v/>
      </c>
      <c r="O48" s="129">
        <f>IF(B48&lt;='VALOR POR PL'!$P$5,'CP RESUMO'!AU57,"")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HISTORICOS'!AV15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318689.62</v>
      </c>
      <c r="M49" s="129">
        <f>'CP RESUMO'!AV15</f>
        <v/>
      </c>
      <c r="N49" s="130">
        <f>MAX(0,M49-M48)</f>
        <v/>
      </c>
      <c r="O49" s="129">
        <f>IF(B49&lt;='VALOR POR PL'!$P$5,'CP RESUMO'!AV57,"")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HISTORICOS'!AW15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209920.3</v>
      </c>
      <c r="M50" s="129">
        <f>'CP RESUMO'!AW15</f>
        <v/>
      </c>
      <c r="N50" s="130">
        <f>MAX(0,M50-M49)</f>
        <v/>
      </c>
      <c r="O50" s="129">
        <f>IF(B50&lt;='VALOR POR PL'!$P$5,'CP RESUMO'!AW57,"")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HISTORICOS'!AX15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233466.97</v>
      </c>
      <c r="M51" s="129">
        <f>'CP RESUMO'!AX15</f>
        <v/>
      </c>
      <c r="N51" s="130">
        <f>MAX(0,M51-M50)</f>
        <v/>
      </c>
      <c r="O51" s="129">
        <f>IF(B51&lt;='VALOR POR PL'!$P$5,'CP RESUMO'!AX57,"")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HISTORICOS'!AY15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18744.2</v>
      </c>
      <c r="M52" s="129">
        <f>'CP RESUMO'!AY15</f>
        <v/>
      </c>
      <c r="N52" s="130">
        <f>MAX(0,M52-M51)</f>
        <v/>
      </c>
      <c r="O52" s="129">
        <f>IF(B52&lt;='VALOR POR PL'!$P$5,'CP RESUMO'!AY57,"")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HISTORICOS'!AZ15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109412.33</v>
      </c>
      <c r="M53" s="129">
        <f>'CP RESUMO'!AZ15</f>
        <v/>
      </c>
      <c r="N53" s="130">
        <f>MAX(0,M53-M52)</f>
        <v/>
      </c>
      <c r="O53" s="129">
        <f>IF(B53&lt;='VALOR POR PL'!$P$5,'CP RESUMO'!AZ57,"")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HISTORICOS'!BA15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104432.33</v>
      </c>
      <c r="M54" s="129">
        <f>'CP RESUMO'!BA15</f>
        <v/>
      </c>
      <c r="N54" s="130">
        <f>MAX(0,M54-M53)</f>
        <v/>
      </c>
      <c r="O54" s="129">
        <f>IF(B54&lt;='VALOR POR PL'!$P$5,'CP RESUMO'!BA57,"")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HISTORICOS'!BB15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86124.89</v>
      </c>
      <c r="M55" s="129">
        <f>'CP RESUMO'!BB15</f>
        <v/>
      </c>
      <c r="N55" s="130">
        <f>MAX(0,M55-M54)</f>
        <v/>
      </c>
      <c r="O55" s="129">
        <f>IF(B55&lt;='VALOR POR PL'!$P$5,'CP RESUMO'!BB57,"")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HISTORICOS'!BC15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6352.27</v>
      </c>
      <c r="M56" s="129">
        <f>'CP RESUMO'!BC15</f>
        <v/>
      </c>
      <c r="N56" s="130">
        <f>MAX(0,M56-M55)</f>
        <v/>
      </c>
      <c r="O56" s="129">
        <f>IF(B56&lt;='VALOR POR PL'!$P$5,'CP RESUMO'!BC57,"")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HISTORICOS'!BD15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2864.27</v>
      </c>
      <c r="M57" s="129">
        <f>'CP RESUMO'!BD15</f>
        <v/>
      </c>
      <c r="N57" s="130">
        <f>MAX(0,M57-M56)</f>
        <v/>
      </c>
      <c r="O57" s="129">
        <f>IF(B57&lt;='VALOR POR PL'!$P$5,'CP RESUMO'!BD57,"")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HISTORICOS'!BE15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2864.27</v>
      </c>
      <c r="M58" s="129">
        <f>'CP RESUMO'!BE15</f>
        <v/>
      </c>
      <c r="N58" s="130">
        <f>MAX(0,M58-M57)</f>
        <v/>
      </c>
      <c r="O58" s="129">
        <f>IF(B58&lt;='VALOR POR PL'!$P$5,'CP RESUMO'!BE57,"")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HISTORICOS'!BF15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RESUMO'!BF15</f>
        <v/>
      </c>
      <c r="N59" s="130">
        <f>MAX(0,M59-M58)</f>
        <v/>
      </c>
      <c r="O59" s="129">
        <f>IF(B59&lt;='VALOR POR PL'!$P$5,'CP RESUMO'!BF57,"")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HISTORICOS'!BG15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RESUMO'!BG15</f>
        <v/>
      </c>
      <c r="N60" s="130">
        <f>MAX(0,M60-M59)</f>
        <v/>
      </c>
      <c r="O60" s="129">
        <f>IF(B60&lt;='VALOR POR PL'!$P$5,'CP RESUMO'!BG57,"")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HISTORICOS'!BH15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RESUMO'!BH15</f>
        <v/>
      </c>
      <c r="N61" s="130">
        <f>MAX(0,M61-M60)</f>
        <v/>
      </c>
      <c r="O61" s="129">
        <f>IF(B61&lt;='VALOR POR PL'!$P$5,'CP RESUMO'!BH57,"")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HISTORICOS'!BI15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RESUMO'!BI15</f>
        <v/>
      </c>
      <c r="N62" s="130">
        <f>MAX(0,M62-M61)</f>
        <v/>
      </c>
      <c r="O62" s="129">
        <f>IF(B62&lt;='VALOR POR PL'!$P$5,'CP RESUMO'!BI57,"")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HISTORICOS'!BJ15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RESUMO'!BJ15</f>
        <v/>
      </c>
      <c r="N63" s="130">
        <f>MAX(0,M63-M62)</f>
        <v/>
      </c>
      <c r="O63" s="129">
        <f>IF(B63&lt;='VALOR POR PL'!$P$5,'CP RESUMO'!BJ57,"")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HISTORICOS'!BK15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RESUMO'!BK15</f>
        <v/>
      </c>
      <c r="N64" s="130">
        <f>MAX(0,M64-M63)</f>
        <v/>
      </c>
      <c r="O64" s="129">
        <f>IF(B64&lt;='VALOR POR PL'!$P$5,'CP RESUMO'!BK57,"")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HISTORICOS'!BL15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RESUMO'!BL15</f>
        <v/>
      </c>
      <c r="N65" s="130">
        <f>MAX(0,M65-M64)</f>
        <v/>
      </c>
      <c r="O65" s="129">
        <f>IF(B65&lt;='VALOR POR PL'!$P$5,'CP RESUMO'!BL57,"")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HISTORICOS'!BM15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RESUMO'!BM15</f>
        <v/>
      </c>
      <c r="N66" s="130">
        <f>MAX(0,M66-M65)</f>
        <v/>
      </c>
      <c r="O66" s="129">
        <f>IF(B66&lt;='VALOR POR PL'!$P$5,'CP RESUMO'!BM57,"")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HISTORICOS'!BN15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RESUMO'!BN15</f>
        <v/>
      </c>
      <c r="N67" s="130">
        <f>MAX(0,M67-M66)</f>
        <v/>
      </c>
      <c r="O67" s="129">
        <f>IF(B67&lt;='VALOR POR PL'!$P$5,'CP RESUMO'!BN57,"")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HISTORICOS'!BO15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RESUMO'!BO15</f>
        <v/>
      </c>
      <c r="N68" s="130">
        <f>MAX(0,M68-M67)</f>
        <v/>
      </c>
      <c r="O68" s="129">
        <f>IF(B68&lt;='VALOR POR PL'!$P$5,'CP RESUMO'!BO57,"")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HISTORICOS'!BP15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RESUMO'!BP15</f>
        <v/>
      </c>
      <c r="N69" s="130">
        <f>MAX(0,M69-M68)</f>
        <v/>
      </c>
      <c r="O69" s="129">
        <f>IF(B69&lt;='VALOR POR PL'!$P$5,'CP RESUMO'!BP57,"")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HISTORICOS'!BQ15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RESUMO'!BQ15</f>
        <v/>
      </c>
      <c r="N70" s="130">
        <f>MAX(0,M70-M69)</f>
        <v/>
      </c>
      <c r="O70" s="129">
        <f>IF(B70&lt;='VALOR POR PL'!$P$5,'CP RESUMO'!BQ57,"")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HISTORICOS'!BR15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RESUMO'!BR15</f>
        <v/>
      </c>
      <c r="N71" s="130">
        <f>MAX(0,M71-M70)</f>
        <v/>
      </c>
      <c r="O71" s="129">
        <f>IF(B71&lt;='VALOR POR PL'!$P$5,'CP RESUMO'!BR57,"")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HISTORICOS'!BS15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RESUMO'!BS15</f>
        <v/>
      </c>
      <c r="N72" s="130">
        <f>MAX(0,M72-M71)</f>
        <v/>
      </c>
      <c r="O72" s="129">
        <f>IF(B72&lt;='VALOR POR PL'!$P$5,'CP RESUMO'!BS57,"")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HISTORICOS'!BT15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RESUMO'!BT15</f>
        <v/>
      </c>
      <c r="N73" s="130">
        <f>MAX(0,M73-M72)</f>
        <v/>
      </c>
      <c r="O73" s="129">
        <f>IF(B73&lt;='VALOR POR PL'!$P$5,'CP RESUMO'!BT57,"")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HISTORICOS'!BU15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RESUMO'!BU15</f>
        <v/>
      </c>
      <c r="N74" s="130">
        <f>MAX(0,M74-M73)</f>
        <v/>
      </c>
      <c r="O74" s="129">
        <f>IF(B74&lt;='VALOR POR PL'!$P$5,'CP RESUMO'!BU57,"")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HISTORICOS'!BV15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RESUMO'!BV15</f>
        <v/>
      </c>
      <c r="N75" s="130">
        <f>MAX(0,M75-M74)</f>
        <v/>
      </c>
      <c r="O75" s="129">
        <f>IF(B75&lt;='VALOR POR PL'!$P$5,'CP RESUMO'!BV57,"")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HISTORICOS'!BW15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RESUMO'!BW15</f>
        <v/>
      </c>
      <c r="N76" s="130">
        <f>MAX(0,M76-M75)</f>
        <v/>
      </c>
      <c r="O76" s="129">
        <f>IF(B76&lt;='VALOR POR PL'!$P$5,'CP RESUMO'!BW57,"")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HISTORICOS'!D16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PL'!F22</f>
        <v/>
      </c>
      <c r="K5" s="62">
        <f>'VALOR POR PL'!G22</f>
        <v/>
      </c>
      <c r="M5" s="129">
        <f>'CP RESUMO'!D16</f>
        <v/>
      </c>
      <c r="N5" s="130" t="n">
        <v>0</v>
      </c>
      <c r="O5" s="129">
        <f>IF(B5&lt;='VALOR POR PL'!$P$5,'CP RESUMO'!D58,"")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HISTORICOS'!E16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RESUMO'!E16</f>
        <v/>
      </c>
      <c r="N6" s="130">
        <f>MAX(0,M6-M5)</f>
        <v/>
      </c>
      <c r="O6" s="129">
        <f>IF(B6&lt;='VALOR POR PL'!$P$5,'CP RESUMO'!E58,"")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HISTORICOS'!F16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PL'!L22</f>
        <v/>
      </c>
      <c r="M7" s="129">
        <f>'CP RESUMO'!F16</f>
        <v/>
      </c>
      <c r="N7" s="130">
        <f>MAX(0,M7-M6)</f>
        <v/>
      </c>
      <c r="O7" s="129">
        <f>IF(B7&lt;='VALOR POR PL'!$P$5,'CP RESUMO'!F58,"")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HISTORICOS'!G16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RESUMO'!G16</f>
        <v/>
      </c>
      <c r="N8" s="130">
        <f>MAX(0,M8-M7)</f>
        <v/>
      </c>
      <c r="O8" s="129">
        <f>IF(B8&lt;='VALOR POR PL'!$P$5,'CP RESUMO'!G58,"")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HISTORICOS'!H16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RESUMO'!H16</f>
        <v/>
      </c>
      <c r="N9" s="130">
        <f>MAX(0,M9-M8)</f>
        <v/>
      </c>
      <c r="O9" s="129">
        <f>IF(B9&lt;='VALOR POR PL'!$P$5,'CP RESUMO'!H58,"")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HISTORICOS'!I16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RESUMO'!I16</f>
        <v/>
      </c>
      <c r="N10" s="130">
        <f>MAX(0,M10-M9)</f>
        <v/>
      </c>
      <c r="O10" s="129">
        <f>IF(B10&lt;='VALOR POR PL'!$P$5,'CP RESUMO'!I58,"")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HISTORICOS'!J16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RESUMO'!J16</f>
        <v/>
      </c>
      <c r="N11" s="130">
        <f>MAX(0,M11-M10)</f>
        <v/>
      </c>
      <c r="O11" s="129">
        <f>IF(B11&lt;='VALOR POR PL'!$P$5,'CP RESUMO'!J58,"")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HISTORICOS'!K16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RESUMO'!K16</f>
        <v/>
      </c>
      <c r="N12" s="130">
        <f>MAX(0,M12-M11)</f>
        <v/>
      </c>
      <c r="O12" s="129">
        <f>IF(B12&lt;='VALOR POR PL'!$P$5,'CP RESUMO'!K58,"")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HISTORICOS'!L16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PL'!I22</f>
        <v/>
      </c>
      <c r="M13" s="129">
        <f>'CP RESUMO'!L16</f>
        <v/>
      </c>
      <c r="N13" s="130">
        <f>MAX(0,M13-M12)</f>
        <v/>
      </c>
      <c r="O13" s="129">
        <f>IF(B13&lt;='VALOR POR PL'!$P$5,'CP RESUMO'!L58,"")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HISTORICOS'!M16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RESUMO'!$D$58:$BW$58,MATCH('VALOR POR PL'!$P$5,'CP RESUMO'!$D$4:$BW$4,0))/100,0)</f>
        <v/>
      </c>
      <c r="M14" s="129">
        <f>'CP RESUMO'!M16</f>
        <v/>
      </c>
      <c r="N14" s="130">
        <f>MAX(0,M14-M13)</f>
        <v/>
      </c>
      <c r="O14" s="129">
        <f>IF(B14&lt;='VALOR POR PL'!$P$5,'CP RESUMO'!M58,"")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HISTORICOS'!N16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RESUMO'!N16</f>
        <v/>
      </c>
      <c r="N15" s="130">
        <f>MAX(0,M15-M14)</f>
        <v/>
      </c>
      <c r="O15" s="129">
        <f>IF(B15&lt;='VALOR POR PL'!$P$5,'CP RESUMO'!N58,"")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HISTORICOS'!O16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RESUMO'!O16</f>
        <v/>
      </c>
      <c r="N16" s="130">
        <f>MAX(0,M16-M15)</f>
        <v/>
      </c>
      <c r="O16" s="129">
        <f>IF(B16&lt;='VALOR POR PL'!$P$5,'CP RESUMO'!O58,"")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HISTORICOS'!P16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RESUMO'!P16</f>
        <v/>
      </c>
      <c r="N17" s="130">
        <f>MAX(0,M17-M16)</f>
        <v/>
      </c>
      <c r="O17" s="129">
        <f>IF(B17&lt;='VALOR POR PL'!$P$5,'CP RESUMO'!P58,"")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HISTORICOS'!Q16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RESUMO'!Q16</f>
        <v/>
      </c>
      <c r="N18" s="130">
        <f>MAX(0,M18-M17)</f>
        <v/>
      </c>
      <c r="O18" s="129">
        <f>IF(B18&lt;='VALOR POR PL'!$P$5,'CP RESUMO'!Q58,"")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HISTORICOS'!R16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RESUMO'!R16</f>
        <v/>
      </c>
      <c r="N19" s="130">
        <f>MAX(0,M19-M18)</f>
        <v/>
      </c>
      <c r="O19" s="129">
        <f>IF(B19&lt;='VALOR POR PL'!$P$5,'CP RESUMO'!R58,"")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HISTORICOS'!S16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RESUMO'!S16</f>
        <v/>
      </c>
      <c r="N20" s="130">
        <f>MAX(0,M20-M19)</f>
        <v/>
      </c>
      <c r="O20" s="129">
        <f>IF(B20&lt;='VALOR POR PL'!$P$5,'CP RESUMO'!S58,"")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HISTORICOS'!T16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RESUMO'!T16</f>
        <v/>
      </c>
      <c r="N21" s="130">
        <f>MAX(0,M21-M20)</f>
        <v/>
      </c>
      <c r="O21" s="129">
        <f>IF(B21&lt;='VALOR POR PL'!$P$5,'CP RESUMO'!T58,"")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HISTORICOS'!U16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RESUMO'!U16</f>
        <v/>
      </c>
      <c r="N22" s="130">
        <f>MAX(0,M22-M21)</f>
        <v/>
      </c>
      <c r="O22" s="129">
        <f>IF(B22&lt;='VALOR POR PL'!$P$5,'CP RESUMO'!U58,"")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HISTORICOS'!V16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RESUMO'!V16</f>
        <v/>
      </c>
      <c r="N23" s="130">
        <f>MAX(0,M23-M22)</f>
        <v/>
      </c>
      <c r="O23" s="129">
        <f>IF(B23&lt;='VALOR POR PL'!$P$5,'CP RESUMO'!V58,"")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HISTORICOS'!W16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RESUMO'!W16</f>
        <v/>
      </c>
      <c r="N24" s="130">
        <f>MAX(0,M24-M23)</f>
        <v/>
      </c>
      <c r="O24" s="129">
        <f>IF(B24&lt;='VALOR POR PL'!$P$5,'CP RESUMO'!W58,"")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HISTORICOS'!X16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RESUMO'!X16</f>
        <v/>
      </c>
      <c r="N25" s="130">
        <f>MAX(0,M25-M24)</f>
        <v/>
      </c>
      <c r="O25" s="129">
        <f>IF(B25&lt;='VALOR POR PL'!$P$5,'CP RESUMO'!X58,"")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HISTORICOS'!Y16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RESUMO'!Y16</f>
        <v/>
      </c>
      <c r="N26" s="130">
        <f>MAX(0,M26-M25)</f>
        <v/>
      </c>
      <c r="O26" s="129">
        <f>IF(B26&lt;='VALOR POR PL'!$P$5,'CP RESUMO'!Y58,"")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HISTORICOS'!Z16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RESUMO'!Z16</f>
        <v/>
      </c>
      <c r="N27" s="130">
        <f>MAX(0,M27-M26)</f>
        <v/>
      </c>
      <c r="O27" s="129">
        <f>IF(B27&lt;='VALOR POR PL'!$P$5,'CP RESUMO'!Z58,"")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HISTORICOS'!AA16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RESUMO'!AA16</f>
        <v/>
      </c>
      <c r="N28" s="130">
        <f>MAX(0,M28-M27)</f>
        <v/>
      </c>
      <c r="O28" s="129">
        <f>IF(B28&lt;='VALOR POR PL'!$P$5,'CP RESUMO'!AA58,"")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HISTORICOS'!AB16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RESUMO'!AB16</f>
        <v/>
      </c>
      <c r="N29" s="130">
        <f>MAX(0,M29-M28)</f>
        <v/>
      </c>
      <c r="O29" s="129">
        <f>IF(B29&lt;='VALOR POR PL'!$P$5,'CP RESUMO'!AB58,"")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HISTORICOS'!AC16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RESUMO'!AC16</f>
        <v/>
      </c>
      <c r="N30" s="130">
        <f>MAX(0,M30-M29)</f>
        <v/>
      </c>
      <c r="O30" s="129">
        <f>IF(B30&lt;='VALOR POR PL'!$P$5,'CP RESUMO'!AC58,"")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HISTORICOS'!AD16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RESUMO'!AD16</f>
        <v/>
      </c>
      <c r="N31" s="130">
        <f>MAX(0,M31-M30)</f>
        <v/>
      </c>
      <c r="O31" s="129">
        <f>IF(B31&lt;='VALOR POR PL'!$P$5,'CP RESUMO'!AD58,"")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HISTORICOS'!AE16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RESUMO'!AE16</f>
        <v/>
      </c>
      <c r="N32" s="130">
        <f>MAX(0,M32-M31)</f>
        <v/>
      </c>
      <c r="O32" s="129">
        <f>IF(B32&lt;='VALOR POR PL'!$P$5,'CP RESUMO'!AE58,"")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HISTORICOS'!AF16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56654.6</v>
      </c>
      <c r="M33" s="129">
        <f>'CP RESUMO'!AF16</f>
        <v/>
      </c>
      <c r="N33" s="130">
        <f>MAX(0,M33-M32)</f>
        <v/>
      </c>
      <c r="O33" s="129">
        <f>IF(B33&lt;='VALOR POR PL'!$P$5,'CP RESUMO'!AF58,"")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HISTORICOS'!AG16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RESUMO'!AG16</f>
        <v/>
      </c>
      <c r="N34" s="130">
        <f>MAX(0,M34-M33)</f>
        <v/>
      </c>
      <c r="O34" s="129">
        <f>IF(B34&lt;='VALOR POR PL'!$P$5,'CP RESUMO'!AG58,"")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HISTORICOS'!AH16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RESUMO'!AH16</f>
        <v/>
      </c>
      <c r="N35" s="130">
        <f>MAX(0,M35-M34)</f>
        <v/>
      </c>
      <c r="O35" s="129">
        <f>IF(B35&lt;='VALOR POR PL'!$P$5,'CP RESUMO'!AH58,"")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HISTORICOS'!AI16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RESUMO'!AI16</f>
        <v/>
      </c>
      <c r="N36" s="130">
        <f>MAX(0,M36-M35)</f>
        <v/>
      </c>
      <c r="O36" s="129">
        <f>IF(B36&lt;='VALOR POR PL'!$P$5,'CP RESUMO'!AI58,"")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HISTORICOS'!AJ16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RESUMO'!AJ16</f>
        <v/>
      </c>
      <c r="N37" s="130">
        <f>MAX(0,M37-M36)</f>
        <v/>
      </c>
      <c r="O37" s="129">
        <f>IF(B37&lt;='VALOR POR PL'!$P$5,'CP RESUMO'!AJ58,"")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HISTORICOS'!AK16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RESUMO'!AK16</f>
        <v/>
      </c>
      <c r="N38" s="130">
        <f>MAX(0,M38-M37)</f>
        <v/>
      </c>
      <c r="O38" s="129">
        <f>IF(B38&lt;='VALOR POR PL'!$P$5,'CP RESUMO'!AK58,"")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HISTORICOS'!AL16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RESUMO'!AL16</f>
        <v/>
      </c>
      <c r="N39" s="130">
        <f>MAX(0,M39-M38)</f>
        <v/>
      </c>
      <c r="O39" s="129">
        <f>IF(B39&lt;='VALOR POR PL'!$P$5,'CP RESUMO'!AL58,"")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HISTORICOS'!AM16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RESUMO'!AM16</f>
        <v/>
      </c>
      <c r="N40" s="130">
        <f>MAX(0,M40-M39)</f>
        <v/>
      </c>
      <c r="O40" s="129">
        <f>IF(B40&lt;='VALOR POR PL'!$P$5,'CP RESUMO'!AM58,"")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HISTORICOS'!AN16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RESUMO'!AN16</f>
        <v/>
      </c>
      <c r="N41" s="130">
        <f>MAX(0,M41-M40)</f>
        <v/>
      </c>
      <c r="O41" s="129">
        <f>IF(B41&lt;='VALOR POR PL'!$P$5,'CP RESUMO'!AN58,"")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HISTORICOS'!AO16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RESUMO'!AO16</f>
        <v/>
      </c>
      <c r="N42" s="130">
        <f>MAX(0,M42-M41)</f>
        <v/>
      </c>
      <c r="O42" s="129">
        <f>IF(B42&lt;='VALOR POR PL'!$P$5,'CP RESUMO'!AO58,"")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HISTORICOS'!AP16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RESUMO'!AP16</f>
        <v/>
      </c>
      <c r="N43" s="130">
        <f>MAX(0,M43-M42)</f>
        <v/>
      </c>
      <c r="O43" s="129">
        <f>IF(B43&lt;='VALOR POR PL'!$P$5,'CP RESUMO'!AP58,"")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HISTORICOS'!AQ16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RESUMO'!AQ16</f>
        <v/>
      </c>
      <c r="N44" s="130">
        <f>MAX(0,M44-M43)</f>
        <v/>
      </c>
      <c r="O44" s="129">
        <f>IF(B44&lt;='VALOR POR PL'!$P$5,'CP RESUMO'!AQ58,"")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HISTORICOS'!AR16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RESUMO'!AR16</f>
        <v/>
      </c>
      <c r="N45" s="130">
        <f>MAX(0,M45-M44)</f>
        <v/>
      </c>
      <c r="O45" s="129">
        <f>IF(B45&lt;='VALOR POR PL'!$P$5,'CP RESUMO'!AR58,"")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HISTORICOS'!AS16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RESUMO'!AS16</f>
        <v/>
      </c>
      <c r="N46" s="130">
        <f>MAX(0,M46-M45)</f>
        <v/>
      </c>
      <c r="O46" s="129">
        <f>IF(B46&lt;='VALOR POR PL'!$P$5,'CP RESUMO'!AS58,"")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HISTORICOS'!AT16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RESUMO'!AT16</f>
        <v/>
      </c>
      <c r="N47" s="130">
        <f>MAX(0,M47-M46)</f>
        <v/>
      </c>
      <c r="O47" s="129">
        <f>IF(B47&lt;='VALOR POR PL'!$P$5,'CP RESUMO'!AT58,"")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HISTORICOS'!AU16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RESUMO'!AU16</f>
        <v/>
      </c>
      <c r="N48" s="130">
        <f>MAX(0,M48-M47)</f>
        <v/>
      </c>
      <c r="O48" s="129">
        <f>IF(B48&lt;='VALOR POR PL'!$P$5,'CP RESUMO'!AU58,"")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HISTORICOS'!AV16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RESUMO'!AV16</f>
        <v/>
      </c>
      <c r="N49" s="130">
        <f>MAX(0,M49-M48)</f>
        <v/>
      </c>
      <c r="O49" s="129">
        <f>IF(B49&lt;='VALOR POR PL'!$P$5,'CP RESUMO'!AV58,"")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HISTORICOS'!AW16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RESUMO'!AW16</f>
        <v/>
      </c>
      <c r="N50" s="130">
        <f>MAX(0,M50-M49)</f>
        <v/>
      </c>
      <c r="O50" s="129">
        <f>IF(B50&lt;='VALOR POR PL'!$P$5,'CP RESUMO'!AW58,"")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HISTORICOS'!AX16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RESUMO'!AX16</f>
        <v/>
      </c>
      <c r="N51" s="130">
        <f>MAX(0,M51-M50)</f>
        <v/>
      </c>
      <c r="O51" s="129">
        <f>IF(B51&lt;='VALOR POR PL'!$P$5,'CP RESUMO'!AX58,"")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HISTORICOS'!AY16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RESUMO'!AY16</f>
        <v/>
      </c>
      <c r="N52" s="130">
        <f>MAX(0,M52-M51)</f>
        <v/>
      </c>
      <c r="O52" s="129">
        <f>IF(B52&lt;='VALOR POR PL'!$P$5,'CP RESUMO'!AY58,"")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HISTORICOS'!AZ16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RESUMO'!AZ16</f>
        <v/>
      </c>
      <c r="N53" s="130">
        <f>MAX(0,M53-M52)</f>
        <v/>
      </c>
      <c r="O53" s="129">
        <f>IF(B53&lt;='VALOR POR PL'!$P$5,'CP RESUMO'!AZ58,"")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HISTORICOS'!BA16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RESUMO'!BA16</f>
        <v/>
      </c>
      <c r="N54" s="130">
        <f>MAX(0,M54-M53)</f>
        <v/>
      </c>
      <c r="O54" s="129">
        <f>IF(B54&lt;='VALOR POR PL'!$P$5,'CP RESUMO'!BA58,"")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HISTORICOS'!BB16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RESUMO'!BB16</f>
        <v/>
      </c>
      <c r="N55" s="130">
        <f>MAX(0,M55-M54)</f>
        <v/>
      </c>
      <c r="O55" s="129">
        <f>IF(B55&lt;='VALOR POR PL'!$P$5,'CP RESUMO'!BB58,"")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HISTORICOS'!BC16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RESUMO'!BC16</f>
        <v/>
      </c>
      <c r="N56" s="130">
        <f>MAX(0,M56-M55)</f>
        <v/>
      </c>
      <c r="O56" s="129">
        <f>IF(B56&lt;='VALOR POR PL'!$P$5,'CP RESUMO'!BC58,"")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HISTORICOS'!BD16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RESUMO'!BD16</f>
        <v/>
      </c>
      <c r="N57" s="130">
        <f>MAX(0,M57-M56)</f>
        <v/>
      </c>
      <c r="O57" s="129">
        <f>IF(B57&lt;='VALOR POR PL'!$P$5,'CP RESUMO'!BD58,"")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HISTORICOS'!BE16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RESUMO'!BE16</f>
        <v/>
      </c>
      <c r="N58" s="130">
        <f>MAX(0,M58-M57)</f>
        <v/>
      </c>
      <c r="O58" s="129">
        <f>IF(B58&lt;='VALOR POR PL'!$P$5,'CP RESUMO'!BE58,"")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HISTORICOS'!BF16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RESUMO'!BF16</f>
        <v/>
      </c>
      <c r="N59" s="130">
        <f>MAX(0,M59-M58)</f>
        <v/>
      </c>
      <c r="O59" s="129">
        <f>IF(B59&lt;='VALOR POR PL'!$P$5,'CP RESUMO'!BF58,"")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HISTORICOS'!BG16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RESUMO'!BG16</f>
        <v/>
      </c>
      <c r="N60" s="130">
        <f>MAX(0,M60-M59)</f>
        <v/>
      </c>
      <c r="O60" s="129">
        <f>IF(B60&lt;='VALOR POR PL'!$P$5,'CP RESUMO'!BG58,"")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HISTORICOS'!BH16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RESUMO'!BH16</f>
        <v/>
      </c>
      <c r="N61" s="130">
        <f>MAX(0,M61-M60)</f>
        <v/>
      </c>
      <c r="O61" s="129">
        <f>IF(B61&lt;='VALOR POR PL'!$P$5,'CP RESUMO'!BH58,"")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HISTORICOS'!BI16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RESUMO'!BI16</f>
        <v/>
      </c>
      <c r="N62" s="130">
        <f>MAX(0,M62-M61)</f>
        <v/>
      </c>
      <c r="O62" s="129">
        <f>IF(B62&lt;='VALOR POR PL'!$P$5,'CP RESUMO'!BI58,"")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HISTORICOS'!BJ16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RESUMO'!BJ16</f>
        <v/>
      </c>
      <c r="N63" s="130">
        <f>MAX(0,M63-M62)</f>
        <v/>
      </c>
      <c r="O63" s="129">
        <f>IF(B63&lt;='VALOR POR PL'!$P$5,'CP RESUMO'!BJ58,"")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HISTORICOS'!BK16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RESUMO'!BK16</f>
        <v/>
      </c>
      <c r="N64" s="130">
        <f>MAX(0,M64-M63)</f>
        <v/>
      </c>
      <c r="O64" s="129">
        <f>IF(B64&lt;='VALOR POR PL'!$P$5,'CP RESUMO'!BK58,"")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HISTORICOS'!BL16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RESUMO'!BL16</f>
        <v/>
      </c>
      <c r="N65" s="130">
        <f>MAX(0,M65-M64)</f>
        <v/>
      </c>
      <c r="O65" s="129">
        <f>IF(B65&lt;='VALOR POR PL'!$P$5,'CP RESUMO'!BL58,"")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HISTORICOS'!BM16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RESUMO'!BM16</f>
        <v/>
      </c>
      <c r="N66" s="130">
        <f>MAX(0,M66-M65)</f>
        <v/>
      </c>
      <c r="O66" s="129">
        <f>IF(B66&lt;='VALOR POR PL'!$P$5,'CP RESUMO'!BM58,"")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HISTORICOS'!BN16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RESUMO'!BN16</f>
        <v/>
      </c>
      <c r="N67" s="130">
        <f>MAX(0,M67-M66)</f>
        <v/>
      </c>
      <c r="O67" s="129">
        <f>IF(B67&lt;='VALOR POR PL'!$P$5,'CP RESUMO'!BN58,"")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HISTORICOS'!BO16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RESUMO'!BO16</f>
        <v/>
      </c>
      <c r="N68" s="130">
        <f>MAX(0,M68-M67)</f>
        <v/>
      </c>
      <c r="O68" s="129">
        <f>IF(B68&lt;='VALOR POR PL'!$P$5,'CP RESUMO'!BO58,"")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HISTORICOS'!BP16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RESUMO'!BP16</f>
        <v/>
      </c>
      <c r="N69" s="130">
        <f>MAX(0,M69-M68)</f>
        <v/>
      </c>
      <c r="O69" s="129">
        <f>IF(B69&lt;='VALOR POR PL'!$P$5,'CP RESUMO'!BP58,"")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HISTORICOS'!BQ16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RESUMO'!BQ16</f>
        <v/>
      </c>
      <c r="N70" s="130">
        <f>MAX(0,M70-M69)</f>
        <v/>
      </c>
      <c r="O70" s="129">
        <f>IF(B70&lt;='VALOR POR PL'!$P$5,'CP RESUMO'!BQ58,"")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HISTORICOS'!BR16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RESUMO'!BR16</f>
        <v/>
      </c>
      <c r="N71" s="130">
        <f>MAX(0,M71-M70)</f>
        <v/>
      </c>
      <c r="O71" s="129">
        <f>IF(B71&lt;='VALOR POR PL'!$P$5,'CP RESUMO'!BR58,"")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HISTORICOS'!BS16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RESUMO'!BS16</f>
        <v/>
      </c>
      <c r="N72" s="130">
        <f>MAX(0,M72-M71)</f>
        <v/>
      </c>
      <c r="O72" s="129">
        <f>IF(B72&lt;='VALOR POR PL'!$P$5,'CP RESUMO'!BS58,"")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HISTORICOS'!BT16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RESUMO'!BT16</f>
        <v/>
      </c>
      <c r="N73" s="130">
        <f>MAX(0,M73-M72)</f>
        <v/>
      </c>
      <c r="O73" s="129">
        <f>IF(B73&lt;='VALOR POR PL'!$P$5,'CP RESUMO'!BT58,"")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HISTORICOS'!BU16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RESUMO'!BU16</f>
        <v/>
      </c>
      <c r="N74" s="130">
        <f>MAX(0,M74-M73)</f>
        <v/>
      </c>
      <c r="O74" s="129">
        <f>IF(B74&lt;='VALOR POR PL'!$P$5,'CP RESUMO'!BU58,"")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HISTORICOS'!BV16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RESUMO'!BV16</f>
        <v/>
      </c>
      <c r="N75" s="130">
        <f>MAX(0,M75-M74)</f>
        <v/>
      </c>
      <c r="O75" s="129">
        <f>IF(B75&lt;='VALOR POR PL'!$P$5,'CP RESUMO'!BV58,"")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HISTORICOS'!BW16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RESUMO'!BW16</f>
        <v/>
      </c>
      <c r="N76" s="130">
        <f>MAX(0,M76-M75)</f>
        <v/>
      </c>
      <c r="O76" s="129">
        <f>IF(B76&lt;='VALOR POR PL'!$P$5,'CP RESUMO'!BW58,"")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HISTORICOS'!D17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PL'!F23</f>
        <v/>
      </c>
      <c r="K5" s="62">
        <f>'VALOR POR PL'!G23</f>
        <v/>
      </c>
      <c r="M5" s="129">
        <f>'CP RESUMO'!D17</f>
        <v/>
      </c>
      <c r="N5" s="130" t="n">
        <v>0</v>
      </c>
      <c r="O5" s="129">
        <f>IF(B5&lt;='VALOR POR PL'!$P$5,'CP RESUMO'!D59,"")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HISTORICOS'!E17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RESUMO'!E17</f>
        <v/>
      </c>
      <c r="N6" s="130">
        <f>MAX(0,M6-M5)</f>
        <v/>
      </c>
      <c r="O6" s="129">
        <f>IF(B6&lt;='VALOR POR PL'!$P$5,'CP RESUMO'!E59,"")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HISTORICOS'!F17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PL'!L23</f>
        <v/>
      </c>
      <c r="M7" s="129">
        <f>'CP RESUMO'!F17</f>
        <v/>
      </c>
      <c r="N7" s="130">
        <f>MAX(0,M7-M6)</f>
        <v/>
      </c>
      <c r="O7" s="129">
        <f>IF(B7&lt;='VALOR POR PL'!$P$5,'CP RESUMO'!F59,"")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HISTORICOS'!G17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RESUMO'!G17</f>
        <v/>
      </c>
      <c r="N8" s="130">
        <f>MAX(0,M8-M7)</f>
        <v/>
      </c>
      <c r="O8" s="129">
        <f>IF(B8&lt;='VALOR POR PL'!$P$5,'CP RESUMO'!G59,"")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HISTORICOS'!H17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RESUMO'!H17</f>
        <v/>
      </c>
      <c r="N9" s="130">
        <f>MAX(0,M9-M8)</f>
        <v/>
      </c>
      <c r="O9" s="129">
        <f>IF(B9&lt;='VALOR POR PL'!$P$5,'CP RESUMO'!H59,"")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HISTORICOS'!I17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RESUMO'!I17</f>
        <v/>
      </c>
      <c r="N10" s="130">
        <f>MAX(0,M10-M9)</f>
        <v/>
      </c>
      <c r="O10" s="129">
        <f>IF(B10&lt;='VALOR POR PL'!$P$5,'CP RESUMO'!I59,"")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HISTORICOS'!J17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RESUMO'!J17</f>
        <v/>
      </c>
      <c r="N11" s="130">
        <f>MAX(0,M11-M10)</f>
        <v/>
      </c>
      <c r="O11" s="129">
        <f>IF(B11&lt;='VALOR POR PL'!$P$5,'CP RESUMO'!J59,"")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HISTORICOS'!K17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RESUMO'!K17</f>
        <v/>
      </c>
      <c r="N12" s="130">
        <f>MAX(0,M12-M11)</f>
        <v/>
      </c>
      <c r="O12" s="129">
        <f>IF(B12&lt;='VALOR POR PL'!$P$5,'CP RESUMO'!K59,"")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HISTORICOS'!L17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PL'!I23</f>
        <v/>
      </c>
      <c r="M13" s="129">
        <f>'CP RESUMO'!L17</f>
        <v/>
      </c>
      <c r="N13" s="130">
        <f>MAX(0,M13-M12)</f>
        <v/>
      </c>
      <c r="O13" s="129">
        <f>IF(B13&lt;='VALOR POR PL'!$P$5,'CP RESUMO'!L59,"")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HISTORICOS'!M17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RESUMO'!$D$59:$BW$59,MATCH('VALOR POR PL'!$P$5,'CP RESUMO'!$D$4:$BW$4,0))/100,0)</f>
        <v/>
      </c>
      <c r="M14" s="129">
        <f>'CP RESUMO'!M17</f>
        <v/>
      </c>
      <c r="N14" s="130">
        <f>MAX(0,M14-M13)</f>
        <v/>
      </c>
      <c r="O14" s="129">
        <f>IF(B14&lt;='VALOR POR PL'!$P$5,'CP RESUMO'!M59,"")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HISTORICOS'!N17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RESUMO'!N17</f>
        <v/>
      </c>
      <c r="N15" s="130">
        <f>MAX(0,M15-M14)</f>
        <v/>
      </c>
      <c r="O15" s="129">
        <f>IF(B15&lt;='VALOR POR PL'!$P$5,'CP RESUMO'!N59,"")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HISTORICOS'!O17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RESUMO'!O17</f>
        <v/>
      </c>
      <c r="N16" s="130">
        <f>MAX(0,M16-M15)</f>
        <v/>
      </c>
      <c r="O16" s="129">
        <f>IF(B16&lt;='VALOR POR PL'!$P$5,'CP RESUMO'!O59,"")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HISTORICOS'!P17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RESUMO'!P17</f>
        <v/>
      </c>
      <c r="N17" s="130">
        <f>MAX(0,M17-M16)</f>
        <v/>
      </c>
      <c r="O17" s="129">
        <f>IF(B17&lt;='VALOR POR PL'!$P$5,'CP RESUMO'!P59,"")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HISTORICOS'!Q17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RESUMO'!Q17</f>
        <v/>
      </c>
      <c r="N18" s="130">
        <f>MAX(0,M18-M17)</f>
        <v/>
      </c>
      <c r="O18" s="129">
        <f>IF(B18&lt;='VALOR POR PL'!$P$5,'CP RESUMO'!Q59,"")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HISTORICOS'!R17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RESUMO'!R17</f>
        <v/>
      </c>
      <c r="N19" s="130">
        <f>MAX(0,M19-M18)</f>
        <v/>
      </c>
      <c r="O19" s="129">
        <f>IF(B19&lt;='VALOR POR PL'!$P$5,'CP RESUMO'!R59,"")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HISTORICOS'!S17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RESUMO'!S17</f>
        <v/>
      </c>
      <c r="N20" s="130">
        <f>MAX(0,M20-M19)</f>
        <v/>
      </c>
      <c r="O20" s="129">
        <f>IF(B20&lt;='VALOR POR PL'!$P$5,'CP RESUMO'!S59,"")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HISTORICOS'!T17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RESUMO'!T17</f>
        <v/>
      </c>
      <c r="N21" s="130">
        <f>MAX(0,M21-M20)</f>
        <v/>
      </c>
      <c r="O21" s="129">
        <f>IF(B21&lt;='VALOR POR PL'!$P$5,'CP RESUMO'!T59,"")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HISTORICOS'!U17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RESUMO'!U17</f>
        <v/>
      </c>
      <c r="N22" s="130">
        <f>MAX(0,M22-M21)</f>
        <v/>
      </c>
      <c r="O22" s="129">
        <f>IF(B22&lt;='VALOR POR PL'!$P$5,'CP RESUMO'!U59,"")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HISTORICOS'!V17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RESUMO'!V17</f>
        <v/>
      </c>
      <c r="N23" s="130">
        <f>MAX(0,M23-M22)</f>
        <v/>
      </c>
      <c r="O23" s="129">
        <f>IF(B23&lt;='VALOR POR PL'!$P$5,'CP RESUMO'!V59,"")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HISTORICOS'!W17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RESUMO'!W17</f>
        <v/>
      </c>
      <c r="N24" s="130">
        <f>MAX(0,M24-M23)</f>
        <v/>
      </c>
      <c r="O24" s="129">
        <f>IF(B24&lt;='VALOR POR PL'!$P$5,'CP RESUMO'!W59,"")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HISTORICOS'!X17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RESUMO'!X17</f>
        <v/>
      </c>
      <c r="N25" s="130">
        <f>MAX(0,M25-M24)</f>
        <v/>
      </c>
      <c r="O25" s="129">
        <f>IF(B25&lt;='VALOR POR PL'!$P$5,'CP RESUMO'!X59,"")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HISTORICOS'!Y17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RESUMO'!Y17</f>
        <v/>
      </c>
      <c r="N26" s="130">
        <f>MAX(0,M26-M25)</f>
        <v/>
      </c>
      <c r="O26" s="129">
        <f>IF(B26&lt;='VALOR POR PL'!$P$5,'CP RESUMO'!Y59,"")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HISTORICOS'!Z17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70000</v>
      </c>
      <c r="M27" s="129">
        <f>'CP RESUMO'!Z17</f>
        <v/>
      </c>
      <c r="N27" s="130">
        <f>MAX(0,M27-M26)</f>
        <v/>
      </c>
      <c r="O27" s="129">
        <f>IF(B27&lt;='VALOR POR PL'!$P$5,'CP RESUMO'!Z59,"")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HISTORICOS'!AA17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70000</v>
      </c>
      <c r="M28" s="129">
        <f>'CP RESUMO'!AA17</f>
        <v/>
      </c>
      <c r="N28" s="130">
        <f>MAX(0,M28-M27)</f>
        <v/>
      </c>
      <c r="O28" s="129">
        <f>IF(B28&lt;='VALOR POR PL'!$P$5,'CP RESUMO'!AA59,"")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HISTORICOS'!AB17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RESUMO'!AB17</f>
        <v/>
      </c>
      <c r="N29" s="130">
        <f>MAX(0,M29-M28)</f>
        <v/>
      </c>
      <c r="O29" s="129">
        <f>IF(B29&lt;='VALOR POR PL'!$P$5,'CP RESUMO'!AB59,"")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HISTORICOS'!AC17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130000</v>
      </c>
      <c r="M30" s="129">
        <f>'CP RESUMO'!AC17</f>
        <v/>
      </c>
      <c r="N30" s="130">
        <f>MAX(0,M30-M29)</f>
        <v/>
      </c>
      <c r="O30" s="129">
        <f>IF(B30&lt;='VALOR POR PL'!$P$5,'CP RESUMO'!AC59,"")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HISTORICOS'!AD17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114571.25</v>
      </c>
      <c r="M31" s="129">
        <f>'CP RESUMO'!AD17</f>
        <v/>
      </c>
      <c r="N31" s="130">
        <f>MAX(0,M31-M30)</f>
        <v/>
      </c>
      <c r="O31" s="129">
        <f>IF(B31&lt;='VALOR POR PL'!$P$5,'CP RESUMO'!AD59,"")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HISTORICOS'!AE17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RESUMO'!AE17</f>
        <v/>
      </c>
      <c r="N32" s="130">
        <f>MAX(0,M32-M31)</f>
        <v/>
      </c>
      <c r="O32" s="129">
        <f>IF(B32&lt;='VALOR POR PL'!$P$5,'CP RESUMO'!AE59,"")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HISTORICOS'!AF17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RESUMO'!AF17</f>
        <v/>
      </c>
      <c r="N33" s="130">
        <f>MAX(0,M33-M32)</f>
        <v/>
      </c>
      <c r="O33" s="129">
        <f>IF(B33&lt;='VALOR POR PL'!$P$5,'CP RESUMO'!AF59,"")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HISTORICOS'!AG17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RESUMO'!AG17</f>
        <v/>
      </c>
      <c r="N34" s="130">
        <f>MAX(0,M34-M33)</f>
        <v/>
      </c>
      <c r="O34" s="129">
        <f>IF(B34&lt;='VALOR POR PL'!$P$5,'CP RESUMO'!AG59,"")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HISTORICOS'!AH17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RESUMO'!AH17</f>
        <v/>
      </c>
      <c r="N35" s="130">
        <f>MAX(0,M35-M34)</f>
        <v/>
      </c>
      <c r="O35" s="129">
        <f>IF(B35&lt;='VALOR POR PL'!$P$5,'CP RESUMO'!AH59,"")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HISTORICOS'!AI17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RESUMO'!AI17</f>
        <v/>
      </c>
      <c r="N36" s="130">
        <f>MAX(0,M36-M35)</f>
        <v/>
      </c>
      <c r="O36" s="129">
        <f>IF(B36&lt;='VALOR POR PL'!$P$5,'CP RESUMO'!AI59,"")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HISTORICOS'!AJ17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RESUMO'!AJ17</f>
        <v/>
      </c>
      <c r="N37" s="130">
        <f>MAX(0,M37-M36)</f>
        <v/>
      </c>
      <c r="O37" s="129">
        <f>IF(B37&lt;='VALOR POR PL'!$P$5,'CP RESUMO'!AJ59,"")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HISTORICOS'!AK17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RESUMO'!AK17</f>
        <v/>
      </c>
      <c r="N38" s="130">
        <f>MAX(0,M38-M37)</f>
        <v/>
      </c>
      <c r="O38" s="129">
        <f>IF(B38&lt;='VALOR POR PL'!$P$5,'CP RESUMO'!AK59,"")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HISTORICOS'!AL17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RESUMO'!AL17</f>
        <v/>
      </c>
      <c r="N39" s="130">
        <f>MAX(0,M39-M38)</f>
        <v/>
      </c>
      <c r="O39" s="129">
        <f>IF(B39&lt;='VALOR POR PL'!$P$5,'CP RESUMO'!AL59,"")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HISTORICOS'!AM17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RESUMO'!AM17</f>
        <v/>
      </c>
      <c r="N40" s="130">
        <f>MAX(0,M40-M39)</f>
        <v/>
      </c>
      <c r="O40" s="129">
        <f>IF(B40&lt;='VALOR POR PL'!$P$5,'CP RESUMO'!AM59,"")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HISTORICOS'!AN17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RESUMO'!AN17</f>
        <v/>
      </c>
      <c r="N41" s="130">
        <f>MAX(0,M41-M40)</f>
        <v/>
      </c>
      <c r="O41" s="129">
        <f>IF(B41&lt;='VALOR POR PL'!$P$5,'CP RESUMO'!AN59,"")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HISTORICOS'!AO17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RESUMO'!AO17</f>
        <v/>
      </c>
      <c r="N42" s="130">
        <f>MAX(0,M42-M41)</f>
        <v/>
      </c>
      <c r="O42" s="129">
        <f>IF(B42&lt;='VALOR POR PL'!$P$5,'CP RESUMO'!AO59,"")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HISTORICOS'!AP17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RESUMO'!AP17</f>
        <v/>
      </c>
      <c r="N43" s="130">
        <f>MAX(0,M43-M42)</f>
        <v/>
      </c>
      <c r="O43" s="129">
        <f>IF(B43&lt;='VALOR POR PL'!$P$5,'CP RESUMO'!AP59,"")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HISTORICOS'!AQ17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RESUMO'!AQ17</f>
        <v/>
      </c>
      <c r="N44" s="130">
        <f>MAX(0,M44-M43)</f>
        <v/>
      </c>
      <c r="O44" s="129">
        <f>IF(B44&lt;='VALOR POR PL'!$P$5,'CP RESUMO'!AQ59,"")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HISTORICOS'!AR17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RESUMO'!AR17</f>
        <v/>
      </c>
      <c r="N45" s="130">
        <f>MAX(0,M45-M44)</f>
        <v/>
      </c>
      <c r="O45" s="129">
        <f>IF(B45&lt;='VALOR POR PL'!$P$5,'CP RESUMO'!AR59,"")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HISTORICOS'!AS17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RESUMO'!AS17</f>
        <v/>
      </c>
      <c r="N46" s="130">
        <f>MAX(0,M46-M45)</f>
        <v/>
      </c>
      <c r="O46" s="129">
        <f>IF(B46&lt;='VALOR POR PL'!$P$5,'CP RESUMO'!AS59,"")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HISTORICOS'!AT17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RESUMO'!AT17</f>
        <v/>
      </c>
      <c r="N47" s="130">
        <f>MAX(0,M47-M46)</f>
        <v/>
      </c>
      <c r="O47" s="129">
        <f>IF(B47&lt;='VALOR POR PL'!$P$5,'CP RESUMO'!AT59,"")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HISTORICOS'!AU17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RESUMO'!AU17</f>
        <v/>
      </c>
      <c r="N48" s="130">
        <f>MAX(0,M48-M47)</f>
        <v/>
      </c>
      <c r="O48" s="129">
        <f>IF(B48&lt;='VALOR POR PL'!$P$5,'CP RESUMO'!AU59,"")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HISTORICOS'!AV17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RESUMO'!AV17</f>
        <v/>
      </c>
      <c r="N49" s="130">
        <f>MAX(0,M49-M48)</f>
        <v/>
      </c>
      <c r="O49" s="129">
        <f>IF(B49&lt;='VALOR POR PL'!$P$5,'CP RESUMO'!AV59,"")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HISTORICOS'!AW17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RESUMO'!AW17</f>
        <v/>
      </c>
      <c r="N50" s="130">
        <f>MAX(0,M50-M49)</f>
        <v/>
      </c>
      <c r="O50" s="129">
        <f>IF(B50&lt;='VALOR POR PL'!$P$5,'CP RESUMO'!AW59,"")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HISTORICOS'!AX17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RESUMO'!AX17</f>
        <v/>
      </c>
      <c r="N51" s="130">
        <f>MAX(0,M51-M50)</f>
        <v/>
      </c>
      <c r="O51" s="129">
        <f>IF(B51&lt;='VALOR POR PL'!$P$5,'CP RESUMO'!AX59,"")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HISTORICOS'!AY17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RESUMO'!AY17</f>
        <v/>
      </c>
      <c r="N52" s="130">
        <f>MAX(0,M52-M51)</f>
        <v/>
      </c>
      <c r="O52" s="129">
        <f>IF(B52&lt;='VALOR POR PL'!$P$5,'CP RESUMO'!AY59,"")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HISTORICOS'!AZ17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RESUMO'!AZ17</f>
        <v/>
      </c>
      <c r="N53" s="130">
        <f>MAX(0,M53-M52)</f>
        <v/>
      </c>
      <c r="O53" s="129">
        <f>IF(B53&lt;='VALOR POR PL'!$P$5,'CP RESUMO'!AZ59,"")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HISTORICOS'!BA17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RESUMO'!BA17</f>
        <v/>
      </c>
      <c r="N54" s="130">
        <f>MAX(0,M54-M53)</f>
        <v/>
      </c>
      <c r="O54" s="129">
        <f>IF(B54&lt;='VALOR POR PL'!$P$5,'CP RESUMO'!BA59,"")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HISTORICOS'!BB17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RESUMO'!BB17</f>
        <v/>
      </c>
      <c r="N55" s="130">
        <f>MAX(0,M55-M54)</f>
        <v/>
      </c>
      <c r="O55" s="129">
        <f>IF(B55&lt;='VALOR POR PL'!$P$5,'CP RESUMO'!BB59,"")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HISTORICOS'!BC17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RESUMO'!BC17</f>
        <v/>
      </c>
      <c r="N56" s="130">
        <f>MAX(0,M56-M55)</f>
        <v/>
      </c>
      <c r="O56" s="129">
        <f>IF(B56&lt;='VALOR POR PL'!$P$5,'CP RESUMO'!BC59,"")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HISTORICOS'!BD17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RESUMO'!BD17</f>
        <v/>
      </c>
      <c r="N57" s="130">
        <f>MAX(0,M57-M56)</f>
        <v/>
      </c>
      <c r="O57" s="129">
        <f>IF(B57&lt;='VALOR POR PL'!$P$5,'CP RESUMO'!BD59,"")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HISTORICOS'!BE17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RESUMO'!BE17</f>
        <v/>
      </c>
      <c r="N58" s="130">
        <f>MAX(0,M58-M57)</f>
        <v/>
      </c>
      <c r="O58" s="129">
        <f>IF(B58&lt;='VALOR POR PL'!$P$5,'CP RESUMO'!BE59,"")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HISTORICOS'!BF17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RESUMO'!BF17</f>
        <v/>
      </c>
      <c r="N59" s="130">
        <f>MAX(0,M59-M58)</f>
        <v/>
      </c>
      <c r="O59" s="129">
        <f>IF(B59&lt;='VALOR POR PL'!$P$5,'CP RESUMO'!BF59,"")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HISTORICOS'!BG17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RESUMO'!BG17</f>
        <v/>
      </c>
      <c r="N60" s="130">
        <f>MAX(0,M60-M59)</f>
        <v/>
      </c>
      <c r="O60" s="129">
        <f>IF(B60&lt;='VALOR POR PL'!$P$5,'CP RESUMO'!BG59,"")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HISTORICOS'!BH17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RESUMO'!BH17</f>
        <v/>
      </c>
      <c r="N61" s="130">
        <f>MAX(0,M61-M60)</f>
        <v/>
      </c>
      <c r="O61" s="129">
        <f>IF(B61&lt;='VALOR POR PL'!$P$5,'CP RESUMO'!BH59,"")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HISTORICOS'!BI17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RESUMO'!BI17</f>
        <v/>
      </c>
      <c r="N62" s="130">
        <f>MAX(0,M62-M61)</f>
        <v/>
      </c>
      <c r="O62" s="129">
        <f>IF(B62&lt;='VALOR POR PL'!$P$5,'CP RESUMO'!BI59,"")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HISTORICOS'!BJ17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RESUMO'!BJ17</f>
        <v/>
      </c>
      <c r="N63" s="130">
        <f>MAX(0,M63-M62)</f>
        <v/>
      </c>
      <c r="O63" s="129">
        <f>IF(B63&lt;='VALOR POR PL'!$P$5,'CP RESUMO'!BJ59,"")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HISTORICOS'!BK17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RESUMO'!BK17</f>
        <v/>
      </c>
      <c r="N64" s="130">
        <f>MAX(0,M64-M63)</f>
        <v/>
      </c>
      <c r="O64" s="129">
        <f>IF(B64&lt;='VALOR POR PL'!$P$5,'CP RESUMO'!BK59,"")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HISTORICOS'!BL17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RESUMO'!BL17</f>
        <v/>
      </c>
      <c r="N65" s="130">
        <f>MAX(0,M65-M64)</f>
        <v/>
      </c>
      <c r="O65" s="129">
        <f>IF(B65&lt;='VALOR POR PL'!$P$5,'CP RESUMO'!BL59,"")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HISTORICOS'!BM17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RESUMO'!BM17</f>
        <v/>
      </c>
      <c r="N66" s="130">
        <f>MAX(0,M66-M65)</f>
        <v/>
      </c>
      <c r="O66" s="129">
        <f>IF(B66&lt;='VALOR POR PL'!$P$5,'CP RESUMO'!BM59,"")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HISTORICOS'!BN17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RESUMO'!BN17</f>
        <v/>
      </c>
      <c r="N67" s="130">
        <f>MAX(0,M67-M66)</f>
        <v/>
      </c>
      <c r="O67" s="129">
        <f>IF(B67&lt;='VALOR POR PL'!$P$5,'CP RESUMO'!BN59,"")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HISTORICOS'!BO17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RESUMO'!BO17</f>
        <v/>
      </c>
      <c r="N68" s="130">
        <f>MAX(0,M68-M67)</f>
        <v/>
      </c>
      <c r="O68" s="129">
        <f>IF(B68&lt;='VALOR POR PL'!$P$5,'CP RESUMO'!BO59,"")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HISTORICOS'!BP17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RESUMO'!BP17</f>
        <v/>
      </c>
      <c r="N69" s="130">
        <f>MAX(0,M69-M68)</f>
        <v/>
      </c>
      <c r="O69" s="129">
        <f>IF(B69&lt;='VALOR POR PL'!$P$5,'CP RESUMO'!BP59,"")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HISTORICOS'!BQ17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RESUMO'!BQ17</f>
        <v/>
      </c>
      <c r="N70" s="130">
        <f>MAX(0,M70-M69)</f>
        <v/>
      </c>
      <c r="O70" s="129">
        <f>IF(B70&lt;='VALOR POR PL'!$P$5,'CP RESUMO'!BQ59,"")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HISTORICOS'!BR17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RESUMO'!BR17</f>
        <v/>
      </c>
      <c r="N71" s="130">
        <f>MAX(0,M71-M70)</f>
        <v/>
      </c>
      <c r="O71" s="129">
        <f>IF(B71&lt;='VALOR POR PL'!$P$5,'CP RESUMO'!BR59,"")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HISTORICOS'!BS17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RESUMO'!BS17</f>
        <v/>
      </c>
      <c r="N72" s="130">
        <f>MAX(0,M72-M71)</f>
        <v/>
      </c>
      <c r="O72" s="129">
        <f>IF(B72&lt;='VALOR POR PL'!$P$5,'CP RESUMO'!BS59,"")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HISTORICOS'!BT17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RESUMO'!BT17</f>
        <v/>
      </c>
      <c r="N73" s="130">
        <f>MAX(0,M73-M72)</f>
        <v/>
      </c>
      <c r="O73" s="129">
        <f>IF(B73&lt;='VALOR POR PL'!$P$5,'CP RESUMO'!BT59,"")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HISTORICOS'!BU17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RESUMO'!BU17</f>
        <v/>
      </c>
      <c r="N74" s="130">
        <f>MAX(0,M74-M73)</f>
        <v/>
      </c>
      <c r="O74" s="129">
        <f>IF(B74&lt;='VALOR POR PL'!$P$5,'CP RESUMO'!BU59,"")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HISTORICOS'!BV17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RESUMO'!BV17</f>
        <v/>
      </c>
      <c r="N75" s="130">
        <f>MAX(0,M75-M74)</f>
        <v/>
      </c>
      <c r="O75" s="129">
        <f>IF(B75&lt;='VALOR POR PL'!$P$5,'CP RESUMO'!BV59,"")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HISTORICOS'!BW17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RESUMO'!BW17</f>
        <v/>
      </c>
      <c r="N76" s="130">
        <f>MAX(0,M76-M75)</f>
        <v/>
      </c>
      <c r="O76" s="129">
        <f>IF(B76&lt;='VALOR POR PL'!$P$5,'CP RESUMO'!BW59,"")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HISTORICOS'!D18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PL'!F24</f>
        <v/>
      </c>
      <c r="K5" s="62">
        <f>'VALOR POR PL'!G24</f>
        <v/>
      </c>
      <c r="M5" s="129">
        <f>'CP RESUMO'!D18</f>
        <v/>
      </c>
      <c r="N5" s="130" t="n">
        <v>0</v>
      </c>
      <c r="O5" s="129">
        <f>IF(B5&lt;='VALOR POR PL'!$P$5,'CP RESUMO'!D60,"")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HISTORICOS'!E18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RESUMO'!E18</f>
        <v/>
      </c>
      <c r="N6" s="130">
        <f>MAX(0,M6-M5)</f>
        <v/>
      </c>
      <c r="O6" s="129">
        <f>IF(B6&lt;='VALOR POR PL'!$P$5,'CP RESUMO'!E60,"")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HISTORICOS'!F18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PL'!L24</f>
        <v/>
      </c>
      <c r="M7" s="129">
        <f>'CP RESUMO'!F18</f>
        <v/>
      </c>
      <c r="N7" s="130">
        <f>MAX(0,M7-M6)</f>
        <v/>
      </c>
      <c r="O7" s="129">
        <f>IF(B7&lt;='VALOR POR PL'!$P$5,'CP RESUMO'!F60,"")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HISTORICOS'!G18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RESUMO'!G18</f>
        <v/>
      </c>
      <c r="N8" s="130">
        <f>MAX(0,M8-M7)</f>
        <v/>
      </c>
      <c r="O8" s="129">
        <f>IF(B8&lt;='VALOR POR PL'!$P$5,'CP RESUMO'!G60,"")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HISTORICOS'!H18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RESUMO'!H18</f>
        <v/>
      </c>
      <c r="N9" s="130">
        <f>MAX(0,M9-M8)</f>
        <v/>
      </c>
      <c r="O9" s="129">
        <f>IF(B9&lt;='VALOR POR PL'!$P$5,'CP RESUMO'!H60,"")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HISTORICOS'!I18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RESUMO'!I18</f>
        <v/>
      </c>
      <c r="N10" s="130">
        <f>MAX(0,M10-M9)</f>
        <v/>
      </c>
      <c r="O10" s="129">
        <f>IF(B10&lt;='VALOR POR PL'!$P$5,'CP RESUMO'!I60,"")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HISTORICOS'!J18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RESUMO'!J18</f>
        <v/>
      </c>
      <c r="N11" s="130">
        <f>MAX(0,M11-M10)</f>
        <v/>
      </c>
      <c r="O11" s="129">
        <f>IF(B11&lt;='VALOR POR PL'!$P$5,'CP RESUMO'!J60,"")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HISTORICOS'!K18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RESUMO'!K18</f>
        <v/>
      </c>
      <c r="N12" s="130">
        <f>MAX(0,M12-M11)</f>
        <v/>
      </c>
      <c r="O12" s="129">
        <f>IF(B12&lt;='VALOR POR PL'!$P$5,'CP RESUMO'!K60,"")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HISTORICOS'!L18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PL'!I24</f>
        <v/>
      </c>
      <c r="M13" s="129">
        <f>'CP RESUMO'!L18</f>
        <v/>
      </c>
      <c r="N13" s="130">
        <f>MAX(0,M13-M12)</f>
        <v/>
      </c>
      <c r="O13" s="129">
        <f>IF(B13&lt;='VALOR POR PL'!$P$5,'CP RESUMO'!L60,"")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HISTORICOS'!M18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RESUMO'!$D$60:$BW$60,MATCH('VALOR POR PL'!$P$5,'CP RESUMO'!$D$4:$BW$4,0))/100,0)</f>
        <v/>
      </c>
      <c r="M14" s="129">
        <f>'CP RESUMO'!M18</f>
        <v/>
      </c>
      <c r="N14" s="130">
        <f>MAX(0,M14-M13)</f>
        <v/>
      </c>
      <c r="O14" s="129">
        <f>IF(B14&lt;='VALOR POR PL'!$P$5,'CP RESUMO'!M60,"")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HISTORICOS'!N18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RESUMO'!N18</f>
        <v/>
      </c>
      <c r="N15" s="130">
        <f>MAX(0,M15-M14)</f>
        <v/>
      </c>
      <c r="O15" s="129">
        <f>IF(B15&lt;='VALOR POR PL'!$P$5,'CP RESUMO'!N60,"")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HISTORICOS'!O18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RESUMO'!O18</f>
        <v/>
      </c>
      <c r="N16" s="130">
        <f>MAX(0,M16-M15)</f>
        <v/>
      </c>
      <c r="O16" s="129">
        <f>IF(B16&lt;='VALOR POR PL'!$P$5,'CP RESUMO'!O60,"")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HISTORICOS'!P18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RESUMO'!P18</f>
        <v/>
      </c>
      <c r="N17" s="130">
        <f>MAX(0,M17-M16)</f>
        <v/>
      </c>
      <c r="O17" s="129">
        <f>IF(B17&lt;='VALOR POR PL'!$P$5,'CP RESUMO'!P60,"")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HISTORICOS'!Q18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RESUMO'!Q18</f>
        <v/>
      </c>
      <c r="N18" s="130">
        <f>MAX(0,M18-M17)</f>
        <v/>
      </c>
      <c r="O18" s="129">
        <f>IF(B18&lt;='VALOR POR PL'!$P$5,'CP RESUMO'!Q60,"")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HISTORICOS'!R18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RESUMO'!R18</f>
        <v/>
      </c>
      <c r="N19" s="130">
        <f>MAX(0,M19-M18)</f>
        <v/>
      </c>
      <c r="O19" s="129">
        <f>IF(B19&lt;='VALOR POR PL'!$P$5,'CP RESUMO'!R60,"")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HISTORICOS'!S18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RESUMO'!S18</f>
        <v/>
      </c>
      <c r="N20" s="130">
        <f>MAX(0,M20-M19)</f>
        <v/>
      </c>
      <c r="O20" s="129">
        <f>IF(B20&lt;='VALOR POR PL'!$P$5,'CP RESUMO'!S60,"")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HISTORICOS'!T18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RESUMO'!T18</f>
        <v/>
      </c>
      <c r="N21" s="130">
        <f>MAX(0,M21-M20)</f>
        <v/>
      </c>
      <c r="O21" s="129">
        <f>IF(B21&lt;='VALOR POR PL'!$P$5,'CP RESUMO'!T60,"")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HISTORICOS'!U18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RESUMO'!U18</f>
        <v/>
      </c>
      <c r="N22" s="130">
        <f>MAX(0,M22-M21)</f>
        <v/>
      </c>
      <c r="O22" s="129">
        <f>IF(B22&lt;='VALOR POR PL'!$P$5,'CP RESUMO'!U60,"")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HISTORICOS'!V18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RESUMO'!V18</f>
        <v/>
      </c>
      <c r="N23" s="130">
        <f>MAX(0,M23-M22)</f>
        <v/>
      </c>
      <c r="O23" s="129">
        <f>IF(B23&lt;='VALOR POR PL'!$P$5,'CP RESUMO'!V60,"")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HISTORICOS'!W18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RESUMO'!W18</f>
        <v/>
      </c>
      <c r="N24" s="130">
        <f>MAX(0,M24-M23)</f>
        <v/>
      </c>
      <c r="O24" s="129">
        <f>IF(B24&lt;='VALOR POR PL'!$P$5,'CP RESUMO'!W60,"")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HISTORICOS'!X18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RESUMO'!X18</f>
        <v/>
      </c>
      <c r="N25" s="130">
        <f>MAX(0,M25-M24)</f>
        <v/>
      </c>
      <c r="O25" s="129">
        <f>IF(B25&lt;='VALOR POR PL'!$P$5,'CP RESUMO'!X60,"")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HISTORICOS'!Y18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50000</v>
      </c>
      <c r="M26" s="129">
        <f>'CP RESUMO'!Y18</f>
        <v/>
      </c>
      <c r="N26" s="130">
        <f>MAX(0,M26-M25)</f>
        <v/>
      </c>
      <c r="O26" s="129">
        <f>IF(B26&lt;='VALOR POR PL'!$P$5,'CP RESUMO'!Y60,"")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HISTORICOS'!Z18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75000</v>
      </c>
      <c r="M27" s="129">
        <f>'CP RESUMO'!Z18</f>
        <v/>
      </c>
      <c r="N27" s="130">
        <f>MAX(0,M27-M26)</f>
        <v/>
      </c>
      <c r="O27" s="129">
        <f>IF(B27&lt;='VALOR POR PL'!$P$5,'CP RESUMO'!Z60,"")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HISTORICOS'!AA18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75000</v>
      </c>
      <c r="M28" s="129">
        <f>'CP RESUMO'!AA18</f>
        <v/>
      </c>
      <c r="N28" s="130">
        <f>MAX(0,M28-M27)</f>
        <v/>
      </c>
      <c r="O28" s="129">
        <f>IF(B28&lt;='VALOR POR PL'!$P$5,'CP RESUMO'!AA60,"")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HISTORICOS'!AB18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RESUMO'!AB18</f>
        <v/>
      </c>
      <c r="N29" s="130">
        <f>MAX(0,M29-M28)</f>
        <v/>
      </c>
      <c r="O29" s="129">
        <f>IF(B29&lt;='VALOR POR PL'!$P$5,'CP RESUMO'!AB60,"")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HISTORICOS'!AC18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RESUMO'!AC18</f>
        <v/>
      </c>
      <c r="N30" s="130">
        <f>MAX(0,M30-M29)</f>
        <v/>
      </c>
      <c r="O30" s="129">
        <f>IF(B30&lt;='VALOR POR PL'!$P$5,'CP RESUMO'!AC60,"")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HISTORICOS'!AD18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RESUMO'!AD18</f>
        <v/>
      </c>
      <c r="N31" s="130">
        <f>MAX(0,M31-M30)</f>
        <v/>
      </c>
      <c r="O31" s="129">
        <f>IF(B31&lt;='VALOR POR PL'!$P$5,'CP RESUMO'!AD60,"")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HISTORICOS'!AE18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RESUMO'!AE18</f>
        <v/>
      </c>
      <c r="N32" s="130">
        <f>MAX(0,M32-M31)</f>
        <v/>
      </c>
      <c r="O32" s="129">
        <f>IF(B32&lt;='VALOR POR PL'!$P$5,'CP RESUMO'!AE60,"")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HISTORICOS'!AF18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51741.15</v>
      </c>
      <c r="M33" s="129">
        <f>'CP RESUMO'!AF18</f>
        <v/>
      </c>
      <c r="N33" s="130">
        <f>MAX(0,M33-M32)</f>
        <v/>
      </c>
      <c r="O33" s="129">
        <f>IF(B33&lt;='VALOR POR PL'!$P$5,'CP RESUMO'!AF60,"")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HISTORICOS'!AG18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RESUMO'!AG18</f>
        <v/>
      </c>
      <c r="N34" s="130">
        <f>MAX(0,M34-M33)</f>
        <v/>
      </c>
      <c r="O34" s="129">
        <f>IF(B34&lt;='VALOR POR PL'!$P$5,'CP RESUMO'!AG60,"")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HISTORICOS'!AH18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RESUMO'!AH18</f>
        <v/>
      </c>
      <c r="N35" s="130">
        <f>MAX(0,M35-M34)</f>
        <v/>
      </c>
      <c r="O35" s="129">
        <f>IF(B35&lt;='VALOR POR PL'!$P$5,'CP RESUMO'!AH60,"")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HISTORICOS'!AI18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RESUMO'!AI18</f>
        <v/>
      </c>
      <c r="N36" s="130">
        <f>MAX(0,M36-M35)</f>
        <v/>
      </c>
      <c r="O36" s="129">
        <f>IF(B36&lt;='VALOR POR PL'!$P$5,'CP RESUMO'!AI60,"")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HISTORICOS'!AJ18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RESUMO'!AJ18</f>
        <v/>
      </c>
      <c r="N37" s="130">
        <f>MAX(0,M37-M36)</f>
        <v/>
      </c>
      <c r="O37" s="129">
        <f>IF(B37&lt;='VALOR POR PL'!$P$5,'CP RESUMO'!AJ60,"")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HISTORICOS'!AK18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RESUMO'!AK18</f>
        <v/>
      </c>
      <c r="N38" s="130">
        <f>MAX(0,M38-M37)</f>
        <v/>
      </c>
      <c r="O38" s="129">
        <f>IF(B38&lt;='VALOR POR PL'!$P$5,'CP RESUMO'!AK60,"")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HISTORICOS'!AL18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RESUMO'!AL18</f>
        <v/>
      </c>
      <c r="N39" s="130">
        <f>MAX(0,M39-M38)</f>
        <v/>
      </c>
      <c r="O39" s="129">
        <f>IF(B39&lt;='VALOR POR PL'!$P$5,'CP RESUMO'!AL60,"")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HISTORICOS'!AM18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RESUMO'!AM18</f>
        <v/>
      </c>
      <c r="N40" s="130">
        <f>MAX(0,M40-M39)</f>
        <v/>
      </c>
      <c r="O40" s="129">
        <f>IF(B40&lt;='VALOR POR PL'!$P$5,'CP RESUMO'!AM60,"")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HISTORICOS'!AN18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RESUMO'!AN18</f>
        <v/>
      </c>
      <c r="N41" s="130">
        <f>MAX(0,M41-M40)</f>
        <v/>
      </c>
      <c r="O41" s="129">
        <f>IF(B41&lt;='VALOR POR PL'!$P$5,'CP RESUMO'!AN60,"")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HISTORICOS'!AO18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RESUMO'!AO18</f>
        <v/>
      </c>
      <c r="N42" s="130">
        <f>MAX(0,M42-M41)</f>
        <v/>
      </c>
      <c r="O42" s="129">
        <f>IF(B42&lt;='VALOR POR PL'!$P$5,'CP RESUMO'!AO60,"")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HISTORICOS'!AP18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RESUMO'!AP18</f>
        <v/>
      </c>
      <c r="N43" s="130">
        <f>MAX(0,M43-M42)</f>
        <v/>
      </c>
      <c r="O43" s="129">
        <f>IF(B43&lt;='VALOR POR PL'!$P$5,'CP RESUMO'!AP60,"")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HISTORICOS'!AQ18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RESUMO'!AQ18</f>
        <v/>
      </c>
      <c r="N44" s="130">
        <f>MAX(0,M44-M43)</f>
        <v/>
      </c>
      <c r="O44" s="129">
        <f>IF(B44&lt;='VALOR POR PL'!$P$5,'CP RESUMO'!AQ60,"")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HISTORICOS'!AR18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RESUMO'!AR18</f>
        <v/>
      </c>
      <c r="N45" s="130">
        <f>MAX(0,M45-M44)</f>
        <v/>
      </c>
      <c r="O45" s="129">
        <f>IF(B45&lt;='VALOR POR PL'!$P$5,'CP RESUMO'!AR60,"")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HISTORICOS'!AS18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RESUMO'!AS18</f>
        <v/>
      </c>
      <c r="N46" s="130">
        <f>MAX(0,M46-M45)</f>
        <v/>
      </c>
      <c r="O46" s="129">
        <f>IF(B46&lt;='VALOR POR PL'!$P$5,'CP RESUMO'!AS60,"")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HISTORICOS'!AT18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RESUMO'!AT18</f>
        <v/>
      </c>
      <c r="N47" s="130">
        <f>MAX(0,M47-M46)</f>
        <v/>
      </c>
      <c r="O47" s="129">
        <f>IF(B47&lt;='VALOR POR PL'!$P$5,'CP RESUMO'!AT60,"")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HISTORICOS'!AU18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RESUMO'!AU18</f>
        <v/>
      </c>
      <c r="N48" s="130">
        <f>MAX(0,M48-M47)</f>
        <v/>
      </c>
      <c r="O48" s="129">
        <f>IF(B48&lt;='VALOR POR PL'!$P$5,'CP RESUMO'!AU60,"")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HISTORICOS'!AV18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RESUMO'!AV18</f>
        <v/>
      </c>
      <c r="N49" s="130">
        <f>MAX(0,M49-M48)</f>
        <v/>
      </c>
      <c r="O49" s="129">
        <f>IF(B49&lt;='VALOR POR PL'!$P$5,'CP RESUMO'!AV60,"")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HISTORICOS'!AW18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RESUMO'!AW18</f>
        <v/>
      </c>
      <c r="N50" s="130">
        <f>MAX(0,M50-M49)</f>
        <v/>
      </c>
      <c r="O50" s="129">
        <f>IF(B50&lt;='VALOR POR PL'!$P$5,'CP RESUMO'!AW60,"")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HISTORICOS'!AX18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RESUMO'!AX18</f>
        <v/>
      </c>
      <c r="N51" s="130">
        <f>MAX(0,M51-M50)</f>
        <v/>
      </c>
      <c r="O51" s="129">
        <f>IF(B51&lt;='VALOR POR PL'!$P$5,'CP RESUMO'!AX60,"")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HISTORICOS'!AY18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RESUMO'!AY18</f>
        <v/>
      </c>
      <c r="N52" s="130">
        <f>MAX(0,M52-M51)</f>
        <v/>
      </c>
      <c r="O52" s="129">
        <f>IF(B52&lt;='VALOR POR PL'!$P$5,'CP RESUMO'!AY60,"")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HISTORICOS'!AZ18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RESUMO'!AZ18</f>
        <v/>
      </c>
      <c r="N53" s="130">
        <f>MAX(0,M53-M52)</f>
        <v/>
      </c>
      <c r="O53" s="129">
        <f>IF(B53&lt;='VALOR POR PL'!$P$5,'CP RESUMO'!AZ60,"")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HISTORICOS'!BA18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RESUMO'!BA18</f>
        <v/>
      </c>
      <c r="N54" s="130">
        <f>MAX(0,M54-M53)</f>
        <v/>
      </c>
      <c r="O54" s="129">
        <f>IF(B54&lt;='VALOR POR PL'!$P$5,'CP RESUMO'!BA60,"")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HISTORICOS'!BB18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RESUMO'!BB18</f>
        <v/>
      </c>
      <c r="N55" s="130">
        <f>MAX(0,M55-M54)</f>
        <v/>
      </c>
      <c r="O55" s="129">
        <f>IF(B55&lt;='VALOR POR PL'!$P$5,'CP RESUMO'!BB60,"")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HISTORICOS'!BC18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RESUMO'!BC18</f>
        <v/>
      </c>
      <c r="N56" s="130">
        <f>MAX(0,M56-M55)</f>
        <v/>
      </c>
      <c r="O56" s="129">
        <f>IF(B56&lt;='VALOR POR PL'!$P$5,'CP RESUMO'!BC60,"")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HISTORICOS'!BD18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RESUMO'!BD18</f>
        <v/>
      </c>
      <c r="N57" s="130">
        <f>MAX(0,M57-M56)</f>
        <v/>
      </c>
      <c r="O57" s="129">
        <f>IF(B57&lt;='VALOR POR PL'!$P$5,'CP RESUMO'!BD60,"")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HISTORICOS'!BE18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RESUMO'!BE18</f>
        <v/>
      </c>
      <c r="N58" s="130">
        <f>MAX(0,M58-M57)</f>
        <v/>
      </c>
      <c r="O58" s="129">
        <f>IF(B58&lt;='VALOR POR PL'!$P$5,'CP RESUMO'!BE60,"")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HISTORICOS'!BF18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RESUMO'!BF18</f>
        <v/>
      </c>
      <c r="N59" s="130">
        <f>MAX(0,M59-M58)</f>
        <v/>
      </c>
      <c r="O59" s="129">
        <f>IF(B59&lt;='VALOR POR PL'!$P$5,'CP RESUMO'!BF60,"")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HISTORICOS'!BG18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RESUMO'!BG18</f>
        <v/>
      </c>
      <c r="N60" s="130">
        <f>MAX(0,M60-M59)</f>
        <v/>
      </c>
      <c r="O60" s="129">
        <f>IF(B60&lt;='VALOR POR PL'!$P$5,'CP RESUMO'!BG60,"")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HISTORICOS'!BH18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RESUMO'!BH18</f>
        <v/>
      </c>
      <c r="N61" s="130">
        <f>MAX(0,M61-M60)</f>
        <v/>
      </c>
      <c r="O61" s="129">
        <f>IF(B61&lt;='VALOR POR PL'!$P$5,'CP RESUMO'!BH60,"")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HISTORICOS'!BI18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RESUMO'!BI18</f>
        <v/>
      </c>
      <c r="N62" s="130">
        <f>MAX(0,M62-M61)</f>
        <v/>
      </c>
      <c r="O62" s="129">
        <f>IF(B62&lt;='VALOR POR PL'!$P$5,'CP RESUMO'!BI60,"")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HISTORICOS'!BJ18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RESUMO'!BJ18</f>
        <v/>
      </c>
      <c r="N63" s="130">
        <f>MAX(0,M63-M62)</f>
        <v/>
      </c>
      <c r="O63" s="129">
        <f>IF(B63&lt;='VALOR POR PL'!$P$5,'CP RESUMO'!BJ60,"")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HISTORICOS'!BK18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RESUMO'!BK18</f>
        <v/>
      </c>
      <c r="N64" s="130">
        <f>MAX(0,M64-M63)</f>
        <v/>
      </c>
      <c r="O64" s="129">
        <f>IF(B64&lt;='VALOR POR PL'!$P$5,'CP RESUMO'!BK60,"")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HISTORICOS'!BL18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RESUMO'!BL18</f>
        <v/>
      </c>
      <c r="N65" s="130">
        <f>MAX(0,M65-M64)</f>
        <v/>
      </c>
      <c r="O65" s="129">
        <f>IF(B65&lt;='VALOR POR PL'!$P$5,'CP RESUMO'!BL60,"")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HISTORICOS'!BM18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RESUMO'!BM18</f>
        <v/>
      </c>
      <c r="N66" s="130">
        <f>MAX(0,M66-M65)</f>
        <v/>
      </c>
      <c r="O66" s="129">
        <f>IF(B66&lt;='VALOR POR PL'!$P$5,'CP RESUMO'!BM60,"")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HISTORICOS'!BN18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RESUMO'!BN18</f>
        <v/>
      </c>
      <c r="N67" s="130">
        <f>MAX(0,M67-M66)</f>
        <v/>
      </c>
      <c r="O67" s="129">
        <f>IF(B67&lt;='VALOR POR PL'!$P$5,'CP RESUMO'!BN60,"")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HISTORICOS'!BO18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RESUMO'!BO18</f>
        <v/>
      </c>
      <c r="N68" s="130">
        <f>MAX(0,M68-M67)</f>
        <v/>
      </c>
      <c r="O68" s="129">
        <f>IF(B68&lt;='VALOR POR PL'!$P$5,'CP RESUMO'!BO60,"")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HISTORICOS'!BP18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RESUMO'!BP18</f>
        <v/>
      </c>
      <c r="N69" s="130">
        <f>MAX(0,M69-M68)</f>
        <v/>
      </c>
      <c r="O69" s="129">
        <f>IF(B69&lt;='VALOR POR PL'!$P$5,'CP RESUMO'!BP60,"")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HISTORICOS'!BQ18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RESUMO'!BQ18</f>
        <v/>
      </c>
      <c r="N70" s="130">
        <f>MAX(0,M70-M69)</f>
        <v/>
      </c>
      <c r="O70" s="129">
        <f>IF(B70&lt;='VALOR POR PL'!$P$5,'CP RESUMO'!BQ60,"")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HISTORICOS'!BR18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RESUMO'!BR18</f>
        <v/>
      </c>
      <c r="N71" s="130">
        <f>MAX(0,M71-M70)</f>
        <v/>
      </c>
      <c r="O71" s="129">
        <f>IF(B71&lt;='VALOR POR PL'!$P$5,'CP RESUMO'!BR60,"")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HISTORICOS'!BS18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RESUMO'!BS18</f>
        <v/>
      </c>
      <c r="N72" s="130">
        <f>MAX(0,M72-M71)</f>
        <v/>
      </c>
      <c r="O72" s="129">
        <f>IF(B72&lt;='VALOR POR PL'!$P$5,'CP RESUMO'!BS60,"")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HISTORICOS'!BT18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RESUMO'!BT18</f>
        <v/>
      </c>
      <c r="N73" s="130">
        <f>MAX(0,M73-M72)</f>
        <v/>
      </c>
      <c r="O73" s="129">
        <f>IF(B73&lt;='VALOR POR PL'!$P$5,'CP RESUMO'!BT60,"")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HISTORICOS'!BU18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RESUMO'!BU18</f>
        <v/>
      </c>
      <c r="N74" s="130">
        <f>MAX(0,M74-M73)</f>
        <v/>
      </c>
      <c r="O74" s="129">
        <f>IF(B74&lt;='VALOR POR PL'!$P$5,'CP RESUMO'!BU60,"")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HISTORICOS'!BV18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RESUMO'!BV18</f>
        <v/>
      </c>
      <c r="N75" s="130">
        <f>MAX(0,M75-M74)</f>
        <v/>
      </c>
      <c r="O75" s="129">
        <f>IF(B75&lt;='VALOR POR PL'!$P$5,'CP RESUMO'!BV60,"")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HISTORICOS'!BW18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RESUMO'!BW18</f>
        <v/>
      </c>
      <c r="N76" s="130">
        <f>MAX(0,M76-M75)</f>
        <v/>
      </c>
      <c r="O76" s="129">
        <f>IF(B76&lt;='VALOR POR PL'!$P$5,'CP RESUMO'!BW60,"")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HISTORICOS'!D19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PL'!F25</f>
        <v/>
      </c>
      <c r="K5" s="62">
        <f>'VALOR POR PL'!G25</f>
        <v/>
      </c>
      <c r="M5" s="129">
        <f>'CP RESUMO'!D19</f>
        <v/>
      </c>
      <c r="N5" s="130" t="n">
        <v>0</v>
      </c>
      <c r="O5" s="129">
        <f>IF(B5&lt;='VALOR POR PL'!$P$5,'CP RESUMO'!D61,"")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HISTORICOS'!E19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RESUMO'!E19</f>
        <v/>
      </c>
      <c r="N6" s="130">
        <f>MAX(0,M6-M5)</f>
        <v/>
      </c>
      <c r="O6" s="129">
        <f>IF(B6&lt;='VALOR POR PL'!$P$5,'CP RESUMO'!E61,"")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HISTORICOS'!F19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PL'!L25</f>
        <v/>
      </c>
      <c r="M7" s="129">
        <f>'CP RESUMO'!F19</f>
        <v/>
      </c>
      <c r="N7" s="130">
        <f>MAX(0,M7-M6)</f>
        <v/>
      </c>
      <c r="O7" s="129">
        <f>IF(B7&lt;='VALOR POR PL'!$P$5,'CP RESUMO'!F61,"")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HISTORICOS'!G19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RESUMO'!G19</f>
        <v/>
      </c>
      <c r="N8" s="130">
        <f>MAX(0,M8-M7)</f>
        <v/>
      </c>
      <c r="O8" s="129">
        <f>IF(B8&lt;='VALOR POR PL'!$P$5,'CP RESUMO'!G61,"")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HISTORICOS'!H19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RESUMO'!H19</f>
        <v/>
      </c>
      <c r="N9" s="130">
        <f>MAX(0,M9-M8)</f>
        <v/>
      </c>
      <c r="O9" s="129">
        <f>IF(B9&lt;='VALOR POR PL'!$P$5,'CP RESUMO'!H61,"")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HISTORICOS'!I19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RESUMO'!I19</f>
        <v/>
      </c>
      <c r="N10" s="130">
        <f>MAX(0,M10-M9)</f>
        <v/>
      </c>
      <c r="O10" s="129">
        <f>IF(B10&lt;='VALOR POR PL'!$P$5,'CP RESUMO'!I61,"")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HISTORICOS'!J19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RESUMO'!J19</f>
        <v/>
      </c>
      <c r="N11" s="130">
        <f>MAX(0,M11-M10)</f>
        <v/>
      </c>
      <c r="O11" s="129">
        <f>IF(B11&lt;='VALOR POR PL'!$P$5,'CP RESUMO'!J61,"")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HISTORICOS'!K19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RESUMO'!K19</f>
        <v/>
      </c>
      <c r="N12" s="130">
        <f>MAX(0,M12-M11)</f>
        <v/>
      </c>
      <c r="O12" s="129">
        <f>IF(B12&lt;='VALOR POR PL'!$P$5,'CP RESUMO'!K61,"")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HISTORICOS'!L19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PL'!I25</f>
        <v/>
      </c>
      <c r="M13" s="129">
        <f>'CP RESUMO'!L19</f>
        <v/>
      </c>
      <c r="N13" s="130">
        <f>MAX(0,M13-M12)</f>
        <v/>
      </c>
      <c r="O13" s="129">
        <f>IF(B13&lt;='VALOR POR PL'!$P$5,'CP RESUMO'!L61,"")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HISTORICOS'!M19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RESUMO'!$D$61:$BW$61,MATCH('VALOR POR PL'!$P$5,'CP RESUMO'!$D$4:$BW$4,0))/100,0)</f>
        <v/>
      </c>
      <c r="M14" s="129">
        <f>'CP RESUMO'!M19</f>
        <v/>
      </c>
      <c r="N14" s="130">
        <f>MAX(0,M14-M13)</f>
        <v/>
      </c>
      <c r="O14" s="129">
        <f>IF(B14&lt;='VALOR POR PL'!$P$5,'CP RESUMO'!M61,"")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HISTORICOS'!N19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RESUMO'!N19</f>
        <v/>
      </c>
      <c r="N15" s="130">
        <f>MAX(0,M15-M14)</f>
        <v/>
      </c>
      <c r="O15" s="129">
        <f>IF(B15&lt;='VALOR POR PL'!$P$5,'CP RESUMO'!N61,"")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HISTORICOS'!O19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RESUMO'!O19</f>
        <v/>
      </c>
      <c r="N16" s="130">
        <f>MAX(0,M16-M15)</f>
        <v/>
      </c>
      <c r="O16" s="129">
        <f>IF(B16&lt;='VALOR POR PL'!$P$5,'CP RESUMO'!O61,"")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HISTORICOS'!P19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RESUMO'!P19</f>
        <v/>
      </c>
      <c r="N17" s="130">
        <f>MAX(0,M17-M16)</f>
        <v/>
      </c>
      <c r="O17" s="129">
        <f>IF(B17&lt;='VALOR POR PL'!$P$5,'CP RESUMO'!P61,"")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HISTORICOS'!Q19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RESUMO'!Q19</f>
        <v/>
      </c>
      <c r="N18" s="130">
        <f>MAX(0,M18-M17)</f>
        <v/>
      </c>
      <c r="O18" s="129">
        <f>IF(B18&lt;='VALOR POR PL'!$P$5,'CP RESUMO'!Q61,"")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HISTORICOS'!R19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RESUMO'!R19</f>
        <v/>
      </c>
      <c r="N19" s="130">
        <f>MAX(0,M19-M18)</f>
        <v/>
      </c>
      <c r="O19" s="129">
        <f>IF(B19&lt;='VALOR POR PL'!$P$5,'CP RESUMO'!R61,"")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HISTORICOS'!S19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RESUMO'!S19</f>
        <v/>
      </c>
      <c r="N20" s="130">
        <f>MAX(0,M20-M19)</f>
        <v/>
      </c>
      <c r="O20" s="129">
        <f>IF(B20&lt;='VALOR POR PL'!$P$5,'CP RESUMO'!S61,"")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HISTORICOS'!T19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RESUMO'!T19</f>
        <v/>
      </c>
      <c r="N21" s="130">
        <f>MAX(0,M21-M20)</f>
        <v/>
      </c>
      <c r="O21" s="129">
        <f>IF(B21&lt;='VALOR POR PL'!$P$5,'CP RESUMO'!T61,"")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HISTORICOS'!U19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RESUMO'!U19</f>
        <v/>
      </c>
      <c r="N22" s="130">
        <f>MAX(0,M22-M21)</f>
        <v/>
      </c>
      <c r="O22" s="129">
        <f>IF(B22&lt;='VALOR POR PL'!$P$5,'CP RESUMO'!U61,"")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HISTORICOS'!V19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RESUMO'!V19</f>
        <v/>
      </c>
      <c r="N23" s="130">
        <f>MAX(0,M23-M22)</f>
        <v/>
      </c>
      <c r="O23" s="129">
        <f>IF(B23&lt;='VALOR POR PL'!$P$5,'CP RESUMO'!V61,"")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HISTORICOS'!W19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RESUMO'!W19</f>
        <v/>
      </c>
      <c r="N24" s="130">
        <f>MAX(0,M24-M23)</f>
        <v/>
      </c>
      <c r="O24" s="129">
        <f>IF(B24&lt;='VALOR POR PL'!$P$5,'CP RESUMO'!W61,"")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HISTORICOS'!X19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RESUMO'!X19</f>
        <v/>
      </c>
      <c r="N25" s="130">
        <f>MAX(0,M25-M24)</f>
        <v/>
      </c>
      <c r="O25" s="129">
        <f>IF(B25&lt;='VALOR POR PL'!$P$5,'CP RESUMO'!X61,"")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HISTORICOS'!Y19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RESUMO'!Y19</f>
        <v/>
      </c>
      <c r="N26" s="130">
        <f>MAX(0,M26-M25)</f>
        <v/>
      </c>
      <c r="O26" s="129">
        <f>IF(B26&lt;='VALOR POR PL'!$P$5,'CP RESUMO'!Y61,"")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HISTORICOS'!Z19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RESUMO'!Z19</f>
        <v/>
      </c>
      <c r="N27" s="130">
        <f>MAX(0,M27-M26)</f>
        <v/>
      </c>
      <c r="O27" s="129">
        <f>IF(B27&lt;='VALOR POR PL'!$P$5,'CP RESUMO'!Z61,"")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HISTORICOS'!AA19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RESUMO'!AA19</f>
        <v/>
      </c>
      <c r="N28" s="130">
        <f>MAX(0,M28-M27)</f>
        <v/>
      </c>
      <c r="O28" s="129">
        <f>IF(B28&lt;='VALOR POR PL'!$P$5,'CP RESUMO'!AA61,"")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HISTORICOS'!AB19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RESUMO'!AB19</f>
        <v/>
      </c>
      <c r="N29" s="130">
        <f>MAX(0,M29-M28)</f>
        <v/>
      </c>
      <c r="O29" s="129">
        <f>IF(B29&lt;='VALOR POR PL'!$P$5,'CP RESUMO'!AB61,"")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HISTORICOS'!AC19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RESUMO'!AC19</f>
        <v/>
      </c>
      <c r="N30" s="130">
        <f>MAX(0,M30-M29)</f>
        <v/>
      </c>
      <c r="O30" s="129">
        <f>IF(B30&lt;='VALOR POR PL'!$P$5,'CP RESUMO'!AC61,"")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HISTORICOS'!AD19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RESUMO'!AD19</f>
        <v/>
      </c>
      <c r="N31" s="130">
        <f>MAX(0,M31-M30)</f>
        <v/>
      </c>
      <c r="O31" s="129">
        <f>IF(B31&lt;='VALOR POR PL'!$P$5,'CP RESUMO'!AD61,"")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HISTORICOS'!AE19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RESUMO'!AE19</f>
        <v/>
      </c>
      <c r="N32" s="130">
        <f>MAX(0,M32-M31)</f>
        <v/>
      </c>
      <c r="O32" s="129">
        <f>IF(B32&lt;='VALOR POR PL'!$P$5,'CP RESUMO'!AE61,"")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HISTORICOS'!AF19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RESUMO'!AF19</f>
        <v/>
      </c>
      <c r="N33" s="130">
        <f>MAX(0,M33-M32)</f>
        <v/>
      </c>
      <c r="O33" s="129">
        <f>IF(B33&lt;='VALOR POR PL'!$P$5,'CP RESUMO'!AF61,"")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HISTORICOS'!AG19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RESUMO'!AG19</f>
        <v/>
      </c>
      <c r="N34" s="130">
        <f>MAX(0,M34-M33)</f>
        <v/>
      </c>
      <c r="O34" s="129">
        <f>IF(B34&lt;='VALOR POR PL'!$P$5,'CP RESUMO'!AG61,"")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HISTORICOS'!AH19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RESUMO'!AH19</f>
        <v/>
      </c>
      <c r="N35" s="130">
        <f>MAX(0,M35-M34)</f>
        <v/>
      </c>
      <c r="O35" s="129">
        <f>IF(B35&lt;='VALOR POR PL'!$P$5,'CP RESUMO'!AH61,"")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HISTORICOS'!AI19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RESUMO'!AI19</f>
        <v/>
      </c>
      <c r="N36" s="130">
        <f>MAX(0,M36-M35)</f>
        <v/>
      </c>
      <c r="O36" s="129">
        <f>IF(B36&lt;='VALOR POR PL'!$P$5,'CP RESUMO'!AI61,"")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HISTORICOS'!AJ19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RESUMO'!AJ19</f>
        <v/>
      </c>
      <c r="N37" s="130">
        <f>MAX(0,M37-M36)</f>
        <v/>
      </c>
      <c r="O37" s="129">
        <f>IF(B37&lt;='VALOR POR PL'!$P$5,'CP RESUMO'!AJ61,"")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HISTORICOS'!AK19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RESUMO'!AK19</f>
        <v/>
      </c>
      <c r="N38" s="130">
        <f>MAX(0,M38-M37)</f>
        <v/>
      </c>
      <c r="O38" s="129">
        <f>IF(B38&lt;='VALOR POR PL'!$P$5,'CP RESUMO'!AK61,"")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HISTORICOS'!AL19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RESUMO'!AL19</f>
        <v/>
      </c>
      <c r="N39" s="130">
        <f>MAX(0,M39-M38)</f>
        <v/>
      </c>
      <c r="O39" s="129">
        <f>IF(B39&lt;='VALOR POR PL'!$P$5,'CP RESUMO'!AL61,"")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HISTORICOS'!AM19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RESUMO'!AM19</f>
        <v/>
      </c>
      <c r="N40" s="130">
        <f>MAX(0,M40-M39)</f>
        <v/>
      </c>
      <c r="O40" s="129">
        <f>IF(B40&lt;='VALOR POR PL'!$P$5,'CP RESUMO'!AM61,"")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HISTORICOS'!AN19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RESUMO'!AN19</f>
        <v/>
      </c>
      <c r="N41" s="130">
        <f>MAX(0,M41-M40)</f>
        <v/>
      </c>
      <c r="O41" s="129">
        <f>IF(B41&lt;='VALOR POR PL'!$P$5,'CP RESUMO'!AN61,"")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HISTORICOS'!AO19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RESUMO'!AO19</f>
        <v/>
      </c>
      <c r="N42" s="130">
        <f>MAX(0,M42-M41)</f>
        <v/>
      </c>
      <c r="O42" s="129">
        <f>IF(B42&lt;='VALOR POR PL'!$P$5,'CP RESUMO'!AO61,"")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HISTORICOS'!AP19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RESUMO'!AP19</f>
        <v/>
      </c>
      <c r="N43" s="130">
        <f>MAX(0,M43-M42)</f>
        <v/>
      </c>
      <c r="O43" s="129">
        <f>IF(B43&lt;='VALOR POR PL'!$P$5,'CP RESUMO'!AP61,"")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HISTORICOS'!AQ19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RESUMO'!AQ19</f>
        <v/>
      </c>
      <c r="N44" s="130">
        <f>MAX(0,M44-M43)</f>
        <v/>
      </c>
      <c r="O44" s="129">
        <f>IF(B44&lt;='VALOR POR PL'!$P$5,'CP RESUMO'!AQ61,"")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HISTORICOS'!AR19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RESUMO'!AR19</f>
        <v/>
      </c>
      <c r="N45" s="130">
        <f>MAX(0,M45-M44)</f>
        <v/>
      </c>
      <c r="O45" s="129">
        <f>IF(B45&lt;='VALOR POR PL'!$P$5,'CP RESUMO'!AR61,"")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HISTORICOS'!AS19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RESUMO'!AS19</f>
        <v/>
      </c>
      <c r="N46" s="130">
        <f>MAX(0,M46-M45)</f>
        <v/>
      </c>
      <c r="O46" s="129">
        <f>IF(B46&lt;='VALOR POR PL'!$P$5,'CP RESUMO'!AS61,"")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HISTORICOS'!AT19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RESUMO'!AT19</f>
        <v/>
      </c>
      <c r="N47" s="130">
        <f>MAX(0,M47-M46)</f>
        <v/>
      </c>
      <c r="O47" s="129">
        <f>IF(B47&lt;='VALOR POR PL'!$P$5,'CP RESUMO'!AT61,"")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HISTORICOS'!AU19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RESUMO'!AU19</f>
        <v/>
      </c>
      <c r="N48" s="130">
        <f>MAX(0,M48-M47)</f>
        <v/>
      </c>
      <c r="O48" s="129">
        <f>IF(B48&lt;='VALOR POR PL'!$P$5,'CP RESUMO'!AU61,"")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HISTORICOS'!AV19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RESUMO'!AV19</f>
        <v/>
      </c>
      <c r="N49" s="130">
        <f>MAX(0,M49-M48)</f>
        <v/>
      </c>
      <c r="O49" s="129">
        <f>IF(B49&lt;='VALOR POR PL'!$P$5,'CP RESUMO'!AV61,"")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HISTORICOS'!AW19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RESUMO'!AW19</f>
        <v/>
      </c>
      <c r="N50" s="130">
        <f>MAX(0,M50-M49)</f>
        <v/>
      </c>
      <c r="O50" s="129">
        <f>IF(B50&lt;='VALOR POR PL'!$P$5,'CP RESUMO'!AW61,"")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HISTORICOS'!AX19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RESUMO'!AX19</f>
        <v/>
      </c>
      <c r="N51" s="130">
        <f>MAX(0,M51-M50)</f>
        <v/>
      </c>
      <c r="O51" s="129">
        <f>IF(B51&lt;='VALOR POR PL'!$P$5,'CP RESUMO'!AX61,"")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HISTORICOS'!AY19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RESUMO'!AY19</f>
        <v/>
      </c>
      <c r="N52" s="130">
        <f>MAX(0,M52-M51)</f>
        <v/>
      </c>
      <c r="O52" s="129">
        <f>IF(B52&lt;='VALOR POR PL'!$P$5,'CP RESUMO'!AY61,"")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HISTORICOS'!AZ19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RESUMO'!AZ19</f>
        <v/>
      </c>
      <c r="N53" s="130">
        <f>MAX(0,M53-M52)</f>
        <v/>
      </c>
      <c r="O53" s="129">
        <f>IF(B53&lt;='VALOR POR PL'!$P$5,'CP RESUMO'!AZ61,"")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HISTORICOS'!BA19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RESUMO'!BA19</f>
        <v/>
      </c>
      <c r="N54" s="130">
        <f>MAX(0,M54-M53)</f>
        <v/>
      </c>
      <c r="O54" s="129">
        <f>IF(B54&lt;='VALOR POR PL'!$P$5,'CP RESUMO'!BA61,"")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HISTORICOS'!BB19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RESUMO'!BB19</f>
        <v/>
      </c>
      <c r="N55" s="130">
        <f>MAX(0,M55-M54)</f>
        <v/>
      </c>
      <c r="O55" s="129">
        <f>IF(B55&lt;='VALOR POR PL'!$P$5,'CP RESUMO'!BB61,"")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HISTORICOS'!BC19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RESUMO'!BC19</f>
        <v/>
      </c>
      <c r="N56" s="130">
        <f>MAX(0,M56-M55)</f>
        <v/>
      </c>
      <c r="O56" s="129">
        <f>IF(B56&lt;='VALOR POR PL'!$P$5,'CP RESUMO'!BC61,"")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HISTORICOS'!BD19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RESUMO'!BD19</f>
        <v/>
      </c>
      <c r="N57" s="130">
        <f>MAX(0,M57-M56)</f>
        <v/>
      </c>
      <c r="O57" s="129">
        <f>IF(B57&lt;='VALOR POR PL'!$P$5,'CP RESUMO'!BD61,"")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HISTORICOS'!BE19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RESUMO'!BE19</f>
        <v/>
      </c>
      <c r="N58" s="130">
        <f>MAX(0,M58-M57)</f>
        <v/>
      </c>
      <c r="O58" s="129">
        <f>IF(B58&lt;='VALOR POR PL'!$P$5,'CP RESUMO'!BE61,"")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HISTORICOS'!BF19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RESUMO'!BF19</f>
        <v/>
      </c>
      <c r="N59" s="130">
        <f>MAX(0,M59-M58)</f>
        <v/>
      </c>
      <c r="O59" s="129">
        <f>IF(B59&lt;='VALOR POR PL'!$P$5,'CP RESUMO'!BF61,"")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HISTORICOS'!BG19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RESUMO'!BG19</f>
        <v/>
      </c>
      <c r="N60" s="130">
        <f>MAX(0,M60-M59)</f>
        <v/>
      </c>
      <c r="O60" s="129">
        <f>IF(B60&lt;='VALOR POR PL'!$P$5,'CP RESUMO'!BG61,"")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HISTORICOS'!BH19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RESUMO'!BH19</f>
        <v/>
      </c>
      <c r="N61" s="130">
        <f>MAX(0,M61-M60)</f>
        <v/>
      </c>
      <c r="O61" s="129">
        <f>IF(B61&lt;='VALOR POR PL'!$P$5,'CP RESUMO'!BH61,"")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HISTORICOS'!BI19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RESUMO'!BI19</f>
        <v/>
      </c>
      <c r="N62" s="130">
        <f>MAX(0,M62-M61)</f>
        <v/>
      </c>
      <c r="O62" s="129">
        <f>IF(B62&lt;='VALOR POR PL'!$P$5,'CP RESUMO'!BI61,"")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HISTORICOS'!BJ19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RESUMO'!BJ19</f>
        <v/>
      </c>
      <c r="N63" s="130">
        <f>MAX(0,M63-M62)</f>
        <v/>
      </c>
      <c r="O63" s="129">
        <f>IF(B63&lt;='VALOR POR PL'!$P$5,'CP RESUMO'!BJ61,"")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HISTORICOS'!BK19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RESUMO'!BK19</f>
        <v/>
      </c>
      <c r="N64" s="130">
        <f>MAX(0,M64-M63)</f>
        <v/>
      </c>
      <c r="O64" s="129">
        <f>IF(B64&lt;='VALOR POR PL'!$P$5,'CP RESUMO'!BK61,"")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HISTORICOS'!BL19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RESUMO'!BL19</f>
        <v/>
      </c>
      <c r="N65" s="130">
        <f>MAX(0,M65-M64)</f>
        <v/>
      </c>
      <c r="O65" s="129">
        <f>IF(B65&lt;='VALOR POR PL'!$P$5,'CP RESUMO'!BL61,"")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HISTORICOS'!BM19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RESUMO'!BM19</f>
        <v/>
      </c>
      <c r="N66" s="130">
        <f>MAX(0,M66-M65)</f>
        <v/>
      </c>
      <c r="O66" s="129">
        <f>IF(B66&lt;='VALOR POR PL'!$P$5,'CP RESUMO'!BM61,"")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HISTORICOS'!BN19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RESUMO'!BN19</f>
        <v/>
      </c>
      <c r="N67" s="130">
        <f>MAX(0,M67-M66)</f>
        <v/>
      </c>
      <c r="O67" s="129">
        <f>IF(B67&lt;='VALOR POR PL'!$P$5,'CP RESUMO'!BN61,"")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HISTORICOS'!BO19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RESUMO'!BO19</f>
        <v/>
      </c>
      <c r="N68" s="130">
        <f>MAX(0,M68-M67)</f>
        <v/>
      </c>
      <c r="O68" s="129">
        <f>IF(B68&lt;='VALOR POR PL'!$P$5,'CP RESUMO'!BO61,"")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HISTORICOS'!BP19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RESUMO'!BP19</f>
        <v/>
      </c>
      <c r="N69" s="130">
        <f>MAX(0,M69-M68)</f>
        <v/>
      </c>
      <c r="O69" s="129">
        <f>IF(B69&lt;='VALOR POR PL'!$P$5,'CP RESUMO'!BP61,"")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HISTORICOS'!BQ19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RESUMO'!BQ19</f>
        <v/>
      </c>
      <c r="N70" s="130">
        <f>MAX(0,M70-M69)</f>
        <v/>
      </c>
      <c r="O70" s="129">
        <f>IF(B70&lt;='VALOR POR PL'!$P$5,'CP RESUMO'!BQ61,"")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HISTORICOS'!BR19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RESUMO'!BR19</f>
        <v/>
      </c>
      <c r="N71" s="130">
        <f>MAX(0,M71-M70)</f>
        <v/>
      </c>
      <c r="O71" s="129">
        <f>IF(B71&lt;='VALOR POR PL'!$P$5,'CP RESUMO'!BR61,"")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HISTORICOS'!BS19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RESUMO'!BS19</f>
        <v/>
      </c>
      <c r="N72" s="130">
        <f>MAX(0,M72-M71)</f>
        <v/>
      </c>
      <c r="O72" s="129">
        <f>IF(B72&lt;='VALOR POR PL'!$P$5,'CP RESUMO'!BS61,"")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HISTORICOS'!BT19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RESUMO'!BT19</f>
        <v/>
      </c>
      <c r="N73" s="130">
        <f>MAX(0,M73-M72)</f>
        <v/>
      </c>
      <c r="O73" s="129">
        <f>IF(B73&lt;='VALOR POR PL'!$P$5,'CP RESUMO'!BT61,"")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HISTORICOS'!BU19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RESUMO'!BU19</f>
        <v/>
      </c>
      <c r="N74" s="130">
        <f>MAX(0,M74-M73)</f>
        <v/>
      </c>
      <c r="O74" s="129">
        <f>IF(B74&lt;='VALOR POR PL'!$P$5,'CP RESUMO'!BU61,"")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HISTORICOS'!BV19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RESUMO'!BV19</f>
        <v/>
      </c>
      <c r="N75" s="130">
        <f>MAX(0,M75-M74)</f>
        <v/>
      </c>
      <c r="O75" s="129">
        <f>IF(B75&lt;='VALOR POR PL'!$P$5,'CP RESUMO'!BV61,"")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HISTORICOS'!BW19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RESUMO'!BW19</f>
        <v/>
      </c>
      <c r="N76" s="130">
        <f>MAX(0,M76-M75)</f>
        <v/>
      </c>
      <c r="O76" s="129">
        <f>IF(B76&lt;='VALOR POR PL'!$P$5,'CP RESUMO'!BW61,"")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HISTORICOS'!D20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PL'!F26</f>
        <v/>
      </c>
      <c r="K5" s="62">
        <f>'VALOR POR PL'!G26</f>
        <v/>
      </c>
      <c r="M5" s="129">
        <f>'CP RESUMO'!D20</f>
        <v/>
      </c>
      <c r="N5" s="130" t="n">
        <v>0</v>
      </c>
      <c r="O5" s="129">
        <f>IF(B5&lt;='VALOR POR PL'!$P$5,'CP RESUMO'!D62,"")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HISTORICOS'!E20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RESUMO'!E20</f>
        <v/>
      </c>
      <c r="N6" s="130">
        <f>MAX(0,M6-M5)</f>
        <v/>
      </c>
      <c r="O6" s="129">
        <f>IF(B6&lt;='VALOR POR PL'!$P$5,'CP RESUMO'!E62,"")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HISTORICOS'!F20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PL'!L26</f>
        <v/>
      </c>
      <c r="M7" s="129">
        <f>'CP RESUMO'!F20</f>
        <v/>
      </c>
      <c r="N7" s="130">
        <f>MAX(0,M7-M6)</f>
        <v/>
      </c>
      <c r="O7" s="129">
        <f>IF(B7&lt;='VALOR POR PL'!$P$5,'CP RESUMO'!F62,"")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HISTORICOS'!G20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RESUMO'!G20</f>
        <v/>
      </c>
      <c r="N8" s="130">
        <f>MAX(0,M8-M7)</f>
        <v/>
      </c>
      <c r="O8" s="129">
        <f>IF(B8&lt;='VALOR POR PL'!$P$5,'CP RESUMO'!G62,"")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HISTORICOS'!H20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RESUMO'!H20</f>
        <v/>
      </c>
      <c r="N9" s="130">
        <f>MAX(0,M9-M8)</f>
        <v/>
      </c>
      <c r="O9" s="129">
        <f>IF(B9&lt;='VALOR POR PL'!$P$5,'CP RESUMO'!H62,"")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HISTORICOS'!I20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RESUMO'!I20</f>
        <v/>
      </c>
      <c r="N10" s="130">
        <f>MAX(0,M10-M9)</f>
        <v/>
      </c>
      <c r="O10" s="129">
        <f>IF(B10&lt;='VALOR POR PL'!$P$5,'CP RESUMO'!I62,"")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HISTORICOS'!J20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RESUMO'!J20</f>
        <v/>
      </c>
      <c r="N11" s="130">
        <f>MAX(0,M11-M10)</f>
        <v/>
      </c>
      <c r="O11" s="129">
        <f>IF(B11&lt;='VALOR POR PL'!$P$5,'CP RESUMO'!J62,"")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HISTORICOS'!K20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RESUMO'!K20</f>
        <v/>
      </c>
      <c r="N12" s="130">
        <f>MAX(0,M12-M11)</f>
        <v/>
      </c>
      <c r="O12" s="129">
        <f>IF(B12&lt;='VALOR POR PL'!$P$5,'CP RESUMO'!K62,"")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HISTORICOS'!L20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PL'!I26</f>
        <v/>
      </c>
      <c r="M13" s="129">
        <f>'CP RESUMO'!L20</f>
        <v/>
      </c>
      <c r="N13" s="130">
        <f>MAX(0,M13-M12)</f>
        <v/>
      </c>
      <c r="O13" s="129">
        <f>IF(B13&lt;='VALOR POR PL'!$P$5,'CP RESUMO'!L62,"")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HISTORICOS'!M20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RESUMO'!$D$62:$BW$62,MATCH('VALOR POR PL'!$P$5,'CP RESUMO'!$D$4:$BW$4,0))/100,0)</f>
        <v/>
      </c>
      <c r="M14" s="129">
        <f>'CP RESUMO'!M20</f>
        <v/>
      </c>
      <c r="N14" s="130">
        <f>MAX(0,M14-M13)</f>
        <v/>
      </c>
      <c r="O14" s="129">
        <f>IF(B14&lt;='VALOR POR PL'!$P$5,'CP RESUMO'!M62,"")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HISTORICOS'!N20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RESUMO'!N20</f>
        <v/>
      </c>
      <c r="N15" s="130">
        <f>MAX(0,M15-M14)</f>
        <v/>
      </c>
      <c r="O15" s="129">
        <f>IF(B15&lt;='VALOR POR PL'!$P$5,'CP RESUMO'!N62,"")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HISTORICOS'!O20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RESUMO'!O20</f>
        <v/>
      </c>
      <c r="N16" s="130">
        <f>MAX(0,M16-M15)</f>
        <v/>
      </c>
      <c r="O16" s="129">
        <f>IF(B16&lt;='VALOR POR PL'!$P$5,'CP RESUMO'!O62,"")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HISTORICOS'!P20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RESUMO'!P20</f>
        <v/>
      </c>
      <c r="N17" s="130">
        <f>MAX(0,M17-M16)</f>
        <v/>
      </c>
      <c r="O17" s="129">
        <f>IF(B17&lt;='VALOR POR PL'!$P$5,'CP RESUMO'!P62,"")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HISTORICOS'!Q20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RESUMO'!Q20</f>
        <v/>
      </c>
      <c r="N18" s="130">
        <f>MAX(0,M18-M17)</f>
        <v/>
      </c>
      <c r="O18" s="129">
        <f>IF(B18&lt;='VALOR POR PL'!$P$5,'CP RESUMO'!Q62,"")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HISTORICOS'!R20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RESUMO'!R20</f>
        <v/>
      </c>
      <c r="N19" s="130">
        <f>MAX(0,M19-M18)</f>
        <v/>
      </c>
      <c r="O19" s="129">
        <f>IF(B19&lt;='VALOR POR PL'!$P$5,'CP RESUMO'!R62,"")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HISTORICOS'!S20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RESUMO'!S20</f>
        <v/>
      </c>
      <c r="N20" s="130">
        <f>MAX(0,M20-M19)</f>
        <v/>
      </c>
      <c r="O20" s="129">
        <f>IF(B20&lt;='VALOR POR PL'!$P$5,'CP RESUMO'!S62,"")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HISTORICOS'!T20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RESUMO'!T20</f>
        <v/>
      </c>
      <c r="N21" s="130">
        <f>MAX(0,M21-M20)</f>
        <v/>
      </c>
      <c r="O21" s="129">
        <f>IF(B21&lt;='VALOR POR PL'!$P$5,'CP RESUMO'!T62,"")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HISTORICOS'!U20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RESUMO'!U20</f>
        <v/>
      </c>
      <c r="N22" s="130">
        <f>MAX(0,M22-M21)</f>
        <v/>
      </c>
      <c r="O22" s="129">
        <f>IF(B22&lt;='VALOR POR PL'!$P$5,'CP RESUMO'!U62,"")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HISTORICOS'!V20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RESUMO'!V20</f>
        <v/>
      </c>
      <c r="N23" s="130">
        <f>MAX(0,M23-M22)</f>
        <v/>
      </c>
      <c r="O23" s="129">
        <f>IF(B23&lt;='VALOR POR PL'!$P$5,'CP RESUMO'!V62,"")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HISTORICOS'!W20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RESUMO'!W20</f>
        <v/>
      </c>
      <c r="N24" s="130">
        <f>MAX(0,M24-M23)</f>
        <v/>
      </c>
      <c r="O24" s="129">
        <f>IF(B24&lt;='VALOR POR PL'!$P$5,'CP RESUMO'!W62,"")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HISTORICOS'!X20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RESUMO'!X20</f>
        <v/>
      </c>
      <c r="N25" s="130">
        <f>MAX(0,M25-M24)</f>
        <v/>
      </c>
      <c r="O25" s="129">
        <f>IF(B25&lt;='VALOR POR PL'!$P$5,'CP RESUMO'!X62,"")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HISTORICOS'!Y20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RESUMO'!Y20</f>
        <v/>
      </c>
      <c r="N26" s="130">
        <f>MAX(0,M26-M25)</f>
        <v/>
      </c>
      <c r="O26" s="129">
        <f>IF(B26&lt;='VALOR POR PL'!$P$5,'CP RESUMO'!Y62,"")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HISTORICOS'!Z20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50000</v>
      </c>
      <c r="M27" s="129">
        <f>'CP RESUMO'!Z20</f>
        <v/>
      </c>
      <c r="N27" s="130">
        <f>MAX(0,M27-M26)</f>
        <v/>
      </c>
      <c r="O27" s="129">
        <f>IF(B27&lt;='VALOR POR PL'!$P$5,'CP RESUMO'!Z62,"")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HISTORICOS'!AA20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50000</v>
      </c>
      <c r="M28" s="129">
        <f>'CP RESUMO'!AA20</f>
        <v/>
      </c>
      <c r="N28" s="130">
        <f>MAX(0,M28-M27)</f>
        <v/>
      </c>
      <c r="O28" s="129">
        <f>IF(B28&lt;='VALOR POR PL'!$P$5,'CP RESUMO'!AA62,"")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HISTORICOS'!AB20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RESUMO'!AB20</f>
        <v/>
      </c>
      <c r="N29" s="130">
        <f>MAX(0,M29-M28)</f>
        <v/>
      </c>
      <c r="O29" s="129">
        <f>IF(B29&lt;='VALOR POR PL'!$P$5,'CP RESUMO'!AB62,"")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HISTORICOS'!AC20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RESUMO'!AC20</f>
        <v/>
      </c>
      <c r="N30" s="130">
        <f>MAX(0,M30-M29)</f>
        <v/>
      </c>
      <c r="O30" s="129">
        <f>IF(B30&lt;='VALOR POR PL'!$P$5,'CP RESUMO'!AC62,"")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HISTORICOS'!AD20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RESUMO'!AD20</f>
        <v/>
      </c>
      <c r="N31" s="130">
        <f>MAX(0,M31-M30)</f>
        <v/>
      </c>
      <c r="O31" s="129">
        <f>IF(B31&lt;='VALOR POR PL'!$P$5,'CP RESUMO'!AD62,"")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HISTORICOS'!AE20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RESUMO'!AE20</f>
        <v/>
      </c>
      <c r="N32" s="130">
        <f>MAX(0,M32-M31)</f>
        <v/>
      </c>
      <c r="O32" s="129">
        <f>IF(B32&lt;='VALOR POR PL'!$P$5,'CP RESUMO'!AE62,"")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HISTORICOS'!AF20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250000</v>
      </c>
      <c r="M33" s="129">
        <f>'CP RESUMO'!AF20</f>
        <v/>
      </c>
      <c r="N33" s="130">
        <f>MAX(0,M33-M32)</f>
        <v/>
      </c>
      <c r="O33" s="129">
        <f>IF(B33&lt;='VALOR POR PL'!$P$5,'CP RESUMO'!AF62,"")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HISTORICOS'!AG20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250000</v>
      </c>
      <c r="M34" s="129">
        <f>'CP RESUMO'!AG20</f>
        <v/>
      </c>
      <c r="N34" s="130">
        <f>MAX(0,M34-M33)</f>
        <v/>
      </c>
      <c r="O34" s="129">
        <f>IF(B34&lt;='VALOR POR PL'!$P$5,'CP RESUMO'!AG62,"")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HISTORICOS'!AH20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200000</v>
      </c>
      <c r="M35" s="129">
        <f>'CP RESUMO'!AH20</f>
        <v/>
      </c>
      <c r="N35" s="130">
        <f>MAX(0,M35-M34)</f>
        <v/>
      </c>
      <c r="O35" s="129">
        <f>IF(B35&lt;='VALOR POR PL'!$P$5,'CP RESUMO'!AH62,"")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HISTORICOS'!AI20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125000</v>
      </c>
      <c r="M36" s="129">
        <f>'CP RESUMO'!AI20</f>
        <v/>
      </c>
      <c r="N36" s="130">
        <f>MAX(0,M36-M35)</f>
        <v/>
      </c>
      <c r="O36" s="129">
        <f>IF(B36&lt;='VALOR POR PL'!$P$5,'CP RESUMO'!AI62,"")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HISTORICOS'!AJ20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RESUMO'!AJ20</f>
        <v/>
      </c>
      <c r="N37" s="130">
        <f>MAX(0,M37-M36)</f>
        <v/>
      </c>
      <c r="O37" s="129">
        <f>IF(B37&lt;='VALOR POR PL'!$P$5,'CP RESUMO'!AJ62,"")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HISTORICOS'!AK20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RESUMO'!AK20</f>
        <v/>
      </c>
      <c r="N38" s="130">
        <f>MAX(0,M38-M37)</f>
        <v/>
      </c>
      <c r="O38" s="129">
        <f>IF(B38&lt;='VALOR POR PL'!$P$5,'CP RESUMO'!AK62,"")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HISTORICOS'!AL20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RESUMO'!AL20</f>
        <v/>
      </c>
      <c r="N39" s="130">
        <f>MAX(0,M39-M38)</f>
        <v/>
      </c>
      <c r="O39" s="129">
        <f>IF(B39&lt;='VALOR POR PL'!$P$5,'CP RESUMO'!AL62,"")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HISTORICOS'!AM20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92971.37</v>
      </c>
      <c r="M40" s="129">
        <f>'CP RESUMO'!AM20</f>
        <v/>
      </c>
      <c r="N40" s="130">
        <f>MAX(0,M40-M39)</f>
        <v/>
      </c>
      <c r="O40" s="129">
        <f>IF(B40&lt;='VALOR POR PL'!$P$5,'CP RESUMO'!AM62,"")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HISTORICOS'!AN20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RESUMO'!AN20</f>
        <v/>
      </c>
      <c r="N41" s="130">
        <f>MAX(0,M41-M40)</f>
        <v/>
      </c>
      <c r="O41" s="129">
        <f>IF(B41&lt;='VALOR POR PL'!$P$5,'CP RESUMO'!AN62,"")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HISTORICOS'!AO20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RESUMO'!AO20</f>
        <v/>
      </c>
      <c r="N42" s="130">
        <f>MAX(0,M42-M41)</f>
        <v/>
      </c>
      <c r="O42" s="129">
        <f>IF(B42&lt;='VALOR POR PL'!$P$5,'CP RESUMO'!AO62,"")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HISTORICOS'!AP20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RESUMO'!AP20</f>
        <v/>
      </c>
      <c r="N43" s="130">
        <f>MAX(0,M43-M42)</f>
        <v/>
      </c>
      <c r="O43" s="129">
        <f>IF(B43&lt;='VALOR POR PL'!$P$5,'CP RESUMO'!AP62,"")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HISTORICOS'!AQ20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125000</v>
      </c>
      <c r="M44" s="129">
        <f>'CP RESUMO'!AQ20</f>
        <v/>
      </c>
      <c r="N44" s="130">
        <f>MAX(0,M44-M43)</f>
        <v/>
      </c>
      <c r="O44" s="129">
        <f>IF(B44&lt;='VALOR POR PL'!$P$5,'CP RESUMO'!AQ62,"")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HISTORICOS'!AR20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124994.68</v>
      </c>
      <c r="M45" s="129">
        <f>'CP RESUMO'!AR20</f>
        <v/>
      </c>
      <c r="N45" s="130">
        <f>MAX(0,M45-M44)</f>
        <v/>
      </c>
      <c r="O45" s="129">
        <f>IF(B45&lt;='VALOR POR PL'!$P$5,'CP RESUMO'!AR62,"")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HISTORICOS'!AS20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RESUMO'!AS20</f>
        <v/>
      </c>
      <c r="N46" s="130">
        <f>MAX(0,M46-M45)</f>
        <v/>
      </c>
      <c r="O46" s="129">
        <f>IF(B46&lt;='VALOR POR PL'!$P$5,'CP RESUMO'!AS62,"")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HISTORICOS'!AT20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RESUMO'!AT20</f>
        <v/>
      </c>
      <c r="N47" s="130">
        <f>MAX(0,M47-M46)</f>
        <v/>
      </c>
      <c r="O47" s="129">
        <f>IF(B47&lt;='VALOR POR PL'!$P$5,'CP RESUMO'!AT62,"")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HISTORICOS'!AU20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RESUMO'!AU20</f>
        <v/>
      </c>
      <c r="N48" s="130">
        <f>MAX(0,M48-M47)</f>
        <v/>
      </c>
      <c r="O48" s="129">
        <f>IF(B48&lt;='VALOR POR PL'!$P$5,'CP RESUMO'!AU62,"")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HISTORICOS'!AV20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RESUMO'!AV20</f>
        <v/>
      </c>
      <c r="N49" s="130">
        <f>MAX(0,M49-M48)</f>
        <v/>
      </c>
      <c r="O49" s="129">
        <f>IF(B49&lt;='VALOR POR PL'!$P$5,'CP RESUMO'!AV62,"")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HISTORICOS'!AW20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RESUMO'!AW20</f>
        <v/>
      </c>
      <c r="N50" s="130">
        <f>MAX(0,M50-M49)</f>
        <v/>
      </c>
      <c r="O50" s="129">
        <f>IF(B50&lt;='VALOR POR PL'!$P$5,'CP RESUMO'!AW62,"")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HISTORICOS'!AX20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RESUMO'!AX20</f>
        <v/>
      </c>
      <c r="N51" s="130">
        <f>MAX(0,M51-M50)</f>
        <v/>
      </c>
      <c r="O51" s="129">
        <f>IF(B51&lt;='VALOR POR PL'!$P$5,'CP RESUMO'!AX62,"")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HISTORICOS'!AY20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RESUMO'!AY20</f>
        <v/>
      </c>
      <c r="N52" s="130">
        <f>MAX(0,M52-M51)</f>
        <v/>
      </c>
      <c r="O52" s="129">
        <f>IF(B52&lt;='VALOR POR PL'!$P$5,'CP RESUMO'!AY62,"")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HISTORICOS'!AZ20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RESUMO'!AZ20</f>
        <v/>
      </c>
      <c r="N53" s="130">
        <f>MAX(0,M53-M52)</f>
        <v/>
      </c>
      <c r="O53" s="129">
        <f>IF(B53&lt;='VALOR POR PL'!$P$5,'CP RESUMO'!AZ62,"")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HISTORICOS'!BA20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RESUMO'!BA20</f>
        <v/>
      </c>
      <c r="N54" s="130">
        <f>MAX(0,M54-M53)</f>
        <v/>
      </c>
      <c r="O54" s="129">
        <f>IF(B54&lt;='VALOR POR PL'!$P$5,'CP RESUMO'!BA62,"")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HISTORICOS'!BB20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RESUMO'!BB20</f>
        <v/>
      </c>
      <c r="N55" s="130">
        <f>MAX(0,M55-M54)</f>
        <v/>
      </c>
      <c r="O55" s="129">
        <f>IF(B55&lt;='VALOR POR PL'!$P$5,'CP RESUMO'!BB62,"")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HISTORICOS'!BC20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RESUMO'!BC20</f>
        <v/>
      </c>
      <c r="N56" s="130">
        <f>MAX(0,M56-M55)</f>
        <v/>
      </c>
      <c r="O56" s="129">
        <f>IF(B56&lt;='VALOR POR PL'!$P$5,'CP RESUMO'!BC62,"")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HISTORICOS'!BD20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RESUMO'!BD20</f>
        <v/>
      </c>
      <c r="N57" s="130">
        <f>MAX(0,M57-M56)</f>
        <v/>
      </c>
      <c r="O57" s="129">
        <f>IF(B57&lt;='VALOR POR PL'!$P$5,'CP RESUMO'!BD62,"")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HISTORICOS'!BE20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RESUMO'!BE20</f>
        <v/>
      </c>
      <c r="N58" s="130">
        <f>MAX(0,M58-M57)</f>
        <v/>
      </c>
      <c r="O58" s="129">
        <f>IF(B58&lt;='VALOR POR PL'!$P$5,'CP RESUMO'!BE62,"")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HISTORICOS'!BF20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RESUMO'!BF20</f>
        <v/>
      </c>
      <c r="N59" s="130">
        <f>MAX(0,M59-M58)</f>
        <v/>
      </c>
      <c r="O59" s="129">
        <f>IF(B59&lt;='VALOR POR PL'!$P$5,'CP RESUMO'!BF62,"")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HISTORICOS'!BG20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RESUMO'!BG20</f>
        <v/>
      </c>
      <c r="N60" s="130">
        <f>MAX(0,M60-M59)</f>
        <v/>
      </c>
      <c r="O60" s="129">
        <f>IF(B60&lt;='VALOR POR PL'!$P$5,'CP RESUMO'!BG62,"")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HISTORICOS'!BH20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RESUMO'!BH20</f>
        <v/>
      </c>
      <c r="N61" s="130">
        <f>MAX(0,M61-M60)</f>
        <v/>
      </c>
      <c r="O61" s="129">
        <f>IF(B61&lt;='VALOR POR PL'!$P$5,'CP RESUMO'!BH62,"")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HISTORICOS'!BI20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RESUMO'!BI20</f>
        <v/>
      </c>
      <c r="N62" s="130">
        <f>MAX(0,M62-M61)</f>
        <v/>
      </c>
      <c r="O62" s="129">
        <f>IF(B62&lt;='VALOR POR PL'!$P$5,'CP RESUMO'!BI62,"")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HISTORICOS'!BJ20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RESUMO'!BJ20</f>
        <v/>
      </c>
      <c r="N63" s="130">
        <f>MAX(0,M63-M62)</f>
        <v/>
      </c>
      <c r="O63" s="129">
        <f>IF(B63&lt;='VALOR POR PL'!$P$5,'CP RESUMO'!BJ62,"")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HISTORICOS'!BK20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RESUMO'!BK20</f>
        <v/>
      </c>
      <c r="N64" s="130">
        <f>MAX(0,M64-M63)</f>
        <v/>
      </c>
      <c r="O64" s="129">
        <f>IF(B64&lt;='VALOR POR PL'!$P$5,'CP RESUMO'!BK62,"")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HISTORICOS'!BL20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RESUMO'!BL20</f>
        <v/>
      </c>
      <c r="N65" s="130">
        <f>MAX(0,M65-M64)</f>
        <v/>
      </c>
      <c r="O65" s="129">
        <f>IF(B65&lt;='VALOR POR PL'!$P$5,'CP RESUMO'!BL62,"")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HISTORICOS'!BM20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RESUMO'!BM20</f>
        <v/>
      </c>
      <c r="N66" s="130">
        <f>MAX(0,M66-M65)</f>
        <v/>
      </c>
      <c r="O66" s="129">
        <f>IF(B66&lt;='VALOR POR PL'!$P$5,'CP RESUMO'!BM62,"")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HISTORICOS'!BN20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RESUMO'!BN20</f>
        <v/>
      </c>
      <c r="N67" s="130">
        <f>MAX(0,M67-M66)</f>
        <v/>
      </c>
      <c r="O67" s="129">
        <f>IF(B67&lt;='VALOR POR PL'!$P$5,'CP RESUMO'!BN62,"")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HISTORICOS'!BO20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RESUMO'!BO20</f>
        <v/>
      </c>
      <c r="N68" s="130">
        <f>MAX(0,M68-M67)</f>
        <v/>
      </c>
      <c r="O68" s="129">
        <f>IF(B68&lt;='VALOR POR PL'!$P$5,'CP RESUMO'!BO62,"")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HISTORICOS'!BP20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RESUMO'!BP20</f>
        <v/>
      </c>
      <c r="N69" s="130">
        <f>MAX(0,M69-M68)</f>
        <v/>
      </c>
      <c r="O69" s="129">
        <f>IF(B69&lt;='VALOR POR PL'!$P$5,'CP RESUMO'!BP62,"")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HISTORICOS'!BQ20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RESUMO'!BQ20</f>
        <v/>
      </c>
      <c r="N70" s="130">
        <f>MAX(0,M70-M69)</f>
        <v/>
      </c>
      <c r="O70" s="129">
        <f>IF(B70&lt;='VALOR POR PL'!$P$5,'CP RESUMO'!BQ62,"")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HISTORICOS'!BR20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RESUMO'!BR20</f>
        <v/>
      </c>
      <c r="N71" s="130">
        <f>MAX(0,M71-M70)</f>
        <v/>
      </c>
      <c r="O71" s="129">
        <f>IF(B71&lt;='VALOR POR PL'!$P$5,'CP RESUMO'!BR62,"")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HISTORICOS'!BS20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RESUMO'!BS20</f>
        <v/>
      </c>
      <c r="N72" s="130">
        <f>MAX(0,M72-M71)</f>
        <v/>
      </c>
      <c r="O72" s="129">
        <f>IF(B72&lt;='VALOR POR PL'!$P$5,'CP RESUMO'!BS62,"")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HISTORICOS'!BT20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RESUMO'!BT20</f>
        <v/>
      </c>
      <c r="N73" s="130">
        <f>MAX(0,M73-M72)</f>
        <v/>
      </c>
      <c r="O73" s="129">
        <f>IF(B73&lt;='VALOR POR PL'!$P$5,'CP RESUMO'!BT62,"")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HISTORICOS'!BU20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RESUMO'!BU20</f>
        <v/>
      </c>
      <c r="N74" s="130">
        <f>MAX(0,M74-M73)</f>
        <v/>
      </c>
      <c r="O74" s="129">
        <f>IF(B74&lt;='VALOR POR PL'!$P$5,'CP RESUMO'!BU62,"")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HISTORICOS'!BV20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RESUMO'!BV20</f>
        <v/>
      </c>
      <c r="N75" s="130">
        <f>MAX(0,M75-M74)</f>
        <v/>
      </c>
      <c r="O75" s="129">
        <f>IF(B75&lt;='VALOR POR PL'!$P$5,'CP RESUMO'!BV62,"")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HISTORICOS'!BW20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RESUMO'!BW20</f>
        <v/>
      </c>
      <c r="N76" s="130">
        <f>MAX(0,M76-M75)</f>
        <v/>
      </c>
      <c r="O76" s="129">
        <f>IF(B76&lt;='VALOR POR PL'!$P$5,'CP RESUMO'!BW62,"")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HISTORICOS'!D21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PL'!F27</f>
        <v/>
      </c>
      <c r="K5" s="62">
        <f>'VALOR POR PL'!G27</f>
        <v/>
      </c>
      <c r="M5" s="129">
        <f>'CP RESUMO'!D21</f>
        <v/>
      </c>
      <c r="N5" s="130" t="n">
        <v>0</v>
      </c>
      <c r="O5" s="129">
        <f>IF(B5&lt;='VALOR POR PL'!$P$5,'CP RESUMO'!D63,"")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HISTORICOS'!E21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RESUMO'!E21</f>
        <v/>
      </c>
      <c r="N6" s="130">
        <f>MAX(0,M6-M5)</f>
        <v/>
      </c>
      <c r="O6" s="129">
        <f>IF(B6&lt;='VALOR POR PL'!$P$5,'CP RESUMO'!E63,"")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HISTORICOS'!F21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PL'!L27</f>
        <v/>
      </c>
      <c r="M7" s="129">
        <f>'CP RESUMO'!F21</f>
        <v/>
      </c>
      <c r="N7" s="130">
        <f>MAX(0,M7-M6)</f>
        <v/>
      </c>
      <c r="O7" s="129">
        <f>IF(B7&lt;='VALOR POR PL'!$P$5,'CP RESUMO'!F63,"")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HISTORICOS'!G21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RESUMO'!G21</f>
        <v/>
      </c>
      <c r="N8" s="130">
        <f>MAX(0,M8-M7)</f>
        <v/>
      </c>
      <c r="O8" s="129">
        <f>IF(B8&lt;='VALOR POR PL'!$P$5,'CP RESUMO'!G63,"")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HISTORICOS'!H21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RESUMO'!H21</f>
        <v/>
      </c>
      <c r="N9" s="130">
        <f>MAX(0,M9-M8)</f>
        <v/>
      </c>
      <c r="O9" s="129">
        <f>IF(B9&lt;='VALOR POR PL'!$P$5,'CP RESUMO'!H63,"")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HISTORICOS'!I21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RESUMO'!I21</f>
        <v/>
      </c>
      <c r="N10" s="130">
        <f>MAX(0,M10-M9)</f>
        <v/>
      </c>
      <c r="O10" s="129">
        <f>IF(B10&lt;='VALOR POR PL'!$P$5,'CP RESUMO'!I63,"")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HISTORICOS'!J21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RESUMO'!J21</f>
        <v/>
      </c>
      <c r="N11" s="130">
        <f>MAX(0,M11-M10)</f>
        <v/>
      </c>
      <c r="O11" s="129">
        <f>IF(B11&lt;='VALOR POR PL'!$P$5,'CP RESUMO'!J63,"")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HISTORICOS'!K21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RESUMO'!K21</f>
        <v/>
      </c>
      <c r="N12" s="130">
        <f>MAX(0,M12-M11)</f>
        <v/>
      </c>
      <c r="O12" s="129">
        <f>IF(B12&lt;='VALOR POR PL'!$P$5,'CP RESUMO'!K63,"")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HISTORICOS'!L21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PL'!I27</f>
        <v/>
      </c>
      <c r="M13" s="129">
        <f>'CP RESUMO'!L21</f>
        <v/>
      </c>
      <c r="N13" s="130">
        <f>MAX(0,M13-M12)</f>
        <v/>
      </c>
      <c r="O13" s="129">
        <f>IF(B13&lt;='VALOR POR PL'!$P$5,'CP RESUMO'!L63,"")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HISTORICOS'!M21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RESUMO'!$D$63:$BW$63,MATCH('VALOR POR PL'!$P$5,'CP RESUMO'!$D$4:$BW$4,0))/100,0)</f>
        <v/>
      </c>
      <c r="M14" s="129">
        <f>'CP RESUMO'!M21</f>
        <v/>
      </c>
      <c r="N14" s="130">
        <f>MAX(0,M14-M13)</f>
        <v/>
      </c>
      <c r="O14" s="129">
        <f>IF(B14&lt;='VALOR POR PL'!$P$5,'CP RESUMO'!M63,"")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HISTORICOS'!N21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RESUMO'!N21</f>
        <v/>
      </c>
      <c r="N15" s="130">
        <f>MAX(0,M15-M14)</f>
        <v/>
      </c>
      <c r="O15" s="129">
        <f>IF(B15&lt;='VALOR POR PL'!$P$5,'CP RESUMO'!N63,"")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HISTORICOS'!O21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RESUMO'!O21</f>
        <v/>
      </c>
      <c r="N16" s="130">
        <f>MAX(0,M16-M15)</f>
        <v/>
      </c>
      <c r="O16" s="129">
        <f>IF(B16&lt;='VALOR POR PL'!$P$5,'CP RESUMO'!O63,"")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HISTORICOS'!P21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RESUMO'!P21</f>
        <v/>
      </c>
      <c r="N17" s="130">
        <f>MAX(0,M17-M16)</f>
        <v/>
      </c>
      <c r="O17" s="129">
        <f>IF(B17&lt;='VALOR POR PL'!$P$5,'CP RESUMO'!P63,"")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HISTORICOS'!Q21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RESUMO'!Q21</f>
        <v/>
      </c>
      <c r="N18" s="130">
        <f>MAX(0,M18-M17)</f>
        <v/>
      </c>
      <c r="O18" s="129">
        <f>IF(B18&lt;='VALOR POR PL'!$P$5,'CP RESUMO'!Q63,"")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HISTORICOS'!R21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RESUMO'!R21</f>
        <v/>
      </c>
      <c r="N19" s="130">
        <f>MAX(0,M19-M18)</f>
        <v/>
      </c>
      <c r="O19" s="129">
        <f>IF(B19&lt;='VALOR POR PL'!$P$5,'CP RESUMO'!R63,"")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HISTORICOS'!S21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RESUMO'!S21</f>
        <v/>
      </c>
      <c r="N20" s="130">
        <f>MAX(0,M20-M19)</f>
        <v/>
      </c>
      <c r="O20" s="129">
        <f>IF(B20&lt;='VALOR POR PL'!$P$5,'CP RESUMO'!S63,"")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HISTORICOS'!T21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RESUMO'!T21</f>
        <v/>
      </c>
      <c r="N21" s="130">
        <f>MAX(0,M21-M20)</f>
        <v/>
      </c>
      <c r="O21" s="129">
        <f>IF(B21&lt;='VALOR POR PL'!$P$5,'CP RESUMO'!T63,"")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HISTORICOS'!U21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RESUMO'!U21</f>
        <v/>
      </c>
      <c r="N22" s="130">
        <f>MAX(0,M22-M21)</f>
        <v/>
      </c>
      <c r="O22" s="129">
        <f>IF(B22&lt;='VALOR POR PL'!$P$5,'CP RESUMO'!U63,"")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HISTORICOS'!V21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RESUMO'!V21</f>
        <v/>
      </c>
      <c r="N23" s="130">
        <f>MAX(0,M23-M22)</f>
        <v/>
      </c>
      <c r="O23" s="129">
        <f>IF(B23&lt;='VALOR POR PL'!$P$5,'CP RESUMO'!V63,"")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HISTORICOS'!W21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RESUMO'!W21</f>
        <v/>
      </c>
      <c r="N24" s="130">
        <f>MAX(0,M24-M23)</f>
        <v/>
      </c>
      <c r="O24" s="129">
        <f>IF(B24&lt;='VALOR POR PL'!$P$5,'CP RESUMO'!W63,"")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HISTORICOS'!X21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RESUMO'!X21</f>
        <v/>
      </c>
      <c r="N25" s="130">
        <f>MAX(0,M25-M24)</f>
        <v/>
      </c>
      <c r="O25" s="129">
        <f>IF(B25&lt;='VALOR POR PL'!$P$5,'CP RESUMO'!X63,"")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HISTORICOS'!Y21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RESUMO'!Y21</f>
        <v/>
      </c>
      <c r="N26" s="130">
        <f>MAX(0,M26-M25)</f>
        <v/>
      </c>
      <c r="O26" s="129">
        <f>IF(B26&lt;='VALOR POR PL'!$P$5,'CP RESUMO'!Y63,"")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HISTORICOS'!Z21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686964.52</v>
      </c>
      <c r="M27" s="129">
        <f>'CP RESUMO'!Z21</f>
        <v/>
      </c>
      <c r="N27" s="130">
        <f>MAX(0,M27-M26)</f>
        <v/>
      </c>
      <c r="O27" s="129">
        <f>IF(B27&lt;='VALOR POR PL'!$P$5,'CP RESUMO'!Z63,"")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HISTORICOS'!AA21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1047212.71</v>
      </c>
      <c r="M28" s="129">
        <f>'CP RESUMO'!AA21</f>
        <v/>
      </c>
      <c r="N28" s="130">
        <f>MAX(0,M28-M27)</f>
        <v/>
      </c>
      <c r="O28" s="129">
        <f>IF(B28&lt;='VALOR POR PL'!$P$5,'CP RESUMO'!AA63,"")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HISTORICOS'!AB21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1620508.15</v>
      </c>
      <c r="M29" s="129">
        <f>'CP RESUMO'!AB21</f>
        <v/>
      </c>
      <c r="N29" s="130">
        <f>MAX(0,M29-M28)</f>
        <v/>
      </c>
      <c r="O29" s="129">
        <f>IF(B29&lt;='VALOR POR PL'!$P$5,'CP RESUMO'!AB63,"")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HISTORICOS'!AC21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1912666.93</v>
      </c>
      <c r="M30" s="129">
        <f>'CP RESUMO'!AC21</f>
        <v/>
      </c>
      <c r="N30" s="130">
        <f>MAX(0,M30-M29)</f>
        <v/>
      </c>
      <c r="O30" s="129">
        <f>IF(B30&lt;='VALOR POR PL'!$P$5,'CP RESUMO'!AC63,"")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HISTORICOS'!AD21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1716911.78</v>
      </c>
      <c r="M31" s="129">
        <f>'CP RESUMO'!AD21</f>
        <v/>
      </c>
      <c r="N31" s="130">
        <f>MAX(0,M31-M30)</f>
        <v/>
      </c>
      <c r="O31" s="129">
        <f>IF(B31&lt;='VALOR POR PL'!$P$5,'CP RESUMO'!AD63,"")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HISTORICOS'!AE21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1724029.04</v>
      </c>
      <c r="M32" s="129">
        <f>'CP RESUMO'!AE21</f>
        <v/>
      </c>
      <c r="N32" s="130">
        <f>MAX(0,M32-M31)</f>
        <v/>
      </c>
      <c r="O32" s="129">
        <f>IF(B32&lt;='VALOR POR PL'!$P$5,'CP RESUMO'!AE63,"")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HISTORICOS'!AF21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1240873.84</v>
      </c>
      <c r="M33" s="129">
        <f>'CP RESUMO'!AF21</f>
        <v/>
      </c>
      <c r="N33" s="130">
        <f>MAX(0,M33-M32)</f>
        <v/>
      </c>
      <c r="O33" s="129">
        <f>IF(B33&lt;='VALOR POR PL'!$P$5,'CP RESUMO'!AF63,"")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HISTORICOS'!AG21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1377375.67</v>
      </c>
      <c r="M34" s="129">
        <f>'CP RESUMO'!AG21</f>
        <v/>
      </c>
      <c r="N34" s="130">
        <f>MAX(0,M34-M33)</f>
        <v/>
      </c>
      <c r="O34" s="129">
        <f>IF(B34&lt;='VALOR POR PL'!$P$5,'CP RESUMO'!AG63,"")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HISTORICOS'!AH21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1690022.9</v>
      </c>
      <c r="M35" s="129">
        <f>'CP RESUMO'!AH21</f>
        <v/>
      </c>
      <c r="N35" s="130">
        <f>MAX(0,M35-M34)</f>
        <v/>
      </c>
      <c r="O35" s="129">
        <f>IF(B35&lt;='VALOR POR PL'!$P$5,'CP RESUMO'!AH63,"")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HISTORICOS'!AI21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1533152.88</v>
      </c>
      <c r="M36" s="129">
        <f>'CP RESUMO'!AI21</f>
        <v/>
      </c>
      <c r="N36" s="130">
        <f>MAX(0,M36-M35)</f>
        <v/>
      </c>
      <c r="O36" s="129">
        <f>IF(B36&lt;='VALOR POR PL'!$P$5,'CP RESUMO'!AI63,"")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HISTORICOS'!AJ21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1541765.8</v>
      </c>
      <c r="M37" s="129">
        <f>'CP RESUMO'!AJ21</f>
        <v/>
      </c>
      <c r="N37" s="130">
        <f>MAX(0,M37-M36)</f>
        <v/>
      </c>
      <c r="O37" s="129">
        <f>IF(B37&lt;='VALOR POR PL'!$P$5,'CP RESUMO'!AJ63,"")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HISTORICOS'!AK21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1266058.13</v>
      </c>
      <c r="M38" s="129">
        <f>'CP RESUMO'!AK21</f>
        <v/>
      </c>
      <c r="N38" s="130">
        <f>MAX(0,M38-M37)</f>
        <v/>
      </c>
      <c r="O38" s="129">
        <f>IF(B38&lt;='VALOR POR PL'!$P$5,'CP RESUMO'!AK63,"")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HISTORICOS'!AL21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1261900.44</v>
      </c>
      <c r="M39" s="129">
        <f>'CP RESUMO'!AL21</f>
        <v/>
      </c>
      <c r="N39" s="130">
        <f>MAX(0,M39-M38)</f>
        <v/>
      </c>
      <c r="O39" s="129">
        <f>IF(B39&lt;='VALOR POR PL'!$P$5,'CP RESUMO'!AL63,"")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HISTORICOS'!AM21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1261551.82</v>
      </c>
      <c r="M40" s="129">
        <f>'CP RESUMO'!AM21</f>
        <v/>
      </c>
      <c r="N40" s="130">
        <f>MAX(0,M40-M39)</f>
        <v/>
      </c>
      <c r="O40" s="129">
        <f>IF(B40&lt;='VALOR POR PL'!$P$5,'CP RESUMO'!AM63,"")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HISTORICOS'!AN21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1261500.17</v>
      </c>
      <c r="M41" s="129">
        <f>'CP RESUMO'!AN21</f>
        <v/>
      </c>
      <c r="N41" s="130">
        <f>MAX(0,M41-M40)</f>
        <v/>
      </c>
      <c r="O41" s="129">
        <f>IF(B41&lt;='VALOR POR PL'!$P$5,'CP RESUMO'!AN63,"")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HISTORICOS'!AO21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374755.37</v>
      </c>
      <c r="M42" s="129">
        <f>'CP RESUMO'!AO21</f>
        <v/>
      </c>
      <c r="N42" s="130">
        <f>MAX(0,M42-M41)</f>
        <v/>
      </c>
      <c r="O42" s="129">
        <f>IF(B42&lt;='VALOR POR PL'!$P$5,'CP RESUMO'!AO63,"")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HISTORICOS'!AP21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374517.08</v>
      </c>
      <c r="M43" s="129">
        <f>'CP RESUMO'!AP21</f>
        <v/>
      </c>
      <c r="N43" s="130">
        <f>MAX(0,M43-M42)</f>
        <v/>
      </c>
      <c r="O43" s="129">
        <f>IF(B43&lt;='VALOR POR PL'!$P$5,'CP RESUMO'!AP63,"")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HISTORICOS'!AQ21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361591.02</v>
      </c>
      <c r="M44" s="129">
        <f>'CP RESUMO'!AQ21</f>
        <v/>
      </c>
      <c r="N44" s="130">
        <f>MAX(0,M44-M43)</f>
        <v/>
      </c>
      <c r="O44" s="129">
        <f>IF(B44&lt;='VALOR POR PL'!$P$5,'CP RESUMO'!AQ63,"")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HISTORICOS'!AR21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340999.31</v>
      </c>
      <c r="M45" s="129">
        <f>'CP RESUMO'!AR21</f>
        <v/>
      </c>
      <c r="N45" s="130">
        <f>MAX(0,M45-M44)</f>
        <v/>
      </c>
      <c r="O45" s="129">
        <f>IF(B45&lt;='VALOR POR PL'!$P$5,'CP RESUMO'!AR63,"")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HISTORICOS'!AS21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RESUMO'!AS21</f>
        <v/>
      </c>
      <c r="N46" s="130">
        <f>MAX(0,M46-M45)</f>
        <v/>
      </c>
      <c r="O46" s="129">
        <f>IF(B46&lt;='VALOR POR PL'!$P$5,'CP RESUMO'!AS63,"")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HISTORICOS'!AT21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RESUMO'!AT21</f>
        <v/>
      </c>
      <c r="N47" s="130">
        <f>MAX(0,M47-M46)</f>
        <v/>
      </c>
      <c r="O47" s="129">
        <f>IF(B47&lt;='VALOR POR PL'!$P$5,'CP RESUMO'!AT63,"")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HISTORICOS'!AU21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RESUMO'!AU21</f>
        <v/>
      </c>
      <c r="N48" s="130">
        <f>MAX(0,M48-M47)</f>
        <v/>
      </c>
      <c r="O48" s="129">
        <f>IF(B48&lt;='VALOR POR PL'!$P$5,'CP RESUMO'!AU63,"")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HISTORICOS'!AV21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RESUMO'!AV21</f>
        <v/>
      </c>
      <c r="N49" s="130">
        <f>MAX(0,M49-M48)</f>
        <v/>
      </c>
      <c r="O49" s="129">
        <f>IF(B49&lt;='VALOR POR PL'!$P$5,'CP RESUMO'!AV63,"")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HISTORICOS'!AW21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RESUMO'!AW21</f>
        <v/>
      </c>
      <c r="N50" s="130">
        <f>MAX(0,M50-M49)</f>
        <v/>
      </c>
      <c r="O50" s="129">
        <f>IF(B50&lt;='VALOR POR PL'!$P$5,'CP RESUMO'!AW63,"")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HISTORICOS'!AX21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RESUMO'!AX21</f>
        <v/>
      </c>
      <c r="N51" s="130">
        <f>MAX(0,M51-M50)</f>
        <v/>
      </c>
      <c r="O51" s="129">
        <f>IF(B51&lt;='VALOR POR PL'!$P$5,'CP RESUMO'!AX63,"")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HISTORICOS'!AY21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RESUMO'!AY21</f>
        <v/>
      </c>
      <c r="N52" s="130">
        <f>MAX(0,M52-M51)</f>
        <v/>
      </c>
      <c r="O52" s="129">
        <f>IF(B52&lt;='VALOR POR PL'!$P$5,'CP RESUMO'!AY63,"")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HISTORICOS'!AZ21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RESUMO'!AZ21</f>
        <v/>
      </c>
      <c r="N53" s="130">
        <f>MAX(0,M53-M52)</f>
        <v/>
      </c>
      <c r="O53" s="129">
        <f>IF(B53&lt;='VALOR POR PL'!$P$5,'CP RESUMO'!AZ63,"")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HISTORICOS'!BA21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RESUMO'!BA21</f>
        <v/>
      </c>
      <c r="N54" s="130">
        <f>MAX(0,M54-M53)</f>
        <v/>
      </c>
      <c r="O54" s="129">
        <f>IF(B54&lt;='VALOR POR PL'!$P$5,'CP RESUMO'!BA63,"")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HISTORICOS'!BB21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1178940.16</v>
      </c>
      <c r="M55" s="129">
        <f>'CP RESUMO'!BB21</f>
        <v/>
      </c>
      <c r="N55" s="130">
        <f>MAX(0,M55-M54)</f>
        <v/>
      </c>
      <c r="O55" s="129">
        <f>IF(B55&lt;='VALOR POR PL'!$P$5,'CP RESUMO'!BB63,"")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HISTORICOS'!BC21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RESUMO'!BC21</f>
        <v/>
      </c>
      <c r="N56" s="130">
        <f>MAX(0,M56-M55)</f>
        <v/>
      </c>
      <c r="O56" s="129">
        <f>IF(B56&lt;='VALOR POR PL'!$P$5,'CP RESUMO'!BC63,"")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HISTORICOS'!BD21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RESUMO'!BD21</f>
        <v/>
      </c>
      <c r="N57" s="130">
        <f>MAX(0,M57-M56)</f>
        <v/>
      </c>
      <c r="O57" s="129">
        <f>IF(B57&lt;='VALOR POR PL'!$P$5,'CP RESUMO'!BD63,"")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HISTORICOS'!BE21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RESUMO'!BE21</f>
        <v/>
      </c>
      <c r="N58" s="130">
        <f>MAX(0,M58-M57)</f>
        <v/>
      </c>
      <c r="O58" s="129">
        <f>IF(B58&lt;='VALOR POR PL'!$P$5,'CP RESUMO'!BE63,"")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HISTORICOS'!BF21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RESUMO'!BF21</f>
        <v/>
      </c>
      <c r="N59" s="130">
        <f>MAX(0,M59-M58)</f>
        <v/>
      </c>
      <c r="O59" s="129">
        <f>IF(B59&lt;='VALOR POR PL'!$P$5,'CP RESUMO'!BF63,"")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HISTORICOS'!BG21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RESUMO'!BG21</f>
        <v/>
      </c>
      <c r="N60" s="130">
        <f>MAX(0,M60-M59)</f>
        <v/>
      </c>
      <c r="O60" s="129">
        <f>IF(B60&lt;='VALOR POR PL'!$P$5,'CP RESUMO'!BG63,"")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HISTORICOS'!BH21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RESUMO'!BH21</f>
        <v/>
      </c>
      <c r="N61" s="130">
        <f>MAX(0,M61-M60)</f>
        <v/>
      </c>
      <c r="O61" s="129">
        <f>IF(B61&lt;='VALOR POR PL'!$P$5,'CP RESUMO'!BH63,"")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HISTORICOS'!BI21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RESUMO'!BI21</f>
        <v/>
      </c>
      <c r="N62" s="130">
        <f>MAX(0,M62-M61)</f>
        <v/>
      </c>
      <c r="O62" s="129">
        <f>IF(B62&lt;='VALOR POR PL'!$P$5,'CP RESUMO'!BI63,"")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HISTORICOS'!BJ21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RESUMO'!BJ21</f>
        <v/>
      </c>
      <c r="N63" s="130">
        <f>MAX(0,M63-M62)</f>
        <v/>
      </c>
      <c r="O63" s="129">
        <f>IF(B63&lt;='VALOR POR PL'!$P$5,'CP RESUMO'!BJ63,"")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HISTORICOS'!BK21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RESUMO'!BK21</f>
        <v/>
      </c>
      <c r="N64" s="130">
        <f>MAX(0,M64-M63)</f>
        <v/>
      </c>
      <c r="O64" s="129">
        <f>IF(B64&lt;='VALOR POR PL'!$P$5,'CP RESUMO'!BK63,"")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HISTORICOS'!BL21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RESUMO'!BL21</f>
        <v/>
      </c>
      <c r="N65" s="130">
        <f>MAX(0,M65-M64)</f>
        <v/>
      </c>
      <c r="O65" s="129">
        <f>IF(B65&lt;='VALOR POR PL'!$P$5,'CP RESUMO'!BL63,"")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HISTORICOS'!BM21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RESUMO'!BM21</f>
        <v/>
      </c>
      <c r="N66" s="130">
        <f>MAX(0,M66-M65)</f>
        <v/>
      </c>
      <c r="O66" s="129">
        <f>IF(B66&lt;='VALOR POR PL'!$P$5,'CP RESUMO'!BM63,"")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HISTORICOS'!BN21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RESUMO'!BN21</f>
        <v/>
      </c>
      <c r="N67" s="130">
        <f>MAX(0,M67-M66)</f>
        <v/>
      </c>
      <c r="O67" s="129">
        <f>IF(B67&lt;='VALOR POR PL'!$P$5,'CP RESUMO'!BN63,"")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HISTORICOS'!BO21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RESUMO'!BO21</f>
        <v/>
      </c>
      <c r="N68" s="130">
        <f>MAX(0,M68-M67)</f>
        <v/>
      </c>
      <c r="O68" s="129">
        <f>IF(B68&lt;='VALOR POR PL'!$P$5,'CP RESUMO'!BO63,"")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HISTORICOS'!BP21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RESUMO'!BP21</f>
        <v/>
      </c>
      <c r="N69" s="130">
        <f>MAX(0,M69-M68)</f>
        <v/>
      </c>
      <c r="O69" s="129">
        <f>IF(B69&lt;='VALOR POR PL'!$P$5,'CP RESUMO'!BP63,"")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HISTORICOS'!BQ21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RESUMO'!BQ21</f>
        <v/>
      </c>
      <c r="N70" s="130">
        <f>MAX(0,M70-M69)</f>
        <v/>
      </c>
      <c r="O70" s="129">
        <f>IF(B70&lt;='VALOR POR PL'!$P$5,'CP RESUMO'!BQ63,"")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HISTORICOS'!BR21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RESUMO'!BR21</f>
        <v/>
      </c>
      <c r="N71" s="130">
        <f>MAX(0,M71-M70)</f>
        <v/>
      </c>
      <c r="O71" s="129">
        <f>IF(B71&lt;='VALOR POR PL'!$P$5,'CP RESUMO'!BR63,"")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HISTORICOS'!BS21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RESUMO'!BS21</f>
        <v/>
      </c>
      <c r="N72" s="130">
        <f>MAX(0,M72-M71)</f>
        <v/>
      </c>
      <c r="O72" s="129">
        <f>IF(B72&lt;='VALOR POR PL'!$P$5,'CP RESUMO'!BS63,"")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HISTORICOS'!BT21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RESUMO'!BT21</f>
        <v/>
      </c>
      <c r="N73" s="130">
        <f>MAX(0,M73-M72)</f>
        <v/>
      </c>
      <c r="O73" s="129">
        <f>IF(B73&lt;='VALOR POR PL'!$P$5,'CP RESUMO'!BT63,"")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HISTORICOS'!BU21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RESUMO'!BU21</f>
        <v/>
      </c>
      <c r="N74" s="130">
        <f>MAX(0,M74-M73)</f>
        <v/>
      </c>
      <c r="O74" s="129">
        <f>IF(B74&lt;='VALOR POR PL'!$P$5,'CP RESUMO'!BU63,"")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HISTORICOS'!BV21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RESUMO'!BV21</f>
        <v/>
      </c>
      <c r="N75" s="130">
        <f>MAX(0,M75-M74)</f>
        <v/>
      </c>
      <c r="O75" s="129">
        <f>IF(B75&lt;='VALOR POR PL'!$P$5,'CP RESUMO'!BV63,"")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HISTORICOS'!BW21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RESUMO'!BW21</f>
        <v/>
      </c>
      <c r="N76" s="130">
        <f>MAX(0,M76-M75)</f>
        <v/>
      </c>
      <c r="O76" s="129">
        <f>IF(B76&lt;='VALOR POR PL'!$P$5,'CP RESUMO'!BW63,"")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X68"/>
  <sheetViews>
    <sheetView tabSelected="0" workbookViewId="0">
      <selection activeCell="A1" sqref="A1"/>
    </sheetView>
  </sheetViews>
  <sheetFormatPr baseColWidth="8" defaultRowHeight="15"/>
  <sheetData>
    <row r="1">
      <c r="J1" s="2" t="n">
        <v>31139.1758</v>
      </c>
      <c r="K1" s="2" t="n">
        <v>10452</v>
      </c>
      <c r="L1" s="2" t="n">
        <v>48906.62882985351</v>
      </c>
      <c r="M1" s="2" t="n">
        <v>11385.4721142</v>
      </c>
      <c r="N1" s="2" t="n">
        <v>42054</v>
      </c>
      <c r="O1" s="2" t="n">
        <v>997552</v>
      </c>
      <c r="P1" s="2" t="n">
        <v>18198.6211</v>
      </c>
      <c r="Q1" s="2" t="n">
        <v>10103.4725</v>
      </c>
      <c r="X1" s="2" t="n">
        <v>22.98</v>
      </c>
      <c r="Y1" s="2" t="n">
        <v>12.5</v>
      </c>
      <c r="AA1" s="2" t="n">
        <v>25098272.88902724</v>
      </c>
    </row>
    <row r="2">
      <c r="B2" s="2" t="inlineStr">
        <is>
          <t>CORTE ESQUEMÁTICO</t>
        </is>
      </c>
      <c r="H2" s="2" t="inlineStr">
        <is>
          <t>PAVIMENTOS</t>
        </is>
      </c>
      <c r="J2" s="2" t="inlineStr">
        <is>
          <t>ÁREA DE PROJEÇÃO DO PAVIMENTO</t>
        </is>
      </c>
      <c r="K2" s="2" t="inlineStr">
        <is>
          <t>CONCRETO TORRE (m³)</t>
        </is>
      </c>
      <c r="L2" s="2" t="inlineStr">
        <is>
          <t>FORMA
Plana</t>
        </is>
      </c>
      <c r="M2" s="2" t="inlineStr">
        <is>
          <t>FORMA
Nervurada</t>
        </is>
      </c>
      <c r="N2" s="2" t="inlineStr">
        <is>
          <t>PROTENÇÃO</t>
        </is>
      </c>
      <c r="O2" s="2" t="inlineStr">
        <is>
          <t xml:space="preserve">AÇO </t>
        </is>
      </c>
      <c r="P2" s="2" t="inlineStr">
        <is>
          <t>Área de sarrafeamento</t>
        </is>
      </c>
      <c r="Q2" s="2" t="inlineStr">
        <is>
          <t>Área de Camurça</t>
        </is>
      </c>
      <c r="S2" s="2" t="inlineStr">
        <is>
          <t>CONCRETO 
R$</t>
        </is>
      </c>
      <c r="T2" s="2" t="inlineStr">
        <is>
          <t>FORMA
Plana</t>
        </is>
      </c>
      <c r="U2" s="2" t="inlineStr">
        <is>
          <t>FORMA
Nervurada</t>
        </is>
      </c>
      <c r="V2" s="2" t="inlineStr">
        <is>
          <t>AÇO (mat)
R$</t>
        </is>
      </c>
      <c r="W2" s="2" t="inlineStr">
        <is>
          <t>AÇO (mdo)
R$</t>
        </is>
      </c>
      <c r="X2" s="2" t="inlineStr">
        <is>
          <t>PROTENÇÃO
R$</t>
        </is>
      </c>
      <c r="Y2" s="2" t="inlineStr">
        <is>
          <t>TRATAMENTO R$</t>
        </is>
      </c>
      <c r="AA2" s="2" t="inlineStr">
        <is>
          <t>TOTAL</t>
        </is>
      </c>
      <c r="AC2" s="2" t="n">
        <v>46174</v>
      </c>
      <c r="AD2" s="2" t="n">
        <v>46204</v>
      </c>
      <c r="AE2" s="2" t="n">
        <v>46235</v>
      </c>
      <c r="AF2" s="2" t="n">
        <v>46266</v>
      </c>
      <c r="AG2" s="2" t="n">
        <v>46296</v>
      </c>
      <c r="AH2" s="2" t="n">
        <v>46327</v>
      </c>
      <c r="AI2" s="2" t="n">
        <v>46357</v>
      </c>
      <c r="AJ2" s="2" t="n">
        <v>46388</v>
      </c>
      <c r="AK2" s="2" t="n">
        <v>46419</v>
      </c>
      <c r="AL2" s="2" t="n">
        <v>46447</v>
      </c>
      <c r="AM2" s="2" t="n">
        <v>46478</v>
      </c>
      <c r="AN2" s="2" t="n">
        <v>46508</v>
      </c>
      <c r="AO2" s="2" t="n">
        <v>46539</v>
      </c>
      <c r="AP2" s="2" t="n">
        <v>46569</v>
      </c>
      <c r="AQ2" s="2" t="n">
        <v>46600</v>
      </c>
      <c r="AR2" s="2" t="n">
        <v>46631</v>
      </c>
      <c r="AS2" s="2" t="n">
        <v>46661</v>
      </c>
      <c r="AT2" s="2" t="n">
        <v>46692</v>
      </c>
      <c r="AU2" s="2" t="n">
        <v>46722</v>
      </c>
      <c r="AV2" s="2" t="n">
        <v>46753</v>
      </c>
      <c r="AW2" s="2" t="n">
        <v>46784</v>
      </c>
      <c r="AX2" s="2" t="n">
        <v>46813</v>
      </c>
    </row>
    <row r="4">
      <c r="H4" s="2" t="inlineStr">
        <is>
          <t>Cobertura</t>
        </is>
      </c>
      <c r="J4" s="2" t="n">
        <v>116.3548</v>
      </c>
      <c r="K4" s="2" t="n">
        <v>83.2</v>
      </c>
      <c r="L4" s="2" t="n">
        <v>1285.2918049</v>
      </c>
      <c r="O4" s="2" t="n">
        <v>11693</v>
      </c>
      <c r="P4" s="2" t="n">
        <v>116.3548</v>
      </c>
      <c r="S4" s="2" t="n">
        <v>48276.8</v>
      </c>
      <c r="T4" s="2" t="n">
        <v>184179.1024126577</v>
      </c>
      <c r="V4" s="2" t="n">
        <v>71710.45330074998</v>
      </c>
      <c r="W4" s="2" t="n">
        <v>35133.080125</v>
      </c>
      <c r="Y4" s="2" t="n">
        <v>1699.8751241115</v>
      </c>
      <c r="AA4" s="2" t="n">
        <v>340999.3109625191</v>
      </c>
      <c r="AX4" s="2" t="n">
        <v>340999.3109625191</v>
      </c>
    </row>
    <row r="5">
      <c r="H5" s="2" t="inlineStr">
        <is>
          <t>Fundo da caixa d'água</t>
        </is>
      </c>
      <c r="J5" s="2" t="n">
        <v>116.3548</v>
      </c>
      <c r="K5" s="2" t="n">
        <v>193.3</v>
      </c>
      <c r="L5" s="2" t="n">
        <v>1183.97366043</v>
      </c>
      <c r="O5" s="2" t="n">
        <v>18437</v>
      </c>
      <c r="P5" s="2" t="n">
        <v>116.3548</v>
      </c>
      <c r="S5" s="2" t="n">
        <v>112162.325</v>
      </c>
      <c r="T5" s="2" t="n">
        <v>169660.4656054679</v>
      </c>
      <c r="V5" s="2" t="n">
        <v>113069.83900675</v>
      </c>
      <c r="W5" s="2" t="n">
        <v>55396.271125</v>
      </c>
      <c r="Y5" s="2" t="n">
        <v>1699.8751241115</v>
      </c>
      <c r="AA5" s="2" t="n">
        <v>451988.7758613293</v>
      </c>
      <c r="AV5" s="2" t="n">
        <v>90397.75517226587</v>
      </c>
      <c r="AW5" s="2" t="n">
        <v>361591.0206890635</v>
      </c>
    </row>
    <row r="6">
      <c r="H6" s="2" t="inlineStr">
        <is>
          <t>Barrilete</t>
        </is>
      </c>
      <c r="J6" s="2" t="n">
        <v>560.3472</v>
      </c>
      <c r="K6" s="2" t="n">
        <v>50.7</v>
      </c>
      <c r="L6" s="2" t="n">
        <v>317.8990249999999</v>
      </c>
      <c r="O6" s="2" t="n">
        <v>4416</v>
      </c>
      <c r="P6" s="2" t="n">
        <v>560.3472</v>
      </c>
      <c r="S6" s="2" t="n">
        <v>29418.67499999999</v>
      </c>
      <c r="T6" s="2" t="n">
        <v>45554.13553493749</v>
      </c>
      <c r="V6" s="2" t="n">
        <v>27082.302384</v>
      </c>
      <c r="W6" s="2" t="n">
        <v>13268.424</v>
      </c>
      <c r="Y6" s="2" t="n">
        <v>8186.342687586</v>
      </c>
      <c r="AA6" s="2" t="n">
        <v>123509.8796065235</v>
      </c>
      <c r="AV6" s="2" t="n">
        <v>123509.8796065235</v>
      </c>
    </row>
    <row r="7">
      <c r="H7" s="2" t="inlineStr">
        <is>
          <t>31º Pavimento</t>
        </is>
      </c>
      <c r="J7" s="2" t="n">
        <v>590.5763000000001</v>
      </c>
      <c r="K7" s="2" t="n">
        <v>245.9</v>
      </c>
      <c r="L7" s="2" t="n">
        <v>1362.038475</v>
      </c>
      <c r="O7" s="2" t="n">
        <v>21909</v>
      </c>
      <c r="P7" s="2" t="n">
        <v>590.5763000000001</v>
      </c>
      <c r="S7" s="2" t="n">
        <v>157185.30455</v>
      </c>
      <c r="T7" s="2" t="n">
        <v>181559.7287175</v>
      </c>
      <c r="V7" s="2" t="n">
        <v>127358.11245</v>
      </c>
      <c r="W7" s="2" t="n">
        <v>61235.655</v>
      </c>
      <c r="Y7" s="2" t="n">
        <v>8026.020503444999</v>
      </c>
      <c r="AA7" s="2" t="n">
        <v>535364.821220945</v>
      </c>
      <c r="AU7" s="2" t="n">
        <v>374755.3748546615</v>
      </c>
      <c r="AV7" s="2" t="n">
        <v>160609.4463662835</v>
      </c>
    </row>
    <row r="8">
      <c r="H8" s="2" t="inlineStr">
        <is>
          <t>30º Pavimento</t>
        </is>
      </c>
      <c r="J8" s="2" t="n">
        <v>700.6245</v>
      </c>
      <c r="K8" s="2" t="n">
        <v>242.8</v>
      </c>
      <c r="L8" s="2" t="n">
        <v>1353.789475</v>
      </c>
      <c r="O8" s="2" t="n">
        <v>18519.25</v>
      </c>
      <c r="P8" s="2" t="n">
        <v>700.6245</v>
      </c>
      <c r="S8" s="2" t="n">
        <v>155203.7086</v>
      </c>
      <c r="T8" s="2" t="n">
        <v>180460.1370175</v>
      </c>
      <c r="V8" s="2" t="n">
        <v>107653.3262125</v>
      </c>
      <c r="W8" s="2" t="n">
        <v>51761.30375</v>
      </c>
      <c r="Y8" s="2" t="n">
        <v>9521.592048674998</v>
      </c>
      <c r="AA8" s="2" t="n">
        <v>504600.067628675</v>
      </c>
      <c r="AT8" s="2" t="n">
        <v>504600.067628675</v>
      </c>
    </row>
    <row r="9">
      <c r="H9" s="2" t="inlineStr">
        <is>
          <t>29º Pavimento</t>
        </is>
      </c>
      <c r="J9" s="2" t="n">
        <v>700.6245</v>
      </c>
      <c r="K9" s="2" t="n">
        <v>242.8</v>
      </c>
      <c r="L9" s="2" t="n">
        <v>1353.789475</v>
      </c>
      <c r="O9" s="2" t="n">
        <v>18519.25</v>
      </c>
      <c r="P9" s="2" t="n">
        <v>700.6245</v>
      </c>
      <c r="S9" s="2" t="n">
        <v>155203.7086</v>
      </c>
      <c r="T9" s="2" t="n">
        <v>180460.1370175</v>
      </c>
      <c r="V9" s="2" t="n">
        <v>107653.3262125</v>
      </c>
      <c r="W9" s="2" t="n">
        <v>51761.30375</v>
      </c>
      <c r="Y9" s="2" t="n">
        <v>9521.592048674998</v>
      </c>
      <c r="AA9" s="2" t="n">
        <v>504600.067628675</v>
      </c>
      <c r="AT9" s="2" t="n">
        <v>504600.067628675</v>
      </c>
    </row>
    <row r="10">
      <c r="H10" s="2" t="inlineStr">
        <is>
          <t>28º Pavimento</t>
        </is>
      </c>
      <c r="J10" s="2" t="n">
        <v>700.6245</v>
      </c>
      <c r="K10" s="2" t="n">
        <v>242.8</v>
      </c>
      <c r="L10" s="2" t="n">
        <v>1353.789475</v>
      </c>
      <c r="O10" s="2" t="n">
        <v>18519.25</v>
      </c>
      <c r="P10" s="2" t="n">
        <v>700.6245</v>
      </c>
      <c r="S10" s="2" t="n">
        <v>155203.7086</v>
      </c>
      <c r="T10" s="2" t="n">
        <v>180460.1370175</v>
      </c>
      <c r="V10" s="2" t="n">
        <v>107653.3262125</v>
      </c>
      <c r="W10" s="2" t="n">
        <v>51761.30375</v>
      </c>
      <c r="Y10" s="2" t="n">
        <v>9521.592048674998</v>
      </c>
      <c r="AA10" s="2" t="n">
        <v>504600.067628675</v>
      </c>
      <c r="AS10" s="2" t="n">
        <v>252300.0338143375</v>
      </c>
      <c r="AT10" s="2" t="n">
        <v>252300.0338143375</v>
      </c>
    </row>
    <row r="11">
      <c r="H11" s="2" t="inlineStr">
        <is>
          <t>27º Pavimento</t>
        </is>
      </c>
      <c r="J11" s="2" t="n">
        <v>700.6245</v>
      </c>
      <c r="K11" s="2" t="n">
        <v>242.8</v>
      </c>
      <c r="L11" s="2" t="n">
        <v>1353.789475</v>
      </c>
      <c r="O11" s="2" t="n">
        <v>18522.25</v>
      </c>
      <c r="P11" s="2" t="n">
        <v>700.6245</v>
      </c>
      <c r="S11" s="2" t="n">
        <v>155203.7086</v>
      </c>
      <c r="T11" s="2" t="n">
        <v>180460.1370175</v>
      </c>
      <c r="V11" s="2" t="n">
        <v>107670.7653625</v>
      </c>
      <c r="W11" s="2" t="n">
        <v>51769.68875</v>
      </c>
      <c r="Y11" s="2" t="n">
        <v>9521.592048674998</v>
      </c>
      <c r="AA11" s="2" t="n">
        <v>504625.891778675</v>
      </c>
      <c r="AS11" s="2" t="n">
        <v>504625.891778675</v>
      </c>
    </row>
    <row r="12">
      <c r="H12" s="2" t="inlineStr">
        <is>
          <t>26º Pavimento</t>
        </is>
      </c>
      <c r="J12" s="2" t="n">
        <v>700.6245</v>
      </c>
      <c r="K12" s="2" t="n">
        <v>242.8</v>
      </c>
      <c r="L12" s="2" t="n">
        <v>1353.789475</v>
      </c>
      <c r="O12" s="2" t="n">
        <v>18522.25</v>
      </c>
      <c r="P12" s="2" t="n">
        <v>700.6245</v>
      </c>
      <c r="S12" s="2" t="n">
        <v>155203.7086</v>
      </c>
      <c r="T12" s="2" t="n">
        <v>180460.1370175</v>
      </c>
      <c r="V12" s="2" t="n">
        <v>107670.7653625</v>
      </c>
      <c r="W12" s="2" t="n">
        <v>51769.68875</v>
      </c>
      <c r="Y12" s="2" t="n">
        <v>9521.592048674998</v>
      </c>
      <c r="AA12" s="2" t="n">
        <v>504625.891778675</v>
      </c>
      <c r="AS12" s="2" t="n">
        <v>504625.891778675</v>
      </c>
    </row>
    <row r="13">
      <c r="H13" s="2" t="inlineStr">
        <is>
          <t>25º Pavimento</t>
        </is>
      </c>
      <c r="J13" s="2" t="n">
        <v>700.6245</v>
      </c>
      <c r="K13" s="2" t="n">
        <v>242.8</v>
      </c>
      <c r="L13" s="2" t="n">
        <v>1353.789475</v>
      </c>
      <c r="O13" s="2" t="n">
        <v>18519.25</v>
      </c>
      <c r="P13" s="2" t="n">
        <v>700.6245</v>
      </c>
      <c r="S13" s="2" t="n">
        <v>155203.7086</v>
      </c>
      <c r="T13" s="2" t="n">
        <v>180460.1370175</v>
      </c>
      <c r="V13" s="2" t="n">
        <v>107653.3262125</v>
      </c>
      <c r="W13" s="2" t="n">
        <v>51761.30375</v>
      </c>
      <c r="Y13" s="2" t="n">
        <v>9521.592048674998</v>
      </c>
      <c r="AA13" s="2" t="n">
        <v>504600.067628675</v>
      </c>
      <c r="AR13" s="2" t="n">
        <v>504600.067628675</v>
      </c>
    </row>
    <row r="14">
      <c r="H14" s="2" t="inlineStr">
        <is>
          <t>24º Pavimento</t>
        </is>
      </c>
      <c r="J14" s="2" t="n">
        <v>700.6245</v>
      </c>
      <c r="K14" s="2" t="n">
        <v>242.8</v>
      </c>
      <c r="L14" s="2" t="n">
        <v>1353.789475</v>
      </c>
      <c r="O14" s="2" t="n">
        <v>18519.25</v>
      </c>
      <c r="P14" s="2" t="n">
        <v>700.6245</v>
      </c>
      <c r="S14" s="2" t="n">
        <v>155203.7086</v>
      </c>
      <c r="T14" s="2" t="n">
        <v>180460.1370175</v>
      </c>
      <c r="V14" s="2" t="n">
        <v>107653.3262125</v>
      </c>
      <c r="W14" s="2" t="n">
        <v>51761.30375</v>
      </c>
      <c r="Y14" s="2" t="n">
        <v>9521.592048674998</v>
      </c>
      <c r="AA14" s="2" t="n">
        <v>504600.067628675</v>
      </c>
      <c r="AR14" s="2" t="n">
        <v>504600.067628675</v>
      </c>
    </row>
    <row r="15">
      <c r="H15" s="2" t="inlineStr">
        <is>
          <t>23º Pavimento</t>
        </is>
      </c>
      <c r="J15" s="2" t="n">
        <v>700.6245</v>
      </c>
      <c r="K15" s="2" t="n">
        <v>242.8</v>
      </c>
      <c r="L15" s="2" t="n">
        <v>1353.789475</v>
      </c>
      <c r="O15" s="2" t="n">
        <v>18612.25</v>
      </c>
      <c r="P15" s="2" t="n">
        <v>700.6245</v>
      </c>
      <c r="S15" s="2" t="n">
        <v>155203.7086</v>
      </c>
      <c r="T15" s="2" t="n">
        <v>180460.1370175</v>
      </c>
      <c r="V15" s="2" t="n">
        <v>108193.9398625</v>
      </c>
      <c r="W15" s="2" t="n">
        <v>52021.23875</v>
      </c>
      <c r="Y15" s="2" t="n">
        <v>9521.592048674998</v>
      </c>
      <c r="AA15" s="2" t="n">
        <v>505400.616278675</v>
      </c>
      <c r="AQ15" s="2" t="n">
        <v>252700.3081393375</v>
      </c>
      <c r="AR15" s="2" t="n">
        <v>252700.3081393375</v>
      </c>
    </row>
    <row r="16">
      <c r="H16" s="2" t="inlineStr">
        <is>
          <t>22º Pavimento</t>
        </is>
      </c>
      <c r="J16" s="2" t="n">
        <v>700.6245</v>
      </c>
      <c r="K16" s="2" t="n">
        <v>242.8</v>
      </c>
      <c r="L16" s="2" t="n">
        <v>1353.789475</v>
      </c>
      <c r="O16" s="2" t="n">
        <v>18672.25</v>
      </c>
      <c r="P16" s="2" t="n">
        <v>700.6245</v>
      </c>
      <c r="S16" s="2" t="n">
        <v>155203.7086</v>
      </c>
      <c r="T16" s="2" t="n">
        <v>180460.1370175</v>
      </c>
      <c r="V16" s="2" t="n">
        <v>108542.7228625</v>
      </c>
      <c r="W16" s="2" t="n">
        <v>52188.93875</v>
      </c>
      <c r="Y16" s="2" t="n">
        <v>9521.592048674998</v>
      </c>
      <c r="AA16" s="2" t="n">
        <v>505917.099278675</v>
      </c>
      <c r="AQ16" s="2" t="n">
        <v>505917.099278675</v>
      </c>
    </row>
    <row r="17">
      <c r="H17" s="2" t="inlineStr">
        <is>
          <t>21º Pavimento</t>
        </is>
      </c>
      <c r="J17" s="2" t="n">
        <v>700.6245</v>
      </c>
      <c r="K17" s="2" t="n">
        <v>242.8</v>
      </c>
      <c r="L17" s="2" t="n">
        <v>1353.789475</v>
      </c>
      <c r="O17" s="2" t="n">
        <v>18849.25</v>
      </c>
      <c r="P17" s="2" t="n">
        <v>700.6245</v>
      </c>
      <c r="S17" s="2" t="n">
        <v>155203.7086</v>
      </c>
      <c r="T17" s="2" t="n">
        <v>180460.1370175</v>
      </c>
      <c r="V17" s="2" t="n">
        <v>109571.6327125</v>
      </c>
      <c r="W17" s="2" t="n">
        <v>52683.65375</v>
      </c>
      <c r="Y17" s="2" t="n">
        <v>9521.592048674998</v>
      </c>
      <c r="AA17" s="2" t="n">
        <v>507440.7241286749</v>
      </c>
      <c r="AQ17" s="2" t="n">
        <v>507440.7241286749</v>
      </c>
    </row>
    <row r="18">
      <c r="H18" s="2" t="inlineStr">
        <is>
          <t>20º Pavimento</t>
        </is>
      </c>
      <c r="J18" s="2" t="n">
        <v>700.6245</v>
      </c>
      <c r="K18" s="2" t="n">
        <v>242.8</v>
      </c>
      <c r="L18" s="2" t="n">
        <v>1353.789475</v>
      </c>
      <c r="O18" s="2" t="n">
        <v>19054.25</v>
      </c>
      <c r="P18" s="2" t="n">
        <v>700.6245</v>
      </c>
      <c r="S18" s="2" t="n">
        <v>155203.7086</v>
      </c>
      <c r="T18" s="2" t="n">
        <v>180460.1370175</v>
      </c>
      <c r="V18" s="2" t="n">
        <v>110763.3079625</v>
      </c>
      <c r="W18" s="2" t="n">
        <v>53256.62875</v>
      </c>
      <c r="Y18" s="2" t="n">
        <v>9521.592048674998</v>
      </c>
      <c r="AA18" s="2" t="n">
        <v>509205.3743786749</v>
      </c>
      <c r="AP18" s="2" t="n">
        <v>509205.3743786749</v>
      </c>
    </row>
    <row r="19">
      <c r="H19" s="2" t="inlineStr">
        <is>
          <t>19º Pavimento</t>
        </is>
      </c>
      <c r="J19" s="2" t="n">
        <v>700.6245</v>
      </c>
      <c r="K19" s="2" t="n">
        <v>242.8</v>
      </c>
      <c r="L19" s="2" t="n">
        <v>1353.789475</v>
      </c>
      <c r="O19" s="2" t="n">
        <v>19143.25</v>
      </c>
      <c r="P19" s="2" t="n">
        <v>700.6245</v>
      </c>
      <c r="S19" s="2" t="n">
        <v>155203.7086</v>
      </c>
      <c r="T19" s="2" t="n">
        <v>180460.1370175</v>
      </c>
      <c r="V19" s="2" t="n">
        <v>111280.6694125</v>
      </c>
      <c r="W19" s="2" t="n">
        <v>53505.38375</v>
      </c>
      <c r="Y19" s="2" t="n">
        <v>9521.592048674998</v>
      </c>
      <c r="AA19" s="2" t="n">
        <v>509971.4908286749</v>
      </c>
      <c r="AP19" s="2" t="n">
        <v>509971.4908286749</v>
      </c>
    </row>
    <row r="20">
      <c r="H20" s="2" t="inlineStr">
        <is>
          <t>18º Pavimento</t>
        </is>
      </c>
      <c r="J20" s="2" t="n">
        <v>700.6245</v>
      </c>
      <c r="K20" s="2" t="n">
        <v>242.8</v>
      </c>
      <c r="L20" s="2" t="n">
        <v>1353.789475</v>
      </c>
      <c r="O20" s="2" t="n">
        <v>19196.25</v>
      </c>
      <c r="P20" s="2" t="n">
        <v>700.6245</v>
      </c>
      <c r="S20" s="2" t="n">
        <v>155203.7086</v>
      </c>
      <c r="T20" s="2" t="n">
        <v>180460.1370175</v>
      </c>
      <c r="V20" s="2" t="n">
        <v>111588.7610625</v>
      </c>
      <c r="W20" s="2" t="n">
        <v>53653.51875</v>
      </c>
      <c r="Y20" s="2" t="n">
        <v>9521.592048674998</v>
      </c>
      <c r="AA20" s="2" t="n">
        <v>510427.717478675</v>
      </c>
      <c r="AO20" s="2" t="n">
        <v>255213.8587393375</v>
      </c>
      <c r="AP20" s="2" t="n">
        <v>255213.8587393375</v>
      </c>
    </row>
    <row r="21">
      <c r="H21" s="2" t="inlineStr">
        <is>
          <t>17º Pavimento</t>
        </is>
      </c>
      <c r="J21" s="2" t="n">
        <v>700.6245</v>
      </c>
      <c r="K21" s="2" t="n">
        <v>242.8</v>
      </c>
      <c r="L21" s="2" t="n">
        <v>1353.789475</v>
      </c>
      <c r="O21" s="2" t="n">
        <v>19494.25</v>
      </c>
      <c r="P21" s="2" t="n">
        <v>700.6245</v>
      </c>
      <c r="S21" s="2" t="n">
        <v>155203.7086</v>
      </c>
      <c r="T21" s="2" t="n">
        <v>180460.1370175</v>
      </c>
      <c r="V21" s="2" t="n">
        <v>113321.0499625</v>
      </c>
      <c r="W21" s="2" t="n">
        <v>54486.42875</v>
      </c>
      <c r="Y21" s="2" t="n">
        <v>9521.592048674998</v>
      </c>
      <c r="AA21" s="2" t="n">
        <v>512992.916378675</v>
      </c>
      <c r="AO21" s="2" t="n">
        <v>512992.916378675</v>
      </c>
    </row>
    <row r="22">
      <c r="H22" s="2" t="inlineStr">
        <is>
          <t>16º Pavimento</t>
        </is>
      </c>
      <c r="J22" s="2" t="n">
        <v>700.6245</v>
      </c>
      <c r="K22" s="2" t="n">
        <v>242.8</v>
      </c>
      <c r="L22" s="2" t="n">
        <v>1353.789475</v>
      </c>
      <c r="O22" s="2" t="n">
        <v>19774.25</v>
      </c>
      <c r="P22" s="2" t="n">
        <v>700.6245</v>
      </c>
      <c r="S22" s="2" t="n">
        <v>155203.7086</v>
      </c>
      <c r="T22" s="2" t="n">
        <v>180460.1370175</v>
      </c>
      <c r="V22" s="2" t="n">
        <v>114948.7039625</v>
      </c>
      <c r="W22" s="2" t="n">
        <v>55269.02875</v>
      </c>
      <c r="Y22" s="2" t="n">
        <v>9521.592048674998</v>
      </c>
      <c r="AA22" s="2" t="n">
        <v>515403.1703786749</v>
      </c>
      <c r="AO22" s="2" t="n">
        <v>515403.1703786749</v>
      </c>
    </row>
    <row r="23">
      <c r="H23" s="2" t="inlineStr">
        <is>
          <t>15º Pavimento</t>
        </is>
      </c>
      <c r="J23" s="2" t="n">
        <v>700.6245</v>
      </c>
      <c r="K23" s="2" t="n">
        <v>242.8</v>
      </c>
      <c r="L23" s="2" t="n">
        <v>1353.789475</v>
      </c>
      <c r="O23" s="2" t="n">
        <v>20369.25</v>
      </c>
      <c r="P23" s="2" t="n">
        <v>700.6245</v>
      </c>
      <c r="S23" s="2" t="n">
        <v>155203.7086</v>
      </c>
      <c r="T23" s="2" t="n">
        <v>180460.1370175</v>
      </c>
      <c r="V23" s="2" t="n">
        <v>118407.4687125</v>
      </c>
      <c r="W23" s="2" t="n">
        <v>56932.05375</v>
      </c>
      <c r="Y23" s="2" t="n">
        <v>9521.592048674998</v>
      </c>
      <c r="AA23" s="2" t="n">
        <v>520524.960128675</v>
      </c>
      <c r="AN23" s="2" t="n">
        <v>520524.960128675</v>
      </c>
    </row>
    <row r="24">
      <c r="H24" s="2" t="inlineStr">
        <is>
          <t>14º Pavimento</t>
        </is>
      </c>
      <c r="J24" s="2" t="n">
        <v>700.6245</v>
      </c>
      <c r="K24" s="2" t="n">
        <v>242.8</v>
      </c>
      <c r="L24" s="2" t="n">
        <v>1353.789475</v>
      </c>
      <c r="O24" s="2" t="n">
        <v>20869.25</v>
      </c>
      <c r="P24" s="2" t="n">
        <v>700.6245</v>
      </c>
      <c r="S24" s="2" t="n">
        <v>155203.7086</v>
      </c>
      <c r="T24" s="2" t="n">
        <v>180460.1370175</v>
      </c>
      <c r="V24" s="2" t="n">
        <v>121313.9937125</v>
      </c>
      <c r="W24" s="2" t="n">
        <v>58329.55375</v>
      </c>
      <c r="Y24" s="2" t="n">
        <v>9521.592048674998</v>
      </c>
      <c r="AA24" s="2" t="n">
        <v>524828.985128675</v>
      </c>
      <c r="AN24" s="2" t="n">
        <v>524828.985128675</v>
      </c>
    </row>
    <row r="25">
      <c r="H25" s="2" t="inlineStr">
        <is>
          <t>13º Pavimento</t>
        </is>
      </c>
      <c r="J25" s="2" t="n">
        <v>700.6245</v>
      </c>
      <c r="K25" s="2" t="n">
        <v>242.8</v>
      </c>
      <c r="L25" s="2" t="n">
        <v>1353.789475</v>
      </c>
      <c r="O25" s="2" t="n">
        <v>21241.25</v>
      </c>
      <c r="P25" s="2" t="n">
        <v>700.6245</v>
      </c>
      <c r="S25" s="2" t="n">
        <v>176838.47544</v>
      </c>
      <c r="T25" s="2" t="n">
        <v>180460.1370175</v>
      </c>
      <c r="V25" s="2" t="n">
        <v>123476.4483125</v>
      </c>
      <c r="W25" s="2" t="n">
        <v>59369.29375</v>
      </c>
      <c r="Y25" s="2" t="n">
        <v>9521.592048674998</v>
      </c>
      <c r="AA25" s="2" t="n">
        <v>549665.946568675</v>
      </c>
      <c r="AM25" s="2" t="n">
        <v>274832.9732843375</v>
      </c>
      <c r="AN25" s="2" t="n">
        <v>274832.9732843375</v>
      </c>
    </row>
    <row r="26">
      <c r="H26" s="2" t="inlineStr">
        <is>
          <t>12º Pavimento</t>
        </is>
      </c>
      <c r="J26" s="2" t="n">
        <v>700.6245</v>
      </c>
      <c r="K26" s="2" t="n">
        <v>242.8</v>
      </c>
      <c r="L26" s="2" t="n">
        <v>1353.789475</v>
      </c>
      <c r="O26" s="2" t="n">
        <v>21320.25</v>
      </c>
      <c r="P26" s="2" t="n">
        <v>700.6245</v>
      </c>
      <c r="S26" s="2" t="n">
        <v>176838.47544</v>
      </c>
      <c r="T26" s="2" t="n">
        <v>180460.1370175</v>
      </c>
      <c r="V26" s="2" t="n">
        <v>123935.6792625</v>
      </c>
      <c r="W26" s="2" t="n">
        <v>59590.09875</v>
      </c>
      <c r="Y26" s="2" t="n">
        <v>9521.592048674998</v>
      </c>
      <c r="AA26" s="2" t="n">
        <v>550345.982518675</v>
      </c>
      <c r="AM26" s="2" t="n">
        <v>550345.982518675</v>
      </c>
    </row>
    <row r="27">
      <c r="H27" s="2" t="inlineStr">
        <is>
          <t>11º Pavimento</t>
        </is>
      </c>
      <c r="J27" s="2" t="n">
        <v>700.6245</v>
      </c>
      <c r="K27" s="2" t="n">
        <v>242.8</v>
      </c>
      <c r="L27" s="2" t="n">
        <v>1353.789475</v>
      </c>
      <c r="O27" s="2" t="n">
        <v>21535.25</v>
      </c>
      <c r="P27" s="2" t="n">
        <v>700.6245</v>
      </c>
      <c r="S27" s="2" t="n">
        <v>176838.47544</v>
      </c>
      <c r="T27" s="2" t="n">
        <v>180460.1370175</v>
      </c>
      <c r="V27" s="2" t="n">
        <v>125185.4850125</v>
      </c>
      <c r="W27" s="2" t="n">
        <v>60191.02375</v>
      </c>
      <c r="Y27" s="2" t="n">
        <v>9521.592048674998</v>
      </c>
      <c r="AA27" s="2" t="n">
        <v>552196.713268675</v>
      </c>
      <c r="AM27" s="2" t="n">
        <v>552196.713268675</v>
      </c>
    </row>
    <row r="28">
      <c r="H28" s="2" t="inlineStr">
        <is>
          <t>10º Pavimento</t>
        </is>
      </c>
      <c r="J28" s="2" t="n">
        <v>700.6245</v>
      </c>
      <c r="K28" s="2" t="n">
        <v>242.8</v>
      </c>
      <c r="L28" s="2" t="n">
        <v>1353.789475</v>
      </c>
      <c r="O28" s="2" t="n">
        <v>22199.25</v>
      </c>
      <c r="P28" s="2" t="n">
        <v>700.6245</v>
      </c>
      <c r="S28" s="2" t="n">
        <v>176838.47544</v>
      </c>
      <c r="T28" s="2" t="n">
        <v>180460.1370175</v>
      </c>
      <c r="V28" s="2" t="n">
        <v>129045.3502125</v>
      </c>
      <c r="W28" s="2" t="n">
        <v>62046.90375</v>
      </c>
      <c r="Y28" s="2" t="n">
        <v>9521.592048674998</v>
      </c>
      <c r="AA28" s="2" t="n">
        <v>557912.4584686749</v>
      </c>
      <c r="AL28" s="2" t="n">
        <v>557912.4584686749</v>
      </c>
    </row>
    <row r="29">
      <c r="H29" s="2" t="inlineStr">
        <is>
          <t>9º Pavimento</t>
        </is>
      </c>
      <c r="J29" s="2" t="n">
        <v>700.6245</v>
      </c>
      <c r="K29" s="2" t="n">
        <v>242.8</v>
      </c>
      <c r="L29" s="2" t="n">
        <v>1353.789475</v>
      </c>
      <c r="O29" s="2" t="n">
        <v>22980.25</v>
      </c>
      <c r="P29" s="2" t="n">
        <v>700.6245</v>
      </c>
      <c r="S29" s="2" t="n">
        <v>176838.47544</v>
      </c>
      <c r="T29" s="2" t="n">
        <v>180460.1370175</v>
      </c>
      <c r="V29" s="2" t="n">
        <v>133585.3422625</v>
      </c>
      <c r="W29" s="2" t="n">
        <v>64229.79875</v>
      </c>
      <c r="Y29" s="2" t="n">
        <v>9521.592048674998</v>
      </c>
      <c r="AA29" s="2" t="n">
        <v>564635.3455186749</v>
      </c>
      <c r="AL29" s="2" t="n">
        <v>564635.3455186749</v>
      </c>
    </row>
    <row r="30">
      <c r="H30" s="2" t="inlineStr">
        <is>
          <t>8º Pavimento</t>
        </is>
      </c>
      <c r="J30" s="2" t="n">
        <v>700.6245</v>
      </c>
      <c r="K30" s="2" t="n">
        <v>242.8</v>
      </c>
      <c r="L30" s="2" t="n">
        <v>1353.789475</v>
      </c>
      <c r="O30" s="2" t="n">
        <v>26116.25</v>
      </c>
      <c r="P30" s="2" t="n">
        <v>700.6245</v>
      </c>
      <c r="S30" s="2" t="n">
        <v>176838.47544</v>
      </c>
      <c r="T30" s="2" t="n">
        <v>180460.1370175</v>
      </c>
      <c r="V30" s="2" t="n">
        <v>151815.0670625</v>
      </c>
      <c r="W30" s="2" t="n">
        <v>72994.91875</v>
      </c>
      <c r="Y30" s="2" t="n">
        <v>9521.592048674998</v>
      </c>
      <c r="AA30" s="2" t="n">
        <v>591630.190318675</v>
      </c>
      <c r="AK30" s="2" t="n">
        <v>473304.15225494</v>
      </c>
      <c r="AL30" s="2" t="n">
        <v>118326.038063735</v>
      </c>
    </row>
    <row r="31">
      <c r="H31" s="2" t="inlineStr">
        <is>
          <t>7º Pavimento</t>
        </is>
      </c>
      <c r="J31" s="2" t="n">
        <v>700.6245</v>
      </c>
      <c r="K31" s="2" t="n">
        <v>283</v>
      </c>
      <c r="L31" s="2" t="n">
        <v>2188.9150945775</v>
      </c>
      <c r="O31" s="2" t="n">
        <v>29864.25</v>
      </c>
      <c r="P31" s="2" t="n">
        <v>700.6245</v>
      </c>
      <c r="S31" s="2" t="n">
        <v>206117.3334</v>
      </c>
      <c r="T31" s="2" t="n">
        <v>291782.3821071807</v>
      </c>
      <c r="V31" s="2" t="n">
        <v>173602.3784625</v>
      </c>
      <c r="W31" s="2" t="n">
        <v>83470.57875</v>
      </c>
      <c r="Y31" s="2" t="n">
        <v>9521.592048674998</v>
      </c>
      <c r="AA31" s="2" t="n">
        <v>764494.2647683558</v>
      </c>
      <c r="AK31" s="2" t="n">
        <v>764494.2647683558</v>
      </c>
    </row>
    <row r="32">
      <c r="H32" s="2" t="inlineStr">
        <is>
          <t>6º Pavimento</t>
        </is>
      </c>
      <c r="J32" s="2" t="n">
        <v>700.6245</v>
      </c>
      <c r="K32" s="2" t="n">
        <v>651.8</v>
      </c>
      <c r="L32" s="2" t="n">
        <v>1867.22755</v>
      </c>
      <c r="M32" s="2" t="n">
        <v>1450.773</v>
      </c>
      <c r="N32" s="2" t="n">
        <v>8374</v>
      </c>
      <c r="O32" s="2" t="n">
        <v>73559</v>
      </c>
      <c r="Q32" s="2" t="n">
        <v>700.6245</v>
      </c>
      <c r="S32" s="2" t="n">
        <v>452127.5879999999</v>
      </c>
      <c r="T32" s="2" t="n">
        <v>248901.432415</v>
      </c>
      <c r="U32" s="2" t="n">
        <v>229258.403325</v>
      </c>
      <c r="V32" s="2" t="n">
        <v>427602.14495</v>
      </c>
      <c r="W32" s="2" t="n">
        <v>205597.405</v>
      </c>
      <c r="X32" s="2" t="n">
        <v>216454.1118129405</v>
      </c>
      <c r="Y32" s="2" t="n">
        <v>9521.592048674998</v>
      </c>
      <c r="AA32" s="2" t="n">
        <v>1789462.677551616</v>
      </c>
      <c r="AI32" s="2" t="n">
        <v>164630.5663347486</v>
      </c>
      <c r="AJ32" s="2" t="n">
        <v>1317044.530677989</v>
      </c>
      <c r="AK32" s="2" t="n">
        <v>164630.5663347486</v>
      </c>
      <c r="AP32" s="2" t="n">
        <v>143157.0142041293</v>
      </c>
    </row>
    <row r="33">
      <c r="H33" s="2" t="inlineStr">
        <is>
          <t>5º Pavimento</t>
        </is>
      </c>
      <c r="J33" s="2" t="n">
        <v>1832.3226</v>
      </c>
      <c r="K33" s="2" t="n">
        <v>595.9</v>
      </c>
      <c r="L33" s="2" t="n">
        <v>1293.453075</v>
      </c>
      <c r="M33" s="2" t="n">
        <v>1629.1093</v>
      </c>
      <c r="N33" s="2" t="n">
        <v>8420</v>
      </c>
      <c r="O33" s="2" t="n">
        <v>59883</v>
      </c>
      <c r="Q33" s="2" t="n">
        <v>1832.3226</v>
      </c>
      <c r="S33" s="2" t="n">
        <v>431640.165</v>
      </c>
      <c r="T33" s="2" t="n">
        <v>160388.1813</v>
      </c>
      <c r="U33" s="2" t="n">
        <v>239479.0671</v>
      </c>
      <c r="V33" s="2" t="n">
        <v>329955.33</v>
      </c>
      <c r="W33" s="2" t="n">
        <v>155695.8</v>
      </c>
      <c r="X33" s="2" t="n">
        <v>206296.8114424311</v>
      </c>
      <c r="Y33" s="2" t="n">
        <v>29270.4373737</v>
      </c>
      <c r="AA33" s="2" t="n">
        <v>1552725.792216131</v>
      </c>
      <c r="AI33" s="2" t="n">
        <v>698685.1504388406</v>
      </c>
      <c r="AJ33" s="2" t="n">
        <v>399867.2484</v>
      </c>
      <c r="AK33" s="2" t="n">
        <v>329955.33</v>
      </c>
      <c r="AP33" s="2" t="n">
        <v>124218.0633772905</v>
      </c>
    </row>
    <row r="34">
      <c r="H34" s="2" t="inlineStr">
        <is>
          <t>4º Pavimento</t>
        </is>
      </c>
      <c r="J34" s="2" t="n">
        <v>1832.3226</v>
      </c>
      <c r="K34" s="2" t="n">
        <v>599.5</v>
      </c>
      <c r="L34" s="2" t="n">
        <v>1248.109575</v>
      </c>
      <c r="M34" s="2" t="n">
        <v>1665.837</v>
      </c>
      <c r="N34" s="2" t="n">
        <v>8420</v>
      </c>
      <c r="O34" s="2" t="n">
        <v>59812.5</v>
      </c>
      <c r="Q34" s="2" t="n">
        <v>1832.3226</v>
      </c>
      <c r="S34" s="2" t="n">
        <v>434247.825</v>
      </c>
      <c r="T34" s="2" t="n">
        <v>154765.5873</v>
      </c>
      <c r="U34" s="2" t="n">
        <v>244878.039</v>
      </c>
      <c r="V34" s="2" t="n">
        <v>329566.875</v>
      </c>
      <c r="W34" s="2" t="n">
        <v>155512.5</v>
      </c>
      <c r="X34" s="2" t="n">
        <v>206296.8114424311</v>
      </c>
      <c r="Y34" s="2" t="n">
        <v>29270.4373737</v>
      </c>
      <c r="AA34" s="2" t="n">
        <v>1554538.075116131</v>
      </c>
      <c r="AH34" s="2" t="n">
        <v>1100608.15410684</v>
      </c>
      <c r="AI34" s="2" t="n">
        <v>329566.875</v>
      </c>
      <c r="AO34" s="2" t="n">
        <v>124363.0460092905</v>
      </c>
    </row>
    <row r="35">
      <c r="H35" s="2" t="inlineStr">
        <is>
          <t>3º Pavimento</t>
        </is>
      </c>
      <c r="J35" s="2" t="n">
        <v>1832.3226</v>
      </c>
      <c r="K35" s="2" t="n">
        <v>599.5</v>
      </c>
      <c r="L35" s="2" t="n">
        <v>1248.109575</v>
      </c>
      <c r="M35" s="2" t="n">
        <v>1665.837</v>
      </c>
      <c r="N35" s="2" t="n">
        <v>8420</v>
      </c>
      <c r="O35" s="2" t="n">
        <v>61071.5</v>
      </c>
      <c r="Q35" s="2" t="n">
        <v>1832.3226</v>
      </c>
      <c r="S35" s="2" t="n">
        <v>434247.825</v>
      </c>
      <c r="T35" s="2" t="n">
        <v>154765.5873</v>
      </c>
      <c r="U35" s="2" t="n">
        <v>244878.039</v>
      </c>
      <c r="V35" s="2" t="n">
        <v>336503.965</v>
      </c>
      <c r="W35" s="2" t="n">
        <v>158785.9</v>
      </c>
      <c r="X35" s="2" t="n">
        <v>206296.8114424311</v>
      </c>
      <c r="Y35" s="2" t="n">
        <v>29270.4373737</v>
      </c>
      <c r="AA35" s="2" t="n">
        <v>1564748.565116131</v>
      </c>
      <c r="AG35" s="2" t="n">
        <v>459834.3399534203</v>
      </c>
      <c r="AH35" s="2" t="n">
        <v>259950</v>
      </c>
      <c r="AI35" s="2" t="n">
        <v>719784.3399534203</v>
      </c>
      <c r="AO35" s="2" t="n">
        <v>125179.8852092905</v>
      </c>
    </row>
    <row r="36">
      <c r="H36" s="2" t="inlineStr">
        <is>
          <t>2º Pavimento</t>
        </is>
      </c>
      <c r="J36" s="2" t="n">
        <v>1832.3226</v>
      </c>
      <c r="K36" s="2" t="n">
        <v>601.8</v>
      </c>
      <c r="L36" s="2" t="n">
        <v>2283.92524872</v>
      </c>
      <c r="M36" s="2" t="n">
        <v>2080.60795356</v>
      </c>
      <c r="N36" s="2" t="n">
        <v>8420</v>
      </c>
      <c r="O36" s="2" t="n">
        <v>63866</v>
      </c>
      <c r="Q36" s="2" t="n">
        <v>1832.3226</v>
      </c>
      <c r="S36" s="2" t="n">
        <v>435913.83</v>
      </c>
      <c r="T36" s="2" t="n">
        <v>283206.73084128</v>
      </c>
      <c r="U36" s="2" t="n">
        <v>305849.36917332</v>
      </c>
      <c r="V36" s="2" t="n">
        <v>351901.66</v>
      </c>
      <c r="W36" s="2" t="n">
        <v>166051.6</v>
      </c>
      <c r="X36" s="2" t="n">
        <v>206296.8114424311</v>
      </c>
      <c r="Y36" s="2" t="n">
        <v>29270.4373737</v>
      </c>
      <c r="AA36" s="2" t="n">
        <v>1778490.438830731</v>
      </c>
      <c r="AF36" s="2" t="n">
        <v>327242.2407448546</v>
      </c>
      <c r="AG36" s="2" t="n">
        <v>1049018.962979418</v>
      </c>
      <c r="AH36" s="2" t="n">
        <v>259950</v>
      </c>
      <c r="AN36" s="2" t="n">
        <v>142279.2351064585</v>
      </c>
    </row>
    <row r="37">
      <c r="H37" s="2" t="inlineStr">
        <is>
          <t>Intermediário</t>
        </is>
      </c>
      <c r="J37" s="2" t="n">
        <v>241.235</v>
      </c>
      <c r="K37" s="2" t="n">
        <v>123.1</v>
      </c>
      <c r="L37" s="2" t="n">
        <v>767.8516999999999</v>
      </c>
      <c r="M37" s="2" t="n">
        <v>0</v>
      </c>
      <c r="O37" s="2" t="n">
        <v>20261</v>
      </c>
      <c r="Q37" s="2" t="n">
        <v>241.235</v>
      </c>
      <c r="S37" s="2" t="n">
        <v>82247.12306</v>
      </c>
      <c r="T37" s="2" t="n">
        <v>95213.61079999999</v>
      </c>
      <c r="U37" s="2" t="n">
        <v>0</v>
      </c>
      <c r="V37" s="2" t="n">
        <v>111638.11</v>
      </c>
      <c r="W37" s="2" t="n">
        <v>52678.6</v>
      </c>
      <c r="X37" s="2" t="n">
        <v>0</v>
      </c>
      <c r="Y37" s="2" t="n">
        <v>3853.6085075</v>
      </c>
      <c r="AA37" s="2" t="n">
        <v>345631.0523674999</v>
      </c>
      <c r="AF37" s="2" t="n">
        <v>241941.7366572499</v>
      </c>
      <c r="AG37" s="2" t="n">
        <v>103689.31571025</v>
      </c>
    </row>
    <row r="38">
      <c r="H38" s="2" t="inlineStr">
        <is>
          <t>Térreo</t>
        </is>
      </c>
      <c r="J38" s="2" t="n">
        <v>1832.3226</v>
      </c>
      <c r="K38" s="2" t="n">
        <v>839.9000000000001</v>
      </c>
      <c r="L38" s="2" t="n">
        <v>2722.676121225998</v>
      </c>
      <c r="M38" s="2" t="n">
        <v>2893.307860639999</v>
      </c>
      <c r="O38" s="2" t="n">
        <v>113712</v>
      </c>
      <c r="Q38" s="2" t="n">
        <v>1832.3226</v>
      </c>
      <c r="S38" s="2" t="n">
        <v>561164.5707400001</v>
      </c>
      <c r="T38" s="2" t="n">
        <v>337611.8390320238</v>
      </c>
      <c r="U38" s="2" t="n">
        <v>425316.2555140799</v>
      </c>
      <c r="V38" s="2" t="n">
        <v>626553.12</v>
      </c>
      <c r="W38" s="2" t="n">
        <v>295651.2</v>
      </c>
      <c r="X38" s="2" t="n">
        <v>0</v>
      </c>
      <c r="Y38" s="2" t="n">
        <v>29270.4373737</v>
      </c>
      <c r="AA38" s="2" t="n">
        <v>2275567.422659804</v>
      </c>
      <c r="AC38" s="2" t="n">
        <v>341589.550001</v>
      </c>
      <c r="AD38" s="2" t="n">
        <v>650557.023077</v>
      </c>
      <c r="AE38" s="2" t="n">
        <v>715326.3</v>
      </c>
      <c r="AF38" s="2" t="n">
        <v>340537.8073158234</v>
      </c>
      <c r="AN38" s="2" t="n">
        <v>227556.7422659804</v>
      </c>
    </row>
    <row r="39">
      <c r="H39" s="2" t="inlineStr">
        <is>
          <t>Subsolo</t>
        </is>
      </c>
      <c r="J39" s="2" t="n">
        <v>2837.0822</v>
      </c>
      <c r="AA39" s="2" t="n">
        <v>0</v>
      </c>
    </row>
    <row r="40">
      <c r="H40" s="2" t="inlineStr">
        <is>
          <t>Fundação</t>
        </is>
      </c>
      <c r="AA40" s="2" t="n">
        <v>0</v>
      </c>
    </row>
    <row r="42">
      <c r="K42" s="2" t="inlineStr">
        <is>
          <t>Valor de Orçamento</t>
        </is>
      </c>
    </row>
    <row r="43">
      <c r="H43" s="2" t="inlineStr">
        <is>
          <t>R$</t>
        </is>
      </c>
      <c r="K43" s="2" t="n">
        <v>25651081.59268831</v>
      </c>
      <c r="AA43" s="2" t="n">
        <v>25098272.88902724</v>
      </c>
      <c r="AC43" s="2" t="n">
        <v>341589.550001</v>
      </c>
      <c r="AD43" s="2" t="n">
        <v>650557.023077</v>
      </c>
      <c r="AE43" s="2" t="n">
        <v>715326.3</v>
      </c>
      <c r="AF43" s="2" t="n">
        <v>909721.7847179279</v>
      </c>
      <c r="AG43" s="2" t="n">
        <v>1612542.618643088</v>
      </c>
      <c r="AH43" s="2" t="n">
        <v>1620508.15410684</v>
      </c>
      <c r="AI43" s="2" t="n">
        <v>1912666.931727009</v>
      </c>
      <c r="AJ43" s="2" t="n">
        <v>1716911.779077989</v>
      </c>
      <c r="AK43" s="2" t="n">
        <v>1732384.313358044</v>
      </c>
      <c r="AL43" s="2" t="n">
        <v>1240873.842051085</v>
      </c>
      <c r="AM43" s="2" t="n">
        <v>1377375.669071687</v>
      </c>
      <c r="AN43" s="2" t="n">
        <v>1690022.895914126</v>
      </c>
      <c r="AO43" s="2" t="n">
        <v>1533152.876715268</v>
      </c>
      <c r="AP43" s="2" t="n">
        <v>1541765.801528107</v>
      </c>
      <c r="AQ43" s="2" t="n">
        <v>1266058.131546687</v>
      </c>
      <c r="AR43" s="2" t="n">
        <v>1261900.443396688</v>
      </c>
      <c r="AS43" s="2" t="n">
        <v>1261551.817371687</v>
      </c>
      <c r="AT43" s="2" t="n">
        <v>1261500.169071687</v>
      </c>
      <c r="AU43" s="2" t="n">
        <v>374755.3748546615</v>
      </c>
      <c r="AV43" s="2" t="n">
        <v>374517.0811450728</v>
      </c>
      <c r="AW43" s="2" t="n">
        <v>361591.0206890635</v>
      </c>
      <c r="AX43" s="2" t="n">
        <v>340999.3109625191</v>
      </c>
    </row>
    <row r="44">
      <c r="H44" s="2" t="inlineStr">
        <is>
          <t>INCC</t>
        </is>
      </c>
      <c r="K44" s="2" t="n">
        <v>21082.39919313976</v>
      </c>
      <c r="AA44" s="2" t="n">
        <v>20481.73155907488</v>
      </c>
      <c r="AC44" s="2" t="n">
        <v>278.7580443260068</v>
      </c>
      <c r="AD44" s="2" t="n">
        <v>530.8944710836806</v>
      </c>
      <c r="AE44" s="2" t="n">
        <v>583.7501774933532</v>
      </c>
      <c r="AF44" s="2" t="n">
        <v>742.3888277261167</v>
      </c>
      <c r="AG44" s="2" t="n">
        <v>1315.933777142682</v>
      </c>
      <c r="AH44" s="2" t="n">
        <v>1322.434143116637</v>
      </c>
      <c r="AI44" s="2" t="n">
        <v>1560.853642430467</v>
      </c>
      <c r="AJ44" s="2" t="n">
        <v>1401.105419690573</v>
      </c>
      <c r="AK44" s="2" t="n">
        <v>1413.731957582797</v>
      </c>
      <c r="AL44" s="2" t="n">
        <v>1012.629237236461</v>
      </c>
      <c r="AM44" s="2" t="n">
        <v>1124.023108468993</v>
      </c>
      <c r="AN44" s="2" t="n">
        <v>1379.162440214629</v>
      </c>
      <c r="AO44" s="2" t="n">
        <v>1251.14687368126</v>
      </c>
      <c r="AP44" s="2" t="n">
        <v>1258.175549109846</v>
      </c>
      <c r="AQ44" s="2" t="n">
        <v>1033.181163627399</v>
      </c>
      <c r="AR44" s="2" t="n">
        <v>1029.788234840181</v>
      </c>
      <c r="AS44" s="2" t="n">
        <v>1029.503734600258</v>
      </c>
      <c r="AT44" s="2" t="n">
        <v>1029.461586416566</v>
      </c>
      <c r="AU44" s="2" t="n">
        <v>305.8233935869501</v>
      </c>
      <c r="AV44" s="2" t="n">
        <v>305.6289312901383</v>
      </c>
      <c r="AW44" s="2" t="n">
        <v>295.0804723763736</v>
      </c>
      <c r="AX44" s="2" t="n">
        <v>278.2763730335117</v>
      </c>
    </row>
    <row r="45">
      <c r="A45" s="2" t="inlineStr">
        <is>
          <t>REAJUSTE</t>
        </is>
      </c>
      <c r="C45" s="2" t="n">
        <v>1.075</v>
      </c>
      <c r="D45" s="2" t="n">
        <v>1.075</v>
      </c>
      <c r="E45" s="2" t="n">
        <v>1.075</v>
      </c>
    </row>
    <row r="46">
      <c r="B46" s="2" t="n">
        <v>2025</v>
      </c>
      <c r="C46" s="2" t="n">
        <v>2026</v>
      </c>
      <c r="D46" s="2" t="n">
        <v>2027</v>
      </c>
      <c r="E46" s="2" t="n">
        <v>2028</v>
      </c>
    </row>
    <row r="47">
      <c r="A47" s="2" t="inlineStr">
        <is>
          <t>FORMA PLANA</t>
        </is>
      </c>
      <c r="B47" s="2" t="n">
        <v>119.8625</v>
      </c>
      <c r="C47" s="2" t="n">
        <v>124</v>
      </c>
      <c r="D47" s="2" t="n">
        <v>133.3</v>
      </c>
      <c r="E47" s="2" t="n">
        <v>143.2975</v>
      </c>
    </row>
    <row r="48">
      <c r="A48" s="2" t="inlineStr">
        <is>
          <t>FORMA NERVURADA</t>
        </is>
      </c>
      <c r="B48" s="2" t="n">
        <v>146.7375</v>
      </c>
      <c r="C48" s="2" t="n">
        <v>147</v>
      </c>
      <c r="D48" s="2" t="n">
        <v>158.025</v>
      </c>
      <c r="E48" s="2" t="n">
        <v>169.876875</v>
      </c>
      <c r="AF48" s="2" t="inlineStr">
        <is>
          <t>Porcentagem a ser executada depois</t>
        </is>
      </c>
      <c r="AG48" s="2" t="n">
        <v>0.1</v>
      </c>
    </row>
    <row r="49">
      <c r="A49" s="2" t="inlineStr">
        <is>
          <t>ARMAÇÃO - MDO</t>
        </is>
      </c>
      <c r="B49" s="2" t="n">
        <v>2.45</v>
      </c>
      <c r="C49" s="2" t="n">
        <v>2.6</v>
      </c>
      <c r="D49" s="2" t="n">
        <v>2.795</v>
      </c>
      <c r="E49" s="2" t="n">
        <v>3.004625</v>
      </c>
      <c r="AG49" s="2" t="n">
        <v>0.08</v>
      </c>
    </row>
    <row r="50">
      <c r="A50" s="2" t="inlineStr">
        <is>
          <t>SARRAFEAMENTO</t>
        </is>
      </c>
      <c r="B50" s="2" t="n">
        <v>9.199999999999999</v>
      </c>
      <c r="C50" s="2" t="n">
        <v>9.889999999999999</v>
      </c>
      <c r="D50" s="2" t="n">
        <v>10.63175</v>
      </c>
      <c r="E50" s="2" t="n">
        <v>11.42913125</v>
      </c>
    </row>
    <row r="51">
      <c r="A51" s="2" t="inlineStr">
        <is>
          <t>POLIMENTO</t>
        </is>
      </c>
      <c r="B51" s="2" t="n">
        <v>12.3</v>
      </c>
      <c r="C51" s="2" t="n">
        <v>13.2225</v>
      </c>
      <c r="D51" s="2" t="n">
        <v>14.2141875</v>
      </c>
      <c r="E51" s="2" t="n">
        <v>15.2802515625</v>
      </c>
    </row>
    <row r="52">
      <c r="A52" s="2" t="inlineStr">
        <is>
          <t>JUNTAS</t>
        </is>
      </c>
      <c r="B52" s="2" t="n">
        <v>2.56</v>
      </c>
      <c r="C52" s="2" t="n">
        <v>2.752</v>
      </c>
      <c r="D52" s="2" t="n">
        <v>2.9584</v>
      </c>
      <c r="E52" s="2" t="n">
        <v>3.180279999999999</v>
      </c>
    </row>
    <row r="53">
      <c r="A53" s="2" t="inlineStr">
        <is>
          <t>REAJUSTE</t>
        </is>
      </c>
      <c r="C53" s="2" t="n">
        <v>1.055</v>
      </c>
      <c r="D53" s="2" t="n">
        <v>1.055</v>
      </c>
      <c r="E53" s="2" t="n">
        <v>1.055</v>
      </c>
    </row>
    <row r="54">
      <c r="A54" s="2" t="inlineStr">
        <is>
          <t>ARMAÇÃO - MAT</t>
        </is>
      </c>
      <c r="B54" s="2" t="n">
        <v>5.55</v>
      </c>
      <c r="C54" s="2" t="n">
        <v>5.51</v>
      </c>
      <c r="D54" s="2" t="n">
        <v>5.81305</v>
      </c>
      <c r="E54" s="2" t="n">
        <v>6.132767749999999</v>
      </c>
    </row>
    <row r="55">
      <c r="A55" s="2" t="inlineStr">
        <is>
          <t>CONCRETO FCK 40</t>
        </is>
      </c>
      <c r="B55" s="2" t="n">
        <v>475</v>
      </c>
      <c r="C55" s="2" t="n">
        <v>490</v>
      </c>
      <c r="D55" s="2" t="n">
        <v>516.9499999999999</v>
      </c>
      <c r="E55" s="2" t="n">
        <v>545.3822499999999</v>
      </c>
    </row>
    <row r="56">
      <c r="A56" s="2" t="inlineStr">
        <is>
          <t>CONCRETO FCK 50</t>
        </is>
      </c>
      <c r="B56" s="2" t="n">
        <v>557</v>
      </c>
      <c r="C56" s="2" t="n">
        <v>608.1326</v>
      </c>
      <c r="D56" s="2" t="n">
        <v>641.579893</v>
      </c>
      <c r="E56" s="2" t="n">
        <v>676.866787115</v>
      </c>
    </row>
    <row r="57">
      <c r="A57" s="2" t="inlineStr">
        <is>
          <t>BOMBEAMENTO</t>
        </is>
      </c>
      <c r="B57" s="2" t="n">
        <v>50</v>
      </c>
      <c r="C57" s="2" t="n">
        <v>60</v>
      </c>
      <c r="D57" s="2" t="n">
        <v>63.3</v>
      </c>
      <c r="E57" s="2" t="n">
        <v>66.78149999999999</v>
      </c>
    </row>
    <row r="58">
      <c r="A58" s="2" t="inlineStr">
        <is>
          <t>CONCRETO APARENTE  - fck 40</t>
        </is>
      </c>
      <c r="B58" s="2" t="n">
        <v>502.0826885273328</v>
      </c>
      <c r="C58" s="2" t="n">
        <v>545.9</v>
      </c>
      <c r="D58" s="2" t="n">
        <v>575.9245</v>
      </c>
      <c r="E58" s="2" t="n">
        <v>607.6003474999999</v>
      </c>
    </row>
    <row r="59">
      <c r="A59" s="2" t="inlineStr">
        <is>
          <t>CONCRETO APARENTE  - fck 50</t>
        </is>
      </c>
      <c r="B59" s="2" t="n">
        <v>563.2624021203096</v>
      </c>
      <c r="C59" s="2" t="n">
        <v>630.36</v>
      </c>
      <c r="D59" s="2" t="n">
        <v>665.0298</v>
      </c>
      <c r="E59" s="2" t="n">
        <v>701.606439</v>
      </c>
    </row>
    <row r="60">
      <c r="A60" s="2" t="inlineStr">
        <is>
          <t>PROTENÇÃO</t>
        </is>
      </c>
      <c r="C60" s="2" t="n">
        <v>24.50080895990869</v>
      </c>
      <c r="D60" s="2" t="n">
        <v>25.84835345270366</v>
      </c>
    </row>
    <row r="61">
      <c r="A61" s="2" t="inlineStr">
        <is>
          <t>CONCRETO FCK 50 - piso polido</t>
        </is>
      </c>
      <c r="C61" s="2" t="n">
        <v>664.35</v>
      </c>
    </row>
    <row r="63">
      <c r="A63" s="2" t="inlineStr">
        <is>
          <t>CONSIDERAÇÕES</t>
        </is>
      </c>
    </row>
    <row r="64">
      <c r="A64" s="2" t="inlineStr">
        <is>
          <t>Horas trabalhadas por dia =</t>
        </is>
      </c>
      <c r="B64" s="2" t="n">
        <v>8</v>
      </c>
    </row>
    <row r="66">
      <c r="A66" s="2" t="inlineStr">
        <is>
          <t>Índice Kg/m³</t>
        </is>
      </c>
      <c r="B66" s="2" t="n">
        <v>95.44125526215076</v>
      </c>
    </row>
    <row r="68">
      <c r="A68" s="2" t="inlineStr">
        <is>
          <t>Qtt total de aço</t>
        </is>
      </c>
      <c r="B68" s="2" t="n">
        <v>997552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HISTORICOS'!D22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PL'!F28</f>
        <v/>
      </c>
      <c r="K5" s="62">
        <f>'VALOR POR PL'!G28</f>
        <v/>
      </c>
      <c r="M5" s="129">
        <f>'CP RESUMO'!D22</f>
        <v/>
      </c>
      <c r="N5" s="130" t="n">
        <v>0</v>
      </c>
      <c r="O5" s="129">
        <f>IF(B5&lt;='VALOR POR PL'!$P$5,'CP RESUMO'!D64,"")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HISTORICOS'!E22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RESUMO'!E22</f>
        <v/>
      </c>
      <c r="N6" s="130">
        <f>MAX(0,M6-M5)</f>
        <v/>
      </c>
      <c r="O6" s="129">
        <f>IF(B6&lt;='VALOR POR PL'!$P$5,'CP RESUMO'!E64,"")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HISTORICOS'!F22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PL'!L28</f>
        <v/>
      </c>
      <c r="M7" s="129">
        <f>'CP RESUMO'!F22</f>
        <v/>
      </c>
      <c r="N7" s="130">
        <f>MAX(0,M7-M6)</f>
        <v/>
      </c>
      <c r="O7" s="129">
        <f>IF(B7&lt;='VALOR POR PL'!$P$5,'CP RESUMO'!F64,"")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HISTORICOS'!G22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RESUMO'!G22</f>
        <v/>
      </c>
      <c r="N8" s="130">
        <f>MAX(0,M8-M7)</f>
        <v/>
      </c>
      <c r="O8" s="129">
        <f>IF(B8&lt;='VALOR POR PL'!$P$5,'CP RESUMO'!G64,"")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HISTORICOS'!H22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RESUMO'!H22</f>
        <v/>
      </c>
      <c r="N9" s="130">
        <f>MAX(0,M9-M8)</f>
        <v/>
      </c>
      <c r="O9" s="129">
        <f>IF(B9&lt;='VALOR POR PL'!$P$5,'CP RESUMO'!H64,"")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HISTORICOS'!I22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RESUMO'!I22</f>
        <v/>
      </c>
      <c r="N10" s="130">
        <f>MAX(0,M10-M9)</f>
        <v/>
      </c>
      <c r="O10" s="129">
        <f>IF(B10&lt;='VALOR POR PL'!$P$5,'CP RESUMO'!I64,"")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HISTORICOS'!J22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RESUMO'!J22</f>
        <v/>
      </c>
      <c r="N11" s="130">
        <f>MAX(0,M11-M10)</f>
        <v/>
      </c>
      <c r="O11" s="129">
        <f>IF(B11&lt;='VALOR POR PL'!$P$5,'CP RESUMO'!J64,"")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HISTORICOS'!K22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RESUMO'!K22</f>
        <v/>
      </c>
      <c r="N12" s="130">
        <f>MAX(0,M12-M11)</f>
        <v/>
      </c>
      <c r="O12" s="129">
        <f>IF(B12&lt;='VALOR POR PL'!$P$5,'CP RESUMO'!K64,"")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HISTORICOS'!L22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PL'!I28</f>
        <v/>
      </c>
      <c r="M13" s="129">
        <f>'CP RESUMO'!L22</f>
        <v/>
      </c>
      <c r="N13" s="130">
        <f>MAX(0,M13-M12)</f>
        <v/>
      </c>
      <c r="O13" s="129">
        <f>IF(B13&lt;='VALOR POR PL'!$P$5,'CP RESUMO'!L64,"")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HISTORICOS'!M22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RESUMO'!$D$64:$BW$64,MATCH('VALOR POR PL'!$P$5,'CP RESUMO'!$D$4:$BW$4,0))/100,0)</f>
        <v/>
      </c>
      <c r="M14" s="129">
        <f>'CP RESUMO'!M22</f>
        <v/>
      </c>
      <c r="N14" s="130">
        <f>MAX(0,M14-M13)</f>
        <v/>
      </c>
      <c r="O14" s="129">
        <f>IF(B14&lt;='VALOR POR PL'!$P$5,'CP RESUMO'!M64,"")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HISTORICOS'!N22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RESUMO'!N22</f>
        <v/>
      </c>
      <c r="N15" s="130">
        <f>MAX(0,M15-M14)</f>
        <v/>
      </c>
      <c r="O15" s="129">
        <f>IF(B15&lt;='VALOR POR PL'!$P$5,'CP RESUMO'!N64,"")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HISTORICOS'!O22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RESUMO'!O22</f>
        <v/>
      </c>
      <c r="N16" s="130">
        <f>MAX(0,M16-M15)</f>
        <v/>
      </c>
      <c r="O16" s="129">
        <f>IF(B16&lt;='VALOR POR PL'!$P$5,'CP RESUMO'!O64,"")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HISTORICOS'!P22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RESUMO'!P22</f>
        <v/>
      </c>
      <c r="N17" s="130">
        <f>MAX(0,M17-M16)</f>
        <v/>
      </c>
      <c r="O17" s="129">
        <f>IF(B17&lt;='VALOR POR PL'!$P$5,'CP RESUMO'!P64,"")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HISTORICOS'!Q22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RESUMO'!Q22</f>
        <v/>
      </c>
      <c r="N18" s="130">
        <f>MAX(0,M18-M17)</f>
        <v/>
      </c>
      <c r="O18" s="129">
        <f>IF(B18&lt;='VALOR POR PL'!$P$5,'CP RESUMO'!Q64,"")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HISTORICOS'!R22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RESUMO'!R22</f>
        <v/>
      </c>
      <c r="N19" s="130">
        <f>MAX(0,M19-M18)</f>
        <v/>
      </c>
      <c r="O19" s="129">
        <f>IF(B19&lt;='VALOR POR PL'!$P$5,'CP RESUMO'!R64,"")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HISTORICOS'!S22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RESUMO'!S22</f>
        <v/>
      </c>
      <c r="N20" s="130">
        <f>MAX(0,M20-M19)</f>
        <v/>
      </c>
      <c r="O20" s="129">
        <f>IF(B20&lt;='VALOR POR PL'!$P$5,'CP RESUMO'!S64,"")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HISTORICOS'!T22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RESUMO'!T22</f>
        <v/>
      </c>
      <c r="N21" s="130">
        <f>MAX(0,M21-M20)</f>
        <v/>
      </c>
      <c r="O21" s="129">
        <f>IF(B21&lt;='VALOR POR PL'!$P$5,'CP RESUMO'!T64,"")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HISTORICOS'!U22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RESUMO'!U22</f>
        <v/>
      </c>
      <c r="N22" s="130">
        <f>MAX(0,M22-M21)</f>
        <v/>
      </c>
      <c r="O22" s="129">
        <f>IF(B22&lt;='VALOR POR PL'!$P$5,'CP RESUMO'!U64,"")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HISTORICOS'!V22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RESUMO'!V22</f>
        <v/>
      </c>
      <c r="N23" s="130">
        <f>MAX(0,M23-M22)</f>
        <v/>
      </c>
      <c r="O23" s="129">
        <f>IF(B23&lt;='VALOR POR PL'!$P$5,'CP RESUMO'!V64,"")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HISTORICOS'!W22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RESUMO'!W22</f>
        <v/>
      </c>
      <c r="N24" s="130">
        <f>MAX(0,M24-M23)</f>
        <v/>
      </c>
      <c r="O24" s="129">
        <f>IF(B24&lt;='VALOR POR PL'!$P$5,'CP RESUMO'!W64,"")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HISTORICOS'!X22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RESUMO'!X22</f>
        <v/>
      </c>
      <c r="N25" s="130">
        <f>MAX(0,M25-M24)</f>
        <v/>
      </c>
      <c r="O25" s="129">
        <f>IF(B25&lt;='VALOR POR PL'!$P$5,'CP RESUMO'!X64,"")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HISTORICOS'!Y22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RESUMO'!Y22</f>
        <v/>
      </c>
      <c r="N26" s="130">
        <f>MAX(0,M26-M25)</f>
        <v/>
      </c>
      <c r="O26" s="129">
        <f>IF(B26&lt;='VALOR POR PL'!$P$5,'CP RESUMO'!Y64,"")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HISTORICOS'!Z22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RESUMO'!Z22</f>
        <v/>
      </c>
      <c r="N27" s="130">
        <f>MAX(0,M27-M26)</f>
        <v/>
      </c>
      <c r="O27" s="129">
        <f>IF(B27&lt;='VALOR POR PL'!$P$5,'CP RESUMO'!Z64,"")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HISTORICOS'!AA22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RESUMO'!AA22</f>
        <v/>
      </c>
      <c r="N28" s="130">
        <f>MAX(0,M28-M27)</f>
        <v/>
      </c>
      <c r="O28" s="129">
        <f>IF(B28&lt;='VALOR POR PL'!$P$5,'CP RESUMO'!AA64,"")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HISTORICOS'!AB22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RESUMO'!AB22</f>
        <v/>
      </c>
      <c r="N29" s="130">
        <f>MAX(0,M29-M28)</f>
        <v/>
      </c>
      <c r="O29" s="129">
        <f>IF(B29&lt;='VALOR POR PL'!$P$5,'CP RESUMO'!AB64,"")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HISTORICOS'!AC22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RESUMO'!AC22</f>
        <v/>
      </c>
      <c r="N30" s="130">
        <f>MAX(0,M30-M29)</f>
        <v/>
      </c>
      <c r="O30" s="129">
        <f>IF(B30&lt;='VALOR POR PL'!$P$5,'CP RESUMO'!AC64,"")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HISTORICOS'!AD22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RESUMO'!AD22</f>
        <v/>
      </c>
      <c r="N31" s="130">
        <f>MAX(0,M31-M30)</f>
        <v/>
      </c>
      <c r="O31" s="129">
        <f>IF(B31&lt;='VALOR POR PL'!$P$5,'CP RESUMO'!AD64,"")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HISTORICOS'!AE22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RESUMO'!AE22</f>
        <v/>
      </c>
      <c r="N32" s="130">
        <f>MAX(0,M32-M31)</f>
        <v/>
      </c>
      <c r="O32" s="129">
        <f>IF(B32&lt;='VALOR POR PL'!$P$5,'CP RESUMO'!AE64,"")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HISTORICOS'!AF22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70130.98</v>
      </c>
      <c r="M33" s="129">
        <f>'CP RESUMO'!AF22</f>
        <v/>
      </c>
      <c r="N33" s="130">
        <f>MAX(0,M33-M32)</f>
        <v/>
      </c>
      <c r="O33" s="129">
        <f>IF(B33&lt;='VALOR POR PL'!$P$5,'CP RESUMO'!AF64,"")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HISTORICOS'!AG22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134575.67</v>
      </c>
      <c r="M34" s="129">
        <f>'CP RESUMO'!AG22</f>
        <v/>
      </c>
      <c r="N34" s="130">
        <f>MAX(0,M34-M33)</f>
        <v/>
      </c>
      <c r="O34" s="129">
        <f>IF(B34&lt;='VALOR POR PL'!$P$5,'CP RESUMO'!AG64,"")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HISTORICOS'!AH22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221133.72</v>
      </c>
      <c r="M35" s="129">
        <f>'CP RESUMO'!AH22</f>
        <v/>
      </c>
      <c r="N35" s="130">
        <f>MAX(0,M35-M34)</f>
        <v/>
      </c>
      <c r="O35" s="129">
        <f>IF(B35&lt;='VALOR POR PL'!$P$5,'CP RESUMO'!AH64,"")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HISTORICOS'!AI22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416363.21</v>
      </c>
      <c r="M36" s="129">
        <f>'CP RESUMO'!AI22</f>
        <v/>
      </c>
      <c r="N36" s="130">
        <f>MAX(0,M36-M35)</f>
        <v/>
      </c>
      <c r="O36" s="129">
        <f>IF(B36&lt;='VALOR POR PL'!$P$5,'CP RESUMO'!AI64,"")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HISTORICOS'!AJ22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387299.92</v>
      </c>
      <c r="M37" s="129">
        <f>'CP RESUMO'!AJ22</f>
        <v/>
      </c>
      <c r="N37" s="130">
        <f>MAX(0,M37-M36)</f>
        <v/>
      </c>
      <c r="O37" s="129">
        <f>IF(B37&lt;='VALOR POR PL'!$P$5,'CP RESUMO'!AJ64,"")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HISTORICOS'!AK22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545884.39</v>
      </c>
      <c r="M38" s="129">
        <f>'CP RESUMO'!AK22</f>
        <v/>
      </c>
      <c r="N38" s="130">
        <f>MAX(0,M38-M37)</f>
        <v/>
      </c>
      <c r="O38" s="129">
        <f>IF(B38&lt;='VALOR POR PL'!$P$5,'CP RESUMO'!AK64,"")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HISTORICOS'!AL22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564206.9</v>
      </c>
      <c r="M39" s="129">
        <f>'CP RESUMO'!AL22</f>
        <v/>
      </c>
      <c r="N39" s="130">
        <f>MAX(0,M39-M38)</f>
        <v/>
      </c>
      <c r="O39" s="129">
        <f>IF(B39&lt;='VALOR POR PL'!$P$5,'CP RESUMO'!AL64,"")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HISTORICOS'!AM22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634337.88</v>
      </c>
      <c r="M40" s="129">
        <f>'CP RESUMO'!AM22</f>
        <v/>
      </c>
      <c r="N40" s="130">
        <f>MAX(0,M40-M39)</f>
        <v/>
      </c>
      <c r="O40" s="129">
        <f>IF(B40&lt;='VALOR POR PL'!$P$5,'CP RESUMO'!AM64,"")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HISTORICOS'!AN22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680460.0600000001</v>
      </c>
      <c r="M41" s="129">
        <f>'CP RESUMO'!AN22</f>
        <v/>
      </c>
      <c r="N41" s="130">
        <f>MAX(0,M41-M40)</f>
        <v/>
      </c>
      <c r="O41" s="129">
        <f>IF(B41&lt;='VALOR POR PL'!$P$5,'CP RESUMO'!AN64,"")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HISTORICOS'!AO22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484598.76</v>
      </c>
      <c r="M42" s="129">
        <f>'CP RESUMO'!AO22</f>
        <v/>
      </c>
      <c r="N42" s="130">
        <f>MAX(0,M42-M41)</f>
        <v/>
      </c>
      <c r="O42" s="129">
        <f>IF(B42&lt;='VALOR POR PL'!$P$5,'CP RESUMO'!AO64,"")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HISTORICOS'!AP22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518716.54</v>
      </c>
      <c r="M43" s="129">
        <f>'CP RESUMO'!AP22</f>
        <v/>
      </c>
      <c r="N43" s="130">
        <f>MAX(0,M43-M42)</f>
        <v/>
      </c>
      <c r="O43" s="129">
        <f>IF(B43&lt;='VALOR POR PL'!$P$5,'CP RESUMO'!AP64,"")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HISTORICOS'!AQ22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434685.72</v>
      </c>
      <c r="M44" s="129">
        <f>'CP RESUMO'!AQ22</f>
        <v/>
      </c>
      <c r="N44" s="130">
        <f>MAX(0,M44-M43)</f>
        <v/>
      </c>
      <c r="O44" s="129">
        <f>IF(B44&lt;='VALOR POR PL'!$P$5,'CP RESUMO'!AQ64,"")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HISTORICOS'!AR22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521875.59</v>
      </c>
      <c r="M45" s="129">
        <f>'CP RESUMO'!AR22</f>
        <v/>
      </c>
      <c r="N45" s="130">
        <f>MAX(0,M45-M44)</f>
        <v/>
      </c>
      <c r="O45" s="129">
        <f>IF(B45&lt;='VALOR POR PL'!$P$5,'CP RESUMO'!AR64,"")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HISTORICOS'!AS22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272310.39</v>
      </c>
      <c r="M46" s="129">
        <f>'CP RESUMO'!AS22</f>
        <v/>
      </c>
      <c r="N46" s="130">
        <f>MAX(0,M46-M45)</f>
        <v/>
      </c>
      <c r="O46" s="129">
        <f>IF(B46&lt;='VALOR POR PL'!$P$5,'CP RESUMO'!AS64,"")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HISTORICOS'!AT22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237560.8</v>
      </c>
      <c r="M47" s="129">
        <f>'CP RESUMO'!AT22</f>
        <v/>
      </c>
      <c r="N47" s="130">
        <f>MAX(0,M47-M46)</f>
        <v/>
      </c>
      <c r="O47" s="129">
        <f>IF(B47&lt;='VALOR POR PL'!$P$5,'CP RESUMO'!AT64,"")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HISTORICOS'!AU22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69499.17</v>
      </c>
      <c r="M48" s="129">
        <f>'CP RESUMO'!AU22</f>
        <v/>
      </c>
      <c r="N48" s="130">
        <f>MAX(0,M48-M47)</f>
        <v/>
      </c>
      <c r="O48" s="129">
        <f>IF(B48&lt;='VALOR POR PL'!$P$5,'CP RESUMO'!AU64,"")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HISTORICOS'!AV22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51843.25</v>
      </c>
      <c r="M49" s="129">
        <f>'CP RESUMO'!AV22</f>
        <v/>
      </c>
      <c r="N49" s="130">
        <f>MAX(0,M49-M48)</f>
        <v/>
      </c>
      <c r="O49" s="129">
        <f>IF(B49&lt;='VALOR POR PL'!$P$5,'CP RESUMO'!AV64,"")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HISTORICOS'!AW22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RESUMO'!AW22</f>
        <v/>
      </c>
      <c r="N50" s="130">
        <f>MAX(0,M50-M49)</f>
        <v/>
      </c>
      <c r="O50" s="129">
        <f>IF(B50&lt;='VALOR POR PL'!$P$5,'CP RESUMO'!AW64,"")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HISTORICOS'!AX22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RESUMO'!AX22</f>
        <v/>
      </c>
      <c r="N51" s="130">
        <f>MAX(0,M51-M50)</f>
        <v/>
      </c>
      <c r="O51" s="129">
        <f>IF(B51&lt;='VALOR POR PL'!$P$5,'CP RESUMO'!AX64,"")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HISTORICOS'!AY22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RESUMO'!AY22</f>
        <v/>
      </c>
      <c r="N52" s="130">
        <f>MAX(0,M52-M51)</f>
        <v/>
      </c>
      <c r="O52" s="129">
        <f>IF(B52&lt;='VALOR POR PL'!$P$5,'CP RESUMO'!AY64,"")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HISTORICOS'!AZ22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RESUMO'!AZ22</f>
        <v/>
      </c>
      <c r="N53" s="130">
        <f>MAX(0,M53-M52)</f>
        <v/>
      </c>
      <c r="O53" s="129">
        <f>IF(B53&lt;='VALOR POR PL'!$P$5,'CP RESUMO'!AZ64,"")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HISTORICOS'!BA22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RESUMO'!BA22</f>
        <v/>
      </c>
      <c r="N54" s="130">
        <f>MAX(0,M54-M53)</f>
        <v/>
      </c>
      <c r="O54" s="129">
        <f>IF(B54&lt;='VALOR POR PL'!$P$5,'CP RESUMO'!BA64,"")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HISTORICOS'!BB22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RESUMO'!BB22</f>
        <v/>
      </c>
      <c r="N55" s="130">
        <f>MAX(0,M55-M54)</f>
        <v/>
      </c>
      <c r="O55" s="129">
        <f>IF(B55&lt;='VALOR POR PL'!$P$5,'CP RESUMO'!BB64,"")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HISTORICOS'!BC22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RESUMO'!BC22</f>
        <v/>
      </c>
      <c r="N56" s="130">
        <f>MAX(0,M56-M55)</f>
        <v/>
      </c>
      <c r="O56" s="129">
        <f>IF(B56&lt;='VALOR POR PL'!$P$5,'CP RESUMO'!BC64,"")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HISTORICOS'!BD22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RESUMO'!BD22</f>
        <v/>
      </c>
      <c r="N57" s="130">
        <f>MAX(0,M57-M56)</f>
        <v/>
      </c>
      <c r="O57" s="129">
        <f>IF(B57&lt;='VALOR POR PL'!$P$5,'CP RESUMO'!BD64,"")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HISTORICOS'!BE22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RESUMO'!BE22</f>
        <v/>
      </c>
      <c r="N58" s="130">
        <f>MAX(0,M58-M57)</f>
        <v/>
      </c>
      <c r="O58" s="129">
        <f>IF(B58&lt;='VALOR POR PL'!$P$5,'CP RESUMO'!BE64,"")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HISTORICOS'!BF22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RESUMO'!BF22</f>
        <v/>
      </c>
      <c r="N59" s="130">
        <f>MAX(0,M59-M58)</f>
        <v/>
      </c>
      <c r="O59" s="129">
        <f>IF(B59&lt;='VALOR POR PL'!$P$5,'CP RESUMO'!BF64,"")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HISTORICOS'!BG22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RESUMO'!BG22</f>
        <v/>
      </c>
      <c r="N60" s="130">
        <f>MAX(0,M60-M59)</f>
        <v/>
      </c>
      <c r="O60" s="129">
        <f>IF(B60&lt;='VALOR POR PL'!$P$5,'CP RESUMO'!BG64,"")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HISTORICOS'!BH22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RESUMO'!BH22</f>
        <v/>
      </c>
      <c r="N61" s="130">
        <f>MAX(0,M61-M60)</f>
        <v/>
      </c>
      <c r="O61" s="129">
        <f>IF(B61&lt;='VALOR POR PL'!$P$5,'CP RESUMO'!BH64,"")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HISTORICOS'!BI22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RESUMO'!BI22</f>
        <v/>
      </c>
      <c r="N62" s="130">
        <f>MAX(0,M62-M61)</f>
        <v/>
      </c>
      <c r="O62" s="129">
        <f>IF(B62&lt;='VALOR POR PL'!$P$5,'CP RESUMO'!BI64,"")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HISTORICOS'!BJ22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RESUMO'!BJ22</f>
        <v/>
      </c>
      <c r="N63" s="130">
        <f>MAX(0,M63-M62)</f>
        <v/>
      </c>
      <c r="O63" s="129">
        <f>IF(B63&lt;='VALOR POR PL'!$P$5,'CP RESUMO'!BJ64,"")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HISTORICOS'!BK22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RESUMO'!BK22</f>
        <v/>
      </c>
      <c r="N64" s="130">
        <f>MAX(0,M64-M63)</f>
        <v/>
      </c>
      <c r="O64" s="129">
        <f>IF(B64&lt;='VALOR POR PL'!$P$5,'CP RESUMO'!BK64,"")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HISTORICOS'!BL22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RESUMO'!BL22</f>
        <v/>
      </c>
      <c r="N65" s="130">
        <f>MAX(0,M65-M64)</f>
        <v/>
      </c>
      <c r="O65" s="129">
        <f>IF(B65&lt;='VALOR POR PL'!$P$5,'CP RESUMO'!BL64,"")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HISTORICOS'!BM22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RESUMO'!BM22</f>
        <v/>
      </c>
      <c r="N66" s="130">
        <f>MAX(0,M66-M65)</f>
        <v/>
      </c>
      <c r="O66" s="129">
        <f>IF(B66&lt;='VALOR POR PL'!$P$5,'CP RESUMO'!BM64,"")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HISTORICOS'!BN22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RESUMO'!BN22</f>
        <v/>
      </c>
      <c r="N67" s="130">
        <f>MAX(0,M67-M66)</f>
        <v/>
      </c>
      <c r="O67" s="129">
        <f>IF(B67&lt;='VALOR POR PL'!$P$5,'CP RESUMO'!BN64,"")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HISTORICOS'!BO22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RESUMO'!BO22</f>
        <v/>
      </c>
      <c r="N68" s="130">
        <f>MAX(0,M68-M67)</f>
        <v/>
      </c>
      <c r="O68" s="129">
        <f>IF(B68&lt;='VALOR POR PL'!$P$5,'CP RESUMO'!BO64,"")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HISTORICOS'!BP22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RESUMO'!BP22</f>
        <v/>
      </c>
      <c r="N69" s="130">
        <f>MAX(0,M69-M68)</f>
        <v/>
      </c>
      <c r="O69" s="129">
        <f>IF(B69&lt;='VALOR POR PL'!$P$5,'CP RESUMO'!BP64,"")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HISTORICOS'!BQ22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RESUMO'!BQ22</f>
        <v/>
      </c>
      <c r="N70" s="130">
        <f>MAX(0,M70-M69)</f>
        <v/>
      </c>
      <c r="O70" s="129">
        <f>IF(B70&lt;='VALOR POR PL'!$P$5,'CP RESUMO'!BQ64,"")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HISTORICOS'!BR22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RESUMO'!BR22</f>
        <v/>
      </c>
      <c r="N71" s="130">
        <f>MAX(0,M71-M70)</f>
        <v/>
      </c>
      <c r="O71" s="129">
        <f>IF(B71&lt;='VALOR POR PL'!$P$5,'CP RESUMO'!BR64,"")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HISTORICOS'!BS22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RESUMO'!BS22</f>
        <v/>
      </c>
      <c r="N72" s="130">
        <f>MAX(0,M72-M71)</f>
        <v/>
      </c>
      <c r="O72" s="129">
        <f>IF(B72&lt;='VALOR POR PL'!$P$5,'CP RESUMO'!BS64,"")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HISTORICOS'!BT22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RESUMO'!BT22</f>
        <v/>
      </c>
      <c r="N73" s="130">
        <f>MAX(0,M73-M72)</f>
        <v/>
      </c>
      <c r="O73" s="129">
        <f>IF(B73&lt;='VALOR POR PL'!$P$5,'CP RESUMO'!BT64,"")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HISTORICOS'!BU22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RESUMO'!BU22</f>
        <v/>
      </c>
      <c r="N74" s="130">
        <f>MAX(0,M74-M73)</f>
        <v/>
      </c>
      <c r="O74" s="129">
        <f>IF(B74&lt;='VALOR POR PL'!$P$5,'CP RESUMO'!BU64,"")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HISTORICOS'!BV22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RESUMO'!BV22</f>
        <v/>
      </c>
      <c r="N75" s="130">
        <f>MAX(0,M75-M74)</f>
        <v/>
      </c>
      <c r="O75" s="129">
        <f>IF(B75&lt;='VALOR POR PL'!$P$5,'CP RESUMO'!BV64,"")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HISTORICOS'!BW22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RESUMO'!BW22</f>
        <v/>
      </c>
      <c r="N76" s="130">
        <f>MAX(0,M76-M75)</f>
        <v/>
      </c>
      <c r="O76" s="129">
        <f>IF(B76&lt;='VALOR POR PL'!$P$5,'CP RESUMO'!BW64,"")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HISTORICOS'!D23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PL'!F29</f>
        <v/>
      </c>
      <c r="K5" s="62">
        <f>'VALOR POR PL'!G29</f>
        <v/>
      </c>
      <c r="M5" s="129">
        <f>'CP RESUMO'!D23</f>
        <v/>
      </c>
      <c r="N5" s="130" t="n">
        <v>0</v>
      </c>
      <c r="O5" s="129">
        <f>IF(B5&lt;='VALOR POR PL'!$P$5,'CP RESUMO'!D65,"")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HISTORICOS'!E23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RESUMO'!E23</f>
        <v/>
      </c>
      <c r="N6" s="130">
        <f>MAX(0,M6-M5)</f>
        <v/>
      </c>
      <c r="O6" s="129">
        <f>IF(B6&lt;='VALOR POR PL'!$P$5,'CP RESUMO'!E65,"")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HISTORICOS'!F23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PL'!L29</f>
        <v/>
      </c>
      <c r="M7" s="129">
        <f>'CP RESUMO'!F23</f>
        <v/>
      </c>
      <c r="N7" s="130">
        <f>MAX(0,M7-M6)</f>
        <v/>
      </c>
      <c r="O7" s="129">
        <f>IF(B7&lt;='VALOR POR PL'!$P$5,'CP RESUMO'!F65,"")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HISTORICOS'!G23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RESUMO'!G23</f>
        <v/>
      </c>
      <c r="N8" s="130">
        <f>MAX(0,M8-M7)</f>
        <v/>
      </c>
      <c r="O8" s="129">
        <f>IF(B8&lt;='VALOR POR PL'!$P$5,'CP RESUMO'!G65,"")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HISTORICOS'!H23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RESUMO'!H23</f>
        <v/>
      </c>
      <c r="N9" s="130">
        <f>MAX(0,M9-M8)</f>
        <v/>
      </c>
      <c r="O9" s="129">
        <f>IF(B9&lt;='VALOR POR PL'!$P$5,'CP RESUMO'!H65,"")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HISTORICOS'!I23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RESUMO'!I23</f>
        <v/>
      </c>
      <c r="N10" s="130">
        <f>MAX(0,M10-M9)</f>
        <v/>
      </c>
      <c r="O10" s="129">
        <f>IF(B10&lt;='VALOR POR PL'!$P$5,'CP RESUMO'!I65,"")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HISTORICOS'!J23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RESUMO'!J23</f>
        <v/>
      </c>
      <c r="N11" s="130">
        <f>MAX(0,M11-M10)</f>
        <v/>
      </c>
      <c r="O11" s="129">
        <f>IF(B11&lt;='VALOR POR PL'!$P$5,'CP RESUMO'!J65,"")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HISTORICOS'!K23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RESUMO'!K23</f>
        <v/>
      </c>
      <c r="N12" s="130">
        <f>MAX(0,M12-M11)</f>
        <v/>
      </c>
      <c r="O12" s="129">
        <f>IF(B12&lt;='VALOR POR PL'!$P$5,'CP RESUMO'!K65,"")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HISTORICOS'!L23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PL'!I29</f>
        <v/>
      </c>
      <c r="M13" s="129">
        <f>'CP RESUMO'!L23</f>
        <v/>
      </c>
      <c r="N13" s="130">
        <f>MAX(0,M13-M12)</f>
        <v/>
      </c>
      <c r="O13" s="129">
        <f>IF(B13&lt;='VALOR POR PL'!$P$5,'CP RESUMO'!L65,"")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HISTORICOS'!M23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RESUMO'!$D$65:$BW$65,MATCH('VALOR POR PL'!$P$5,'CP RESUMO'!$D$4:$BW$4,0))/100,0)</f>
        <v/>
      </c>
      <c r="M14" s="129">
        <f>'CP RESUMO'!M23</f>
        <v/>
      </c>
      <c r="N14" s="130">
        <f>MAX(0,M14-M13)</f>
        <v/>
      </c>
      <c r="O14" s="129">
        <f>IF(B14&lt;='VALOR POR PL'!$P$5,'CP RESUMO'!M65,"")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HISTORICOS'!N23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RESUMO'!N23</f>
        <v/>
      </c>
      <c r="N15" s="130">
        <f>MAX(0,M15-M14)</f>
        <v/>
      </c>
      <c r="O15" s="129">
        <f>IF(B15&lt;='VALOR POR PL'!$P$5,'CP RESUMO'!N65,"")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HISTORICOS'!O23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RESUMO'!O23</f>
        <v/>
      </c>
      <c r="N16" s="130">
        <f>MAX(0,M16-M15)</f>
        <v/>
      </c>
      <c r="O16" s="129">
        <f>IF(B16&lt;='VALOR POR PL'!$P$5,'CP RESUMO'!O65,"")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HISTORICOS'!P23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RESUMO'!P23</f>
        <v/>
      </c>
      <c r="N17" s="130">
        <f>MAX(0,M17-M16)</f>
        <v/>
      </c>
      <c r="O17" s="129">
        <f>IF(B17&lt;='VALOR POR PL'!$P$5,'CP RESUMO'!P65,"")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HISTORICOS'!Q23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RESUMO'!Q23</f>
        <v/>
      </c>
      <c r="N18" s="130">
        <f>MAX(0,M18-M17)</f>
        <v/>
      </c>
      <c r="O18" s="129">
        <f>IF(B18&lt;='VALOR POR PL'!$P$5,'CP RESUMO'!Q65,"")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HISTORICOS'!R23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RESUMO'!R23</f>
        <v/>
      </c>
      <c r="N19" s="130">
        <f>MAX(0,M19-M18)</f>
        <v/>
      </c>
      <c r="O19" s="129">
        <f>IF(B19&lt;='VALOR POR PL'!$P$5,'CP RESUMO'!R65,"")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HISTORICOS'!S23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RESUMO'!S23</f>
        <v/>
      </c>
      <c r="N20" s="130">
        <f>MAX(0,M20-M19)</f>
        <v/>
      </c>
      <c r="O20" s="129">
        <f>IF(B20&lt;='VALOR POR PL'!$P$5,'CP RESUMO'!S65,"")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HISTORICOS'!T23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RESUMO'!T23</f>
        <v/>
      </c>
      <c r="N21" s="130">
        <f>MAX(0,M21-M20)</f>
        <v/>
      </c>
      <c r="O21" s="129">
        <f>IF(B21&lt;='VALOR POR PL'!$P$5,'CP RESUMO'!T65,"")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HISTORICOS'!U23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RESUMO'!U23</f>
        <v/>
      </c>
      <c r="N22" s="130">
        <f>MAX(0,M22-M21)</f>
        <v/>
      </c>
      <c r="O22" s="129">
        <f>IF(B22&lt;='VALOR POR PL'!$P$5,'CP RESUMO'!U65,"")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HISTORICOS'!V23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RESUMO'!V23</f>
        <v/>
      </c>
      <c r="N23" s="130">
        <f>MAX(0,M23-M22)</f>
        <v/>
      </c>
      <c r="O23" s="129">
        <f>IF(B23&lt;='VALOR POR PL'!$P$5,'CP RESUMO'!V65,"")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HISTORICOS'!W23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RESUMO'!W23</f>
        <v/>
      </c>
      <c r="N24" s="130">
        <f>MAX(0,M24-M23)</f>
        <v/>
      </c>
      <c r="O24" s="129">
        <f>IF(B24&lt;='VALOR POR PL'!$P$5,'CP RESUMO'!W65,"")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HISTORICOS'!X23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RESUMO'!X23</f>
        <v/>
      </c>
      <c r="N25" s="130">
        <f>MAX(0,M25-M24)</f>
        <v/>
      </c>
      <c r="O25" s="129">
        <f>IF(B25&lt;='VALOR POR PL'!$P$5,'CP RESUMO'!X65,"")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HISTORICOS'!Y23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RESUMO'!Y23</f>
        <v/>
      </c>
      <c r="N26" s="130">
        <f>MAX(0,M26-M25)</f>
        <v/>
      </c>
      <c r="O26" s="129">
        <f>IF(B26&lt;='VALOR POR PL'!$P$5,'CP RESUMO'!Y65,"")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HISTORICOS'!Z23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RESUMO'!Z23</f>
        <v/>
      </c>
      <c r="N27" s="130">
        <f>MAX(0,M27-M26)</f>
        <v/>
      </c>
      <c r="O27" s="129">
        <f>IF(B27&lt;='VALOR POR PL'!$P$5,'CP RESUMO'!Z65,"")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HISTORICOS'!AA23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RESUMO'!AA23</f>
        <v/>
      </c>
      <c r="N28" s="130">
        <f>MAX(0,M28-M27)</f>
        <v/>
      </c>
      <c r="O28" s="129">
        <f>IF(B28&lt;='VALOR POR PL'!$P$5,'CP RESUMO'!AA65,"")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HISTORICOS'!AB23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RESUMO'!AB23</f>
        <v/>
      </c>
      <c r="N29" s="130">
        <f>MAX(0,M29-M28)</f>
        <v/>
      </c>
      <c r="O29" s="129">
        <f>IF(B29&lt;='VALOR POR PL'!$P$5,'CP RESUMO'!AB65,"")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HISTORICOS'!AC23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RESUMO'!AC23</f>
        <v/>
      </c>
      <c r="N30" s="130">
        <f>MAX(0,M30-M29)</f>
        <v/>
      </c>
      <c r="O30" s="129">
        <f>IF(B30&lt;='VALOR POR PL'!$P$5,'CP RESUMO'!AC65,"")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HISTORICOS'!AD23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RESUMO'!AD23</f>
        <v/>
      </c>
      <c r="N31" s="130">
        <f>MAX(0,M31-M30)</f>
        <v/>
      </c>
      <c r="O31" s="129">
        <f>IF(B31&lt;='VALOR POR PL'!$P$5,'CP RESUMO'!AD65,"")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HISTORICOS'!AE23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RESUMO'!AE23</f>
        <v/>
      </c>
      <c r="N32" s="130">
        <f>MAX(0,M32-M31)</f>
        <v/>
      </c>
      <c r="O32" s="129">
        <f>IF(B32&lt;='VALOR POR PL'!$P$5,'CP RESUMO'!AE65,"")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HISTORICOS'!AF23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RESUMO'!AF23</f>
        <v/>
      </c>
      <c r="N33" s="130">
        <f>MAX(0,M33-M32)</f>
        <v/>
      </c>
      <c r="O33" s="129">
        <f>IF(B33&lt;='VALOR POR PL'!$P$5,'CP RESUMO'!AF65,"")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HISTORICOS'!AG23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RESUMO'!AG23</f>
        <v/>
      </c>
      <c r="N34" s="130">
        <f>MAX(0,M34-M33)</f>
        <v/>
      </c>
      <c r="O34" s="129">
        <f>IF(B34&lt;='VALOR POR PL'!$P$5,'CP RESUMO'!AG65,"")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HISTORICOS'!AH23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RESUMO'!AH23</f>
        <v/>
      </c>
      <c r="N35" s="130">
        <f>MAX(0,M35-M34)</f>
        <v/>
      </c>
      <c r="O35" s="129">
        <f>IF(B35&lt;='VALOR POR PL'!$P$5,'CP RESUMO'!AH65,"")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HISTORICOS'!AI23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RESUMO'!AI23</f>
        <v/>
      </c>
      <c r="N36" s="130">
        <f>MAX(0,M36-M35)</f>
        <v/>
      </c>
      <c r="O36" s="129">
        <f>IF(B36&lt;='VALOR POR PL'!$P$5,'CP RESUMO'!AI65,"")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HISTORICOS'!AJ23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RESUMO'!AJ23</f>
        <v/>
      </c>
      <c r="N37" s="130">
        <f>MAX(0,M37-M36)</f>
        <v/>
      </c>
      <c r="O37" s="129">
        <f>IF(B37&lt;='VALOR POR PL'!$P$5,'CP RESUMO'!AJ65,"")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HISTORICOS'!AK23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166232.94</v>
      </c>
      <c r="M38" s="129">
        <f>'CP RESUMO'!AK23</f>
        <v/>
      </c>
      <c r="N38" s="130">
        <f>MAX(0,M38-M37)</f>
        <v/>
      </c>
      <c r="O38" s="129">
        <f>IF(B38&lt;='VALOR POR PL'!$P$5,'CP RESUMO'!AK65,"")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HISTORICOS'!AL23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232391.14</v>
      </c>
      <c r="M39" s="129">
        <f>'CP RESUMO'!AL23</f>
        <v/>
      </c>
      <c r="N39" s="130">
        <f>MAX(0,M39-M38)</f>
        <v/>
      </c>
      <c r="O39" s="129">
        <f>IF(B39&lt;='VALOR POR PL'!$P$5,'CP RESUMO'!AL65,"")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HISTORICOS'!AM23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221504.35</v>
      </c>
      <c r="M40" s="129">
        <f>'CP RESUMO'!AM23</f>
        <v/>
      </c>
      <c r="N40" s="130">
        <f>MAX(0,M40-M39)</f>
        <v/>
      </c>
      <c r="O40" s="129">
        <f>IF(B40&lt;='VALOR POR PL'!$P$5,'CP RESUMO'!AM65,"")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HISTORICOS'!AN23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421235.12</v>
      </c>
      <c r="M41" s="129">
        <f>'CP RESUMO'!AN23</f>
        <v/>
      </c>
      <c r="N41" s="130">
        <f>MAX(0,M41-M40)</f>
        <v/>
      </c>
      <c r="O41" s="129">
        <f>IF(B41&lt;='VALOR POR PL'!$P$5,'CP RESUMO'!AN65,"")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HISTORICOS'!AO23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177119.74</v>
      </c>
      <c r="M42" s="129">
        <f>'CP RESUMO'!AO23</f>
        <v/>
      </c>
      <c r="N42" s="130">
        <f>MAX(0,M42-M41)</f>
        <v/>
      </c>
      <c r="O42" s="129">
        <f>IF(B42&lt;='VALOR POR PL'!$P$5,'CP RESUMO'!AO65,"")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HISTORICOS'!AP23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332465.89</v>
      </c>
      <c r="M43" s="129">
        <f>'CP RESUMO'!AP23</f>
        <v/>
      </c>
      <c r="N43" s="130">
        <f>MAX(0,M43-M42)</f>
        <v/>
      </c>
      <c r="O43" s="129">
        <f>IF(B43&lt;='VALOR POR PL'!$P$5,'CP RESUMO'!AP65,"")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HISTORICOS'!AQ23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232391.14</v>
      </c>
      <c r="M44" s="129">
        <f>'CP RESUMO'!AQ23</f>
        <v/>
      </c>
      <c r="N44" s="130">
        <f>MAX(0,M44-M43)</f>
        <v/>
      </c>
      <c r="O44" s="129">
        <f>IF(B44&lt;='VALOR POR PL'!$P$5,'CP RESUMO'!AQ65,"")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HISTORICOS'!AR23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574068.9300000001</v>
      </c>
      <c r="M45" s="129">
        <f>'CP RESUMO'!AR23</f>
        <v/>
      </c>
      <c r="N45" s="130">
        <f>MAX(0,M45-M44)</f>
        <v/>
      </c>
      <c r="O45" s="129">
        <f>IF(B45&lt;='VALOR POR PL'!$P$5,'CP RESUMO'!AR65,"")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HISTORICOS'!AS23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359682.87</v>
      </c>
      <c r="M46" s="129">
        <f>'CP RESUMO'!AS23</f>
        <v/>
      </c>
      <c r="N46" s="130">
        <f>MAX(0,M46-M45)</f>
        <v/>
      </c>
      <c r="O46" s="129">
        <f>IF(B46&lt;='VALOR POR PL'!$P$5,'CP RESUMO'!AS65,"")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HISTORICOS'!AT23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430865.74</v>
      </c>
      <c r="M47" s="129">
        <f>'CP RESUMO'!AT23</f>
        <v/>
      </c>
      <c r="N47" s="130">
        <f>MAX(0,M47-M46)</f>
        <v/>
      </c>
      <c r="O47" s="129">
        <f>IF(B47&lt;='VALOR POR PL'!$P$5,'CP RESUMO'!AT65,"")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HISTORICOS'!AU23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621803.33</v>
      </c>
      <c r="M48" s="129">
        <f>'CP RESUMO'!AU23</f>
        <v/>
      </c>
      <c r="N48" s="130">
        <f>MAX(0,M48-M47)</f>
        <v/>
      </c>
      <c r="O48" s="129">
        <f>IF(B48&lt;='VALOR POR PL'!$P$5,'CP RESUMO'!AU65,"")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HISTORICOS'!AV23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317810.59</v>
      </c>
      <c r="M49" s="129">
        <f>'CP RESUMO'!AV23</f>
        <v/>
      </c>
      <c r="N49" s="130">
        <f>MAX(0,M49-M48)</f>
        <v/>
      </c>
      <c r="O49" s="129">
        <f>IF(B49&lt;='VALOR POR PL'!$P$5,'CP RESUMO'!AV65,"")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HISTORICOS'!AW23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40639.16</v>
      </c>
      <c r="M50" s="129">
        <f>'CP RESUMO'!AW23</f>
        <v/>
      </c>
      <c r="N50" s="130">
        <f>MAX(0,M50-M49)</f>
        <v/>
      </c>
      <c r="O50" s="129">
        <f>IF(B50&lt;='VALOR POR PL'!$P$5,'CP RESUMO'!AW65,"")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HISTORICOS'!AX23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10886.79</v>
      </c>
      <c r="M51" s="129">
        <f>'CP RESUMO'!AX23</f>
        <v/>
      </c>
      <c r="N51" s="130">
        <f>MAX(0,M51-M50)</f>
        <v/>
      </c>
      <c r="O51" s="129">
        <f>IF(B51&lt;='VALOR POR PL'!$P$5,'CP RESUMO'!AX65,"")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HISTORICOS'!AY23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RESUMO'!AY23</f>
        <v/>
      </c>
      <c r="N52" s="130">
        <f>MAX(0,M52-M51)</f>
        <v/>
      </c>
      <c r="O52" s="129">
        <f>IF(B52&lt;='VALOR POR PL'!$P$5,'CP RESUMO'!AY65,"")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HISTORICOS'!AZ23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RESUMO'!AZ23</f>
        <v/>
      </c>
      <c r="N53" s="130">
        <f>MAX(0,M53-M52)</f>
        <v/>
      </c>
      <c r="O53" s="129">
        <f>IF(B53&lt;='VALOR POR PL'!$P$5,'CP RESUMO'!AZ65,"")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HISTORICOS'!BA23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RESUMO'!BA23</f>
        <v/>
      </c>
      <c r="N54" s="130">
        <f>MAX(0,M54-M53)</f>
        <v/>
      </c>
      <c r="O54" s="129">
        <f>IF(B54&lt;='VALOR POR PL'!$P$5,'CP RESUMO'!BA65,"")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HISTORICOS'!BB23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RESUMO'!BB23</f>
        <v/>
      </c>
      <c r="N55" s="130">
        <f>MAX(0,M55-M54)</f>
        <v/>
      </c>
      <c r="O55" s="129">
        <f>IF(B55&lt;='VALOR POR PL'!$P$5,'CP RESUMO'!BB65,"")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HISTORICOS'!BC23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RESUMO'!BC23</f>
        <v/>
      </c>
      <c r="N56" s="130">
        <f>MAX(0,M56-M55)</f>
        <v/>
      </c>
      <c r="O56" s="129">
        <f>IF(B56&lt;='VALOR POR PL'!$P$5,'CP RESUMO'!BC65,"")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HISTORICOS'!BD23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RESUMO'!BD23</f>
        <v/>
      </c>
      <c r="N57" s="130">
        <f>MAX(0,M57-M56)</f>
        <v/>
      </c>
      <c r="O57" s="129">
        <f>IF(B57&lt;='VALOR POR PL'!$P$5,'CP RESUMO'!BD65,"")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HISTORICOS'!BE23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RESUMO'!BE23</f>
        <v/>
      </c>
      <c r="N58" s="130">
        <f>MAX(0,M58-M57)</f>
        <v/>
      </c>
      <c r="O58" s="129">
        <f>IF(B58&lt;='VALOR POR PL'!$P$5,'CP RESUMO'!BE65,"")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HISTORICOS'!BF23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RESUMO'!BF23</f>
        <v/>
      </c>
      <c r="N59" s="130">
        <f>MAX(0,M59-M58)</f>
        <v/>
      </c>
      <c r="O59" s="129">
        <f>IF(B59&lt;='VALOR POR PL'!$P$5,'CP RESUMO'!BF65,"")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HISTORICOS'!BG23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RESUMO'!BG23</f>
        <v/>
      </c>
      <c r="N60" s="130">
        <f>MAX(0,M60-M59)</f>
        <v/>
      </c>
      <c r="O60" s="129">
        <f>IF(B60&lt;='VALOR POR PL'!$P$5,'CP RESUMO'!BG65,"")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HISTORICOS'!BH23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RESUMO'!BH23</f>
        <v/>
      </c>
      <c r="N61" s="130">
        <f>MAX(0,M61-M60)</f>
        <v/>
      </c>
      <c r="O61" s="129">
        <f>IF(B61&lt;='VALOR POR PL'!$P$5,'CP RESUMO'!BH65,"")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HISTORICOS'!BI23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RESUMO'!BI23</f>
        <v/>
      </c>
      <c r="N62" s="130">
        <f>MAX(0,M62-M61)</f>
        <v/>
      </c>
      <c r="O62" s="129">
        <f>IF(B62&lt;='VALOR POR PL'!$P$5,'CP RESUMO'!BI65,"")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HISTORICOS'!BJ23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RESUMO'!BJ23</f>
        <v/>
      </c>
      <c r="N63" s="130">
        <f>MAX(0,M63-M62)</f>
        <v/>
      </c>
      <c r="O63" s="129">
        <f>IF(B63&lt;='VALOR POR PL'!$P$5,'CP RESUMO'!BJ65,"")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HISTORICOS'!BK23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RESUMO'!BK23</f>
        <v/>
      </c>
      <c r="N64" s="130">
        <f>MAX(0,M64-M63)</f>
        <v/>
      </c>
      <c r="O64" s="129">
        <f>IF(B64&lt;='VALOR POR PL'!$P$5,'CP RESUMO'!BK65,"")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HISTORICOS'!BL23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RESUMO'!BL23</f>
        <v/>
      </c>
      <c r="N65" s="130">
        <f>MAX(0,M65-M64)</f>
        <v/>
      </c>
      <c r="O65" s="129">
        <f>IF(B65&lt;='VALOR POR PL'!$P$5,'CP RESUMO'!BL65,"")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HISTORICOS'!BM23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RESUMO'!BM23</f>
        <v/>
      </c>
      <c r="N66" s="130">
        <f>MAX(0,M66-M65)</f>
        <v/>
      </c>
      <c r="O66" s="129">
        <f>IF(B66&lt;='VALOR POR PL'!$P$5,'CP RESUMO'!BM65,"")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HISTORICOS'!BN23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RESUMO'!BN23</f>
        <v/>
      </c>
      <c r="N67" s="130">
        <f>MAX(0,M67-M66)</f>
        <v/>
      </c>
      <c r="O67" s="129">
        <f>IF(B67&lt;='VALOR POR PL'!$P$5,'CP RESUMO'!BN65,"")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HISTORICOS'!BO23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RESUMO'!BO23</f>
        <v/>
      </c>
      <c r="N68" s="130">
        <f>MAX(0,M68-M67)</f>
        <v/>
      </c>
      <c r="O68" s="129">
        <f>IF(B68&lt;='VALOR POR PL'!$P$5,'CP RESUMO'!BO65,"")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HISTORICOS'!BP23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RESUMO'!BP23</f>
        <v/>
      </c>
      <c r="N69" s="130">
        <f>MAX(0,M69-M68)</f>
        <v/>
      </c>
      <c r="O69" s="129">
        <f>IF(B69&lt;='VALOR POR PL'!$P$5,'CP RESUMO'!BP65,"")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HISTORICOS'!BQ23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RESUMO'!BQ23</f>
        <v/>
      </c>
      <c r="N70" s="130">
        <f>MAX(0,M70-M69)</f>
        <v/>
      </c>
      <c r="O70" s="129">
        <f>IF(B70&lt;='VALOR POR PL'!$P$5,'CP RESUMO'!BQ65,"")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HISTORICOS'!BR23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RESUMO'!BR23</f>
        <v/>
      </c>
      <c r="N71" s="130">
        <f>MAX(0,M71-M70)</f>
        <v/>
      </c>
      <c r="O71" s="129">
        <f>IF(B71&lt;='VALOR POR PL'!$P$5,'CP RESUMO'!BR65,"")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HISTORICOS'!BS23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RESUMO'!BS23</f>
        <v/>
      </c>
      <c r="N72" s="130">
        <f>MAX(0,M72-M71)</f>
        <v/>
      </c>
      <c r="O72" s="129">
        <f>IF(B72&lt;='VALOR POR PL'!$P$5,'CP RESUMO'!BS65,"")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HISTORICOS'!BT23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RESUMO'!BT23</f>
        <v/>
      </c>
      <c r="N73" s="130">
        <f>MAX(0,M73-M72)</f>
        <v/>
      </c>
      <c r="O73" s="129">
        <f>IF(B73&lt;='VALOR POR PL'!$P$5,'CP RESUMO'!BT65,"")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HISTORICOS'!BU23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RESUMO'!BU23</f>
        <v/>
      </c>
      <c r="N74" s="130">
        <f>MAX(0,M74-M73)</f>
        <v/>
      </c>
      <c r="O74" s="129">
        <f>IF(B74&lt;='VALOR POR PL'!$P$5,'CP RESUMO'!BU65,"")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HISTORICOS'!BV23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RESUMO'!BV23</f>
        <v/>
      </c>
      <c r="N75" s="130">
        <f>MAX(0,M75-M74)</f>
        <v/>
      </c>
      <c r="O75" s="129">
        <f>IF(B75&lt;='VALOR POR PL'!$P$5,'CP RESUMO'!BV65,"")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HISTORICOS'!BW23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RESUMO'!BW23</f>
        <v/>
      </c>
      <c r="N76" s="130">
        <f>MAX(0,M76-M75)</f>
        <v/>
      </c>
      <c r="O76" s="129">
        <f>IF(B76&lt;='VALOR POR PL'!$P$5,'CP RESUMO'!BW65,"")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HISTORICOS'!D24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PL'!F30</f>
        <v/>
      </c>
      <c r="K5" s="62">
        <f>'VALOR POR PL'!G30</f>
        <v/>
      </c>
      <c r="M5" s="129">
        <f>'CP RESUMO'!D24</f>
        <v/>
      </c>
      <c r="N5" s="130" t="n">
        <v>0</v>
      </c>
      <c r="O5" s="129">
        <f>IF(B5&lt;='VALOR POR PL'!$P$5,'CP RESUMO'!D66,"")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HISTORICOS'!E24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RESUMO'!E24</f>
        <v/>
      </c>
      <c r="N6" s="130">
        <f>MAX(0,M6-M5)</f>
        <v/>
      </c>
      <c r="O6" s="129">
        <f>IF(B6&lt;='VALOR POR PL'!$P$5,'CP RESUMO'!E66,"")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HISTORICOS'!F24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PL'!L30</f>
        <v/>
      </c>
      <c r="M7" s="129">
        <f>'CP RESUMO'!F24</f>
        <v/>
      </c>
      <c r="N7" s="130">
        <f>MAX(0,M7-M6)</f>
        <v/>
      </c>
      <c r="O7" s="129">
        <f>IF(B7&lt;='VALOR POR PL'!$P$5,'CP RESUMO'!F66,"")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HISTORICOS'!G24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RESUMO'!G24</f>
        <v/>
      </c>
      <c r="N8" s="130">
        <f>MAX(0,M8-M7)</f>
        <v/>
      </c>
      <c r="O8" s="129">
        <f>IF(B8&lt;='VALOR POR PL'!$P$5,'CP RESUMO'!G66,"")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HISTORICOS'!H24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RESUMO'!H24</f>
        <v/>
      </c>
      <c r="N9" s="130">
        <f>MAX(0,M9-M8)</f>
        <v/>
      </c>
      <c r="O9" s="129">
        <f>IF(B9&lt;='VALOR POR PL'!$P$5,'CP RESUMO'!H66,"")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HISTORICOS'!I24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RESUMO'!I24</f>
        <v/>
      </c>
      <c r="N10" s="130">
        <f>MAX(0,M10-M9)</f>
        <v/>
      </c>
      <c r="O10" s="129">
        <f>IF(B10&lt;='VALOR POR PL'!$P$5,'CP RESUMO'!I66,"")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HISTORICOS'!J24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RESUMO'!J24</f>
        <v/>
      </c>
      <c r="N11" s="130">
        <f>MAX(0,M11-M10)</f>
        <v/>
      </c>
      <c r="O11" s="129">
        <f>IF(B11&lt;='VALOR POR PL'!$P$5,'CP RESUMO'!J66,"")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HISTORICOS'!K24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RESUMO'!K24</f>
        <v/>
      </c>
      <c r="N12" s="130">
        <f>MAX(0,M12-M11)</f>
        <v/>
      </c>
      <c r="O12" s="129">
        <f>IF(B12&lt;='VALOR POR PL'!$P$5,'CP RESUMO'!K66,"")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HISTORICOS'!L24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PL'!I30</f>
        <v/>
      </c>
      <c r="M13" s="129">
        <f>'CP RESUMO'!L24</f>
        <v/>
      </c>
      <c r="N13" s="130">
        <f>MAX(0,M13-M12)</f>
        <v/>
      </c>
      <c r="O13" s="129">
        <f>IF(B13&lt;='VALOR POR PL'!$P$5,'CP RESUMO'!L66,"")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HISTORICOS'!M24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RESUMO'!$D$66:$BW$66,MATCH('VALOR POR PL'!$P$5,'CP RESUMO'!$D$4:$BW$4,0))/100,0)</f>
        <v/>
      </c>
      <c r="M14" s="129">
        <f>'CP RESUMO'!M24</f>
        <v/>
      </c>
      <c r="N14" s="130">
        <f>MAX(0,M14-M13)</f>
        <v/>
      </c>
      <c r="O14" s="129">
        <f>IF(B14&lt;='VALOR POR PL'!$P$5,'CP RESUMO'!M66,"")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HISTORICOS'!N24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RESUMO'!N24</f>
        <v/>
      </c>
      <c r="N15" s="130">
        <f>MAX(0,M15-M14)</f>
        <v/>
      </c>
      <c r="O15" s="129">
        <f>IF(B15&lt;='VALOR POR PL'!$P$5,'CP RESUMO'!N66,"")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HISTORICOS'!O24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RESUMO'!O24</f>
        <v/>
      </c>
      <c r="N16" s="130">
        <f>MAX(0,M16-M15)</f>
        <v/>
      </c>
      <c r="O16" s="129">
        <f>IF(B16&lt;='VALOR POR PL'!$P$5,'CP RESUMO'!O66,"")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HISTORICOS'!P24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RESUMO'!P24</f>
        <v/>
      </c>
      <c r="N17" s="130">
        <f>MAX(0,M17-M16)</f>
        <v/>
      </c>
      <c r="O17" s="129">
        <f>IF(B17&lt;='VALOR POR PL'!$P$5,'CP RESUMO'!P66,"")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HISTORICOS'!Q24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RESUMO'!Q24</f>
        <v/>
      </c>
      <c r="N18" s="130">
        <f>MAX(0,M18-M17)</f>
        <v/>
      </c>
      <c r="O18" s="129">
        <f>IF(B18&lt;='VALOR POR PL'!$P$5,'CP RESUMO'!Q66,"")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HISTORICOS'!R24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RESUMO'!R24</f>
        <v/>
      </c>
      <c r="N19" s="130">
        <f>MAX(0,M19-M18)</f>
        <v/>
      </c>
      <c r="O19" s="129">
        <f>IF(B19&lt;='VALOR POR PL'!$P$5,'CP RESUMO'!R66,"")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HISTORICOS'!S24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RESUMO'!S24</f>
        <v/>
      </c>
      <c r="N20" s="130">
        <f>MAX(0,M20-M19)</f>
        <v/>
      </c>
      <c r="O20" s="129">
        <f>IF(B20&lt;='VALOR POR PL'!$P$5,'CP RESUMO'!S66,"")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HISTORICOS'!T24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RESUMO'!T24</f>
        <v/>
      </c>
      <c r="N21" s="130">
        <f>MAX(0,M21-M20)</f>
        <v/>
      </c>
      <c r="O21" s="129">
        <f>IF(B21&lt;='VALOR POR PL'!$P$5,'CP RESUMO'!T66,"")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HISTORICOS'!U24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RESUMO'!U24</f>
        <v/>
      </c>
      <c r="N22" s="130">
        <f>MAX(0,M22-M21)</f>
        <v/>
      </c>
      <c r="O22" s="129">
        <f>IF(B22&lt;='VALOR POR PL'!$P$5,'CP RESUMO'!U66,"")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HISTORICOS'!V24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RESUMO'!V24</f>
        <v/>
      </c>
      <c r="N23" s="130">
        <f>MAX(0,M23-M22)</f>
        <v/>
      </c>
      <c r="O23" s="129">
        <f>IF(B23&lt;='VALOR POR PL'!$P$5,'CP RESUMO'!V66,"")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HISTORICOS'!W24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RESUMO'!W24</f>
        <v/>
      </c>
      <c r="N24" s="130">
        <f>MAX(0,M24-M23)</f>
        <v/>
      </c>
      <c r="O24" s="129">
        <f>IF(B24&lt;='VALOR POR PL'!$P$5,'CP RESUMO'!W66,"")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HISTORICOS'!X24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RESUMO'!X24</f>
        <v/>
      </c>
      <c r="N25" s="130">
        <f>MAX(0,M25-M24)</f>
        <v/>
      </c>
      <c r="O25" s="129">
        <f>IF(B25&lt;='VALOR POR PL'!$P$5,'CP RESUMO'!X66,"")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HISTORICOS'!Y24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RESUMO'!Y24</f>
        <v/>
      </c>
      <c r="N26" s="130">
        <f>MAX(0,M26-M25)</f>
        <v/>
      </c>
      <c r="O26" s="129">
        <f>IF(B26&lt;='VALOR POR PL'!$P$5,'CP RESUMO'!Y66,"")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HISTORICOS'!Z24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7000</v>
      </c>
      <c r="M27" s="129">
        <f>'CP RESUMO'!Z24</f>
        <v/>
      </c>
      <c r="N27" s="130">
        <f>MAX(0,M27-M26)</f>
        <v/>
      </c>
      <c r="O27" s="129">
        <f>IF(B27&lt;='VALOR POR PL'!$P$5,'CP RESUMO'!Z66,"")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HISTORICOS'!AA24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7000</v>
      </c>
      <c r="M28" s="129">
        <f>'CP RESUMO'!AA24</f>
        <v/>
      </c>
      <c r="N28" s="130">
        <f>MAX(0,M28-M27)</f>
        <v/>
      </c>
      <c r="O28" s="129">
        <f>IF(B28&lt;='VALOR POR PL'!$P$5,'CP RESUMO'!AA66,"")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HISTORICOS'!AB24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7000</v>
      </c>
      <c r="M29" s="129">
        <f>'CP RESUMO'!AB24</f>
        <v/>
      </c>
      <c r="N29" s="130">
        <f>MAX(0,M29-M28)</f>
        <v/>
      </c>
      <c r="O29" s="129">
        <f>IF(B29&lt;='VALOR POR PL'!$P$5,'CP RESUMO'!AB66,"")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HISTORICOS'!AC24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RESUMO'!AC24</f>
        <v/>
      </c>
      <c r="N30" s="130">
        <f>MAX(0,M30-M29)</f>
        <v/>
      </c>
      <c r="O30" s="129">
        <f>IF(B30&lt;='VALOR POR PL'!$P$5,'CP RESUMO'!AC66,"")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HISTORICOS'!AD24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RESUMO'!AD24</f>
        <v/>
      </c>
      <c r="N31" s="130">
        <f>MAX(0,M31-M30)</f>
        <v/>
      </c>
      <c r="O31" s="129">
        <f>IF(B31&lt;='VALOR POR PL'!$P$5,'CP RESUMO'!AD66,"")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HISTORICOS'!AE24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104809.94</v>
      </c>
      <c r="M32" s="129">
        <f>'CP RESUMO'!AE24</f>
        <v/>
      </c>
      <c r="N32" s="130">
        <f>MAX(0,M32-M31)</f>
        <v/>
      </c>
      <c r="O32" s="129">
        <f>IF(B32&lt;='VALOR POR PL'!$P$5,'CP RESUMO'!AE66,"")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HISTORICOS'!AF24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88705.57000000001</v>
      </c>
      <c r="M33" s="129">
        <f>'CP RESUMO'!AF24</f>
        <v/>
      </c>
      <c r="N33" s="130">
        <f>MAX(0,M33-M32)</f>
        <v/>
      </c>
      <c r="O33" s="129">
        <f>IF(B33&lt;='VALOR POR PL'!$P$5,'CP RESUMO'!AF66,"")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HISTORICOS'!AG24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55797.55</v>
      </c>
      <c r="M34" s="129">
        <f>'CP RESUMO'!AG24</f>
        <v/>
      </c>
      <c r="N34" s="130">
        <f>MAX(0,M34-M33)</f>
        <v/>
      </c>
      <c r="O34" s="129">
        <f>IF(B34&lt;='VALOR POR PL'!$P$5,'CP RESUMO'!AG66,"")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HISTORICOS'!AH24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82184.09</v>
      </c>
      <c r="M35" s="129">
        <f>'CP RESUMO'!AH24</f>
        <v/>
      </c>
      <c r="N35" s="130">
        <f>MAX(0,M35-M34)</f>
        <v/>
      </c>
      <c r="O35" s="129">
        <f>IF(B35&lt;='VALOR POR PL'!$P$5,'CP RESUMO'!AH66,"")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HISTORICOS'!AI24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81171.83</v>
      </c>
      <c r="M36" s="129">
        <f>'CP RESUMO'!AI24</f>
        <v/>
      </c>
      <c r="N36" s="130">
        <f>MAX(0,M36-M35)</f>
        <v/>
      </c>
      <c r="O36" s="129">
        <f>IF(B36&lt;='VALOR POR PL'!$P$5,'CP RESUMO'!AI66,"")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HISTORICOS'!AJ24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188717.89</v>
      </c>
      <c r="M37" s="129">
        <f>'CP RESUMO'!AJ24</f>
        <v/>
      </c>
      <c r="N37" s="130">
        <f>MAX(0,M37-M36)</f>
        <v/>
      </c>
      <c r="O37" s="129">
        <f>IF(B37&lt;='VALOR POR PL'!$P$5,'CP RESUMO'!AJ66,"")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HISTORICOS'!AK24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212785.42</v>
      </c>
      <c r="M38" s="129">
        <f>'CP RESUMO'!AK24</f>
        <v/>
      </c>
      <c r="N38" s="130">
        <f>MAX(0,M38-M37)</f>
        <v/>
      </c>
      <c r="O38" s="129">
        <f>IF(B38&lt;='VALOR POR PL'!$P$5,'CP RESUMO'!AK66,"")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HISTORICOS'!AL24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257411.13</v>
      </c>
      <c r="M39" s="129">
        <f>'CP RESUMO'!AL24</f>
        <v/>
      </c>
      <c r="N39" s="130">
        <f>MAX(0,M39-M38)</f>
        <v/>
      </c>
      <c r="O39" s="129">
        <f>IF(B39&lt;='VALOR POR PL'!$P$5,'CP RESUMO'!AL66,"")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HISTORICOS'!AM24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535693.4399999999</v>
      </c>
      <c r="M40" s="129">
        <f>'CP RESUMO'!AM24</f>
        <v/>
      </c>
      <c r="N40" s="130">
        <f>MAX(0,M40-M39)</f>
        <v/>
      </c>
      <c r="O40" s="129">
        <f>IF(B40&lt;='VALOR POR PL'!$P$5,'CP RESUMO'!AM66,"")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HISTORICOS'!AN24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467282.37</v>
      </c>
      <c r="M41" s="129">
        <f>'CP RESUMO'!AN24</f>
        <v/>
      </c>
      <c r="N41" s="130">
        <f>MAX(0,M41-M40)</f>
        <v/>
      </c>
      <c r="O41" s="129">
        <f>IF(B41&lt;='VALOR POR PL'!$P$5,'CP RESUMO'!AN66,"")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HISTORICOS'!AO24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626135.1800000001</v>
      </c>
      <c r="M42" s="129">
        <f>'CP RESUMO'!AO24</f>
        <v/>
      </c>
      <c r="N42" s="130">
        <f>MAX(0,M42-M41)</f>
        <v/>
      </c>
      <c r="O42" s="129">
        <f>IF(B42&lt;='VALOR POR PL'!$P$5,'CP RESUMO'!AO66,"")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HISTORICOS'!AP24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673675.08</v>
      </c>
      <c r="M43" s="129">
        <f>'CP RESUMO'!AP24</f>
        <v/>
      </c>
      <c r="N43" s="130">
        <f>MAX(0,M43-M42)</f>
        <v/>
      </c>
      <c r="O43" s="129">
        <f>IF(B43&lt;='VALOR POR PL'!$P$5,'CP RESUMO'!AP66,"")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HISTORICOS'!AQ24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1450546.51</v>
      </c>
      <c r="M44" s="129">
        <f>'CP RESUMO'!AQ24</f>
        <v/>
      </c>
      <c r="N44" s="130">
        <f>MAX(0,M44-M43)</f>
        <v/>
      </c>
      <c r="O44" s="129">
        <f>IF(B44&lt;='VALOR POR PL'!$P$5,'CP RESUMO'!AQ66,"")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HISTORICOS'!AR24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812816.23</v>
      </c>
      <c r="M45" s="129">
        <f>'CP RESUMO'!AR24</f>
        <v/>
      </c>
      <c r="N45" s="130">
        <f>MAX(0,M45-M44)</f>
        <v/>
      </c>
      <c r="O45" s="129">
        <f>IF(B45&lt;='VALOR POR PL'!$P$5,'CP RESUMO'!AR66,"")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HISTORICOS'!AS24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539171.96</v>
      </c>
      <c r="M46" s="129">
        <f>'CP RESUMO'!AS24</f>
        <v/>
      </c>
      <c r="N46" s="130">
        <f>MAX(0,M46-M45)</f>
        <v/>
      </c>
      <c r="O46" s="129">
        <f>IF(B46&lt;='VALOR POR PL'!$P$5,'CP RESUMO'!AS66,"")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HISTORICOS'!AT24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863834.65</v>
      </c>
      <c r="M47" s="129">
        <f>'CP RESUMO'!AT24</f>
        <v/>
      </c>
      <c r="N47" s="130">
        <f>MAX(0,M47-M46)</f>
        <v/>
      </c>
      <c r="O47" s="129">
        <f>IF(B47&lt;='VALOR POR PL'!$P$5,'CP RESUMO'!AT66,"")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HISTORICOS'!AU24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813975.74</v>
      </c>
      <c r="M48" s="129">
        <f>'CP RESUMO'!AU24</f>
        <v/>
      </c>
      <c r="N48" s="130">
        <f>MAX(0,M48-M47)</f>
        <v/>
      </c>
      <c r="O48" s="129">
        <f>IF(B48&lt;='VALOR POR PL'!$P$5,'CP RESUMO'!AU66,"")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HISTORICOS'!AV24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542650.49</v>
      </c>
      <c r="M49" s="129">
        <f>'CP RESUMO'!AV24</f>
        <v/>
      </c>
      <c r="N49" s="130">
        <f>MAX(0,M49-M48)</f>
        <v/>
      </c>
      <c r="O49" s="129">
        <f>IF(B49&lt;='VALOR POR PL'!$P$5,'CP RESUMO'!AV66,"")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HISTORICOS'!AW24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743245.65</v>
      </c>
      <c r="M50" s="129">
        <f>'CP RESUMO'!AW24</f>
        <v/>
      </c>
      <c r="N50" s="130">
        <f>MAX(0,M50-M49)</f>
        <v/>
      </c>
      <c r="O50" s="129">
        <f>IF(B50&lt;='VALOR POR PL'!$P$5,'CP RESUMO'!AW66,"")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HISTORICOS'!AX24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164650.36</v>
      </c>
      <c r="M51" s="129">
        <f>'CP RESUMO'!AX24</f>
        <v/>
      </c>
      <c r="N51" s="130">
        <f>MAX(0,M51-M50)</f>
        <v/>
      </c>
      <c r="O51" s="129">
        <f>IF(B51&lt;='VALOR POR PL'!$P$5,'CP RESUMO'!AX66,"")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HISTORICOS'!AY24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441773.16</v>
      </c>
      <c r="M52" s="129">
        <f>'CP RESUMO'!AY24</f>
        <v/>
      </c>
      <c r="N52" s="130">
        <f>MAX(0,M52-M51)</f>
        <v/>
      </c>
      <c r="O52" s="129">
        <f>IF(B52&lt;='VALOR POR PL'!$P$5,'CP RESUMO'!AY66,"")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HISTORICOS'!AZ24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288717.89</v>
      </c>
      <c r="M53" s="129">
        <f>'CP RESUMO'!AZ24</f>
        <v/>
      </c>
      <c r="N53" s="130">
        <f>MAX(0,M53-M52)</f>
        <v/>
      </c>
      <c r="O53" s="129">
        <f>IF(B53&lt;='VALOR POR PL'!$P$5,'CP RESUMO'!AZ66,"")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HISTORICOS'!BA24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154214.78</v>
      </c>
      <c r="M54" s="129">
        <f>'CP RESUMO'!BA24</f>
        <v/>
      </c>
      <c r="N54" s="130">
        <f>MAX(0,M54-M53)</f>
        <v/>
      </c>
      <c r="O54" s="129">
        <f>IF(B54&lt;='VALOR POR PL'!$P$5,'CP RESUMO'!BA66,"")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HISTORICOS'!BB24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336257.78</v>
      </c>
      <c r="M55" s="129">
        <f>'CP RESUMO'!BB24</f>
        <v/>
      </c>
      <c r="N55" s="130">
        <f>MAX(0,M55-M54)</f>
        <v/>
      </c>
      <c r="O55" s="129">
        <f>IF(B55&lt;='VALOR POR PL'!$P$5,'CP RESUMO'!BB66,"")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HISTORICOS'!BC24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721829.79</v>
      </c>
      <c r="M56" s="129">
        <f>'CP RESUMO'!BC24</f>
        <v/>
      </c>
      <c r="N56" s="130">
        <f>MAX(0,M56-M55)</f>
        <v/>
      </c>
      <c r="O56" s="129">
        <f>IF(B56&lt;='VALOR POR PL'!$P$5,'CP RESUMO'!BC66,"")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HISTORICOS'!BD24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RESUMO'!BD24</f>
        <v/>
      </c>
      <c r="N57" s="130">
        <f>MAX(0,M57-M56)</f>
        <v/>
      </c>
      <c r="O57" s="129">
        <f>IF(B57&lt;='VALOR POR PL'!$P$5,'CP RESUMO'!BD66,"")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HISTORICOS'!BE24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RESUMO'!BE24</f>
        <v/>
      </c>
      <c r="N58" s="130">
        <f>MAX(0,M58-M57)</f>
        <v/>
      </c>
      <c r="O58" s="129">
        <f>IF(B58&lt;='VALOR POR PL'!$P$5,'CP RESUMO'!BE66,"")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HISTORICOS'!BF24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RESUMO'!BF24</f>
        <v/>
      </c>
      <c r="N59" s="130">
        <f>MAX(0,M59-M58)</f>
        <v/>
      </c>
      <c r="O59" s="129">
        <f>IF(B59&lt;='VALOR POR PL'!$P$5,'CP RESUMO'!BF66,"")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HISTORICOS'!BG24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RESUMO'!BG24</f>
        <v/>
      </c>
      <c r="N60" s="130">
        <f>MAX(0,M60-M59)</f>
        <v/>
      </c>
      <c r="O60" s="129">
        <f>IF(B60&lt;='VALOR POR PL'!$P$5,'CP RESUMO'!BG66,"")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HISTORICOS'!BH24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RESUMO'!BH24</f>
        <v/>
      </c>
      <c r="N61" s="130">
        <f>MAX(0,M61-M60)</f>
        <v/>
      </c>
      <c r="O61" s="129">
        <f>IF(B61&lt;='VALOR POR PL'!$P$5,'CP RESUMO'!BH66,"")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HISTORICOS'!BI24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RESUMO'!BI24</f>
        <v/>
      </c>
      <c r="N62" s="130">
        <f>MAX(0,M62-M61)</f>
        <v/>
      </c>
      <c r="O62" s="129">
        <f>IF(B62&lt;='VALOR POR PL'!$P$5,'CP RESUMO'!BI66,"")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HISTORICOS'!BJ24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RESUMO'!BJ24</f>
        <v/>
      </c>
      <c r="N63" s="130">
        <f>MAX(0,M63-M62)</f>
        <v/>
      </c>
      <c r="O63" s="129">
        <f>IF(B63&lt;='VALOR POR PL'!$P$5,'CP RESUMO'!BJ66,"")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HISTORICOS'!BK24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RESUMO'!BK24</f>
        <v/>
      </c>
      <c r="N64" s="130">
        <f>MAX(0,M64-M63)</f>
        <v/>
      </c>
      <c r="O64" s="129">
        <f>IF(B64&lt;='VALOR POR PL'!$P$5,'CP RESUMO'!BK66,"")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HISTORICOS'!BL24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RESUMO'!BL24</f>
        <v/>
      </c>
      <c r="N65" s="130">
        <f>MAX(0,M65-M64)</f>
        <v/>
      </c>
      <c r="O65" s="129">
        <f>IF(B65&lt;='VALOR POR PL'!$P$5,'CP RESUMO'!BL66,"")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HISTORICOS'!BM24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RESUMO'!BM24</f>
        <v/>
      </c>
      <c r="N66" s="130">
        <f>MAX(0,M66-M65)</f>
        <v/>
      </c>
      <c r="O66" s="129">
        <f>IF(B66&lt;='VALOR POR PL'!$P$5,'CP RESUMO'!BM66,"")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HISTORICOS'!BN24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RESUMO'!BN24</f>
        <v/>
      </c>
      <c r="N67" s="130">
        <f>MAX(0,M67-M66)</f>
        <v/>
      </c>
      <c r="O67" s="129">
        <f>IF(B67&lt;='VALOR POR PL'!$P$5,'CP RESUMO'!BN66,"")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HISTORICOS'!BO24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RESUMO'!BO24</f>
        <v/>
      </c>
      <c r="N68" s="130">
        <f>MAX(0,M68-M67)</f>
        <v/>
      </c>
      <c r="O68" s="129">
        <f>IF(B68&lt;='VALOR POR PL'!$P$5,'CP RESUMO'!BO66,"")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HISTORICOS'!BP24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RESUMO'!BP24</f>
        <v/>
      </c>
      <c r="N69" s="130">
        <f>MAX(0,M69-M68)</f>
        <v/>
      </c>
      <c r="O69" s="129">
        <f>IF(B69&lt;='VALOR POR PL'!$P$5,'CP RESUMO'!BP66,"")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HISTORICOS'!BQ24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RESUMO'!BQ24</f>
        <v/>
      </c>
      <c r="N70" s="130">
        <f>MAX(0,M70-M69)</f>
        <v/>
      </c>
      <c r="O70" s="129">
        <f>IF(B70&lt;='VALOR POR PL'!$P$5,'CP RESUMO'!BQ66,"")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HISTORICOS'!BR24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RESUMO'!BR24</f>
        <v/>
      </c>
      <c r="N71" s="130">
        <f>MAX(0,M71-M70)</f>
        <v/>
      </c>
      <c r="O71" s="129">
        <f>IF(B71&lt;='VALOR POR PL'!$P$5,'CP RESUMO'!BR66,"")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HISTORICOS'!BS24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RESUMO'!BS24</f>
        <v/>
      </c>
      <c r="N72" s="130">
        <f>MAX(0,M72-M71)</f>
        <v/>
      </c>
      <c r="O72" s="129">
        <f>IF(B72&lt;='VALOR POR PL'!$P$5,'CP RESUMO'!BS66,"")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HISTORICOS'!BT24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RESUMO'!BT24</f>
        <v/>
      </c>
      <c r="N73" s="130">
        <f>MAX(0,M73-M72)</f>
        <v/>
      </c>
      <c r="O73" s="129">
        <f>IF(B73&lt;='VALOR POR PL'!$P$5,'CP RESUMO'!BT66,"")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HISTORICOS'!BU24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RESUMO'!BU24</f>
        <v/>
      </c>
      <c r="N74" s="130">
        <f>MAX(0,M74-M73)</f>
        <v/>
      </c>
      <c r="O74" s="129">
        <f>IF(B74&lt;='VALOR POR PL'!$P$5,'CP RESUMO'!BU66,"")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HISTORICOS'!BV24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RESUMO'!BV24</f>
        <v/>
      </c>
      <c r="N75" s="130">
        <f>MAX(0,M75-M74)</f>
        <v/>
      </c>
      <c r="O75" s="129">
        <f>IF(B75&lt;='VALOR POR PL'!$P$5,'CP RESUMO'!BV66,"")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HISTORICOS'!BW24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RESUMO'!BW24</f>
        <v/>
      </c>
      <c r="N76" s="130">
        <f>MAX(0,M76-M75)</f>
        <v/>
      </c>
      <c r="O76" s="129">
        <f>IF(B76&lt;='VALOR POR PL'!$P$5,'CP RESUMO'!BW66,"")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HISTORICOS'!D25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PL'!F31</f>
        <v/>
      </c>
      <c r="K5" s="62">
        <f>'VALOR POR PL'!G31</f>
        <v/>
      </c>
      <c r="M5" s="129">
        <f>'CP RESUMO'!D25</f>
        <v/>
      </c>
      <c r="N5" s="130" t="n">
        <v>0</v>
      </c>
      <c r="O5" s="129">
        <f>IF(B5&lt;='VALOR POR PL'!$P$5,'CP RESUMO'!D67,"")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HISTORICOS'!E25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RESUMO'!E25</f>
        <v/>
      </c>
      <c r="N6" s="130">
        <f>MAX(0,M6-M5)</f>
        <v/>
      </c>
      <c r="O6" s="129">
        <f>IF(B6&lt;='VALOR POR PL'!$P$5,'CP RESUMO'!E67,"")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HISTORICOS'!F25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PL'!L31</f>
        <v/>
      </c>
      <c r="M7" s="129">
        <f>'CP RESUMO'!F25</f>
        <v/>
      </c>
      <c r="N7" s="130">
        <f>MAX(0,M7-M6)</f>
        <v/>
      </c>
      <c r="O7" s="129">
        <f>IF(B7&lt;='VALOR POR PL'!$P$5,'CP RESUMO'!F67,"")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HISTORICOS'!G25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RESUMO'!G25</f>
        <v/>
      </c>
      <c r="N8" s="130">
        <f>MAX(0,M8-M7)</f>
        <v/>
      </c>
      <c r="O8" s="129">
        <f>IF(B8&lt;='VALOR POR PL'!$P$5,'CP RESUMO'!G67,"")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HISTORICOS'!H25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RESUMO'!H25</f>
        <v/>
      </c>
      <c r="N9" s="130">
        <f>MAX(0,M9-M8)</f>
        <v/>
      </c>
      <c r="O9" s="129">
        <f>IF(B9&lt;='VALOR POR PL'!$P$5,'CP RESUMO'!H67,"")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HISTORICOS'!I25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RESUMO'!I25</f>
        <v/>
      </c>
      <c r="N10" s="130">
        <f>MAX(0,M10-M9)</f>
        <v/>
      </c>
      <c r="O10" s="129">
        <f>IF(B10&lt;='VALOR POR PL'!$P$5,'CP RESUMO'!I67,"")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HISTORICOS'!J25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RESUMO'!J25</f>
        <v/>
      </c>
      <c r="N11" s="130">
        <f>MAX(0,M11-M10)</f>
        <v/>
      </c>
      <c r="O11" s="129">
        <f>IF(B11&lt;='VALOR POR PL'!$P$5,'CP RESUMO'!J67,"")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HISTORICOS'!K25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RESUMO'!K25</f>
        <v/>
      </c>
      <c r="N12" s="130">
        <f>MAX(0,M12-M11)</f>
        <v/>
      </c>
      <c r="O12" s="129">
        <f>IF(B12&lt;='VALOR POR PL'!$P$5,'CP RESUMO'!K67,"")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HISTORICOS'!L25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PL'!I31</f>
        <v/>
      </c>
      <c r="M13" s="129">
        <f>'CP RESUMO'!L25</f>
        <v/>
      </c>
      <c r="N13" s="130">
        <f>MAX(0,M13-M12)</f>
        <v/>
      </c>
      <c r="O13" s="129">
        <f>IF(B13&lt;='VALOR POR PL'!$P$5,'CP RESUMO'!L67,"")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HISTORICOS'!M25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RESUMO'!$D$67:$BW$67,MATCH('VALOR POR PL'!$P$5,'CP RESUMO'!$D$4:$BW$4,0))/100,0)</f>
        <v/>
      </c>
      <c r="M14" s="129">
        <f>'CP RESUMO'!M25</f>
        <v/>
      </c>
      <c r="N14" s="130">
        <f>MAX(0,M14-M13)</f>
        <v/>
      </c>
      <c r="O14" s="129">
        <f>IF(B14&lt;='VALOR POR PL'!$P$5,'CP RESUMO'!M67,"")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HISTORICOS'!N25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RESUMO'!N25</f>
        <v/>
      </c>
      <c r="N15" s="130">
        <f>MAX(0,M15-M14)</f>
        <v/>
      </c>
      <c r="O15" s="129">
        <f>IF(B15&lt;='VALOR POR PL'!$P$5,'CP RESUMO'!N67,"")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HISTORICOS'!O25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RESUMO'!O25</f>
        <v/>
      </c>
      <c r="N16" s="130">
        <f>MAX(0,M16-M15)</f>
        <v/>
      </c>
      <c r="O16" s="129">
        <f>IF(B16&lt;='VALOR POR PL'!$P$5,'CP RESUMO'!O67,"")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HISTORICOS'!P25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RESUMO'!P25</f>
        <v/>
      </c>
      <c r="N17" s="130">
        <f>MAX(0,M17-M16)</f>
        <v/>
      </c>
      <c r="O17" s="129">
        <f>IF(B17&lt;='VALOR POR PL'!$P$5,'CP RESUMO'!P67,"")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HISTORICOS'!Q25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RESUMO'!Q25</f>
        <v/>
      </c>
      <c r="N18" s="130">
        <f>MAX(0,M18-M17)</f>
        <v/>
      </c>
      <c r="O18" s="129">
        <f>IF(B18&lt;='VALOR POR PL'!$P$5,'CP RESUMO'!Q67,"")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HISTORICOS'!R25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RESUMO'!R25</f>
        <v/>
      </c>
      <c r="N19" s="130">
        <f>MAX(0,M19-M18)</f>
        <v/>
      </c>
      <c r="O19" s="129">
        <f>IF(B19&lt;='VALOR POR PL'!$P$5,'CP RESUMO'!R67,"")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HISTORICOS'!S25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RESUMO'!S25</f>
        <v/>
      </c>
      <c r="N20" s="130">
        <f>MAX(0,M20-M19)</f>
        <v/>
      </c>
      <c r="O20" s="129">
        <f>IF(B20&lt;='VALOR POR PL'!$P$5,'CP RESUMO'!S67,"")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HISTORICOS'!T25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RESUMO'!T25</f>
        <v/>
      </c>
      <c r="N21" s="130">
        <f>MAX(0,M21-M20)</f>
        <v/>
      </c>
      <c r="O21" s="129">
        <f>IF(B21&lt;='VALOR POR PL'!$P$5,'CP RESUMO'!T67,"")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HISTORICOS'!U25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RESUMO'!U25</f>
        <v/>
      </c>
      <c r="N22" s="130">
        <f>MAX(0,M22-M21)</f>
        <v/>
      </c>
      <c r="O22" s="129">
        <f>IF(B22&lt;='VALOR POR PL'!$P$5,'CP RESUMO'!U67,"")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HISTORICOS'!V25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RESUMO'!V25</f>
        <v/>
      </c>
      <c r="N23" s="130">
        <f>MAX(0,M23-M22)</f>
        <v/>
      </c>
      <c r="O23" s="129">
        <f>IF(B23&lt;='VALOR POR PL'!$P$5,'CP RESUMO'!V67,"")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HISTORICOS'!W25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RESUMO'!W25</f>
        <v/>
      </c>
      <c r="N24" s="130">
        <f>MAX(0,M24-M23)</f>
        <v/>
      </c>
      <c r="O24" s="129">
        <f>IF(B24&lt;='VALOR POR PL'!$P$5,'CP RESUMO'!W67,"")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HISTORICOS'!X25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RESUMO'!X25</f>
        <v/>
      </c>
      <c r="N25" s="130">
        <f>MAX(0,M25-M24)</f>
        <v/>
      </c>
      <c r="O25" s="129">
        <f>IF(B25&lt;='VALOR POR PL'!$P$5,'CP RESUMO'!X67,"")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HISTORICOS'!Y25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RESUMO'!Y25</f>
        <v/>
      </c>
      <c r="N26" s="130">
        <f>MAX(0,M26-M25)</f>
        <v/>
      </c>
      <c r="O26" s="129">
        <f>IF(B26&lt;='VALOR POR PL'!$P$5,'CP RESUMO'!Y67,"")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HISTORICOS'!Z25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RESUMO'!Z25</f>
        <v/>
      </c>
      <c r="N27" s="130">
        <f>MAX(0,M27-M26)</f>
        <v/>
      </c>
      <c r="O27" s="129">
        <f>IF(B27&lt;='VALOR POR PL'!$P$5,'CP RESUMO'!Z67,"")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HISTORICOS'!AA25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150000</v>
      </c>
      <c r="M28" s="129">
        <f>'CP RESUMO'!AA25</f>
        <v/>
      </c>
      <c r="N28" s="130">
        <f>MAX(0,M28-M27)</f>
        <v/>
      </c>
      <c r="O28" s="129">
        <f>IF(B28&lt;='VALOR POR PL'!$P$5,'CP RESUMO'!AA67,"")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HISTORICOS'!AB25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50000</v>
      </c>
      <c r="M29" s="129">
        <f>'CP RESUMO'!AB25</f>
        <v/>
      </c>
      <c r="N29" s="130">
        <f>MAX(0,M29-M28)</f>
        <v/>
      </c>
      <c r="O29" s="129">
        <f>IF(B29&lt;='VALOR POR PL'!$P$5,'CP RESUMO'!AB67,"")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HISTORICOS'!AC25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50000</v>
      </c>
      <c r="M30" s="129">
        <f>'CP RESUMO'!AC25</f>
        <v/>
      </c>
      <c r="N30" s="130">
        <f>MAX(0,M30-M29)</f>
        <v/>
      </c>
      <c r="O30" s="129">
        <f>IF(B30&lt;='VALOR POR PL'!$P$5,'CP RESUMO'!AC67,"")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HISTORICOS'!AD25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70000</v>
      </c>
      <c r="M31" s="129">
        <f>'CP RESUMO'!AD25</f>
        <v/>
      </c>
      <c r="N31" s="130">
        <f>MAX(0,M31-M30)</f>
        <v/>
      </c>
      <c r="O31" s="129">
        <f>IF(B31&lt;='VALOR POR PL'!$P$5,'CP RESUMO'!AD67,"")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HISTORICOS'!AE25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120258.03</v>
      </c>
      <c r="M32" s="129">
        <f>'CP RESUMO'!AE25</f>
        <v/>
      </c>
      <c r="N32" s="130">
        <f>MAX(0,M32-M31)</f>
        <v/>
      </c>
      <c r="O32" s="129">
        <f>IF(B32&lt;='VALOR POR PL'!$P$5,'CP RESUMO'!AE67,"")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HISTORICOS'!AF25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120258.03</v>
      </c>
      <c r="M33" s="129">
        <f>'CP RESUMO'!AF25</f>
        <v/>
      </c>
      <c r="N33" s="130">
        <f>MAX(0,M33-M32)</f>
        <v/>
      </c>
      <c r="O33" s="129">
        <f>IF(B33&lt;='VALOR POR PL'!$P$5,'CP RESUMO'!AF67,"")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HISTORICOS'!AG25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87246.02</v>
      </c>
      <c r="M34" s="129">
        <f>'CP RESUMO'!AG25</f>
        <v/>
      </c>
      <c r="N34" s="130">
        <f>MAX(0,M34-M33)</f>
        <v/>
      </c>
      <c r="O34" s="129">
        <f>IF(B34&lt;='VALOR POR PL'!$P$5,'CP RESUMO'!AG67,"")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HISTORICOS'!AH25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3930</v>
      </c>
      <c r="M35" s="129">
        <f>'CP RESUMO'!AH25</f>
        <v/>
      </c>
      <c r="N35" s="130">
        <f>MAX(0,M35-M34)</f>
        <v/>
      </c>
      <c r="O35" s="129">
        <f>IF(B35&lt;='VALOR POR PL'!$P$5,'CP RESUMO'!AH67,"")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HISTORICOS'!AI25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89604.02</v>
      </c>
      <c r="M36" s="129">
        <f>'CP RESUMO'!AI25</f>
        <v/>
      </c>
      <c r="N36" s="130">
        <f>MAX(0,M36-M35)</f>
        <v/>
      </c>
      <c r="O36" s="129">
        <f>IF(B36&lt;='VALOR POR PL'!$P$5,'CP RESUMO'!AI67,"")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HISTORICOS'!AJ25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109254.03</v>
      </c>
      <c r="M37" s="129">
        <f>'CP RESUMO'!AJ25</f>
        <v/>
      </c>
      <c r="N37" s="130">
        <f>MAX(0,M37-M36)</f>
        <v/>
      </c>
      <c r="O37" s="129">
        <f>IF(B37&lt;='VALOR POR PL'!$P$5,'CP RESUMO'!AJ67,"")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HISTORICOS'!AK25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195714.05</v>
      </c>
      <c r="M38" s="129">
        <f>'CP RESUMO'!AK25</f>
        <v/>
      </c>
      <c r="N38" s="130">
        <f>MAX(0,M38-M37)</f>
        <v/>
      </c>
      <c r="O38" s="129">
        <f>IF(B38&lt;='VALOR POR PL'!$P$5,'CP RESUMO'!AK67,"")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HISTORICOS'!AL25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279816.06</v>
      </c>
      <c r="M39" s="129">
        <f>'CP RESUMO'!AL25</f>
        <v/>
      </c>
      <c r="N39" s="130">
        <f>MAX(0,M39-M38)</f>
        <v/>
      </c>
      <c r="O39" s="129">
        <f>IF(B39&lt;='VALOR POR PL'!$P$5,'CP RESUMO'!AL67,"")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HISTORICOS'!AM25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174492.04</v>
      </c>
      <c r="M40" s="129">
        <f>'CP RESUMO'!AM25</f>
        <v/>
      </c>
      <c r="N40" s="130">
        <f>MAX(0,M40-M39)</f>
        <v/>
      </c>
      <c r="O40" s="129">
        <f>IF(B40&lt;='VALOR POR PL'!$P$5,'CP RESUMO'!AM67,"")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HISTORICOS'!AN25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363132.08</v>
      </c>
      <c r="M41" s="129">
        <f>'CP RESUMO'!AN25</f>
        <v/>
      </c>
      <c r="N41" s="130">
        <f>MAX(0,M41-M40)</f>
        <v/>
      </c>
      <c r="O41" s="129">
        <f>IF(B41&lt;='VALOR POR PL'!$P$5,'CP RESUMO'!AN67,"")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HISTORICOS'!AO25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316758.07</v>
      </c>
      <c r="M42" s="129">
        <f>'CP RESUMO'!AO25</f>
        <v/>
      </c>
      <c r="N42" s="130">
        <f>MAX(0,M42-M41)</f>
        <v/>
      </c>
      <c r="O42" s="129">
        <f>IF(B42&lt;='VALOR POR PL'!$P$5,'CP RESUMO'!AO67,"")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HISTORICOS'!AP25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424440.1</v>
      </c>
      <c r="M43" s="129">
        <f>'CP RESUMO'!AP25</f>
        <v/>
      </c>
      <c r="N43" s="130">
        <f>MAX(0,M43-M42)</f>
        <v/>
      </c>
      <c r="O43" s="129">
        <f>IF(B43&lt;='VALOR POR PL'!$P$5,'CP RESUMO'!AP67,"")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HISTORICOS'!AQ25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456666.11</v>
      </c>
      <c r="M44" s="129">
        <f>'CP RESUMO'!AQ25</f>
        <v/>
      </c>
      <c r="N44" s="130">
        <f>MAX(0,M44-M43)</f>
        <v/>
      </c>
      <c r="O44" s="129">
        <f>IF(B44&lt;='VALOR POR PL'!$P$5,'CP RESUMO'!AQ67,"")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HISTORICOS'!AR25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983286.23</v>
      </c>
      <c r="M45" s="129">
        <f>'CP RESUMO'!AR25</f>
        <v/>
      </c>
      <c r="N45" s="130">
        <f>MAX(0,M45-M44)</f>
        <v/>
      </c>
      <c r="O45" s="129">
        <f>IF(B45&lt;='VALOR POR PL'!$P$5,'CP RESUMO'!AR67,"")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HISTORICOS'!AS25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550986.13</v>
      </c>
      <c r="M46" s="129">
        <f>'CP RESUMO'!AS25</f>
        <v/>
      </c>
      <c r="N46" s="130">
        <f>MAX(0,M46-M45)</f>
        <v/>
      </c>
      <c r="O46" s="129">
        <f>IF(B46&lt;='VALOR POR PL'!$P$5,'CP RESUMO'!AS67,"")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HISTORICOS'!AT25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365490.08</v>
      </c>
      <c r="M47" s="129">
        <f>'CP RESUMO'!AT25</f>
        <v/>
      </c>
      <c r="N47" s="130">
        <f>MAX(0,M47-M46)</f>
        <v/>
      </c>
      <c r="O47" s="129">
        <f>IF(B47&lt;='VALOR POR PL'!$P$5,'CP RESUMO'!AT67,"")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HISTORICOS'!AU25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585570.13</v>
      </c>
      <c r="M48" s="129">
        <f>'CP RESUMO'!AU25</f>
        <v/>
      </c>
      <c r="N48" s="130">
        <f>MAX(0,M48-M47)</f>
        <v/>
      </c>
      <c r="O48" s="129">
        <f>IF(B48&lt;='VALOR POR PL'!$P$5,'CP RESUMO'!AU67,"")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HISTORICOS'!AV25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551772.13</v>
      </c>
      <c r="M49" s="129">
        <f>'CP RESUMO'!AV25</f>
        <v/>
      </c>
      <c r="N49" s="130">
        <f>MAX(0,M49-M48)</f>
        <v/>
      </c>
      <c r="O49" s="129">
        <f>IF(B49&lt;='VALOR POR PL'!$P$5,'CP RESUMO'!AV67,"")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HISTORICOS'!AW25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367848.08</v>
      </c>
      <c r="M50" s="129">
        <f>'CP RESUMO'!AW25</f>
        <v/>
      </c>
      <c r="N50" s="130">
        <f>MAX(0,M50-M49)</f>
        <v/>
      </c>
      <c r="O50" s="129">
        <f>IF(B50&lt;='VALOR POR PL'!$P$5,'CP RESUMO'!AW67,"")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HISTORICOS'!AX25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503826.12</v>
      </c>
      <c r="M51" s="129">
        <f>'CP RESUMO'!AX25</f>
        <v/>
      </c>
      <c r="N51" s="130">
        <f>MAX(0,M51-M50)</f>
        <v/>
      </c>
      <c r="O51" s="129">
        <f>IF(B51&lt;='VALOR POR PL'!$P$5,'CP RESUMO'!AX67,"")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HISTORICOS'!AY25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111612.03</v>
      </c>
      <c r="M52" s="129">
        <f>'CP RESUMO'!AY25</f>
        <v/>
      </c>
      <c r="N52" s="130">
        <f>MAX(0,M52-M51)</f>
        <v/>
      </c>
      <c r="O52" s="129">
        <f>IF(B52&lt;='VALOR POR PL'!$P$5,'CP RESUMO'!AY67,"")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HISTORICOS'!AZ25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299466.07</v>
      </c>
      <c r="M53" s="129">
        <f>'CP RESUMO'!AZ25</f>
        <v/>
      </c>
      <c r="N53" s="130">
        <f>MAX(0,M53-M52)</f>
        <v/>
      </c>
      <c r="O53" s="129">
        <f>IF(B53&lt;='VALOR POR PL'!$P$5,'CP RESUMO'!AZ67,"")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HISTORICOS'!BA25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195714.05</v>
      </c>
      <c r="M54" s="129">
        <f>'CP RESUMO'!BA25</f>
        <v/>
      </c>
      <c r="N54" s="130">
        <f>MAX(0,M54-M53)</f>
        <v/>
      </c>
      <c r="O54" s="129">
        <f>IF(B54&lt;='VALOR POR PL'!$P$5,'CP RESUMO'!BA67,"")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HISTORICOS'!BB25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104538.02</v>
      </c>
      <c r="M55" s="129">
        <f>'CP RESUMO'!BB25</f>
        <v/>
      </c>
      <c r="N55" s="130">
        <f>MAX(0,M55-M54)</f>
        <v/>
      </c>
      <c r="O55" s="129">
        <f>IF(B55&lt;='VALOR POR PL'!$P$5,'CP RESUMO'!BB67,"")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HISTORICOS'!BC25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60047.36</v>
      </c>
      <c r="M56" s="129">
        <f>'CP RESUMO'!BC25</f>
        <v/>
      </c>
      <c r="N56" s="130">
        <f>MAX(0,M56-M55)</f>
        <v/>
      </c>
      <c r="O56" s="129">
        <f>IF(B56&lt;='VALOR POR PL'!$P$5,'CP RESUMO'!BC67,"")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HISTORICOS'!BD25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RESUMO'!BD25</f>
        <v/>
      </c>
      <c r="N57" s="130">
        <f>MAX(0,M57-M56)</f>
        <v/>
      </c>
      <c r="O57" s="129">
        <f>IF(B57&lt;='VALOR POR PL'!$P$5,'CP RESUMO'!BD67,"")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HISTORICOS'!BE25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RESUMO'!BE25</f>
        <v/>
      </c>
      <c r="N58" s="130">
        <f>MAX(0,M58-M57)</f>
        <v/>
      </c>
      <c r="O58" s="129">
        <f>IF(B58&lt;='VALOR POR PL'!$P$5,'CP RESUMO'!BE67,"")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HISTORICOS'!BF25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RESUMO'!BF25</f>
        <v/>
      </c>
      <c r="N59" s="130">
        <f>MAX(0,M59-M58)</f>
        <v/>
      </c>
      <c r="O59" s="129">
        <f>IF(B59&lt;='VALOR POR PL'!$P$5,'CP RESUMO'!BF67,"")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HISTORICOS'!BG25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RESUMO'!BG25</f>
        <v/>
      </c>
      <c r="N60" s="130">
        <f>MAX(0,M60-M59)</f>
        <v/>
      </c>
      <c r="O60" s="129">
        <f>IF(B60&lt;='VALOR POR PL'!$P$5,'CP RESUMO'!BG67,"")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HISTORICOS'!BH25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RESUMO'!BH25</f>
        <v/>
      </c>
      <c r="N61" s="130">
        <f>MAX(0,M61-M60)</f>
        <v/>
      </c>
      <c r="O61" s="129">
        <f>IF(B61&lt;='VALOR POR PL'!$P$5,'CP RESUMO'!BH67,"")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HISTORICOS'!BI25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RESUMO'!BI25</f>
        <v/>
      </c>
      <c r="N62" s="130">
        <f>MAX(0,M62-M61)</f>
        <v/>
      </c>
      <c r="O62" s="129">
        <f>IF(B62&lt;='VALOR POR PL'!$P$5,'CP RESUMO'!BI67,"")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HISTORICOS'!BJ25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RESUMO'!BJ25</f>
        <v/>
      </c>
      <c r="N63" s="130">
        <f>MAX(0,M63-M62)</f>
        <v/>
      </c>
      <c r="O63" s="129">
        <f>IF(B63&lt;='VALOR POR PL'!$P$5,'CP RESUMO'!BJ67,"")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HISTORICOS'!BK25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RESUMO'!BK25</f>
        <v/>
      </c>
      <c r="N64" s="130">
        <f>MAX(0,M64-M63)</f>
        <v/>
      </c>
      <c r="O64" s="129">
        <f>IF(B64&lt;='VALOR POR PL'!$P$5,'CP RESUMO'!BK67,"")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HISTORICOS'!BL25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RESUMO'!BL25</f>
        <v/>
      </c>
      <c r="N65" s="130">
        <f>MAX(0,M65-M64)</f>
        <v/>
      </c>
      <c r="O65" s="129">
        <f>IF(B65&lt;='VALOR POR PL'!$P$5,'CP RESUMO'!BL67,"")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HISTORICOS'!BM25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RESUMO'!BM25</f>
        <v/>
      </c>
      <c r="N66" s="130">
        <f>MAX(0,M66-M65)</f>
        <v/>
      </c>
      <c r="O66" s="129">
        <f>IF(B66&lt;='VALOR POR PL'!$P$5,'CP RESUMO'!BM67,"")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HISTORICOS'!BN25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RESUMO'!BN25</f>
        <v/>
      </c>
      <c r="N67" s="130">
        <f>MAX(0,M67-M66)</f>
        <v/>
      </c>
      <c r="O67" s="129">
        <f>IF(B67&lt;='VALOR POR PL'!$P$5,'CP RESUMO'!BN67,"")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HISTORICOS'!BO25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RESUMO'!BO25</f>
        <v/>
      </c>
      <c r="N68" s="130">
        <f>MAX(0,M68-M67)</f>
        <v/>
      </c>
      <c r="O68" s="129">
        <f>IF(B68&lt;='VALOR POR PL'!$P$5,'CP RESUMO'!BO67,"")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HISTORICOS'!BP25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RESUMO'!BP25</f>
        <v/>
      </c>
      <c r="N69" s="130">
        <f>MAX(0,M69-M68)</f>
        <v/>
      </c>
      <c r="O69" s="129">
        <f>IF(B69&lt;='VALOR POR PL'!$P$5,'CP RESUMO'!BP67,"")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HISTORICOS'!BQ25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RESUMO'!BQ25</f>
        <v/>
      </c>
      <c r="N70" s="130">
        <f>MAX(0,M70-M69)</f>
        <v/>
      </c>
      <c r="O70" s="129">
        <f>IF(B70&lt;='VALOR POR PL'!$P$5,'CP RESUMO'!BQ67,"")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HISTORICOS'!BR25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RESUMO'!BR25</f>
        <v/>
      </c>
      <c r="N71" s="130">
        <f>MAX(0,M71-M70)</f>
        <v/>
      </c>
      <c r="O71" s="129">
        <f>IF(B71&lt;='VALOR POR PL'!$P$5,'CP RESUMO'!BR67,"")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HISTORICOS'!BS25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RESUMO'!BS25</f>
        <v/>
      </c>
      <c r="N72" s="130">
        <f>MAX(0,M72-M71)</f>
        <v/>
      </c>
      <c r="O72" s="129">
        <f>IF(B72&lt;='VALOR POR PL'!$P$5,'CP RESUMO'!BS67,"")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HISTORICOS'!BT25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RESUMO'!BT25</f>
        <v/>
      </c>
      <c r="N73" s="130">
        <f>MAX(0,M73-M72)</f>
        <v/>
      </c>
      <c r="O73" s="129">
        <f>IF(B73&lt;='VALOR POR PL'!$P$5,'CP RESUMO'!BT67,"")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HISTORICOS'!BU25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RESUMO'!BU25</f>
        <v/>
      </c>
      <c r="N74" s="130">
        <f>MAX(0,M74-M73)</f>
        <v/>
      </c>
      <c r="O74" s="129">
        <f>IF(B74&lt;='VALOR POR PL'!$P$5,'CP RESUMO'!BU67,"")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HISTORICOS'!BV25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RESUMO'!BV25</f>
        <v/>
      </c>
      <c r="N75" s="130">
        <f>MAX(0,M75-M74)</f>
        <v/>
      </c>
      <c r="O75" s="129">
        <f>IF(B75&lt;='VALOR POR PL'!$P$5,'CP RESUMO'!BV67,"")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HISTORICOS'!BW25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RESUMO'!BW25</f>
        <v/>
      </c>
      <c r="N76" s="130">
        <f>MAX(0,M76-M75)</f>
        <v/>
      </c>
      <c r="O76" s="129">
        <f>IF(B76&lt;='VALOR POR PL'!$P$5,'CP RESUMO'!BW67,"")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HISTORICOS'!D26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PL'!F32</f>
        <v/>
      </c>
      <c r="K5" s="62">
        <f>'VALOR POR PL'!G32</f>
        <v/>
      </c>
      <c r="M5" s="129">
        <f>'CP RESUMO'!D26</f>
        <v/>
      </c>
      <c r="N5" s="130" t="n">
        <v>0</v>
      </c>
      <c r="O5" s="129">
        <f>IF(B5&lt;='VALOR POR PL'!$P$5,'CP RESUMO'!D68,"")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HISTORICOS'!E26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RESUMO'!E26</f>
        <v/>
      </c>
      <c r="N6" s="130">
        <f>MAX(0,M6-M5)</f>
        <v/>
      </c>
      <c r="O6" s="129">
        <f>IF(B6&lt;='VALOR POR PL'!$P$5,'CP RESUMO'!E68,"")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HISTORICOS'!F26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PL'!L32</f>
        <v/>
      </c>
      <c r="M7" s="129">
        <f>'CP RESUMO'!F26</f>
        <v/>
      </c>
      <c r="N7" s="130">
        <f>MAX(0,M7-M6)</f>
        <v/>
      </c>
      <c r="O7" s="129">
        <f>IF(B7&lt;='VALOR POR PL'!$P$5,'CP RESUMO'!F68,"")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HISTORICOS'!G26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RESUMO'!G26</f>
        <v/>
      </c>
      <c r="N8" s="130">
        <f>MAX(0,M8-M7)</f>
        <v/>
      </c>
      <c r="O8" s="129">
        <f>IF(B8&lt;='VALOR POR PL'!$P$5,'CP RESUMO'!G68,"")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HISTORICOS'!H26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RESUMO'!H26</f>
        <v/>
      </c>
      <c r="N9" s="130">
        <f>MAX(0,M9-M8)</f>
        <v/>
      </c>
      <c r="O9" s="129">
        <f>IF(B9&lt;='VALOR POR PL'!$P$5,'CP RESUMO'!H68,"")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HISTORICOS'!I26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RESUMO'!I26</f>
        <v/>
      </c>
      <c r="N10" s="130">
        <f>MAX(0,M10-M9)</f>
        <v/>
      </c>
      <c r="O10" s="129">
        <f>IF(B10&lt;='VALOR POR PL'!$P$5,'CP RESUMO'!I68,"")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HISTORICOS'!J26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RESUMO'!J26</f>
        <v/>
      </c>
      <c r="N11" s="130">
        <f>MAX(0,M11-M10)</f>
        <v/>
      </c>
      <c r="O11" s="129">
        <f>IF(B11&lt;='VALOR POR PL'!$P$5,'CP RESUMO'!J68,"")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HISTORICOS'!K26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RESUMO'!K26</f>
        <v/>
      </c>
      <c r="N12" s="130">
        <f>MAX(0,M12-M11)</f>
        <v/>
      </c>
      <c r="O12" s="129">
        <f>IF(B12&lt;='VALOR POR PL'!$P$5,'CP RESUMO'!K68,"")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HISTORICOS'!L26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PL'!I32</f>
        <v/>
      </c>
      <c r="M13" s="129">
        <f>'CP RESUMO'!L26</f>
        <v/>
      </c>
      <c r="N13" s="130">
        <f>MAX(0,M13-M12)</f>
        <v/>
      </c>
      <c r="O13" s="129">
        <f>IF(B13&lt;='VALOR POR PL'!$P$5,'CP RESUMO'!L68,"")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HISTORICOS'!M26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RESUMO'!$D$68:$BW$68,MATCH('VALOR POR PL'!$P$5,'CP RESUMO'!$D$4:$BW$4,0))/100,0)</f>
        <v/>
      </c>
      <c r="M14" s="129">
        <f>'CP RESUMO'!M26</f>
        <v/>
      </c>
      <c r="N14" s="130">
        <f>MAX(0,M14-M13)</f>
        <v/>
      </c>
      <c r="O14" s="129">
        <f>IF(B14&lt;='VALOR POR PL'!$P$5,'CP RESUMO'!M68,"")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HISTORICOS'!N26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RESUMO'!N26</f>
        <v/>
      </c>
      <c r="N15" s="130">
        <f>MAX(0,M15-M14)</f>
        <v/>
      </c>
      <c r="O15" s="129">
        <f>IF(B15&lt;='VALOR POR PL'!$P$5,'CP RESUMO'!N68,"")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HISTORICOS'!O26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RESUMO'!O26</f>
        <v/>
      </c>
      <c r="N16" s="130">
        <f>MAX(0,M16-M15)</f>
        <v/>
      </c>
      <c r="O16" s="129">
        <f>IF(B16&lt;='VALOR POR PL'!$P$5,'CP RESUMO'!O68,"")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HISTORICOS'!P26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RESUMO'!P26</f>
        <v/>
      </c>
      <c r="N17" s="130">
        <f>MAX(0,M17-M16)</f>
        <v/>
      </c>
      <c r="O17" s="129">
        <f>IF(B17&lt;='VALOR POR PL'!$P$5,'CP RESUMO'!P68,"")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HISTORICOS'!Q26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RESUMO'!Q26</f>
        <v/>
      </c>
      <c r="N18" s="130">
        <f>MAX(0,M18-M17)</f>
        <v/>
      </c>
      <c r="O18" s="129">
        <f>IF(B18&lt;='VALOR POR PL'!$P$5,'CP RESUMO'!Q68,"")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HISTORICOS'!R26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RESUMO'!R26</f>
        <v/>
      </c>
      <c r="N19" s="130">
        <f>MAX(0,M19-M18)</f>
        <v/>
      </c>
      <c r="O19" s="129">
        <f>IF(B19&lt;='VALOR POR PL'!$P$5,'CP RESUMO'!R68,"")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HISTORICOS'!S26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RESUMO'!S26</f>
        <v/>
      </c>
      <c r="N20" s="130">
        <f>MAX(0,M20-M19)</f>
        <v/>
      </c>
      <c r="O20" s="129">
        <f>IF(B20&lt;='VALOR POR PL'!$P$5,'CP RESUMO'!S68,"")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HISTORICOS'!T26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RESUMO'!T26</f>
        <v/>
      </c>
      <c r="N21" s="130">
        <f>MAX(0,M21-M20)</f>
        <v/>
      </c>
      <c r="O21" s="129">
        <f>IF(B21&lt;='VALOR POR PL'!$P$5,'CP RESUMO'!T68,"")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HISTORICOS'!U26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RESUMO'!U26</f>
        <v/>
      </c>
      <c r="N22" s="130">
        <f>MAX(0,M22-M21)</f>
        <v/>
      </c>
      <c r="O22" s="129">
        <f>IF(B22&lt;='VALOR POR PL'!$P$5,'CP RESUMO'!U68,"")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HISTORICOS'!V26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RESUMO'!V26</f>
        <v/>
      </c>
      <c r="N23" s="130">
        <f>MAX(0,M23-M22)</f>
        <v/>
      </c>
      <c r="O23" s="129">
        <f>IF(B23&lt;='VALOR POR PL'!$P$5,'CP RESUMO'!V68,"")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HISTORICOS'!W26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RESUMO'!W26</f>
        <v/>
      </c>
      <c r="N24" s="130">
        <f>MAX(0,M24-M23)</f>
        <v/>
      </c>
      <c r="O24" s="129">
        <f>IF(B24&lt;='VALOR POR PL'!$P$5,'CP RESUMO'!W68,"")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HISTORICOS'!X26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RESUMO'!X26</f>
        <v/>
      </c>
      <c r="N25" s="130">
        <f>MAX(0,M25-M24)</f>
        <v/>
      </c>
      <c r="O25" s="129">
        <f>IF(B25&lt;='VALOR POR PL'!$P$5,'CP RESUMO'!X68,"")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HISTORICOS'!Y26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RESUMO'!Y26</f>
        <v/>
      </c>
      <c r="N26" s="130">
        <f>MAX(0,M26-M25)</f>
        <v/>
      </c>
      <c r="O26" s="129">
        <f>IF(B26&lt;='VALOR POR PL'!$P$5,'CP RESUMO'!Y68,"")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HISTORICOS'!Z26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RESUMO'!Z26</f>
        <v/>
      </c>
      <c r="N27" s="130">
        <f>MAX(0,M27-M26)</f>
        <v/>
      </c>
      <c r="O27" s="129">
        <f>IF(B27&lt;='VALOR POR PL'!$P$5,'CP RESUMO'!Z68,"")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HISTORICOS'!AA26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RESUMO'!AA26</f>
        <v/>
      </c>
      <c r="N28" s="130">
        <f>MAX(0,M28-M27)</f>
        <v/>
      </c>
      <c r="O28" s="129">
        <f>IF(B28&lt;='VALOR POR PL'!$P$5,'CP RESUMO'!AA68,"")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HISTORICOS'!AB26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RESUMO'!AB26</f>
        <v/>
      </c>
      <c r="N29" s="130">
        <f>MAX(0,M29-M28)</f>
        <v/>
      </c>
      <c r="O29" s="129">
        <f>IF(B29&lt;='VALOR POR PL'!$P$5,'CP RESUMO'!AB68,"")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HISTORICOS'!AC26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RESUMO'!AC26</f>
        <v/>
      </c>
      <c r="N30" s="130">
        <f>MAX(0,M30-M29)</f>
        <v/>
      </c>
      <c r="O30" s="129">
        <f>IF(B30&lt;='VALOR POR PL'!$P$5,'CP RESUMO'!AC68,"")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HISTORICOS'!AD26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RESUMO'!AD26</f>
        <v/>
      </c>
      <c r="N31" s="130">
        <f>MAX(0,M31-M30)</f>
        <v/>
      </c>
      <c r="O31" s="129">
        <f>IF(B31&lt;='VALOR POR PL'!$P$5,'CP RESUMO'!AD68,"")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HISTORICOS'!AE26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RESUMO'!AE26</f>
        <v/>
      </c>
      <c r="N32" s="130">
        <f>MAX(0,M32-M31)</f>
        <v/>
      </c>
      <c r="O32" s="129">
        <f>IF(B32&lt;='VALOR POR PL'!$P$5,'CP RESUMO'!AE68,"")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HISTORICOS'!AF26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4858.59</v>
      </c>
      <c r="M33" s="129">
        <f>'CP RESUMO'!AF26</f>
        <v/>
      </c>
      <c r="N33" s="130">
        <f>MAX(0,M33-M32)</f>
        <v/>
      </c>
      <c r="O33" s="129">
        <f>IF(B33&lt;='VALOR POR PL'!$P$5,'CP RESUMO'!AF68,"")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HISTORICOS'!AG26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51303.46</v>
      </c>
      <c r="M34" s="129">
        <f>'CP RESUMO'!AG26</f>
        <v/>
      </c>
      <c r="N34" s="130">
        <f>MAX(0,M34-M33)</f>
        <v/>
      </c>
      <c r="O34" s="129">
        <f>IF(B34&lt;='VALOR POR PL'!$P$5,'CP RESUMO'!AG68,"")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HISTORICOS'!AH26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48915.33</v>
      </c>
      <c r="M35" s="129">
        <f>'CP RESUMO'!AH26</f>
        <v/>
      </c>
      <c r="N35" s="130">
        <f>MAX(0,M35-M34)</f>
        <v/>
      </c>
      <c r="O35" s="129">
        <f>IF(B35&lt;='VALOR POR PL'!$P$5,'CP RESUMO'!AH68,"")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HISTORICOS'!AI26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53691.58</v>
      </c>
      <c r="M36" s="129">
        <f>'CP RESUMO'!AI26</f>
        <v/>
      </c>
      <c r="N36" s="130">
        <f>MAX(0,M36-M35)</f>
        <v/>
      </c>
      <c r="O36" s="129">
        <f>IF(B36&lt;='VALOR POR PL'!$P$5,'CP RESUMO'!AI68,"")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HISTORICOS'!AJ26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57973.73</v>
      </c>
      <c r="M37" s="129">
        <f>'CP RESUMO'!AJ26</f>
        <v/>
      </c>
      <c r="N37" s="130">
        <f>MAX(0,M37-M36)</f>
        <v/>
      </c>
      <c r="O37" s="129">
        <f>IF(B37&lt;='VALOR POR PL'!$P$5,'CP RESUMO'!AJ68,"")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HISTORICOS'!AK26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62667.62</v>
      </c>
      <c r="M38" s="129">
        <f>'CP RESUMO'!AK26</f>
        <v/>
      </c>
      <c r="N38" s="130">
        <f>MAX(0,M38-M37)</f>
        <v/>
      </c>
      <c r="O38" s="129">
        <f>IF(B38&lt;='VALOR POR PL'!$P$5,'CP RESUMO'!AK68,"")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HISTORICOS'!AL26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58632.52</v>
      </c>
      <c r="M39" s="129">
        <f>'CP RESUMO'!AL26</f>
        <v/>
      </c>
      <c r="N39" s="130">
        <f>MAX(0,M39-M38)</f>
        <v/>
      </c>
      <c r="O39" s="129">
        <f>IF(B39&lt;='VALOR POR PL'!$P$5,'CP RESUMO'!AL68,"")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HISTORICOS'!AM26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70490.78</v>
      </c>
      <c r="M40" s="129">
        <f>'CP RESUMO'!AM26</f>
        <v/>
      </c>
      <c r="N40" s="130">
        <f>MAX(0,M40-M39)</f>
        <v/>
      </c>
      <c r="O40" s="129">
        <f>IF(B40&lt;='VALOR POR PL'!$P$5,'CP RESUMO'!AM68,"")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HISTORICOS'!AN26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67773.27</v>
      </c>
      <c r="M41" s="129">
        <f>'CP RESUMO'!AN26</f>
        <v/>
      </c>
      <c r="N41" s="130">
        <f>MAX(0,M41-M40)</f>
        <v/>
      </c>
      <c r="O41" s="129">
        <f>IF(B41&lt;='VALOR POR PL'!$P$5,'CP RESUMO'!AN68,"")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HISTORICOS'!AO26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60444.2</v>
      </c>
      <c r="M42" s="129">
        <f>'CP RESUMO'!AO26</f>
        <v/>
      </c>
      <c r="N42" s="130">
        <f>MAX(0,M42-M41)</f>
        <v/>
      </c>
      <c r="O42" s="129">
        <f>IF(B42&lt;='VALOR POR PL'!$P$5,'CP RESUMO'!AO68,"")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HISTORICOS'!AP26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60526.55</v>
      </c>
      <c r="M43" s="129">
        <f>'CP RESUMO'!AP26</f>
        <v/>
      </c>
      <c r="N43" s="130">
        <f>MAX(0,M43-M42)</f>
        <v/>
      </c>
      <c r="O43" s="129">
        <f>IF(B43&lt;='VALOR POR PL'!$P$5,'CP RESUMO'!AP68,"")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HISTORICOS'!AQ26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68349.71000000001</v>
      </c>
      <c r="M44" s="129">
        <f>'CP RESUMO'!AQ26</f>
        <v/>
      </c>
      <c r="N44" s="130">
        <f>MAX(0,M44-M43)</f>
        <v/>
      </c>
      <c r="O44" s="129">
        <f>IF(B44&lt;='VALOR POR PL'!$P$5,'CP RESUMO'!AQ68,"")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HISTORICOS'!AR26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85807.71000000001</v>
      </c>
      <c r="M45" s="129">
        <f>'CP RESUMO'!AR26</f>
        <v/>
      </c>
      <c r="N45" s="130">
        <f>MAX(0,M45-M44)</f>
        <v/>
      </c>
      <c r="O45" s="129">
        <f>IF(B45&lt;='VALOR POR PL'!$P$5,'CP RESUMO'!AR68,"")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HISTORICOS'!AS26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33186.67</v>
      </c>
      <c r="M46" s="129">
        <f>'CP RESUMO'!AS26</f>
        <v/>
      </c>
      <c r="N46" s="130">
        <f>MAX(0,M46-M45)</f>
        <v/>
      </c>
      <c r="O46" s="129">
        <f>IF(B46&lt;='VALOR POR PL'!$P$5,'CP RESUMO'!AS68,"")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HISTORICOS'!AT26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7905.51</v>
      </c>
      <c r="M47" s="129">
        <f>'CP RESUMO'!AT26</f>
        <v/>
      </c>
      <c r="N47" s="130">
        <f>MAX(0,M47-M46)</f>
        <v/>
      </c>
      <c r="O47" s="129">
        <f>IF(B47&lt;='VALOR POR PL'!$P$5,'CP RESUMO'!AT68,"")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HISTORICOS'!AU26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15234.57</v>
      </c>
      <c r="M48" s="129">
        <f>'CP RESUMO'!AU26</f>
        <v/>
      </c>
      <c r="N48" s="130">
        <f>MAX(0,M48-M47)</f>
        <v/>
      </c>
      <c r="O48" s="129">
        <f>IF(B48&lt;='VALOR POR PL'!$P$5,'CP RESUMO'!AU68,"")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HISTORICOS'!AV26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2305.77</v>
      </c>
      <c r="M49" s="129">
        <f>'CP RESUMO'!AV26</f>
        <v/>
      </c>
      <c r="N49" s="130">
        <f>MAX(0,M49-M48)</f>
        <v/>
      </c>
      <c r="O49" s="129">
        <f>IF(B49&lt;='VALOR POR PL'!$P$5,'CP RESUMO'!AV68,"")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HISTORICOS'!AW26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2305.77</v>
      </c>
      <c r="M50" s="129">
        <f>'CP RESUMO'!AW26</f>
        <v/>
      </c>
      <c r="N50" s="130">
        <f>MAX(0,M50-M49)</f>
        <v/>
      </c>
      <c r="O50" s="129">
        <f>IF(B50&lt;='VALOR POR PL'!$P$5,'CP RESUMO'!AW68,"")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HISTORICOS'!AX26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2223.42</v>
      </c>
      <c r="M51" s="129">
        <f>'CP RESUMO'!AX26</f>
        <v/>
      </c>
      <c r="N51" s="130">
        <f>MAX(0,M51-M50)</f>
        <v/>
      </c>
      <c r="O51" s="129">
        <f>IF(B51&lt;='VALOR POR PL'!$P$5,'CP RESUMO'!AX68,"")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HISTORICOS'!AY26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2305.77</v>
      </c>
      <c r="M52" s="129">
        <f>'CP RESUMO'!AY26</f>
        <v/>
      </c>
      <c r="N52" s="130">
        <f>MAX(0,M52-M51)</f>
        <v/>
      </c>
      <c r="O52" s="129">
        <f>IF(B52&lt;='VALOR POR PL'!$P$5,'CP RESUMO'!AY68,"")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HISTORICOS'!AZ26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2223.42</v>
      </c>
      <c r="M53" s="129">
        <f>'CP RESUMO'!AZ26</f>
        <v/>
      </c>
      <c r="N53" s="130">
        <f>MAX(0,M53-M52)</f>
        <v/>
      </c>
      <c r="O53" s="129">
        <f>IF(B53&lt;='VALOR POR PL'!$P$5,'CP RESUMO'!AZ68,"")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HISTORICOS'!BA26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1894.03</v>
      </c>
      <c r="M54" s="129">
        <f>'CP RESUMO'!BA26</f>
        <v/>
      </c>
      <c r="N54" s="130">
        <f>MAX(0,M54-M53)</f>
        <v/>
      </c>
      <c r="O54" s="129">
        <f>IF(B54&lt;='VALOR POR PL'!$P$5,'CP RESUMO'!BA68,"")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HISTORICOS'!BB26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2141.08</v>
      </c>
      <c r="M55" s="129">
        <f>'CP RESUMO'!BB26</f>
        <v/>
      </c>
      <c r="N55" s="130">
        <f>MAX(0,M55-M54)</f>
        <v/>
      </c>
      <c r="O55" s="129">
        <f>IF(B55&lt;='VALOR POR PL'!$P$5,'CP RESUMO'!BB68,"")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HISTORICOS'!BC26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329.4</v>
      </c>
      <c r="M56" s="129">
        <f>'CP RESUMO'!BC26</f>
        <v/>
      </c>
      <c r="N56" s="130">
        <f>MAX(0,M56-M55)</f>
        <v/>
      </c>
      <c r="O56" s="129">
        <f>IF(B56&lt;='VALOR POR PL'!$P$5,'CP RESUMO'!BC68,"")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HISTORICOS'!BD26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RESUMO'!BD26</f>
        <v/>
      </c>
      <c r="N57" s="130">
        <f>MAX(0,M57-M56)</f>
        <v/>
      </c>
      <c r="O57" s="129">
        <f>IF(B57&lt;='VALOR POR PL'!$P$5,'CP RESUMO'!BD68,"")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HISTORICOS'!BE26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RESUMO'!BE26</f>
        <v/>
      </c>
      <c r="N58" s="130">
        <f>MAX(0,M58-M57)</f>
        <v/>
      </c>
      <c r="O58" s="129">
        <f>IF(B58&lt;='VALOR POR PL'!$P$5,'CP RESUMO'!BE68,"")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HISTORICOS'!BF26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RESUMO'!BF26</f>
        <v/>
      </c>
      <c r="N59" s="130">
        <f>MAX(0,M59-M58)</f>
        <v/>
      </c>
      <c r="O59" s="129">
        <f>IF(B59&lt;='VALOR POR PL'!$P$5,'CP RESUMO'!BF68,"")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HISTORICOS'!BG26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RESUMO'!BG26</f>
        <v/>
      </c>
      <c r="N60" s="130">
        <f>MAX(0,M60-M59)</f>
        <v/>
      </c>
      <c r="O60" s="129">
        <f>IF(B60&lt;='VALOR POR PL'!$P$5,'CP RESUMO'!BG68,"")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HISTORICOS'!BH26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RESUMO'!BH26</f>
        <v/>
      </c>
      <c r="N61" s="130">
        <f>MAX(0,M61-M60)</f>
        <v/>
      </c>
      <c r="O61" s="129">
        <f>IF(B61&lt;='VALOR POR PL'!$P$5,'CP RESUMO'!BH68,"")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HISTORICOS'!BI26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RESUMO'!BI26</f>
        <v/>
      </c>
      <c r="N62" s="130">
        <f>MAX(0,M62-M61)</f>
        <v/>
      </c>
      <c r="O62" s="129">
        <f>IF(B62&lt;='VALOR POR PL'!$P$5,'CP RESUMO'!BI68,"")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HISTORICOS'!BJ26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RESUMO'!BJ26</f>
        <v/>
      </c>
      <c r="N63" s="130">
        <f>MAX(0,M63-M62)</f>
        <v/>
      </c>
      <c r="O63" s="129">
        <f>IF(B63&lt;='VALOR POR PL'!$P$5,'CP RESUMO'!BJ68,"")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HISTORICOS'!BK26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RESUMO'!BK26</f>
        <v/>
      </c>
      <c r="N64" s="130">
        <f>MAX(0,M64-M63)</f>
        <v/>
      </c>
      <c r="O64" s="129">
        <f>IF(B64&lt;='VALOR POR PL'!$P$5,'CP RESUMO'!BK68,"")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HISTORICOS'!BL26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RESUMO'!BL26</f>
        <v/>
      </c>
      <c r="N65" s="130">
        <f>MAX(0,M65-M64)</f>
        <v/>
      </c>
      <c r="O65" s="129">
        <f>IF(B65&lt;='VALOR POR PL'!$P$5,'CP RESUMO'!BL68,"")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HISTORICOS'!BM26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RESUMO'!BM26</f>
        <v/>
      </c>
      <c r="N66" s="130">
        <f>MAX(0,M66-M65)</f>
        <v/>
      </c>
      <c r="O66" s="129">
        <f>IF(B66&lt;='VALOR POR PL'!$P$5,'CP RESUMO'!BM68,"")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HISTORICOS'!BN26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RESUMO'!BN26</f>
        <v/>
      </c>
      <c r="N67" s="130">
        <f>MAX(0,M67-M66)</f>
        <v/>
      </c>
      <c r="O67" s="129">
        <f>IF(B67&lt;='VALOR POR PL'!$P$5,'CP RESUMO'!BN68,"")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HISTORICOS'!BO26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RESUMO'!BO26</f>
        <v/>
      </c>
      <c r="N68" s="130">
        <f>MAX(0,M68-M67)</f>
        <v/>
      </c>
      <c r="O68" s="129">
        <f>IF(B68&lt;='VALOR POR PL'!$P$5,'CP RESUMO'!BO68,"")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HISTORICOS'!BP26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RESUMO'!BP26</f>
        <v/>
      </c>
      <c r="N69" s="130">
        <f>MAX(0,M69-M68)</f>
        <v/>
      </c>
      <c r="O69" s="129">
        <f>IF(B69&lt;='VALOR POR PL'!$P$5,'CP RESUMO'!BP68,"")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HISTORICOS'!BQ26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RESUMO'!BQ26</f>
        <v/>
      </c>
      <c r="N70" s="130">
        <f>MAX(0,M70-M69)</f>
        <v/>
      </c>
      <c r="O70" s="129">
        <f>IF(B70&lt;='VALOR POR PL'!$P$5,'CP RESUMO'!BQ68,"")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HISTORICOS'!BR26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RESUMO'!BR26</f>
        <v/>
      </c>
      <c r="N71" s="130">
        <f>MAX(0,M71-M70)</f>
        <v/>
      </c>
      <c r="O71" s="129">
        <f>IF(B71&lt;='VALOR POR PL'!$P$5,'CP RESUMO'!BR68,"")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HISTORICOS'!BS26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RESUMO'!BS26</f>
        <v/>
      </c>
      <c r="N72" s="130">
        <f>MAX(0,M72-M71)</f>
        <v/>
      </c>
      <c r="O72" s="129">
        <f>IF(B72&lt;='VALOR POR PL'!$P$5,'CP RESUMO'!BS68,"")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HISTORICOS'!BT26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RESUMO'!BT26</f>
        <v/>
      </c>
      <c r="N73" s="130">
        <f>MAX(0,M73-M72)</f>
        <v/>
      </c>
      <c r="O73" s="129">
        <f>IF(B73&lt;='VALOR POR PL'!$P$5,'CP RESUMO'!BT68,"")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HISTORICOS'!BU26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RESUMO'!BU26</f>
        <v/>
      </c>
      <c r="N74" s="130">
        <f>MAX(0,M74-M73)</f>
        <v/>
      </c>
      <c r="O74" s="129">
        <f>IF(B74&lt;='VALOR POR PL'!$P$5,'CP RESUMO'!BU68,"")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HISTORICOS'!BV26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RESUMO'!BV26</f>
        <v/>
      </c>
      <c r="N75" s="130">
        <f>MAX(0,M75-M74)</f>
        <v/>
      </c>
      <c r="O75" s="129">
        <f>IF(B75&lt;='VALOR POR PL'!$P$5,'CP RESUMO'!BV68,"")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HISTORICOS'!BW26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RESUMO'!BW26</f>
        <v/>
      </c>
      <c r="N76" s="130">
        <f>MAX(0,M76-M75)</f>
        <v/>
      </c>
      <c r="O76" s="129">
        <f>IF(B76&lt;='VALOR POR PL'!$P$5,'CP RESUMO'!BW68,"")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HISTORICOS'!D27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PL'!F33</f>
        <v/>
      </c>
      <c r="K5" s="62">
        <f>'VALOR POR PL'!G33</f>
        <v/>
      </c>
      <c r="M5" s="129">
        <f>'CP RESUMO'!D27</f>
        <v/>
      </c>
      <c r="N5" s="130" t="n">
        <v>0</v>
      </c>
      <c r="O5" s="129">
        <f>IF(B5&lt;='VALOR POR PL'!$P$5,'CP RESUMO'!D69,"")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HISTORICOS'!E27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RESUMO'!E27</f>
        <v/>
      </c>
      <c r="N6" s="130">
        <f>MAX(0,M6-M5)</f>
        <v/>
      </c>
      <c r="O6" s="129">
        <f>IF(B6&lt;='VALOR POR PL'!$P$5,'CP RESUMO'!E69,"")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HISTORICOS'!F27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PL'!L33</f>
        <v/>
      </c>
      <c r="M7" s="129">
        <f>'CP RESUMO'!F27</f>
        <v/>
      </c>
      <c r="N7" s="130">
        <f>MAX(0,M7-M6)</f>
        <v/>
      </c>
      <c r="O7" s="129">
        <f>IF(B7&lt;='VALOR POR PL'!$P$5,'CP RESUMO'!F69,"")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HISTORICOS'!G27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RESUMO'!G27</f>
        <v/>
      </c>
      <c r="N8" s="130">
        <f>MAX(0,M8-M7)</f>
        <v/>
      </c>
      <c r="O8" s="129">
        <f>IF(B8&lt;='VALOR POR PL'!$P$5,'CP RESUMO'!G69,"")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HISTORICOS'!H27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RESUMO'!H27</f>
        <v/>
      </c>
      <c r="N9" s="130">
        <f>MAX(0,M9-M8)</f>
        <v/>
      </c>
      <c r="O9" s="129">
        <f>IF(B9&lt;='VALOR POR PL'!$P$5,'CP RESUMO'!H69,"")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HISTORICOS'!I27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RESUMO'!I27</f>
        <v/>
      </c>
      <c r="N10" s="130">
        <f>MAX(0,M10-M9)</f>
        <v/>
      </c>
      <c r="O10" s="129">
        <f>IF(B10&lt;='VALOR POR PL'!$P$5,'CP RESUMO'!I69,"")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HISTORICOS'!J27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RESUMO'!J27</f>
        <v/>
      </c>
      <c r="N11" s="130">
        <f>MAX(0,M11-M10)</f>
        <v/>
      </c>
      <c r="O11" s="129">
        <f>IF(B11&lt;='VALOR POR PL'!$P$5,'CP RESUMO'!J69,"")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HISTORICOS'!K27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RESUMO'!K27</f>
        <v/>
      </c>
      <c r="N12" s="130">
        <f>MAX(0,M12-M11)</f>
        <v/>
      </c>
      <c r="O12" s="129">
        <f>IF(B12&lt;='VALOR POR PL'!$P$5,'CP RESUMO'!K69,"")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HISTORICOS'!L27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PL'!I33</f>
        <v/>
      </c>
      <c r="M13" s="129">
        <f>'CP RESUMO'!L27</f>
        <v/>
      </c>
      <c r="N13" s="130">
        <f>MAX(0,M13-M12)</f>
        <v/>
      </c>
      <c r="O13" s="129">
        <f>IF(B13&lt;='VALOR POR PL'!$P$5,'CP RESUMO'!L69,"")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HISTORICOS'!M27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RESUMO'!$D$69:$BW$69,MATCH('VALOR POR PL'!$P$5,'CP RESUMO'!$D$4:$BW$4,0))/100,0)</f>
        <v/>
      </c>
      <c r="M14" s="129">
        <f>'CP RESUMO'!M27</f>
        <v/>
      </c>
      <c r="N14" s="130">
        <f>MAX(0,M14-M13)</f>
        <v/>
      </c>
      <c r="O14" s="129">
        <f>IF(B14&lt;='VALOR POR PL'!$P$5,'CP RESUMO'!M69,"")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HISTORICOS'!N27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RESUMO'!N27</f>
        <v/>
      </c>
      <c r="N15" s="130">
        <f>MAX(0,M15-M14)</f>
        <v/>
      </c>
      <c r="O15" s="129">
        <f>IF(B15&lt;='VALOR POR PL'!$P$5,'CP RESUMO'!N69,"")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HISTORICOS'!O27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RESUMO'!O27</f>
        <v/>
      </c>
      <c r="N16" s="130">
        <f>MAX(0,M16-M15)</f>
        <v/>
      </c>
      <c r="O16" s="129">
        <f>IF(B16&lt;='VALOR POR PL'!$P$5,'CP RESUMO'!O69,"")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HISTORICOS'!P27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RESUMO'!P27</f>
        <v/>
      </c>
      <c r="N17" s="130">
        <f>MAX(0,M17-M16)</f>
        <v/>
      </c>
      <c r="O17" s="129">
        <f>IF(B17&lt;='VALOR POR PL'!$P$5,'CP RESUMO'!P69,"")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HISTORICOS'!Q27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RESUMO'!Q27</f>
        <v/>
      </c>
      <c r="N18" s="130">
        <f>MAX(0,M18-M17)</f>
        <v/>
      </c>
      <c r="O18" s="129">
        <f>IF(B18&lt;='VALOR POR PL'!$P$5,'CP RESUMO'!Q69,"")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HISTORICOS'!R27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RESUMO'!R27</f>
        <v/>
      </c>
      <c r="N19" s="130">
        <f>MAX(0,M19-M18)</f>
        <v/>
      </c>
      <c r="O19" s="129">
        <f>IF(B19&lt;='VALOR POR PL'!$P$5,'CP RESUMO'!R69,"")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HISTORICOS'!S27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RESUMO'!S27</f>
        <v/>
      </c>
      <c r="N20" s="130">
        <f>MAX(0,M20-M19)</f>
        <v/>
      </c>
      <c r="O20" s="129">
        <f>IF(B20&lt;='VALOR POR PL'!$P$5,'CP RESUMO'!S69,"")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HISTORICOS'!T27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RESUMO'!T27</f>
        <v/>
      </c>
      <c r="N21" s="130">
        <f>MAX(0,M21-M20)</f>
        <v/>
      </c>
      <c r="O21" s="129">
        <f>IF(B21&lt;='VALOR POR PL'!$P$5,'CP RESUMO'!T69,"")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HISTORICOS'!U27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RESUMO'!U27</f>
        <v/>
      </c>
      <c r="N22" s="130">
        <f>MAX(0,M22-M21)</f>
        <v/>
      </c>
      <c r="O22" s="129">
        <f>IF(B22&lt;='VALOR POR PL'!$P$5,'CP RESUMO'!U69,"")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HISTORICOS'!V27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RESUMO'!V27</f>
        <v/>
      </c>
      <c r="N23" s="130">
        <f>MAX(0,M23-M22)</f>
        <v/>
      </c>
      <c r="O23" s="129">
        <f>IF(B23&lt;='VALOR POR PL'!$P$5,'CP RESUMO'!V69,"")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HISTORICOS'!W27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RESUMO'!W27</f>
        <v/>
      </c>
      <c r="N24" s="130">
        <f>MAX(0,M24-M23)</f>
        <v/>
      </c>
      <c r="O24" s="129">
        <f>IF(B24&lt;='VALOR POR PL'!$P$5,'CP RESUMO'!W69,"")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HISTORICOS'!X27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RESUMO'!X27</f>
        <v/>
      </c>
      <c r="N25" s="130">
        <f>MAX(0,M25-M24)</f>
        <v/>
      </c>
      <c r="O25" s="129">
        <f>IF(B25&lt;='VALOR POR PL'!$P$5,'CP RESUMO'!X69,"")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HISTORICOS'!Y27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RESUMO'!Y27</f>
        <v/>
      </c>
      <c r="N26" s="130">
        <f>MAX(0,M26-M25)</f>
        <v/>
      </c>
      <c r="O26" s="129">
        <f>IF(B26&lt;='VALOR POR PL'!$P$5,'CP RESUMO'!Y69,"")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HISTORICOS'!Z27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RESUMO'!Z27</f>
        <v/>
      </c>
      <c r="N27" s="130">
        <f>MAX(0,M27-M26)</f>
        <v/>
      </c>
      <c r="O27" s="129">
        <f>IF(B27&lt;='VALOR POR PL'!$P$5,'CP RESUMO'!Z69,"")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HISTORICOS'!AA27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RESUMO'!AA27</f>
        <v/>
      </c>
      <c r="N28" s="130">
        <f>MAX(0,M28-M27)</f>
        <v/>
      </c>
      <c r="O28" s="129">
        <f>IF(B28&lt;='VALOR POR PL'!$P$5,'CP RESUMO'!AA69,"")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HISTORICOS'!AB27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RESUMO'!AB27</f>
        <v/>
      </c>
      <c r="N29" s="130">
        <f>MAX(0,M29-M28)</f>
        <v/>
      </c>
      <c r="O29" s="129">
        <f>IF(B29&lt;='VALOR POR PL'!$P$5,'CP RESUMO'!AB69,"")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HISTORICOS'!AC27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RESUMO'!AC27</f>
        <v/>
      </c>
      <c r="N30" s="130">
        <f>MAX(0,M30-M29)</f>
        <v/>
      </c>
      <c r="O30" s="129">
        <f>IF(B30&lt;='VALOR POR PL'!$P$5,'CP RESUMO'!AC69,"")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HISTORICOS'!AD27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RESUMO'!AD27</f>
        <v/>
      </c>
      <c r="N31" s="130">
        <f>MAX(0,M31-M30)</f>
        <v/>
      </c>
      <c r="O31" s="129">
        <f>IF(B31&lt;='VALOR POR PL'!$P$5,'CP RESUMO'!AD69,"")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HISTORICOS'!AE27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RESUMO'!AE27</f>
        <v/>
      </c>
      <c r="N32" s="130">
        <f>MAX(0,M32-M31)</f>
        <v/>
      </c>
      <c r="O32" s="129">
        <f>IF(B32&lt;='VALOR POR PL'!$P$5,'CP RESUMO'!AE69,"")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HISTORICOS'!AF27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RESUMO'!AF27</f>
        <v/>
      </c>
      <c r="N33" s="130">
        <f>MAX(0,M33-M32)</f>
        <v/>
      </c>
      <c r="O33" s="129">
        <f>IF(B33&lt;='VALOR POR PL'!$P$5,'CP RESUMO'!AF69,"")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HISTORICOS'!AG27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RESUMO'!AG27</f>
        <v/>
      </c>
      <c r="N34" s="130">
        <f>MAX(0,M34-M33)</f>
        <v/>
      </c>
      <c r="O34" s="129">
        <f>IF(B34&lt;='VALOR POR PL'!$P$5,'CP RESUMO'!AG69,"")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HISTORICOS'!AH27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RESUMO'!AH27</f>
        <v/>
      </c>
      <c r="N35" s="130">
        <f>MAX(0,M35-M34)</f>
        <v/>
      </c>
      <c r="O35" s="129">
        <f>IF(B35&lt;='VALOR POR PL'!$P$5,'CP RESUMO'!AH69,"")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HISTORICOS'!AI27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15275.52</v>
      </c>
      <c r="M36" s="129">
        <f>'CP RESUMO'!AI27</f>
        <v/>
      </c>
      <c r="N36" s="130">
        <f>MAX(0,M36-M35)</f>
        <v/>
      </c>
      <c r="O36" s="129">
        <f>IF(B36&lt;='VALOR POR PL'!$P$5,'CP RESUMO'!AI69,"")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HISTORICOS'!AJ27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96462.07000000001</v>
      </c>
      <c r="M37" s="129">
        <f>'CP RESUMO'!AJ27</f>
        <v/>
      </c>
      <c r="N37" s="130">
        <f>MAX(0,M37-M36)</f>
        <v/>
      </c>
      <c r="O37" s="129">
        <f>IF(B37&lt;='VALOR POR PL'!$P$5,'CP RESUMO'!AJ69,"")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HISTORICOS'!AK27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145117.42</v>
      </c>
      <c r="M38" s="129">
        <f>'CP RESUMO'!AK27</f>
        <v/>
      </c>
      <c r="N38" s="130">
        <f>MAX(0,M38-M37)</f>
        <v/>
      </c>
      <c r="O38" s="129">
        <f>IF(B38&lt;='VALOR POR PL'!$P$5,'CP RESUMO'!AK69,"")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HISTORICOS'!AL27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138894.06</v>
      </c>
      <c r="M39" s="129">
        <f>'CP RESUMO'!AL27</f>
        <v/>
      </c>
      <c r="N39" s="130">
        <f>MAX(0,M39-M38)</f>
        <v/>
      </c>
      <c r="O39" s="129">
        <f>IF(B39&lt;='VALOR POR PL'!$P$5,'CP RESUMO'!AL69,"")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HISTORICOS'!AM27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143703.02</v>
      </c>
      <c r="M40" s="129">
        <f>'CP RESUMO'!AM27</f>
        <v/>
      </c>
      <c r="N40" s="130">
        <f>MAX(0,M40-M39)</f>
        <v/>
      </c>
      <c r="O40" s="129">
        <f>IF(B40&lt;='VALOR POR PL'!$P$5,'CP RESUMO'!AM69,"")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HISTORICOS'!AN27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242711.01</v>
      </c>
      <c r="M41" s="129">
        <f>'CP RESUMO'!AN27</f>
        <v/>
      </c>
      <c r="N41" s="130">
        <f>MAX(0,M41-M40)</f>
        <v/>
      </c>
      <c r="O41" s="129">
        <f>IF(B41&lt;='VALOR POR PL'!$P$5,'CP RESUMO'!AN69,"")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HISTORICOS'!AO27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167182.06</v>
      </c>
      <c r="M42" s="129">
        <f>'CP RESUMO'!AO27</f>
        <v/>
      </c>
      <c r="N42" s="130">
        <f>MAX(0,M42-M41)</f>
        <v/>
      </c>
      <c r="O42" s="129">
        <f>IF(B42&lt;='VALOR POR PL'!$P$5,'CP RESUMO'!AO69,"")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HISTORICOS'!AP27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140591.34</v>
      </c>
      <c r="M43" s="129">
        <f>'CP RESUMO'!AP27</f>
        <v/>
      </c>
      <c r="N43" s="130">
        <f>MAX(0,M43-M42)</f>
        <v/>
      </c>
      <c r="O43" s="129">
        <f>IF(B43&lt;='VALOR POR PL'!$P$5,'CP RESUMO'!AP69,"")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HISTORICOS'!AQ27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140025.58</v>
      </c>
      <c r="M44" s="129">
        <f>'CP RESUMO'!AQ27</f>
        <v/>
      </c>
      <c r="N44" s="130">
        <f>MAX(0,M44-M43)</f>
        <v/>
      </c>
      <c r="O44" s="129">
        <f>IF(B44&lt;='VALOR POR PL'!$P$5,'CP RESUMO'!AQ69,"")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HISTORICOS'!AR27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216403.17</v>
      </c>
      <c r="M45" s="129">
        <f>'CP RESUMO'!AR27</f>
        <v/>
      </c>
      <c r="N45" s="130">
        <f>MAX(0,M45-M44)</f>
        <v/>
      </c>
      <c r="O45" s="129">
        <f>IF(B45&lt;='VALOR POR PL'!$P$5,'CP RESUMO'!AR69,"")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HISTORICOS'!AS27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153320.94</v>
      </c>
      <c r="M46" s="129">
        <f>'CP RESUMO'!AS27</f>
        <v/>
      </c>
      <c r="N46" s="130">
        <f>MAX(0,M46-M45)</f>
        <v/>
      </c>
      <c r="O46" s="129">
        <f>IF(B46&lt;='VALOR POR PL'!$P$5,'CP RESUMO'!AS69,"")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HISTORICOS'!AT27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121072.63</v>
      </c>
      <c r="M47" s="129">
        <f>'CP RESUMO'!AT27</f>
        <v/>
      </c>
      <c r="N47" s="130">
        <f>MAX(0,M47-M46)</f>
        <v/>
      </c>
      <c r="O47" s="129">
        <f>IF(B47&lt;='VALOR POR PL'!$P$5,'CP RESUMO'!AT69,"")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HISTORICOS'!AU27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186135.02</v>
      </c>
      <c r="M48" s="129">
        <f>'CP RESUMO'!AU27</f>
        <v/>
      </c>
      <c r="N48" s="130">
        <f>MAX(0,M48-M47)</f>
        <v/>
      </c>
      <c r="O48" s="129">
        <f>IF(B48&lt;='VALOR POR PL'!$P$5,'CP RESUMO'!AU69,"")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HISTORICOS'!AV27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138328.3</v>
      </c>
      <c r="M49" s="129">
        <f>'CP RESUMO'!AV27</f>
        <v/>
      </c>
      <c r="N49" s="130">
        <f>MAX(0,M49-M48)</f>
        <v/>
      </c>
      <c r="O49" s="129">
        <f>IF(B49&lt;='VALOR POR PL'!$P$5,'CP RESUMO'!AV69,"")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HISTORICOS'!AW27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273262.05</v>
      </c>
      <c r="M50" s="129">
        <f>'CP RESUMO'!AW27</f>
        <v/>
      </c>
      <c r="N50" s="130">
        <f>MAX(0,M50-M49)</f>
        <v/>
      </c>
      <c r="O50" s="129">
        <f>IF(B50&lt;='VALOR POR PL'!$P$5,'CP RESUMO'!AW69,"")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HISTORICOS'!AX27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155018.22</v>
      </c>
      <c r="M51" s="129">
        <f>'CP RESUMO'!AX27</f>
        <v/>
      </c>
      <c r="N51" s="130">
        <f>MAX(0,M51-M50)</f>
        <v/>
      </c>
      <c r="O51" s="129">
        <f>IF(B51&lt;='VALOR POR PL'!$P$5,'CP RESUMO'!AX69,"")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HISTORICOS'!AY27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40451.84</v>
      </c>
      <c r="M52" s="129">
        <f>'CP RESUMO'!AY27</f>
        <v/>
      </c>
      <c r="N52" s="130">
        <f>MAX(0,M52-M51)</f>
        <v/>
      </c>
      <c r="O52" s="129">
        <f>IF(B52&lt;='VALOR POR PL'!$P$5,'CP RESUMO'!AY69,"")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HISTORICOS'!AZ27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79489.27</v>
      </c>
      <c r="M53" s="129">
        <f>'CP RESUMO'!AZ27</f>
        <v/>
      </c>
      <c r="N53" s="130">
        <f>MAX(0,M53-M52)</f>
        <v/>
      </c>
      <c r="O53" s="129">
        <f>IF(B53&lt;='VALOR POR PL'!$P$5,'CP RESUMO'!AZ69,"")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HISTORICOS'!BA27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44129.27</v>
      </c>
      <c r="M54" s="129">
        <f>'CP RESUMO'!BA27</f>
        <v/>
      </c>
      <c r="N54" s="130">
        <f>MAX(0,M54-M53)</f>
        <v/>
      </c>
      <c r="O54" s="129">
        <f>IF(B54&lt;='VALOR POR PL'!$P$5,'CP RESUMO'!BA69,"")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HISTORICOS'!BB27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95896.31</v>
      </c>
      <c r="M55" s="129">
        <f>'CP RESUMO'!BB27</f>
        <v/>
      </c>
      <c r="N55" s="130">
        <f>MAX(0,M55-M54)</f>
        <v/>
      </c>
      <c r="O55" s="129">
        <f>IF(B55&lt;='VALOR POR PL'!$P$5,'CP RESUMO'!BB69,"")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HISTORICOS'!BC27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68174.07000000001</v>
      </c>
      <c r="M56" s="129">
        <f>'CP RESUMO'!BC27</f>
        <v/>
      </c>
      <c r="N56" s="130">
        <f>MAX(0,M56-M55)</f>
        <v/>
      </c>
      <c r="O56" s="129">
        <f>IF(B56&lt;='VALOR POR PL'!$P$5,'CP RESUMO'!BC69,"")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HISTORICOS'!BD27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27156.48</v>
      </c>
      <c r="M57" s="129">
        <f>'CP RESUMO'!BD27</f>
        <v/>
      </c>
      <c r="N57" s="130">
        <f>MAX(0,M57-M56)</f>
        <v/>
      </c>
      <c r="O57" s="129">
        <f>IF(B57&lt;='VALOR POR PL'!$P$5,'CP RESUMO'!BD69,"")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HISTORICOS'!BE27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RESUMO'!BE27</f>
        <v/>
      </c>
      <c r="N58" s="130">
        <f>MAX(0,M58-M57)</f>
        <v/>
      </c>
      <c r="O58" s="129">
        <f>IF(B58&lt;='VALOR POR PL'!$P$5,'CP RESUMO'!BE69,"")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HISTORICOS'!BF27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RESUMO'!BF27</f>
        <v/>
      </c>
      <c r="N59" s="130">
        <f>MAX(0,M59-M58)</f>
        <v/>
      </c>
      <c r="O59" s="129">
        <f>IF(B59&lt;='VALOR POR PL'!$P$5,'CP RESUMO'!BF69,"")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HISTORICOS'!BG27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RESUMO'!BG27</f>
        <v/>
      </c>
      <c r="N60" s="130">
        <f>MAX(0,M60-M59)</f>
        <v/>
      </c>
      <c r="O60" s="129">
        <f>IF(B60&lt;='VALOR POR PL'!$P$5,'CP RESUMO'!BG69,"")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HISTORICOS'!BH27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RESUMO'!BH27</f>
        <v/>
      </c>
      <c r="N61" s="130">
        <f>MAX(0,M61-M60)</f>
        <v/>
      </c>
      <c r="O61" s="129">
        <f>IF(B61&lt;='VALOR POR PL'!$P$5,'CP RESUMO'!BH69,"")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HISTORICOS'!BI27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RESUMO'!BI27</f>
        <v/>
      </c>
      <c r="N62" s="130">
        <f>MAX(0,M62-M61)</f>
        <v/>
      </c>
      <c r="O62" s="129">
        <f>IF(B62&lt;='VALOR POR PL'!$P$5,'CP RESUMO'!BI69,"")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HISTORICOS'!BJ27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RESUMO'!BJ27</f>
        <v/>
      </c>
      <c r="N63" s="130">
        <f>MAX(0,M63-M62)</f>
        <v/>
      </c>
      <c r="O63" s="129">
        <f>IF(B63&lt;='VALOR POR PL'!$P$5,'CP RESUMO'!BJ69,"")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HISTORICOS'!BK27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RESUMO'!BK27</f>
        <v/>
      </c>
      <c r="N64" s="130">
        <f>MAX(0,M64-M63)</f>
        <v/>
      </c>
      <c r="O64" s="129">
        <f>IF(B64&lt;='VALOR POR PL'!$P$5,'CP RESUMO'!BK69,"")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HISTORICOS'!BL27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RESUMO'!BL27</f>
        <v/>
      </c>
      <c r="N65" s="130">
        <f>MAX(0,M65-M64)</f>
        <v/>
      </c>
      <c r="O65" s="129">
        <f>IF(B65&lt;='VALOR POR PL'!$P$5,'CP RESUMO'!BL69,"")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HISTORICOS'!BM27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RESUMO'!BM27</f>
        <v/>
      </c>
      <c r="N66" s="130">
        <f>MAX(0,M66-M65)</f>
        <v/>
      </c>
      <c r="O66" s="129">
        <f>IF(B66&lt;='VALOR POR PL'!$P$5,'CP RESUMO'!BM69,"")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HISTORICOS'!BN27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RESUMO'!BN27</f>
        <v/>
      </c>
      <c r="N67" s="130">
        <f>MAX(0,M67-M66)</f>
        <v/>
      </c>
      <c r="O67" s="129">
        <f>IF(B67&lt;='VALOR POR PL'!$P$5,'CP RESUMO'!BN69,"")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HISTORICOS'!BO27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RESUMO'!BO27</f>
        <v/>
      </c>
      <c r="N68" s="130">
        <f>MAX(0,M68-M67)</f>
        <v/>
      </c>
      <c r="O68" s="129">
        <f>IF(B68&lt;='VALOR POR PL'!$P$5,'CP RESUMO'!BO69,"")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HISTORICOS'!BP27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RESUMO'!BP27</f>
        <v/>
      </c>
      <c r="N69" s="130">
        <f>MAX(0,M69-M68)</f>
        <v/>
      </c>
      <c r="O69" s="129">
        <f>IF(B69&lt;='VALOR POR PL'!$P$5,'CP RESUMO'!BP69,"")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HISTORICOS'!BQ27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RESUMO'!BQ27</f>
        <v/>
      </c>
      <c r="N70" s="130">
        <f>MAX(0,M70-M69)</f>
        <v/>
      </c>
      <c r="O70" s="129">
        <f>IF(B70&lt;='VALOR POR PL'!$P$5,'CP RESUMO'!BQ69,"")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HISTORICOS'!BR27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RESUMO'!BR27</f>
        <v/>
      </c>
      <c r="N71" s="130">
        <f>MAX(0,M71-M70)</f>
        <v/>
      </c>
      <c r="O71" s="129">
        <f>IF(B71&lt;='VALOR POR PL'!$P$5,'CP RESUMO'!BR69,"")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HISTORICOS'!BS27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RESUMO'!BS27</f>
        <v/>
      </c>
      <c r="N72" s="130">
        <f>MAX(0,M72-M71)</f>
        <v/>
      </c>
      <c r="O72" s="129">
        <f>IF(B72&lt;='VALOR POR PL'!$P$5,'CP RESUMO'!BS69,"")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HISTORICOS'!BT27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RESUMO'!BT27</f>
        <v/>
      </c>
      <c r="N73" s="130">
        <f>MAX(0,M73-M72)</f>
        <v/>
      </c>
      <c r="O73" s="129">
        <f>IF(B73&lt;='VALOR POR PL'!$P$5,'CP RESUMO'!BT69,"")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HISTORICOS'!BU27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RESUMO'!BU27</f>
        <v/>
      </c>
      <c r="N74" s="130">
        <f>MAX(0,M74-M73)</f>
        <v/>
      </c>
      <c r="O74" s="129">
        <f>IF(B74&lt;='VALOR POR PL'!$P$5,'CP RESUMO'!BU69,"")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HISTORICOS'!BV27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RESUMO'!BV27</f>
        <v/>
      </c>
      <c r="N75" s="130">
        <f>MAX(0,M75-M74)</f>
        <v/>
      </c>
      <c r="O75" s="129">
        <f>IF(B75&lt;='VALOR POR PL'!$P$5,'CP RESUMO'!BV69,"")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HISTORICOS'!BW27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RESUMO'!BW27</f>
        <v/>
      </c>
      <c r="N76" s="130">
        <f>MAX(0,M76-M75)</f>
        <v/>
      </c>
      <c r="O76" s="129">
        <f>IF(B76&lt;='VALOR POR PL'!$P$5,'CP RESUMO'!BW69,"")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HISTORICOS'!D28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PL'!F34</f>
        <v/>
      </c>
      <c r="K5" s="62">
        <f>'VALOR POR PL'!G34</f>
        <v/>
      </c>
      <c r="M5" s="129">
        <f>'CP RESUMO'!D28</f>
        <v/>
      </c>
      <c r="N5" s="130" t="n">
        <v>0</v>
      </c>
      <c r="O5" s="129">
        <f>IF(B5&lt;='VALOR POR PL'!$P$5,'CP RESUMO'!D70,"")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HISTORICOS'!E28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RESUMO'!E28</f>
        <v/>
      </c>
      <c r="N6" s="130">
        <f>MAX(0,M6-M5)</f>
        <v/>
      </c>
      <c r="O6" s="129">
        <f>IF(B6&lt;='VALOR POR PL'!$P$5,'CP RESUMO'!E70,"")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HISTORICOS'!F28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PL'!L34</f>
        <v/>
      </c>
      <c r="M7" s="129">
        <f>'CP RESUMO'!F28</f>
        <v/>
      </c>
      <c r="N7" s="130">
        <f>MAX(0,M7-M6)</f>
        <v/>
      </c>
      <c r="O7" s="129">
        <f>IF(B7&lt;='VALOR POR PL'!$P$5,'CP RESUMO'!F70,"")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HISTORICOS'!G28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RESUMO'!G28</f>
        <v/>
      </c>
      <c r="N8" s="130">
        <f>MAX(0,M8-M7)</f>
        <v/>
      </c>
      <c r="O8" s="129">
        <f>IF(B8&lt;='VALOR POR PL'!$P$5,'CP RESUMO'!G70,"")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HISTORICOS'!H28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RESUMO'!H28</f>
        <v/>
      </c>
      <c r="N9" s="130">
        <f>MAX(0,M9-M8)</f>
        <v/>
      </c>
      <c r="O9" s="129">
        <f>IF(B9&lt;='VALOR POR PL'!$P$5,'CP RESUMO'!H70,"")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HISTORICOS'!I28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RESUMO'!I28</f>
        <v/>
      </c>
      <c r="N10" s="130">
        <f>MAX(0,M10-M9)</f>
        <v/>
      </c>
      <c r="O10" s="129">
        <f>IF(B10&lt;='VALOR POR PL'!$P$5,'CP RESUMO'!I70,"")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HISTORICOS'!J28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RESUMO'!J28</f>
        <v/>
      </c>
      <c r="N11" s="130">
        <f>MAX(0,M11-M10)</f>
        <v/>
      </c>
      <c r="O11" s="129">
        <f>IF(B11&lt;='VALOR POR PL'!$P$5,'CP RESUMO'!J70,"")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HISTORICOS'!K28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RESUMO'!K28</f>
        <v/>
      </c>
      <c r="N12" s="130">
        <f>MAX(0,M12-M11)</f>
        <v/>
      </c>
      <c r="O12" s="129">
        <f>IF(B12&lt;='VALOR POR PL'!$P$5,'CP RESUMO'!K70,"")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HISTORICOS'!L28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PL'!I34</f>
        <v/>
      </c>
      <c r="M13" s="129">
        <f>'CP RESUMO'!L28</f>
        <v/>
      </c>
      <c r="N13" s="130">
        <f>MAX(0,M13-M12)</f>
        <v/>
      </c>
      <c r="O13" s="129">
        <f>IF(B13&lt;='VALOR POR PL'!$P$5,'CP RESUMO'!L70,"")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HISTORICOS'!M28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RESUMO'!$D$70:$BW$70,MATCH('VALOR POR PL'!$P$5,'CP RESUMO'!$D$4:$BW$4,0))/100,0)</f>
        <v/>
      </c>
      <c r="M14" s="129">
        <f>'CP RESUMO'!M28</f>
        <v/>
      </c>
      <c r="N14" s="130">
        <f>MAX(0,M14-M13)</f>
        <v/>
      </c>
      <c r="O14" s="129">
        <f>IF(B14&lt;='VALOR POR PL'!$P$5,'CP RESUMO'!M70,"")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HISTORICOS'!N28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RESUMO'!N28</f>
        <v/>
      </c>
      <c r="N15" s="130">
        <f>MAX(0,M15-M14)</f>
        <v/>
      </c>
      <c r="O15" s="129">
        <f>IF(B15&lt;='VALOR POR PL'!$P$5,'CP RESUMO'!N70,"")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HISTORICOS'!O28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RESUMO'!O28</f>
        <v/>
      </c>
      <c r="N16" s="130">
        <f>MAX(0,M16-M15)</f>
        <v/>
      </c>
      <c r="O16" s="129">
        <f>IF(B16&lt;='VALOR POR PL'!$P$5,'CP RESUMO'!O70,"")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HISTORICOS'!P28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RESUMO'!P28</f>
        <v/>
      </c>
      <c r="N17" s="130">
        <f>MAX(0,M17-M16)</f>
        <v/>
      </c>
      <c r="O17" s="129">
        <f>IF(B17&lt;='VALOR POR PL'!$P$5,'CP RESUMO'!P70,"")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HISTORICOS'!Q28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RESUMO'!Q28</f>
        <v/>
      </c>
      <c r="N18" s="130">
        <f>MAX(0,M18-M17)</f>
        <v/>
      </c>
      <c r="O18" s="129">
        <f>IF(B18&lt;='VALOR POR PL'!$P$5,'CP RESUMO'!Q70,"")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HISTORICOS'!R28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RESUMO'!R28</f>
        <v/>
      </c>
      <c r="N19" s="130">
        <f>MAX(0,M19-M18)</f>
        <v/>
      </c>
      <c r="O19" s="129">
        <f>IF(B19&lt;='VALOR POR PL'!$P$5,'CP RESUMO'!R70,"")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HISTORICOS'!S28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RESUMO'!S28</f>
        <v/>
      </c>
      <c r="N20" s="130">
        <f>MAX(0,M20-M19)</f>
        <v/>
      </c>
      <c r="O20" s="129">
        <f>IF(B20&lt;='VALOR POR PL'!$P$5,'CP RESUMO'!S70,"")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HISTORICOS'!T28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RESUMO'!T28</f>
        <v/>
      </c>
      <c r="N21" s="130">
        <f>MAX(0,M21-M20)</f>
        <v/>
      </c>
      <c r="O21" s="129">
        <f>IF(B21&lt;='VALOR POR PL'!$P$5,'CP RESUMO'!T70,"")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HISTORICOS'!U28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RESUMO'!U28</f>
        <v/>
      </c>
      <c r="N22" s="130">
        <f>MAX(0,M22-M21)</f>
        <v/>
      </c>
      <c r="O22" s="129">
        <f>IF(B22&lt;='VALOR POR PL'!$P$5,'CP RESUMO'!U70,"")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HISTORICOS'!V28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RESUMO'!V28</f>
        <v/>
      </c>
      <c r="N23" s="130">
        <f>MAX(0,M23-M22)</f>
        <v/>
      </c>
      <c r="O23" s="129">
        <f>IF(B23&lt;='VALOR POR PL'!$P$5,'CP RESUMO'!V70,"")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HISTORICOS'!W28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Previsão informada mantida (decisão do usuário). Premissa: pedido 1 ano antes, 12 pagamentos.</t>
        </is>
      </c>
      <c r="M24" s="129">
        <f>'CP RESUMO'!W28</f>
        <v/>
      </c>
      <c r="N24" s="130">
        <f>MAX(0,M24-M23)</f>
        <v/>
      </c>
      <c r="O24" s="129">
        <f>IF(B24&lt;='VALOR POR PL'!$P$5,'CP RESUMO'!W70,"")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HISTORICOS'!X28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RESUMO'!X28</f>
        <v/>
      </c>
      <c r="N25" s="130">
        <f>MAX(0,M25-M24)</f>
        <v/>
      </c>
      <c r="O25" s="129">
        <f>IF(B25&lt;='VALOR POR PL'!$P$5,'CP RESUMO'!X70,"")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HISTORICOS'!Y28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RESUMO'!Y28</f>
        <v/>
      </c>
      <c r="N26" s="130">
        <f>MAX(0,M26-M25)</f>
        <v/>
      </c>
      <c r="O26" s="129">
        <f>IF(B26&lt;='VALOR POR PL'!$P$5,'CP RESUMO'!Y70,"")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HISTORICOS'!Z28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RESUMO'!Z28</f>
        <v/>
      </c>
      <c r="N27" s="130">
        <f>MAX(0,M27-M26)</f>
        <v/>
      </c>
      <c r="O27" s="129">
        <f>IF(B27&lt;='VALOR POR PL'!$P$5,'CP RESUMO'!Z70,"")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HISTORICOS'!AA28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RESUMO'!AA28</f>
        <v/>
      </c>
      <c r="N28" s="130">
        <f>MAX(0,M28-M27)</f>
        <v/>
      </c>
      <c r="O28" s="129">
        <f>IF(B28&lt;='VALOR POR PL'!$P$5,'CP RESUMO'!AA70,"")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HISTORICOS'!AB28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RESUMO'!AB28</f>
        <v/>
      </c>
      <c r="N29" s="130">
        <f>MAX(0,M29-M28)</f>
        <v/>
      </c>
      <c r="O29" s="129">
        <f>IF(B29&lt;='VALOR POR PL'!$P$5,'CP RESUMO'!AB70,"")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HISTORICOS'!AC28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RESUMO'!AC28</f>
        <v/>
      </c>
      <c r="N30" s="130">
        <f>MAX(0,M30-M29)</f>
        <v/>
      </c>
      <c r="O30" s="129">
        <f>IF(B30&lt;='VALOR POR PL'!$P$5,'CP RESUMO'!AC70,"")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HISTORICOS'!AD28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RESUMO'!AD28</f>
        <v/>
      </c>
      <c r="N31" s="130">
        <f>MAX(0,M31-M30)</f>
        <v/>
      </c>
      <c r="O31" s="129">
        <f>IF(B31&lt;='VALOR POR PL'!$P$5,'CP RESUMO'!AD70,"")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HISTORICOS'!AE28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RESUMO'!AE28</f>
        <v/>
      </c>
      <c r="N32" s="130">
        <f>MAX(0,M32-M31)</f>
        <v/>
      </c>
      <c r="O32" s="129">
        <f>IF(B32&lt;='VALOR POR PL'!$P$5,'CP RESUMO'!AE70,"")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HISTORICOS'!AF28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RESUMO'!AF28</f>
        <v/>
      </c>
      <c r="N33" s="130">
        <f>MAX(0,M33-M32)</f>
        <v/>
      </c>
      <c r="O33" s="129">
        <f>IF(B33&lt;='VALOR POR PL'!$P$5,'CP RESUMO'!AF70,"")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HISTORICOS'!AG28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RESUMO'!AG28</f>
        <v/>
      </c>
      <c r="N34" s="130">
        <f>MAX(0,M34-M33)</f>
        <v/>
      </c>
      <c r="O34" s="129">
        <f>IF(B34&lt;='VALOR POR PL'!$P$5,'CP RESUMO'!AG70,"")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HISTORICOS'!AH28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RESUMO'!AH28</f>
        <v/>
      </c>
      <c r="N35" s="130">
        <f>MAX(0,M35-M34)</f>
        <v/>
      </c>
      <c r="O35" s="129">
        <f>IF(B35&lt;='VALOR POR PL'!$P$5,'CP RESUMO'!AH70,"")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HISTORICOS'!AI28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RESUMO'!AI28</f>
        <v/>
      </c>
      <c r="N36" s="130">
        <f>MAX(0,M36-M35)</f>
        <v/>
      </c>
      <c r="O36" s="129">
        <f>IF(B36&lt;='VALOR POR PL'!$P$5,'CP RESUMO'!AI70,"")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HISTORICOS'!AJ28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305454.55</v>
      </c>
      <c r="M37" s="129">
        <f>'CP RESUMO'!AJ28</f>
        <v/>
      </c>
      <c r="N37" s="130">
        <f>MAX(0,M37-M36)</f>
        <v/>
      </c>
      <c r="O37" s="129">
        <f>IF(B37&lt;='VALOR POR PL'!$P$5,'CP RESUMO'!AJ70,"")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HISTORICOS'!AK28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305454.55</v>
      </c>
      <c r="M38" s="129">
        <f>'CP RESUMO'!AK28</f>
        <v/>
      </c>
      <c r="N38" s="130">
        <f>MAX(0,M38-M37)</f>
        <v/>
      </c>
      <c r="O38" s="129">
        <f>IF(B38&lt;='VALOR POR PL'!$P$5,'CP RESUMO'!AK70,"")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HISTORICOS'!AL28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305454.55</v>
      </c>
      <c r="M39" s="129">
        <f>'CP RESUMO'!AL28</f>
        <v/>
      </c>
      <c r="N39" s="130">
        <f>MAX(0,M39-M38)</f>
        <v/>
      </c>
      <c r="O39" s="129">
        <f>IF(B39&lt;='VALOR POR PL'!$P$5,'CP RESUMO'!AL70,"")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HISTORICOS'!AM28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305454.55</v>
      </c>
      <c r="M40" s="129">
        <f>'CP RESUMO'!AM28</f>
        <v/>
      </c>
      <c r="N40" s="130">
        <f>MAX(0,M40-M39)</f>
        <v/>
      </c>
      <c r="O40" s="129">
        <f>IF(B40&lt;='VALOR POR PL'!$P$5,'CP RESUMO'!AM70,"")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HISTORICOS'!AN28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305454.55</v>
      </c>
      <c r="M41" s="129">
        <f>'CP RESUMO'!AN28</f>
        <v/>
      </c>
      <c r="N41" s="130">
        <f>MAX(0,M41-M40)</f>
        <v/>
      </c>
      <c r="O41" s="129">
        <f>IF(B41&lt;='VALOR POR PL'!$P$5,'CP RESUMO'!AN70,"")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HISTORICOS'!AO28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305454.55</v>
      </c>
      <c r="M42" s="129">
        <f>'CP RESUMO'!AO28</f>
        <v/>
      </c>
      <c r="N42" s="130">
        <f>MAX(0,M42-M41)</f>
        <v/>
      </c>
      <c r="O42" s="129">
        <f>IF(B42&lt;='VALOR POR PL'!$P$5,'CP RESUMO'!AO70,"")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HISTORICOS'!AP28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305454.55</v>
      </c>
      <c r="M43" s="129">
        <f>'CP RESUMO'!AP28</f>
        <v/>
      </c>
      <c r="N43" s="130">
        <f>MAX(0,M43-M42)</f>
        <v/>
      </c>
      <c r="O43" s="129">
        <f>IF(B43&lt;='VALOR POR PL'!$P$5,'CP RESUMO'!AP70,"")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HISTORICOS'!AQ28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312051.99</v>
      </c>
      <c r="M44" s="129">
        <f>'CP RESUMO'!AQ28</f>
        <v/>
      </c>
      <c r="N44" s="130">
        <f>MAX(0,M44-M43)</f>
        <v/>
      </c>
      <c r="O44" s="129">
        <f>IF(B44&lt;='VALOR POR PL'!$P$5,'CP RESUMO'!AQ70,"")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HISTORICOS'!AR28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312051.99</v>
      </c>
      <c r="M45" s="129">
        <f>'CP RESUMO'!AR28</f>
        <v/>
      </c>
      <c r="N45" s="130">
        <f>MAX(0,M45-M44)</f>
        <v/>
      </c>
      <c r="O45" s="129">
        <f>IF(B45&lt;='VALOR POR PL'!$P$5,'CP RESUMO'!AR70,"")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HISTORICOS'!AS28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312051.99</v>
      </c>
      <c r="M46" s="129">
        <f>'CP RESUMO'!AS28</f>
        <v/>
      </c>
      <c r="N46" s="130">
        <f>MAX(0,M46-M45)</f>
        <v/>
      </c>
      <c r="O46" s="129">
        <f>IF(B46&lt;='VALOR POR PL'!$P$5,'CP RESUMO'!AS70,"")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HISTORICOS'!AT28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305454.55</v>
      </c>
      <c r="M47" s="129">
        <f>'CP RESUMO'!AT28</f>
        <v/>
      </c>
      <c r="N47" s="130">
        <f>MAX(0,M47-M46)</f>
        <v/>
      </c>
      <c r="O47" s="129">
        <f>IF(B47&lt;='VALOR POR PL'!$P$5,'CP RESUMO'!AT70,"")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HISTORICOS'!AU28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RESUMO'!AU28</f>
        <v/>
      </c>
      <c r="N48" s="130">
        <f>MAX(0,M48-M47)</f>
        <v/>
      </c>
      <c r="O48" s="129">
        <f>IF(B48&lt;='VALOR POR PL'!$P$5,'CP RESUMO'!AU70,"")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HISTORICOS'!AV28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RESUMO'!AV28</f>
        <v/>
      </c>
      <c r="N49" s="130">
        <f>MAX(0,M49-M48)</f>
        <v/>
      </c>
      <c r="O49" s="129">
        <f>IF(B49&lt;='VALOR POR PL'!$P$5,'CP RESUMO'!AV70,"")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HISTORICOS'!AW28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30009.97</v>
      </c>
      <c r="M50" s="129">
        <f>'CP RESUMO'!AW28</f>
        <v/>
      </c>
      <c r="N50" s="130">
        <f>MAX(0,M50-M49)</f>
        <v/>
      </c>
      <c r="O50" s="129">
        <f>IF(B50&lt;='VALOR POR PL'!$P$5,'CP RESUMO'!AW70,"")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HISTORICOS'!AX28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RESUMO'!AX28</f>
        <v/>
      </c>
      <c r="N51" s="130">
        <f>MAX(0,M51-M50)</f>
        <v/>
      </c>
      <c r="O51" s="129">
        <f>IF(B51&lt;='VALOR POR PL'!$P$5,'CP RESUMO'!AX70,"")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HISTORICOS'!AY28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RESUMO'!AY28</f>
        <v/>
      </c>
      <c r="N52" s="130">
        <f>MAX(0,M52-M51)</f>
        <v/>
      </c>
      <c r="O52" s="129">
        <f>IF(B52&lt;='VALOR POR PL'!$P$5,'CP RESUMO'!AY70,"")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HISTORICOS'!AZ28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RESUMO'!AZ28</f>
        <v/>
      </c>
      <c r="N53" s="130">
        <f>MAX(0,M53-M52)</f>
        <v/>
      </c>
      <c r="O53" s="129">
        <f>IF(B53&lt;='VALOR POR PL'!$P$5,'CP RESUMO'!AZ70,"")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HISTORICOS'!BA28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RESUMO'!BA28</f>
        <v/>
      </c>
      <c r="N54" s="130">
        <f>MAX(0,M54-M53)</f>
        <v/>
      </c>
      <c r="O54" s="129">
        <f>IF(B54&lt;='VALOR POR PL'!$P$5,'CP RESUMO'!BA70,"")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HISTORICOS'!BB28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RESUMO'!BB28</f>
        <v/>
      </c>
      <c r="N55" s="130">
        <f>MAX(0,M55-M54)</f>
        <v/>
      </c>
      <c r="O55" s="129">
        <f>IF(B55&lt;='VALOR POR PL'!$P$5,'CP RESUMO'!BB70,"")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HISTORICOS'!BC28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RESUMO'!BC28</f>
        <v/>
      </c>
      <c r="N56" s="130">
        <f>MAX(0,M56-M55)</f>
        <v/>
      </c>
      <c r="O56" s="129">
        <f>IF(B56&lt;='VALOR POR PL'!$P$5,'CP RESUMO'!BC70,"")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HISTORICOS'!BD28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RESUMO'!BD28</f>
        <v/>
      </c>
      <c r="N57" s="130">
        <f>MAX(0,M57-M56)</f>
        <v/>
      </c>
      <c r="O57" s="129">
        <f>IF(B57&lt;='VALOR POR PL'!$P$5,'CP RESUMO'!BD70,"")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HISTORICOS'!BE28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RESUMO'!BE28</f>
        <v/>
      </c>
      <c r="N58" s="130">
        <f>MAX(0,M58-M57)</f>
        <v/>
      </c>
      <c r="O58" s="129">
        <f>IF(B58&lt;='VALOR POR PL'!$P$5,'CP RESUMO'!BE70,"")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HISTORICOS'!BF28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RESUMO'!BF28</f>
        <v/>
      </c>
      <c r="N59" s="130">
        <f>MAX(0,M59-M58)</f>
        <v/>
      </c>
      <c r="O59" s="129">
        <f>IF(B59&lt;='VALOR POR PL'!$P$5,'CP RESUMO'!BF70,"")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HISTORICOS'!BG28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RESUMO'!BG28</f>
        <v/>
      </c>
      <c r="N60" s="130">
        <f>MAX(0,M60-M59)</f>
        <v/>
      </c>
      <c r="O60" s="129">
        <f>IF(B60&lt;='VALOR POR PL'!$P$5,'CP RESUMO'!BG70,"")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HISTORICOS'!BH28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RESUMO'!BH28</f>
        <v/>
      </c>
      <c r="N61" s="130">
        <f>MAX(0,M61-M60)</f>
        <v/>
      </c>
      <c r="O61" s="129">
        <f>IF(B61&lt;='VALOR POR PL'!$P$5,'CP RESUMO'!BH70,"")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HISTORICOS'!BI28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RESUMO'!BI28</f>
        <v/>
      </c>
      <c r="N62" s="130">
        <f>MAX(0,M62-M61)</f>
        <v/>
      </c>
      <c r="O62" s="129">
        <f>IF(B62&lt;='VALOR POR PL'!$P$5,'CP RESUMO'!BI70,"")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HISTORICOS'!BJ28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RESUMO'!BJ28</f>
        <v/>
      </c>
      <c r="N63" s="130">
        <f>MAX(0,M63-M62)</f>
        <v/>
      </c>
      <c r="O63" s="129">
        <f>IF(B63&lt;='VALOR POR PL'!$P$5,'CP RESUMO'!BJ70,"")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HISTORICOS'!BK28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RESUMO'!BK28</f>
        <v/>
      </c>
      <c r="N64" s="130">
        <f>MAX(0,M64-M63)</f>
        <v/>
      </c>
      <c r="O64" s="129">
        <f>IF(B64&lt;='VALOR POR PL'!$P$5,'CP RESUMO'!BK70,"")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HISTORICOS'!BL28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RESUMO'!BL28</f>
        <v/>
      </c>
      <c r="N65" s="130">
        <f>MAX(0,M65-M64)</f>
        <v/>
      </c>
      <c r="O65" s="129">
        <f>IF(B65&lt;='VALOR POR PL'!$P$5,'CP RESUMO'!BL70,"")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HISTORICOS'!BM28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RESUMO'!BM28</f>
        <v/>
      </c>
      <c r="N66" s="130">
        <f>MAX(0,M66-M65)</f>
        <v/>
      </c>
      <c r="O66" s="129">
        <f>IF(B66&lt;='VALOR POR PL'!$P$5,'CP RESUMO'!BM70,"")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HISTORICOS'!BN28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RESUMO'!BN28</f>
        <v/>
      </c>
      <c r="N67" s="130">
        <f>MAX(0,M67-M66)</f>
        <v/>
      </c>
      <c r="O67" s="129">
        <f>IF(B67&lt;='VALOR POR PL'!$P$5,'CP RESUMO'!BN70,"")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HISTORICOS'!BO28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RESUMO'!BO28</f>
        <v/>
      </c>
      <c r="N68" s="130">
        <f>MAX(0,M68-M67)</f>
        <v/>
      </c>
      <c r="O68" s="129">
        <f>IF(B68&lt;='VALOR POR PL'!$P$5,'CP RESUMO'!BO70,"")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HISTORICOS'!BP28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RESUMO'!BP28</f>
        <v/>
      </c>
      <c r="N69" s="130">
        <f>MAX(0,M69-M68)</f>
        <v/>
      </c>
      <c r="O69" s="129">
        <f>IF(B69&lt;='VALOR POR PL'!$P$5,'CP RESUMO'!BP70,"")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HISTORICOS'!BQ28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RESUMO'!BQ28</f>
        <v/>
      </c>
      <c r="N70" s="130">
        <f>MAX(0,M70-M69)</f>
        <v/>
      </c>
      <c r="O70" s="129">
        <f>IF(B70&lt;='VALOR POR PL'!$P$5,'CP RESUMO'!BQ70,"")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HISTORICOS'!BR28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RESUMO'!BR28</f>
        <v/>
      </c>
      <c r="N71" s="130">
        <f>MAX(0,M71-M70)</f>
        <v/>
      </c>
      <c r="O71" s="129">
        <f>IF(B71&lt;='VALOR POR PL'!$P$5,'CP RESUMO'!BR70,"")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HISTORICOS'!BS28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RESUMO'!BS28</f>
        <v/>
      </c>
      <c r="N72" s="130">
        <f>MAX(0,M72-M71)</f>
        <v/>
      </c>
      <c r="O72" s="129">
        <f>IF(B72&lt;='VALOR POR PL'!$P$5,'CP RESUMO'!BS70,"")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HISTORICOS'!BT28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RESUMO'!BT28</f>
        <v/>
      </c>
      <c r="N73" s="130">
        <f>MAX(0,M73-M72)</f>
        <v/>
      </c>
      <c r="O73" s="129">
        <f>IF(B73&lt;='VALOR POR PL'!$P$5,'CP RESUMO'!BT70,"")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HISTORICOS'!BU28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RESUMO'!BU28</f>
        <v/>
      </c>
      <c r="N74" s="130">
        <f>MAX(0,M74-M73)</f>
        <v/>
      </c>
      <c r="O74" s="129">
        <f>IF(B74&lt;='VALOR POR PL'!$P$5,'CP RESUMO'!BU70,"")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HISTORICOS'!BV28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RESUMO'!BV28</f>
        <v/>
      </c>
      <c r="N75" s="130">
        <f>MAX(0,M75-M74)</f>
        <v/>
      </c>
      <c r="O75" s="129">
        <f>IF(B75&lt;='VALOR POR PL'!$P$5,'CP RESUMO'!BV70,"")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HISTORICOS'!BW28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RESUMO'!BW28</f>
        <v/>
      </c>
      <c r="N76" s="130">
        <f>MAX(0,M76-M75)</f>
        <v/>
      </c>
      <c r="O76" s="129">
        <f>IF(B76&lt;='VALOR POR PL'!$P$5,'CP RESUMO'!BW70,"")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HISTORICOS'!D29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PL'!F35</f>
        <v/>
      </c>
      <c r="K5" s="62">
        <f>'VALOR POR PL'!G35</f>
        <v/>
      </c>
      <c r="M5" s="129">
        <f>'CP RESUMO'!D29</f>
        <v/>
      </c>
      <c r="N5" s="130" t="n">
        <v>0</v>
      </c>
      <c r="O5" s="129">
        <f>IF(B5&lt;='VALOR POR PL'!$P$5,'CP RESUMO'!D71,"")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HISTORICOS'!E29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RESUMO'!E29</f>
        <v/>
      </c>
      <c r="N6" s="130">
        <f>MAX(0,M6-M5)</f>
        <v/>
      </c>
      <c r="O6" s="129">
        <f>IF(B6&lt;='VALOR POR PL'!$P$5,'CP RESUMO'!E71,"")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HISTORICOS'!F29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PL'!L35</f>
        <v/>
      </c>
      <c r="M7" s="129">
        <f>'CP RESUMO'!F29</f>
        <v/>
      </c>
      <c r="N7" s="130">
        <f>MAX(0,M7-M6)</f>
        <v/>
      </c>
      <c r="O7" s="129">
        <f>IF(B7&lt;='VALOR POR PL'!$P$5,'CP RESUMO'!F71,"")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HISTORICOS'!G29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RESUMO'!G29</f>
        <v/>
      </c>
      <c r="N8" s="130">
        <f>MAX(0,M8-M7)</f>
        <v/>
      </c>
      <c r="O8" s="129">
        <f>IF(B8&lt;='VALOR POR PL'!$P$5,'CP RESUMO'!G71,"")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HISTORICOS'!H29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RESUMO'!H29</f>
        <v/>
      </c>
      <c r="N9" s="130">
        <f>MAX(0,M9-M8)</f>
        <v/>
      </c>
      <c r="O9" s="129">
        <f>IF(B9&lt;='VALOR POR PL'!$P$5,'CP RESUMO'!H71,"")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HISTORICOS'!I29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RESUMO'!I29</f>
        <v/>
      </c>
      <c r="N10" s="130">
        <f>MAX(0,M10-M9)</f>
        <v/>
      </c>
      <c r="O10" s="129">
        <f>IF(B10&lt;='VALOR POR PL'!$P$5,'CP RESUMO'!I71,"")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HISTORICOS'!J29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RESUMO'!J29</f>
        <v/>
      </c>
      <c r="N11" s="130">
        <f>MAX(0,M11-M10)</f>
        <v/>
      </c>
      <c r="O11" s="129">
        <f>IF(B11&lt;='VALOR POR PL'!$P$5,'CP RESUMO'!J71,"")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HISTORICOS'!K29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RESUMO'!K29</f>
        <v/>
      </c>
      <c r="N12" s="130">
        <f>MAX(0,M12-M11)</f>
        <v/>
      </c>
      <c r="O12" s="129">
        <f>IF(B12&lt;='VALOR POR PL'!$P$5,'CP RESUMO'!K71,"")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HISTORICOS'!L29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PL'!I35</f>
        <v/>
      </c>
      <c r="M13" s="129">
        <f>'CP RESUMO'!L29</f>
        <v/>
      </c>
      <c r="N13" s="130">
        <f>MAX(0,M13-M12)</f>
        <v/>
      </c>
      <c r="O13" s="129">
        <f>IF(B13&lt;='VALOR POR PL'!$P$5,'CP RESUMO'!L71,"")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HISTORICOS'!M29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RESUMO'!$D$71:$BW$71,MATCH('VALOR POR PL'!$P$5,'CP RESUMO'!$D$4:$BW$4,0))/100,0)</f>
        <v/>
      </c>
      <c r="M14" s="129">
        <f>'CP RESUMO'!M29</f>
        <v/>
      </c>
      <c r="N14" s="130">
        <f>MAX(0,M14-M13)</f>
        <v/>
      </c>
      <c r="O14" s="129">
        <f>IF(B14&lt;='VALOR POR PL'!$P$5,'CP RESUMO'!M71,"")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HISTORICOS'!N29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RESUMO'!N29</f>
        <v/>
      </c>
      <c r="N15" s="130">
        <f>MAX(0,M15-M14)</f>
        <v/>
      </c>
      <c r="O15" s="129">
        <f>IF(B15&lt;='VALOR POR PL'!$P$5,'CP RESUMO'!N71,"")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HISTORICOS'!O29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RESUMO'!O29</f>
        <v/>
      </c>
      <c r="N16" s="130">
        <f>MAX(0,M16-M15)</f>
        <v/>
      </c>
      <c r="O16" s="129">
        <f>IF(B16&lt;='VALOR POR PL'!$P$5,'CP RESUMO'!O71,"")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HISTORICOS'!P29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RESUMO'!P29</f>
        <v/>
      </c>
      <c r="N17" s="130">
        <f>MAX(0,M17-M16)</f>
        <v/>
      </c>
      <c r="O17" s="129">
        <f>IF(B17&lt;='VALOR POR PL'!$P$5,'CP RESUMO'!P71,"")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HISTORICOS'!Q29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RESUMO'!Q29</f>
        <v/>
      </c>
      <c r="N18" s="130">
        <f>MAX(0,M18-M17)</f>
        <v/>
      </c>
      <c r="O18" s="129">
        <f>IF(B18&lt;='VALOR POR PL'!$P$5,'CP RESUMO'!Q71,"")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HISTORICOS'!R29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RESUMO'!R29</f>
        <v/>
      </c>
      <c r="N19" s="130">
        <f>MAX(0,M19-M18)</f>
        <v/>
      </c>
      <c r="O19" s="129">
        <f>IF(B19&lt;='VALOR POR PL'!$P$5,'CP RESUMO'!R71,"")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HISTORICOS'!S29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RESUMO'!S29</f>
        <v/>
      </c>
      <c r="N20" s="130">
        <f>MAX(0,M20-M19)</f>
        <v/>
      </c>
      <c r="O20" s="129">
        <f>IF(B20&lt;='VALOR POR PL'!$P$5,'CP RESUMO'!S71,"")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HISTORICOS'!T29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RESUMO'!T29</f>
        <v/>
      </c>
      <c r="N21" s="130">
        <f>MAX(0,M21-M20)</f>
        <v/>
      </c>
      <c r="O21" s="129">
        <f>IF(B21&lt;='VALOR POR PL'!$P$5,'CP RESUMO'!T71,"")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HISTORICOS'!U29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RESUMO'!U29</f>
        <v/>
      </c>
      <c r="N22" s="130">
        <f>MAX(0,M22-M21)</f>
        <v/>
      </c>
      <c r="O22" s="129">
        <f>IF(B22&lt;='VALOR POR PL'!$P$5,'CP RESUMO'!U71,"")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HISTORICOS'!V29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RESUMO'!V29</f>
        <v/>
      </c>
      <c r="N23" s="130">
        <f>MAX(0,M23-M22)</f>
        <v/>
      </c>
      <c r="O23" s="129">
        <f>IF(B23&lt;='VALOR POR PL'!$P$5,'CP RESUMO'!V71,"")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HISTORICOS'!W29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Previsão informada mantida (decisão do usuário). Premissa: 60% em 10 pagamentos + 40% por medição direta.</t>
        </is>
      </c>
      <c r="M24" s="129">
        <f>'CP RESUMO'!W29</f>
        <v/>
      </c>
      <c r="N24" s="130">
        <f>MAX(0,M24-M23)</f>
        <v/>
      </c>
      <c r="O24" s="129">
        <f>IF(B24&lt;='VALOR POR PL'!$P$5,'CP RESUMO'!W71,"")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HISTORICOS'!X29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RESUMO'!X29</f>
        <v/>
      </c>
      <c r="N25" s="130">
        <f>MAX(0,M25-M24)</f>
        <v/>
      </c>
      <c r="O25" s="129">
        <f>IF(B25&lt;='VALOR POR PL'!$P$5,'CP RESUMO'!X71,"")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HISTORICOS'!Y29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RESUMO'!Y29</f>
        <v/>
      </c>
      <c r="N26" s="130">
        <f>MAX(0,M26-M25)</f>
        <v/>
      </c>
      <c r="O26" s="129">
        <f>IF(B26&lt;='VALOR POR PL'!$P$5,'CP RESUMO'!Y71,"")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HISTORICOS'!Z29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RESUMO'!Z29</f>
        <v/>
      </c>
      <c r="N27" s="130">
        <f>MAX(0,M27-M26)</f>
        <v/>
      </c>
      <c r="O27" s="129">
        <f>IF(B27&lt;='VALOR POR PL'!$P$5,'CP RESUMO'!Z71,"")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HISTORICOS'!AA29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RESUMO'!AA29</f>
        <v/>
      </c>
      <c r="N28" s="130">
        <f>MAX(0,M28-M27)</f>
        <v/>
      </c>
      <c r="O28" s="129">
        <f>IF(B28&lt;='VALOR POR PL'!$P$5,'CP RESUMO'!AA71,"")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HISTORICOS'!AB29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RESUMO'!AB29</f>
        <v/>
      </c>
      <c r="N29" s="130">
        <f>MAX(0,M29-M28)</f>
        <v/>
      </c>
      <c r="O29" s="129">
        <f>IF(B29&lt;='VALOR POR PL'!$P$5,'CP RESUMO'!AB71,"")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HISTORICOS'!AC29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RESUMO'!AC29</f>
        <v/>
      </c>
      <c r="N30" s="130">
        <f>MAX(0,M30-M29)</f>
        <v/>
      </c>
      <c r="O30" s="129">
        <f>IF(B30&lt;='VALOR POR PL'!$P$5,'CP RESUMO'!AC71,"")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HISTORICOS'!AD29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RESUMO'!AD29</f>
        <v/>
      </c>
      <c r="N31" s="130">
        <f>MAX(0,M31-M30)</f>
        <v/>
      </c>
      <c r="O31" s="129">
        <f>IF(B31&lt;='VALOR POR PL'!$P$5,'CP RESUMO'!AD71,"")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HISTORICOS'!AE29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RESUMO'!AE29</f>
        <v/>
      </c>
      <c r="N32" s="130">
        <f>MAX(0,M32-M31)</f>
        <v/>
      </c>
      <c r="O32" s="129">
        <f>IF(B32&lt;='VALOR POR PL'!$P$5,'CP RESUMO'!AE71,"")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HISTORICOS'!AF29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RESUMO'!AF29</f>
        <v/>
      </c>
      <c r="N33" s="130">
        <f>MAX(0,M33-M32)</f>
        <v/>
      </c>
      <c r="O33" s="129">
        <f>IF(B33&lt;='VALOR POR PL'!$P$5,'CP RESUMO'!AF71,"")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HISTORICOS'!AG29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RESUMO'!AG29</f>
        <v/>
      </c>
      <c r="N34" s="130">
        <f>MAX(0,M34-M33)</f>
        <v/>
      </c>
      <c r="O34" s="129">
        <f>IF(B34&lt;='VALOR POR PL'!$P$5,'CP RESUMO'!AG71,"")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HISTORICOS'!AH29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783232</v>
      </c>
      <c r="M35" s="129">
        <f>'CP RESUMO'!AH29</f>
        <v/>
      </c>
      <c r="N35" s="130">
        <f>MAX(0,M35-M34)</f>
        <v/>
      </c>
      <c r="O35" s="129">
        <f>IF(B35&lt;='VALOR POR PL'!$P$5,'CP RESUMO'!AH71,"")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HISTORICOS'!AI29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939878.4</v>
      </c>
      <c r="M36" s="129">
        <f>'CP RESUMO'!AI29</f>
        <v/>
      </c>
      <c r="N36" s="130">
        <f>MAX(0,M36-M35)</f>
        <v/>
      </c>
      <c r="O36" s="129">
        <f>IF(B36&lt;='VALOR POR PL'!$P$5,'CP RESUMO'!AI71,"")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HISTORICOS'!AJ29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939878.4</v>
      </c>
      <c r="M37" s="129">
        <f>'CP RESUMO'!AJ29</f>
        <v/>
      </c>
      <c r="N37" s="130">
        <f>MAX(0,M37-M36)</f>
        <v/>
      </c>
      <c r="O37" s="129">
        <f>IF(B37&lt;='VALOR POR PL'!$P$5,'CP RESUMO'!AJ71,"")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HISTORICOS'!AK29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156646.4</v>
      </c>
      <c r="M38" s="129">
        <f>'CP RESUMO'!AK29</f>
        <v/>
      </c>
      <c r="N38" s="130">
        <f>MAX(0,M38-M37)</f>
        <v/>
      </c>
      <c r="O38" s="129">
        <f>IF(B38&lt;='VALOR POR PL'!$P$5,'CP RESUMO'!AK71,"")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HISTORICOS'!AL29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RESUMO'!AL29</f>
        <v/>
      </c>
      <c r="N39" s="130">
        <f>MAX(0,M39-M38)</f>
        <v/>
      </c>
      <c r="O39" s="129">
        <f>IF(B39&lt;='VALOR POR PL'!$P$5,'CP RESUMO'!AL71,"")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HISTORICOS'!AM29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RESUMO'!AM29</f>
        <v/>
      </c>
      <c r="N40" s="130">
        <f>MAX(0,M40-M39)</f>
        <v/>
      </c>
      <c r="O40" s="129">
        <f>IF(B40&lt;='VALOR POR PL'!$P$5,'CP RESUMO'!AM71,"")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HISTORICOS'!AN29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RESUMO'!AN29</f>
        <v/>
      </c>
      <c r="N41" s="130">
        <f>MAX(0,M41-M40)</f>
        <v/>
      </c>
      <c r="O41" s="129">
        <f>IF(B41&lt;='VALOR POR PL'!$P$5,'CP RESUMO'!AN71,"")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HISTORICOS'!AO29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1409305.4</v>
      </c>
      <c r="M42" s="129">
        <f>'CP RESUMO'!AO29</f>
        <v/>
      </c>
      <c r="N42" s="130">
        <f>MAX(0,M42-M41)</f>
        <v/>
      </c>
      <c r="O42" s="129">
        <f>IF(B42&lt;='VALOR POR PL'!$P$5,'CP RESUMO'!AO71,"")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HISTORICOS'!AP29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1625374.99</v>
      </c>
      <c r="M43" s="129">
        <f>'CP RESUMO'!AP29</f>
        <v/>
      </c>
      <c r="N43" s="130">
        <f>MAX(0,M43-M42)</f>
        <v/>
      </c>
      <c r="O43" s="129">
        <f>IF(B43&lt;='VALOR POR PL'!$P$5,'CP RESUMO'!AP71,"")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HISTORICOS'!AQ29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1625374.99</v>
      </c>
      <c r="M44" s="129">
        <f>'CP RESUMO'!AQ29</f>
        <v/>
      </c>
      <c r="N44" s="130">
        <f>MAX(0,M44-M43)</f>
        <v/>
      </c>
      <c r="O44" s="129">
        <f>IF(B44&lt;='VALOR POR PL'!$P$5,'CP RESUMO'!AQ71,"")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HISTORICOS'!AR29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545027.03</v>
      </c>
      <c r="M45" s="129">
        <f>'CP RESUMO'!AR29</f>
        <v/>
      </c>
      <c r="N45" s="130">
        <f>MAX(0,M45-M44)</f>
        <v/>
      </c>
      <c r="O45" s="129">
        <f>IF(B45&lt;='VALOR POR PL'!$P$5,'CP RESUMO'!AR71,"")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HISTORICOS'!AS29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93987.84</v>
      </c>
      <c r="M46" s="129">
        <f>'CP RESUMO'!AS29</f>
        <v/>
      </c>
      <c r="N46" s="130">
        <f>MAX(0,M46-M45)</f>
        <v/>
      </c>
      <c r="O46" s="129">
        <f>IF(B46&lt;='VALOR POR PL'!$P$5,'CP RESUMO'!AS71,"")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HISTORICOS'!AT29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418092.23</v>
      </c>
      <c r="M47" s="129">
        <f>'CP RESUMO'!AT29</f>
        <v/>
      </c>
      <c r="N47" s="130">
        <f>MAX(0,M47-M46)</f>
        <v/>
      </c>
      <c r="O47" s="129">
        <f>IF(B47&lt;='VALOR POR PL'!$P$5,'CP RESUMO'!AT71,"")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HISTORICOS'!AU29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547733.98</v>
      </c>
      <c r="M48" s="129">
        <f>'CP RESUMO'!AU29</f>
        <v/>
      </c>
      <c r="N48" s="130">
        <f>MAX(0,M48-M47)</f>
        <v/>
      </c>
      <c r="O48" s="129">
        <f>IF(B48&lt;='VALOR POR PL'!$P$5,'CP RESUMO'!AU71,"")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HISTORICOS'!AV29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547733.98</v>
      </c>
      <c r="M49" s="129">
        <f>'CP RESUMO'!AV29</f>
        <v/>
      </c>
      <c r="N49" s="130">
        <f>MAX(0,M49-M48)</f>
        <v/>
      </c>
      <c r="O49" s="129">
        <f>IF(B49&lt;='VALOR POR PL'!$P$5,'CP RESUMO'!AV71,"")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HISTORICOS'!AW29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547733.98</v>
      </c>
      <c r="M50" s="129">
        <f>'CP RESUMO'!AW29</f>
        <v/>
      </c>
      <c r="N50" s="130">
        <f>MAX(0,M50-M49)</f>
        <v/>
      </c>
      <c r="O50" s="129">
        <f>IF(B50&lt;='VALOR POR PL'!$P$5,'CP RESUMO'!AW71,"")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HISTORICOS'!AX29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223629.59</v>
      </c>
      <c r="M51" s="129">
        <f>'CP RESUMO'!AX29</f>
        <v/>
      </c>
      <c r="N51" s="130">
        <f>MAX(0,M51-M50)</f>
        <v/>
      </c>
      <c r="O51" s="129">
        <f>IF(B51&lt;='VALOR POR PL'!$P$5,'CP RESUMO'!AX71,"")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HISTORICOS'!AY29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129641.75</v>
      </c>
      <c r="M52" s="129">
        <f>'CP RESUMO'!AY29</f>
        <v/>
      </c>
      <c r="N52" s="130">
        <f>MAX(0,M52-M51)</f>
        <v/>
      </c>
      <c r="O52" s="129">
        <f>IF(B52&lt;='VALOR POR PL'!$P$5,'CP RESUMO'!AY71,"")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HISTORICOS'!AZ29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129641.75</v>
      </c>
      <c r="M53" s="129">
        <f>'CP RESUMO'!AZ29</f>
        <v/>
      </c>
      <c r="N53" s="130">
        <f>MAX(0,M53-M52)</f>
        <v/>
      </c>
      <c r="O53" s="129">
        <f>IF(B53&lt;='VALOR POR PL'!$P$5,'CP RESUMO'!AZ71,"")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HISTORICOS'!BA29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129641.75</v>
      </c>
      <c r="M54" s="129">
        <f>'CP RESUMO'!BA29</f>
        <v/>
      </c>
      <c r="N54" s="130">
        <f>MAX(0,M54-M53)</f>
        <v/>
      </c>
      <c r="O54" s="129">
        <f>IF(B54&lt;='VALOR POR PL'!$P$5,'CP RESUMO'!BA71,"")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HISTORICOS'!BB29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129641.75</v>
      </c>
      <c r="M55" s="129">
        <f>'CP RESUMO'!BB29</f>
        <v/>
      </c>
      <c r="N55" s="130">
        <f>MAX(0,M55-M54)</f>
        <v/>
      </c>
      <c r="O55" s="129">
        <f>IF(B55&lt;='VALOR POR PL'!$P$5,'CP RESUMO'!BB71,"")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HISTORICOS'!BC29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129641.75</v>
      </c>
      <c r="M56" s="129">
        <f>'CP RESUMO'!BC29</f>
        <v/>
      </c>
      <c r="N56" s="130">
        <f>MAX(0,M56-M55)</f>
        <v/>
      </c>
      <c r="O56" s="129">
        <f>IF(B56&lt;='VALOR POR PL'!$P$5,'CP RESUMO'!BC71,"")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HISTORICOS'!BD29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129641.75</v>
      </c>
      <c r="M57" s="129">
        <f>'CP RESUMO'!BD29</f>
        <v/>
      </c>
      <c r="N57" s="130">
        <f>MAX(0,M57-M56)</f>
        <v/>
      </c>
      <c r="O57" s="129">
        <f>IF(B57&lt;='VALOR POR PL'!$P$5,'CP RESUMO'!BD71,"")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HISTORICOS'!BE29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RESUMO'!BE29</f>
        <v/>
      </c>
      <c r="N58" s="130">
        <f>MAX(0,M58-M57)</f>
        <v/>
      </c>
      <c r="O58" s="129">
        <f>IF(B58&lt;='VALOR POR PL'!$P$5,'CP RESUMO'!BE71,"")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HISTORICOS'!BF29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>
        <v>599883.0699999999</v>
      </c>
      <c r="M59" s="129">
        <f>'CP RESUMO'!BF29</f>
        <v/>
      </c>
      <c r="N59" s="130">
        <f>MAX(0,M59-M58)</f>
        <v/>
      </c>
      <c r="O59" s="129">
        <f>IF(B59&lt;='VALOR POR PL'!$P$5,'CP RESUMO'!BF71,"")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HISTORICOS'!BG29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RESUMO'!BG29</f>
        <v/>
      </c>
      <c r="N60" s="130">
        <f>MAX(0,M60-M59)</f>
        <v/>
      </c>
      <c r="O60" s="129">
        <f>IF(B60&lt;='VALOR POR PL'!$P$5,'CP RESUMO'!BG71,"")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HISTORICOS'!BH29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RESUMO'!BH29</f>
        <v/>
      </c>
      <c r="N61" s="130">
        <f>MAX(0,M61-M60)</f>
        <v/>
      </c>
      <c r="O61" s="129">
        <f>IF(B61&lt;='VALOR POR PL'!$P$5,'CP RESUMO'!BH71,"")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HISTORICOS'!BI29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RESUMO'!BI29</f>
        <v/>
      </c>
      <c r="N62" s="130">
        <f>MAX(0,M62-M61)</f>
        <v/>
      </c>
      <c r="O62" s="129">
        <f>IF(B62&lt;='VALOR POR PL'!$P$5,'CP RESUMO'!BI71,"")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HISTORICOS'!BJ29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RESUMO'!BJ29</f>
        <v/>
      </c>
      <c r="N63" s="130">
        <f>MAX(0,M63-M62)</f>
        <v/>
      </c>
      <c r="O63" s="129">
        <f>IF(B63&lt;='VALOR POR PL'!$P$5,'CP RESUMO'!BJ71,"")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HISTORICOS'!BK29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RESUMO'!BK29</f>
        <v/>
      </c>
      <c r="N64" s="130">
        <f>MAX(0,M64-M63)</f>
        <v/>
      </c>
      <c r="O64" s="129">
        <f>IF(B64&lt;='VALOR POR PL'!$P$5,'CP RESUMO'!BK71,"")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HISTORICOS'!BL29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RESUMO'!BL29</f>
        <v/>
      </c>
      <c r="N65" s="130">
        <f>MAX(0,M65-M64)</f>
        <v/>
      </c>
      <c r="O65" s="129">
        <f>IF(B65&lt;='VALOR POR PL'!$P$5,'CP RESUMO'!BL71,"")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HISTORICOS'!BM29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RESUMO'!BM29</f>
        <v/>
      </c>
      <c r="N66" s="130">
        <f>MAX(0,M66-M65)</f>
        <v/>
      </c>
      <c r="O66" s="129">
        <f>IF(B66&lt;='VALOR POR PL'!$P$5,'CP RESUMO'!BM71,"")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HISTORICOS'!BN29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RESUMO'!BN29</f>
        <v/>
      </c>
      <c r="N67" s="130">
        <f>MAX(0,M67-M66)</f>
        <v/>
      </c>
      <c r="O67" s="129">
        <f>IF(B67&lt;='VALOR POR PL'!$P$5,'CP RESUMO'!BN71,"")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HISTORICOS'!BO29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RESUMO'!BO29</f>
        <v/>
      </c>
      <c r="N68" s="130">
        <f>MAX(0,M68-M67)</f>
        <v/>
      </c>
      <c r="O68" s="129">
        <f>IF(B68&lt;='VALOR POR PL'!$P$5,'CP RESUMO'!BO71,"")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HISTORICOS'!BP29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RESUMO'!BP29</f>
        <v/>
      </c>
      <c r="N69" s="130">
        <f>MAX(0,M69-M68)</f>
        <v/>
      </c>
      <c r="O69" s="129">
        <f>IF(B69&lt;='VALOR POR PL'!$P$5,'CP RESUMO'!BP71,"")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HISTORICOS'!BQ29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RESUMO'!BQ29</f>
        <v/>
      </c>
      <c r="N70" s="130">
        <f>MAX(0,M70-M69)</f>
        <v/>
      </c>
      <c r="O70" s="129">
        <f>IF(B70&lt;='VALOR POR PL'!$P$5,'CP RESUMO'!BQ71,"")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HISTORICOS'!BR29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RESUMO'!BR29</f>
        <v/>
      </c>
      <c r="N71" s="130">
        <f>MAX(0,M71-M70)</f>
        <v/>
      </c>
      <c r="O71" s="129">
        <f>IF(B71&lt;='VALOR POR PL'!$P$5,'CP RESUMO'!BR71,"")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HISTORICOS'!BS29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RESUMO'!BS29</f>
        <v/>
      </c>
      <c r="N72" s="130">
        <f>MAX(0,M72-M71)</f>
        <v/>
      </c>
      <c r="O72" s="129">
        <f>IF(B72&lt;='VALOR POR PL'!$P$5,'CP RESUMO'!BS71,"")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HISTORICOS'!BT29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RESUMO'!BT29</f>
        <v/>
      </c>
      <c r="N73" s="130">
        <f>MAX(0,M73-M72)</f>
        <v/>
      </c>
      <c r="O73" s="129">
        <f>IF(B73&lt;='VALOR POR PL'!$P$5,'CP RESUMO'!BT71,"")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HISTORICOS'!BU29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RESUMO'!BU29</f>
        <v/>
      </c>
      <c r="N74" s="130">
        <f>MAX(0,M74-M73)</f>
        <v/>
      </c>
      <c r="O74" s="129">
        <f>IF(B74&lt;='VALOR POR PL'!$P$5,'CP RESUMO'!BU71,"")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HISTORICOS'!BV29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RESUMO'!BV29</f>
        <v/>
      </c>
      <c r="N75" s="130">
        <f>MAX(0,M75-M74)</f>
        <v/>
      </c>
      <c r="O75" s="129">
        <f>IF(B75&lt;='VALOR POR PL'!$P$5,'CP RESUMO'!BV71,"")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HISTORICOS'!BW29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RESUMO'!BW29</f>
        <v/>
      </c>
      <c r="N76" s="130">
        <f>MAX(0,M76-M75)</f>
        <v/>
      </c>
      <c r="O76" s="129">
        <f>IF(B76&lt;='VALOR POR PL'!$P$5,'CP RESUMO'!BW71,"")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HISTORICOS'!D30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PL'!F36</f>
        <v/>
      </c>
      <c r="K5" s="62">
        <f>'VALOR POR PL'!G36</f>
        <v/>
      </c>
      <c r="M5" s="129">
        <f>'CP RESUMO'!D30</f>
        <v/>
      </c>
      <c r="N5" s="130" t="n">
        <v>0</v>
      </c>
      <c r="O5" s="129">
        <f>IF(B5&lt;='VALOR POR PL'!$P$5,'CP RESUMO'!D72,"")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HISTORICOS'!E30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RESUMO'!E30</f>
        <v/>
      </c>
      <c r="N6" s="130">
        <f>MAX(0,M6-M5)</f>
        <v/>
      </c>
      <c r="O6" s="129">
        <f>IF(B6&lt;='VALOR POR PL'!$P$5,'CP RESUMO'!E72,"")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HISTORICOS'!F30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PL'!L36</f>
        <v/>
      </c>
      <c r="M7" s="129">
        <f>'CP RESUMO'!F30</f>
        <v/>
      </c>
      <c r="N7" s="130">
        <f>MAX(0,M7-M6)</f>
        <v/>
      </c>
      <c r="O7" s="129">
        <f>IF(B7&lt;='VALOR POR PL'!$P$5,'CP RESUMO'!F72,"")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HISTORICOS'!G30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RESUMO'!G30</f>
        <v/>
      </c>
      <c r="N8" s="130">
        <f>MAX(0,M8-M7)</f>
        <v/>
      </c>
      <c r="O8" s="129">
        <f>IF(B8&lt;='VALOR POR PL'!$P$5,'CP RESUMO'!G72,"")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HISTORICOS'!H30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RESUMO'!H30</f>
        <v/>
      </c>
      <c r="N9" s="130">
        <f>MAX(0,M9-M8)</f>
        <v/>
      </c>
      <c r="O9" s="129">
        <f>IF(B9&lt;='VALOR POR PL'!$P$5,'CP RESUMO'!H72,"")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HISTORICOS'!I30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RESUMO'!I30</f>
        <v/>
      </c>
      <c r="N10" s="130">
        <f>MAX(0,M10-M9)</f>
        <v/>
      </c>
      <c r="O10" s="129">
        <f>IF(B10&lt;='VALOR POR PL'!$P$5,'CP RESUMO'!I72,"")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HISTORICOS'!J30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RESUMO'!J30</f>
        <v/>
      </c>
      <c r="N11" s="130">
        <f>MAX(0,M11-M10)</f>
        <v/>
      </c>
      <c r="O11" s="129">
        <f>IF(B11&lt;='VALOR POR PL'!$P$5,'CP RESUMO'!J72,"")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HISTORICOS'!K30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RESUMO'!K30</f>
        <v/>
      </c>
      <c r="N12" s="130">
        <f>MAX(0,M12-M11)</f>
        <v/>
      </c>
      <c r="O12" s="129">
        <f>IF(B12&lt;='VALOR POR PL'!$P$5,'CP RESUMO'!K72,"")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HISTORICOS'!L30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PL'!I36</f>
        <v/>
      </c>
      <c r="M13" s="129">
        <f>'CP RESUMO'!L30</f>
        <v/>
      </c>
      <c r="N13" s="130">
        <f>MAX(0,M13-M12)</f>
        <v/>
      </c>
      <c r="O13" s="129">
        <f>IF(B13&lt;='VALOR POR PL'!$P$5,'CP RESUMO'!L72,"")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HISTORICOS'!M30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RESUMO'!$D$72:$BW$72,MATCH('VALOR POR PL'!$P$5,'CP RESUMO'!$D$4:$BW$4,0))/100,0)</f>
        <v/>
      </c>
      <c r="M14" s="129">
        <f>'CP RESUMO'!M30</f>
        <v/>
      </c>
      <c r="N14" s="130">
        <f>MAX(0,M14-M13)</f>
        <v/>
      </c>
      <c r="O14" s="129">
        <f>IF(B14&lt;='VALOR POR PL'!$P$5,'CP RESUMO'!M72,"")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HISTORICOS'!N30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RESUMO'!N30</f>
        <v/>
      </c>
      <c r="N15" s="130">
        <f>MAX(0,M15-M14)</f>
        <v/>
      </c>
      <c r="O15" s="129">
        <f>IF(B15&lt;='VALOR POR PL'!$P$5,'CP RESUMO'!N72,"")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HISTORICOS'!O30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RESUMO'!O30</f>
        <v/>
      </c>
      <c r="N16" s="130">
        <f>MAX(0,M16-M15)</f>
        <v/>
      </c>
      <c r="O16" s="129">
        <f>IF(B16&lt;='VALOR POR PL'!$P$5,'CP RESUMO'!O72,"")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HISTORICOS'!P30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RESUMO'!P30</f>
        <v/>
      </c>
      <c r="N17" s="130">
        <f>MAX(0,M17-M16)</f>
        <v/>
      </c>
      <c r="O17" s="129">
        <f>IF(B17&lt;='VALOR POR PL'!$P$5,'CP RESUMO'!P72,"")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HISTORICOS'!Q30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RESUMO'!Q30</f>
        <v/>
      </c>
      <c r="N18" s="130">
        <f>MAX(0,M18-M17)</f>
        <v/>
      </c>
      <c r="O18" s="129">
        <f>IF(B18&lt;='VALOR POR PL'!$P$5,'CP RESUMO'!Q72,"")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HISTORICOS'!R30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RESUMO'!R30</f>
        <v/>
      </c>
      <c r="N19" s="130">
        <f>MAX(0,M19-M18)</f>
        <v/>
      </c>
      <c r="O19" s="129">
        <f>IF(B19&lt;='VALOR POR PL'!$P$5,'CP RESUMO'!R72,"")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HISTORICOS'!S30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RESUMO'!S30</f>
        <v/>
      </c>
      <c r="N20" s="130">
        <f>MAX(0,M20-M19)</f>
        <v/>
      </c>
      <c r="O20" s="129">
        <f>IF(B20&lt;='VALOR POR PL'!$P$5,'CP RESUMO'!S72,"")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HISTORICOS'!T30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RESUMO'!T30</f>
        <v/>
      </c>
      <c r="N21" s="130">
        <f>MAX(0,M21-M20)</f>
        <v/>
      </c>
      <c r="O21" s="129">
        <f>IF(B21&lt;='VALOR POR PL'!$P$5,'CP RESUMO'!T72,"")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HISTORICOS'!U30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RESUMO'!U30</f>
        <v/>
      </c>
      <c r="N22" s="130">
        <f>MAX(0,M22-M21)</f>
        <v/>
      </c>
      <c r="O22" s="129">
        <f>IF(B22&lt;='VALOR POR PL'!$P$5,'CP RESUMO'!U72,"")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HISTORICOS'!V30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RESUMO'!V30</f>
        <v/>
      </c>
      <c r="N23" s="130">
        <f>MAX(0,M23-M22)</f>
        <v/>
      </c>
      <c r="O23" s="129">
        <f>IF(B23&lt;='VALOR POR PL'!$P$5,'CP RESUMO'!V72,"")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HISTORICOS'!W30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RESUMO'!W30</f>
        <v/>
      </c>
      <c r="N24" s="130">
        <f>MAX(0,M24-M23)</f>
        <v/>
      </c>
      <c r="O24" s="129">
        <f>IF(B24&lt;='VALOR POR PL'!$P$5,'CP RESUMO'!W72,"")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HISTORICOS'!X30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RESUMO'!X30</f>
        <v/>
      </c>
      <c r="N25" s="130">
        <f>MAX(0,M25-M24)</f>
        <v/>
      </c>
      <c r="O25" s="129">
        <f>IF(B25&lt;='VALOR POR PL'!$P$5,'CP RESUMO'!X72,"")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HISTORICOS'!Y30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RESUMO'!Y30</f>
        <v/>
      </c>
      <c r="N26" s="130">
        <f>MAX(0,M26-M25)</f>
        <v/>
      </c>
      <c r="O26" s="129">
        <f>IF(B26&lt;='VALOR POR PL'!$P$5,'CP RESUMO'!Y72,"")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HISTORICOS'!Z30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RESUMO'!Z30</f>
        <v/>
      </c>
      <c r="N27" s="130">
        <f>MAX(0,M27-M26)</f>
        <v/>
      </c>
      <c r="O27" s="129">
        <f>IF(B27&lt;='VALOR POR PL'!$P$5,'CP RESUMO'!Z72,"")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HISTORICOS'!AA30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RESUMO'!AA30</f>
        <v/>
      </c>
      <c r="N28" s="130">
        <f>MAX(0,M28-M27)</f>
        <v/>
      </c>
      <c r="O28" s="129">
        <f>IF(B28&lt;='VALOR POR PL'!$P$5,'CP RESUMO'!AA72,"")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HISTORICOS'!AB30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RESUMO'!AB30</f>
        <v/>
      </c>
      <c r="N29" s="130">
        <f>MAX(0,M29-M28)</f>
        <v/>
      </c>
      <c r="O29" s="129">
        <f>IF(B29&lt;='VALOR POR PL'!$P$5,'CP RESUMO'!AB72,"")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HISTORICOS'!AC30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RESUMO'!AC30</f>
        <v/>
      </c>
      <c r="N30" s="130">
        <f>MAX(0,M30-M29)</f>
        <v/>
      </c>
      <c r="O30" s="129">
        <f>IF(B30&lt;='VALOR POR PL'!$P$5,'CP RESUMO'!AC72,"")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HISTORICOS'!AD30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RESUMO'!AD30</f>
        <v/>
      </c>
      <c r="N31" s="130">
        <f>MAX(0,M31-M30)</f>
        <v/>
      </c>
      <c r="O31" s="129">
        <f>IF(B31&lt;='VALOR POR PL'!$P$5,'CP RESUMO'!AD72,"")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HISTORICOS'!AE30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RESUMO'!AE30</f>
        <v/>
      </c>
      <c r="N32" s="130">
        <f>MAX(0,M32-M31)</f>
        <v/>
      </c>
      <c r="O32" s="129">
        <f>IF(B32&lt;='VALOR POR PL'!$P$5,'CP RESUMO'!AE72,"")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HISTORICOS'!AF30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RESUMO'!AF30</f>
        <v/>
      </c>
      <c r="N33" s="130">
        <f>MAX(0,M33-M32)</f>
        <v/>
      </c>
      <c r="O33" s="129">
        <f>IF(B33&lt;='VALOR POR PL'!$P$5,'CP RESUMO'!AF72,"")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HISTORICOS'!AG30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RESUMO'!AG30</f>
        <v/>
      </c>
      <c r="N34" s="130">
        <f>MAX(0,M34-M33)</f>
        <v/>
      </c>
      <c r="O34" s="129">
        <f>IF(B34&lt;='VALOR POR PL'!$P$5,'CP RESUMO'!AG72,"")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HISTORICOS'!AH30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RESUMO'!AH30</f>
        <v/>
      </c>
      <c r="N35" s="130">
        <f>MAX(0,M35-M34)</f>
        <v/>
      </c>
      <c r="O35" s="129">
        <f>IF(B35&lt;='VALOR POR PL'!$P$5,'CP RESUMO'!AH72,"")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HISTORICOS'!AI30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RESUMO'!AI30</f>
        <v/>
      </c>
      <c r="N36" s="130">
        <f>MAX(0,M36-M35)</f>
        <v/>
      </c>
      <c r="O36" s="129">
        <f>IF(B36&lt;='VALOR POR PL'!$P$5,'CP RESUMO'!AI72,"")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HISTORICOS'!AJ30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RESUMO'!AJ30</f>
        <v/>
      </c>
      <c r="N37" s="130">
        <f>MAX(0,M37-M36)</f>
        <v/>
      </c>
      <c r="O37" s="129">
        <f>IF(B37&lt;='VALOR POR PL'!$P$5,'CP RESUMO'!AJ72,"")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HISTORICOS'!AK30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27010.22</v>
      </c>
      <c r="M38" s="129">
        <f>'CP RESUMO'!AK30</f>
        <v/>
      </c>
      <c r="N38" s="130">
        <f>MAX(0,M38-M37)</f>
        <v/>
      </c>
      <c r="O38" s="129">
        <f>IF(B38&lt;='VALOR POR PL'!$P$5,'CP RESUMO'!AK72,"")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HISTORICOS'!AL30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26959.35</v>
      </c>
      <c r="M39" s="129">
        <f>'CP RESUMO'!AL30</f>
        <v/>
      </c>
      <c r="N39" s="130">
        <f>MAX(0,M39-M38)</f>
        <v/>
      </c>
      <c r="O39" s="129">
        <f>IF(B39&lt;='VALOR POR PL'!$P$5,'CP RESUMO'!AL72,"")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HISTORICOS'!AM30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RESUMO'!AM30</f>
        <v/>
      </c>
      <c r="N40" s="130">
        <f>MAX(0,M40-M39)</f>
        <v/>
      </c>
      <c r="O40" s="129">
        <f>IF(B40&lt;='VALOR POR PL'!$P$5,'CP RESUMO'!AM72,"")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HISTORICOS'!AN30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27010.22</v>
      </c>
      <c r="M41" s="129">
        <f>'CP RESUMO'!AN30</f>
        <v/>
      </c>
      <c r="N41" s="130">
        <f>MAX(0,M41-M40)</f>
        <v/>
      </c>
      <c r="O41" s="129">
        <f>IF(B41&lt;='VALOR POR PL'!$P$5,'CP RESUMO'!AN72,"")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HISTORICOS'!AO30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RESUMO'!AO30</f>
        <v/>
      </c>
      <c r="N42" s="130">
        <f>MAX(0,M42-M41)</f>
        <v/>
      </c>
      <c r="O42" s="129">
        <f>IF(B42&lt;='VALOR POR PL'!$P$5,'CP RESUMO'!AO72,"")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HISTORICOS'!AP30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26959.35</v>
      </c>
      <c r="M43" s="129">
        <f>'CP RESUMO'!AP30</f>
        <v/>
      </c>
      <c r="N43" s="130">
        <f>MAX(0,M43-M42)</f>
        <v/>
      </c>
      <c r="O43" s="129">
        <f>IF(B43&lt;='VALOR POR PL'!$P$5,'CP RESUMO'!AP72,"")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HISTORICOS'!AQ30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22076.15</v>
      </c>
      <c r="M44" s="129">
        <f>'CP RESUMO'!AQ30</f>
        <v/>
      </c>
      <c r="N44" s="130">
        <f>MAX(0,M44-M43)</f>
        <v/>
      </c>
      <c r="O44" s="129">
        <f>IF(B44&lt;='VALOR POR PL'!$P$5,'CP RESUMO'!AQ72,"")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HISTORICOS'!AR30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102649.01</v>
      </c>
      <c r="M45" s="129">
        <f>'CP RESUMO'!AR30</f>
        <v/>
      </c>
      <c r="N45" s="130">
        <f>MAX(0,M45-M44)</f>
        <v/>
      </c>
      <c r="O45" s="129">
        <f>IF(B45&lt;='VALOR POR PL'!$P$5,'CP RESUMO'!AR72,"")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HISTORICOS'!AS30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59259.71</v>
      </c>
      <c r="M46" s="129">
        <f>'CP RESUMO'!AS30</f>
        <v/>
      </c>
      <c r="N46" s="130">
        <f>MAX(0,M46-M45)</f>
        <v/>
      </c>
      <c r="O46" s="129">
        <f>IF(B46&lt;='VALOR POR PL'!$P$5,'CP RESUMO'!AS72,"")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HISTORICOS'!AT30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24365.15</v>
      </c>
      <c r="M47" s="129">
        <f>'CP RESUMO'!AT30</f>
        <v/>
      </c>
      <c r="N47" s="130">
        <f>MAX(0,M47-M46)</f>
        <v/>
      </c>
      <c r="O47" s="129">
        <f>IF(B47&lt;='VALOR POR PL'!$P$5,'CP RESUMO'!AT72,"")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HISTORICOS'!AU30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38709.56</v>
      </c>
      <c r="M48" s="129">
        <f>'CP RESUMO'!AU30</f>
        <v/>
      </c>
      <c r="N48" s="130">
        <f>MAX(0,M48-M47)</f>
        <v/>
      </c>
      <c r="O48" s="129">
        <f>IF(B48&lt;='VALOR POR PL'!$P$5,'CP RESUMO'!AU72,"")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HISTORICOS'!AV30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24263.42</v>
      </c>
      <c r="M49" s="129">
        <f>'CP RESUMO'!AV30</f>
        <v/>
      </c>
      <c r="N49" s="130">
        <f>MAX(0,M49-M48)</f>
        <v/>
      </c>
      <c r="O49" s="129">
        <f>IF(B49&lt;='VALOR POR PL'!$P$5,'CP RESUMO'!AV72,"")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HISTORICOS'!AW30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8647.34</v>
      </c>
      <c r="M50" s="129">
        <f>'CP RESUMO'!AW30</f>
        <v/>
      </c>
      <c r="N50" s="130">
        <f>MAX(0,M50-M49)</f>
        <v/>
      </c>
      <c r="O50" s="129">
        <f>IF(B50&lt;='VALOR POR PL'!$P$5,'CP RESUMO'!AW72,"")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HISTORICOS'!AX30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8189.54</v>
      </c>
      <c r="M51" s="129">
        <f>'CP RESUMO'!AX30</f>
        <v/>
      </c>
      <c r="N51" s="130">
        <f>MAX(0,M51-M50)</f>
        <v/>
      </c>
      <c r="O51" s="129">
        <f>IF(B51&lt;='VALOR POR PL'!$P$5,'CP RESUMO'!AX72,"")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HISTORICOS'!AY30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8342.139999999999</v>
      </c>
      <c r="M52" s="129">
        <f>'CP RESUMO'!AY30</f>
        <v/>
      </c>
      <c r="N52" s="130">
        <f>MAX(0,M52-M51)</f>
        <v/>
      </c>
      <c r="O52" s="129">
        <f>IF(B52&lt;='VALOR POR PL'!$P$5,'CP RESUMO'!AY72,"")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HISTORICOS'!AZ30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24619.49</v>
      </c>
      <c r="M53" s="129">
        <f>'CP RESUMO'!AZ30</f>
        <v/>
      </c>
      <c r="N53" s="130">
        <f>MAX(0,M53-M52)</f>
        <v/>
      </c>
      <c r="O53" s="129">
        <f>IF(B53&lt;='VALOR POR PL'!$P$5,'CP RESUMO'!AZ72,"")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HISTORICOS'!BA30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75130.12</v>
      </c>
      <c r="M54" s="129">
        <f>'CP RESUMO'!BA30</f>
        <v/>
      </c>
      <c r="N54" s="130">
        <f>MAX(0,M54-M53)</f>
        <v/>
      </c>
      <c r="O54" s="129">
        <f>IF(B54&lt;='VALOR POR PL'!$P$5,'CP RESUMO'!BA72,"")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HISTORICOS'!BB30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4323.67</v>
      </c>
      <c r="M55" s="129">
        <f>'CP RESUMO'!BB30</f>
        <v/>
      </c>
      <c r="N55" s="130">
        <f>MAX(0,M55-M54)</f>
        <v/>
      </c>
      <c r="O55" s="129">
        <f>IF(B55&lt;='VALOR POR PL'!$P$5,'CP RESUMO'!BB72,"")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HISTORICOS'!BC30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152.6</v>
      </c>
      <c r="M56" s="129">
        <f>'CP RESUMO'!BC30</f>
        <v/>
      </c>
      <c r="N56" s="130">
        <f>MAX(0,M56-M55)</f>
        <v/>
      </c>
      <c r="O56" s="129">
        <f>IF(B56&lt;='VALOR POR PL'!$P$5,'CP RESUMO'!BC72,"")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HISTORICOS'!BD30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RESUMO'!BD30</f>
        <v/>
      </c>
      <c r="N57" s="130">
        <f>MAX(0,M57-M56)</f>
        <v/>
      </c>
      <c r="O57" s="129">
        <f>IF(B57&lt;='VALOR POR PL'!$P$5,'CP RESUMO'!BD72,"")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HISTORICOS'!BE30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RESUMO'!BE30</f>
        <v/>
      </c>
      <c r="N58" s="130">
        <f>MAX(0,M58-M57)</f>
        <v/>
      </c>
      <c r="O58" s="129">
        <f>IF(B58&lt;='VALOR POR PL'!$P$5,'CP RESUMO'!BE72,"")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HISTORICOS'!BF30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RESUMO'!BF30</f>
        <v/>
      </c>
      <c r="N59" s="130">
        <f>MAX(0,M59-M58)</f>
        <v/>
      </c>
      <c r="O59" s="129">
        <f>IF(B59&lt;='VALOR POR PL'!$P$5,'CP RESUMO'!BF72,"")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HISTORICOS'!BG30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RESUMO'!BG30</f>
        <v/>
      </c>
      <c r="N60" s="130">
        <f>MAX(0,M60-M59)</f>
        <v/>
      </c>
      <c r="O60" s="129">
        <f>IF(B60&lt;='VALOR POR PL'!$P$5,'CP RESUMO'!BG72,"")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HISTORICOS'!BH30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RESUMO'!BH30</f>
        <v/>
      </c>
      <c r="N61" s="130">
        <f>MAX(0,M61-M60)</f>
        <v/>
      </c>
      <c r="O61" s="129">
        <f>IF(B61&lt;='VALOR POR PL'!$P$5,'CP RESUMO'!BH72,"")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HISTORICOS'!BI30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RESUMO'!BI30</f>
        <v/>
      </c>
      <c r="N62" s="130">
        <f>MAX(0,M62-M61)</f>
        <v/>
      </c>
      <c r="O62" s="129">
        <f>IF(B62&lt;='VALOR POR PL'!$P$5,'CP RESUMO'!BI72,"")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HISTORICOS'!BJ30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RESUMO'!BJ30</f>
        <v/>
      </c>
      <c r="N63" s="130">
        <f>MAX(0,M63-M62)</f>
        <v/>
      </c>
      <c r="O63" s="129">
        <f>IF(B63&lt;='VALOR POR PL'!$P$5,'CP RESUMO'!BJ72,"")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HISTORICOS'!BK30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RESUMO'!BK30</f>
        <v/>
      </c>
      <c r="N64" s="130">
        <f>MAX(0,M64-M63)</f>
        <v/>
      </c>
      <c r="O64" s="129">
        <f>IF(B64&lt;='VALOR POR PL'!$P$5,'CP RESUMO'!BK72,"")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HISTORICOS'!BL30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RESUMO'!BL30</f>
        <v/>
      </c>
      <c r="N65" s="130">
        <f>MAX(0,M65-M64)</f>
        <v/>
      </c>
      <c r="O65" s="129">
        <f>IF(B65&lt;='VALOR POR PL'!$P$5,'CP RESUMO'!BL72,"")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HISTORICOS'!BM30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RESUMO'!BM30</f>
        <v/>
      </c>
      <c r="N66" s="130">
        <f>MAX(0,M66-M65)</f>
        <v/>
      </c>
      <c r="O66" s="129">
        <f>IF(B66&lt;='VALOR POR PL'!$P$5,'CP RESUMO'!BM72,"")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HISTORICOS'!BN30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RESUMO'!BN30</f>
        <v/>
      </c>
      <c r="N67" s="130">
        <f>MAX(0,M67-M66)</f>
        <v/>
      </c>
      <c r="O67" s="129">
        <f>IF(B67&lt;='VALOR POR PL'!$P$5,'CP RESUMO'!BN72,"")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HISTORICOS'!BO30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RESUMO'!BO30</f>
        <v/>
      </c>
      <c r="N68" s="130">
        <f>MAX(0,M68-M67)</f>
        <v/>
      </c>
      <c r="O68" s="129">
        <f>IF(B68&lt;='VALOR POR PL'!$P$5,'CP RESUMO'!BO72,"")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HISTORICOS'!BP30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RESUMO'!BP30</f>
        <v/>
      </c>
      <c r="N69" s="130">
        <f>MAX(0,M69-M68)</f>
        <v/>
      </c>
      <c r="O69" s="129">
        <f>IF(B69&lt;='VALOR POR PL'!$P$5,'CP RESUMO'!BP72,"")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HISTORICOS'!BQ30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RESUMO'!BQ30</f>
        <v/>
      </c>
      <c r="N70" s="130">
        <f>MAX(0,M70-M69)</f>
        <v/>
      </c>
      <c r="O70" s="129">
        <f>IF(B70&lt;='VALOR POR PL'!$P$5,'CP RESUMO'!BQ72,"")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HISTORICOS'!BR30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RESUMO'!BR30</f>
        <v/>
      </c>
      <c r="N71" s="130">
        <f>MAX(0,M71-M70)</f>
        <v/>
      </c>
      <c r="O71" s="129">
        <f>IF(B71&lt;='VALOR POR PL'!$P$5,'CP RESUMO'!BR72,"")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HISTORICOS'!BS30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RESUMO'!BS30</f>
        <v/>
      </c>
      <c r="N72" s="130">
        <f>MAX(0,M72-M71)</f>
        <v/>
      </c>
      <c r="O72" s="129">
        <f>IF(B72&lt;='VALOR POR PL'!$P$5,'CP RESUMO'!BS72,"")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HISTORICOS'!BT30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RESUMO'!BT30</f>
        <v/>
      </c>
      <c r="N73" s="130">
        <f>MAX(0,M73-M72)</f>
        <v/>
      </c>
      <c r="O73" s="129">
        <f>IF(B73&lt;='VALOR POR PL'!$P$5,'CP RESUMO'!BT72,"")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HISTORICOS'!BU30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RESUMO'!BU30</f>
        <v/>
      </c>
      <c r="N74" s="130">
        <f>MAX(0,M74-M73)</f>
        <v/>
      </c>
      <c r="O74" s="129">
        <f>IF(B74&lt;='VALOR POR PL'!$P$5,'CP RESUMO'!BU72,"")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HISTORICOS'!BV30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RESUMO'!BV30</f>
        <v/>
      </c>
      <c r="N75" s="130">
        <f>MAX(0,M75-M74)</f>
        <v/>
      </c>
      <c r="O75" s="129">
        <f>IF(B75&lt;='VALOR POR PL'!$P$5,'CP RESUMO'!BV72,"")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HISTORICOS'!BW30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RESUMO'!BW30</f>
        <v/>
      </c>
      <c r="N76" s="130">
        <f>MAX(0,M76-M75)</f>
        <v/>
      </c>
      <c r="O76" s="129">
        <f>IF(B76&lt;='VALOR POR PL'!$P$5,'CP RESUMO'!BW72,"")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HISTORICOS'!D31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PL'!F37</f>
        <v/>
      </c>
      <c r="K5" s="62">
        <f>'VALOR POR PL'!G37</f>
        <v/>
      </c>
      <c r="M5" s="129">
        <f>'CP RESUMO'!D31</f>
        <v/>
      </c>
      <c r="N5" s="130" t="n">
        <v>0</v>
      </c>
      <c r="O5" s="129">
        <f>IF(B5&lt;='VALOR POR PL'!$P$5,'CP RESUMO'!D73,"")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HISTORICOS'!E31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RESUMO'!E31</f>
        <v/>
      </c>
      <c r="N6" s="130">
        <f>MAX(0,M6-M5)</f>
        <v/>
      </c>
      <c r="O6" s="129">
        <f>IF(B6&lt;='VALOR POR PL'!$P$5,'CP RESUMO'!E73,"")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HISTORICOS'!F31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PL'!L37</f>
        <v/>
      </c>
      <c r="M7" s="129">
        <f>'CP RESUMO'!F31</f>
        <v/>
      </c>
      <c r="N7" s="130">
        <f>MAX(0,M7-M6)</f>
        <v/>
      </c>
      <c r="O7" s="129">
        <f>IF(B7&lt;='VALOR POR PL'!$P$5,'CP RESUMO'!F73,"")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HISTORICOS'!G31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RESUMO'!G31</f>
        <v/>
      </c>
      <c r="N8" s="130">
        <f>MAX(0,M8-M7)</f>
        <v/>
      </c>
      <c r="O8" s="129">
        <f>IF(B8&lt;='VALOR POR PL'!$P$5,'CP RESUMO'!G73,"")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HISTORICOS'!H31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RESUMO'!H31</f>
        <v/>
      </c>
      <c r="N9" s="130">
        <f>MAX(0,M9-M8)</f>
        <v/>
      </c>
      <c r="O9" s="129">
        <f>IF(B9&lt;='VALOR POR PL'!$P$5,'CP RESUMO'!H73,"")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HISTORICOS'!I31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RESUMO'!I31</f>
        <v/>
      </c>
      <c r="N10" s="130">
        <f>MAX(0,M10-M9)</f>
        <v/>
      </c>
      <c r="O10" s="129">
        <f>IF(B10&lt;='VALOR POR PL'!$P$5,'CP RESUMO'!I73,"")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HISTORICOS'!J31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RESUMO'!J31</f>
        <v/>
      </c>
      <c r="N11" s="130">
        <f>MAX(0,M11-M10)</f>
        <v/>
      </c>
      <c r="O11" s="129">
        <f>IF(B11&lt;='VALOR POR PL'!$P$5,'CP RESUMO'!J73,"")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HISTORICOS'!K31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RESUMO'!K31</f>
        <v/>
      </c>
      <c r="N12" s="130">
        <f>MAX(0,M12-M11)</f>
        <v/>
      </c>
      <c r="O12" s="129">
        <f>IF(B12&lt;='VALOR POR PL'!$P$5,'CP RESUMO'!K73,"")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HISTORICOS'!L31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PL'!I37</f>
        <v/>
      </c>
      <c r="M13" s="129">
        <f>'CP RESUMO'!L31</f>
        <v/>
      </c>
      <c r="N13" s="130">
        <f>MAX(0,M13-M12)</f>
        <v/>
      </c>
      <c r="O13" s="129">
        <f>IF(B13&lt;='VALOR POR PL'!$P$5,'CP RESUMO'!L73,"")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HISTORICOS'!M31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RESUMO'!$D$73:$BW$73,MATCH('VALOR POR PL'!$P$5,'CP RESUMO'!$D$4:$BW$4,0))/100,0)</f>
        <v/>
      </c>
      <c r="M14" s="129">
        <f>'CP RESUMO'!M31</f>
        <v/>
      </c>
      <c r="N14" s="130">
        <f>MAX(0,M14-M13)</f>
        <v/>
      </c>
      <c r="O14" s="129">
        <f>IF(B14&lt;='VALOR POR PL'!$P$5,'CP RESUMO'!M73,"")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HISTORICOS'!N31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RESUMO'!N31</f>
        <v/>
      </c>
      <c r="N15" s="130">
        <f>MAX(0,M15-M14)</f>
        <v/>
      </c>
      <c r="O15" s="129">
        <f>IF(B15&lt;='VALOR POR PL'!$P$5,'CP RESUMO'!N73,"")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HISTORICOS'!O31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RESUMO'!O31</f>
        <v/>
      </c>
      <c r="N16" s="130">
        <f>MAX(0,M16-M15)</f>
        <v/>
      </c>
      <c r="O16" s="129">
        <f>IF(B16&lt;='VALOR POR PL'!$P$5,'CP RESUMO'!O73,"")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HISTORICOS'!P31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RESUMO'!P31</f>
        <v/>
      </c>
      <c r="N17" s="130">
        <f>MAX(0,M17-M16)</f>
        <v/>
      </c>
      <c r="O17" s="129">
        <f>IF(B17&lt;='VALOR POR PL'!$P$5,'CP RESUMO'!P73,"")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HISTORICOS'!Q31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RESUMO'!Q31</f>
        <v/>
      </c>
      <c r="N18" s="130">
        <f>MAX(0,M18-M17)</f>
        <v/>
      </c>
      <c r="O18" s="129">
        <f>IF(B18&lt;='VALOR POR PL'!$P$5,'CP RESUMO'!Q73,"")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HISTORICOS'!R31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RESUMO'!R31</f>
        <v/>
      </c>
      <c r="N19" s="130">
        <f>MAX(0,M19-M18)</f>
        <v/>
      </c>
      <c r="O19" s="129">
        <f>IF(B19&lt;='VALOR POR PL'!$P$5,'CP RESUMO'!R73,"")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HISTORICOS'!S31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RESUMO'!S31</f>
        <v/>
      </c>
      <c r="N20" s="130">
        <f>MAX(0,M20-M19)</f>
        <v/>
      </c>
      <c r="O20" s="129">
        <f>IF(B20&lt;='VALOR POR PL'!$P$5,'CP RESUMO'!S73,"")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HISTORICOS'!T31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RESUMO'!T31</f>
        <v/>
      </c>
      <c r="N21" s="130">
        <f>MAX(0,M21-M20)</f>
        <v/>
      </c>
      <c r="O21" s="129">
        <f>IF(B21&lt;='VALOR POR PL'!$P$5,'CP RESUMO'!T73,"")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HISTORICOS'!U31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RESUMO'!U31</f>
        <v/>
      </c>
      <c r="N22" s="130">
        <f>MAX(0,M22-M21)</f>
        <v/>
      </c>
      <c r="O22" s="129">
        <f>IF(B22&lt;='VALOR POR PL'!$P$5,'CP RESUMO'!U73,"")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HISTORICOS'!V31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RESUMO'!V31</f>
        <v/>
      </c>
      <c r="N23" s="130">
        <f>MAX(0,M23-M22)</f>
        <v/>
      </c>
      <c r="O23" s="129">
        <f>IF(B23&lt;='VALOR POR PL'!$P$5,'CP RESUMO'!V73,"")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HISTORICOS'!W31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RESUMO'!W31</f>
        <v/>
      </c>
      <c r="N24" s="130">
        <f>MAX(0,M24-M23)</f>
        <v/>
      </c>
      <c r="O24" s="129">
        <f>IF(B24&lt;='VALOR POR PL'!$P$5,'CP RESUMO'!W73,"")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HISTORICOS'!X31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RESUMO'!X31</f>
        <v/>
      </c>
      <c r="N25" s="130">
        <f>MAX(0,M25-M24)</f>
        <v/>
      </c>
      <c r="O25" s="129">
        <f>IF(B25&lt;='VALOR POR PL'!$P$5,'CP RESUMO'!X73,"")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HISTORICOS'!Y31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RESUMO'!Y31</f>
        <v/>
      </c>
      <c r="N26" s="130">
        <f>MAX(0,M26-M25)</f>
        <v/>
      </c>
      <c r="O26" s="129">
        <f>IF(B26&lt;='VALOR POR PL'!$P$5,'CP RESUMO'!Y73,"")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HISTORICOS'!Z31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RESUMO'!Z31</f>
        <v/>
      </c>
      <c r="N27" s="130">
        <f>MAX(0,M27-M26)</f>
        <v/>
      </c>
      <c r="O27" s="129">
        <f>IF(B27&lt;='VALOR POR PL'!$P$5,'CP RESUMO'!Z73,"")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HISTORICOS'!AA31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RESUMO'!AA31</f>
        <v/>
      </c>
      <c r="N28" s="130">
        <f>MAX(0,M28-M27)</f>
        <v/>
      </c>
      <c r="O28" s="129">
        <f>IF(B28&lt;='VALOR POR PL'!$P$5,'CP RESUMO'!AA73,"")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HISTORICOS'!AB31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RESUMO'!AB31</f>
        <v/>
      </c>
      <c r="N29" s="130">
        <f>MAX(0,M29-M28)</f>
        <v/>
      </c>
      <c r="O29" s="129">
        <f>IF(B29&lt;='VALOR POR PL'!$P$5,'CP RESUMO'!AB73,"")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HISTORICOS'!AC31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RESUMO'!AC31</f>
        <v/>
      </c>
      <c r="N30" s="130">
        <f>MAX(0,M30-M29)</f>
        <v/>
      </c>
      <c r="O30" s="129">
        <f>IF(B30&lt;='VALOR POR PL'!$P$5,'CP RESUMO'!AC73,"")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HISTORICOS'!AD31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RESUMO'!AD31</f>
        <v/>
      </c>
      <c r="N31" s="130">
        <f>MAX(0,M31-M30)</f>
        <v/>
      </c>
      <c r="O31" s="129">
        <f>IF(B31&lt;='VALOR POR PL'!$P$5,'CP RESUMO'!AD73,"")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HISTORICOS'!AE31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RESUMO'!AE31</f>
        <v/>
      </c>
      <c r="N32" s="130">
        <f>MAX(0,M32-M31)</f>
        <v/>
      </c>
      <c r="O32" s="129">
        <f>IF(B32&lt;='VALOR POR PL'!$P$5,'CP RESUMO'!AE73,"")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HISTORICOS'!AF31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RESUMO'!AF31</f>
        <v/>
      </c>
      <c r="N33" s="130">
        <f>MAX(0,M33-M32)</f>
        <v/>
      </c>
      <c r="O33" s="129">
        <f>IF(B33&lt;='VALOR POR PL'!$P$5,'CP RESUMO'!AF73,"")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HISTORICOS'!AG31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RESUMO'!AG31</f>
        <v/>
      </c>
      <c r="N34" s="130">
        <f>MAX(0,M34-M33)</f>
        <v/>
      </c>
      <c r="O34" s="129">
        <f>IF(B34&lt;='VALOR POR PL'!$P$5,'CP RESUMO'!AG73,"")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HISTORICOS'!AH31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RESUMO'!AH31</f>
        <v/>
      </c>
      <c r="N35" s="130">
        <f>MAX(0,M35-M34)</f>
        <v/>
      </c>
      <c r="O35" s="129">
        <f>IF(B35&lt;='VALOR POR PL'!$P$5,'CP RESUMO'!AH73,"")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HISTORICOS'!AI31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RESUMO'!AI31</f>
        <v/>
      </c>
      <c r="N36" s="130">
        <f>MAX(0,M36-M35)</f>
        <v/>
      </c>
      <c r="O36" s="129">
        <f>IF(B36&lt;='VALOR POR PL'!$P$5,'CP RESUMO'!AI73,"")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HISTORICOS'!AJ31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RESUMO'!AJ31</f>
        <v/>
      </c>
      <c r="N37" s="130">
        <f>MAX(0,M37-M36)</f>
        <v/>
      </c>
      <c r="O37" s="129">
        <f>IF(B37&lt;='VALOR POR PL'!$P$5,'CP RESUMO'!AJ73,"")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HISTORICOS'!AK31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RESUMO'!AK31</f>
        <v/>
      </c>
      <c r="N38" s="130">
        <f>MAX(0,M38-M37)</f>
        <v/>
      </c>
      <c r="O38" s="129">
        <f>IF(B38&lt;='VALOR POR PL'!$P$5,'CP RESUMO'!AK73,"")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HISTORICOS'!AL31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RESUMO'!AL31</f>
        <v/>
      </c>
      <c r="N39" s="130">
        <f>MAX(0,M39-M38)</f>
        <v/>
      </c>
      <c r="O39" s="129">
        <f>IF(B39&lt;='VALOR POR PL'!$P$5,'CP RESUMO'!AL73,"")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HISTORICOS'!AM31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RESUMO'!AM31</f>
        <v/>
      </c>
      <c r="N40" s="130">
        <f>MAX(0,M40-M39)</f>
        <v/>
      </c>
      <c r="O40" s="129">
        <f>IF(B40&lt;='VALOR POR PL'!$P$5,'CP RESUMO'!AM73,"")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HISTORICOS'!AN31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RESUMO'!AN31</f>
        <v/>
      </c>
      <c r="N41" s="130">
        <f>MAX(0,M41-M40)</f>
        <v/>
      </c>
      <c r="O41" s="129">
        <f>IF(B41&lt;='VALOR POR PL'!$P$5,'CP RESUMO'!AN73,"")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HISTORICOS'!AO31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RESUMO'!AO31</f>
        <v/>
      </c>
      <c r="N42" s="130">
        <f>MAX(0,M42-M41)</f>
        <v/>
      </c>
      <c r="O42" s="129">
        <f>IF(B42&lt;='VALOR POR PL'!$P$5,'CP RESUMO'!AO73,"")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HISTORICOS'!AP31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RESUMO'!AP31</f>
        <v/>
      </c>
      <c r="N43" s="130">
        <f>MAX(0,M43-M42)</f>
        <v/>
      </c>
      <c r="O43" s="129">
        <f>IF(B43&lt;='VALOR POR PL'!$P$5,'CP RESUMO'!AP73,"")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HISTORICOS'!AQ31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207362.53</v>
      </c>
      <c r="M44" s="129">
        <f>'CP RESUMO'!AQ31</f>
        <v/>
      </c>
      <c r="N44" s="130">
        <f>MAX(0,M44-M43)</f>
        <v/>
      </c>
      <c r="O44" s="129">
        <f>IF(B44&lt;='VALOR POR PL'!$P$5,'CP RESUMO'!AQ73,"")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HISTORICOS'!AR31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274182.83</v>
      </c>
      <c r="M45" s="129">
        <f>'CP RESUMO'!AR31</f>
        <v/>
      </c>
      <c r="N45" s="130">
        <f>MAX(0,M45-M44)</f>
        <v/>
      </c>
      <c r="O45" s="129">
        <f>IF(B45&lt;='VALOR POR PL'!$P$5,'CP RESUMO'!AR73,"")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HISTORICOS'!AS31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231518.22</v>
      </c>
      <c r="M46" s="129">
        <f>'CP RESUMO'!AS31</f>
        <v/>
      </c>
      <c r="N46" s="130">
        <f>MAX(0,M46-M45)</f>
        <v/>
      </c>
      <c r="O46" s="129">
        <f>IF(B46&lt;='VALOR POR PL'!$P$5,'CP RESUMO'!AS73,"")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HISTORICOS'!AT31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300534.5</v>
      </c>
      <c r="M47" s="129">
        <f>'CP RESUMO'!AT31</f>
        <v/>
      </c>
      <c r="N47" s="130">
        <f>MAX(0,M47-M46)</f>
        <v/>
      </c>
      <c r="O47" s="129">
        <f>IF(B47&lt;='VALOR POR PL'!$P$5,'CP RESUMO'!AT73,"")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HISTORICOS'!AU31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282966.72</v>
      </c>
      <c r="M48" s="129">
        <f>'CP RESUMO'!AU31</f>
        <v/>
      </c>
      <c r="N48" s="130">
        <f>MAX(0,M48-M47)</f>
        <v/>
      </c>
      <c r="O48" s="129">
        <f>IF(B48&lt;='VALOR POR PL'!$P$5,'CP RESUMO'!AU73,"")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HISTORICOS'!AV31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275123.96</v>
      </c>
      <c r="M49" s="129">
        <f>'CP RESUMO'!AV31</f>
        <v/>
      </c>
      <c r="N49" s="130">
        <f>MAX(0,M49-M48)</f>
        <v/>
      </c>
      <c r="O49" s="129">
        <f>IF(B49&lt;='VALOR POR PL'!$P$5,'CP RESUMO'!AV73,"")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HISTORICOS'!AW31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299279.65</v>
      </c>
      <c r="M50" s="129">
        <f>'CP RESUMO'!AW31</f>
        <v/>
      </c>
      <c r="N50" s="130">
        <f>MAX(0,M50-M49)</f>
        <v/>
      </c>
      <c r="O50" s="129">
        <f>IF(B50&lt;='VALOR POR PL'!$P$5,'CP RESUMO'!AW73,"")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HISTORICOS'!AX31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238419.85</v>
      </c>
      <c r="M51" s="129">
        <f>'CP RESUMO'!AX31</f>
        <v/>
      </c>
      <c r="N51" s="130">
        <f>MAX(0,M51-M50)</f>
        <v/>
      </c>
      <c r="O51" s="129">
        <f>IF(B51&lt;='VALOR POR PL'!$P$5,'CP RESUMO'!AX73,"")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HISTORICOS'!AY31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250027.13</v>
      </c>
      <c r="M52" s="129">
        <f>'CP RESUMO'!AY31</f>
        <v/>
      </c>
      <c r="N52" s="130">
        <f>MAX(0,M52-M51)</f>
        <v/>
      </c>
      <c r="O52" s="129">
        <f>IF(B52&lt;='VALOR POR PL'!$P$5,'CP RESUMO'!AY73,"")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HISTORICOS'!AZ31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300220.78</v>
      </c>
      <c r="M53" s="129">
        <f>'CP RESUMO'!AZ31</f>
        <v/>
      </c>
      <c r="N53" s="130">
        <f>MAX(0,M53-M52)</f>
        <v/>
      </c>
      <c r="O53" s="129">
        <f>IF(B53&lt;='VALOR POR PL'!$P$5,'CP RESUMO'!AZ73,"")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HISTORICOS'!BA31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356374.93</v>
      </c>
      <c r="M54" s="129">
        <f>'CP RESUMO'!BA31</f>
        <v/>
      </c>
      <c r="N54" s="130">
        <f>MAX(0,M54-M53)</f>
        <v/>
      </c>
      <c r="O54" s="129">
        <f>IF(B54&lt;='VALOR POR PL'!$P$5,'CP RESUMO'!BA73,"")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HISTORICOS'!BB31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121092.19</v>
      </c>
      <c r="M55" s="129">
        <f>'CP RESUMO'!BB31</f>
        <v/>
      </c>
      <c r="N55" s="130">
        <f>MAX(0,M55-M54)</f>
        <v/>
      </c>
      <c r="O55" s="129">
        <f>IF(B55&lt;='VALOR POR PL'!$P$5,'CP RESUMO'!BB73,"")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HISTORICOS'!BC31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RESUMO'!BC31</f>
        <v/>
      </c>
      <c r="N56" s="130">
        <f>MAX(0,M56-M55)</f>
        <v/>
      </c>
      <c r="O56" s="129">
        <f>IF(B56&lt;='VALOR POR PL'!$P$5,'CP RESUMO'!BC73,"")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HISTORICOS'!BD31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RESUMO'!BD31</f>
        <v/>
      </c>
      <c r="N57" s="130">
        <f>MAX(0,M57-M56)</f>
        <v/>
      </c>
      <c r="O57" s="129">
        <f>IF(B57&lt;='VALOR POR PL'!$P$5,'CP RESUMO'!BD73,"")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HISTORICOS'!BE31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RESUMO'!BE31</f>
        <v/>
      </c>
      <c r="N58" s="130">
        <f>MAX(0,M58-M57)</f>
        <v/>
      </c>
      <c r="O58" s="129">
        <f>IF(B58&lt;='VALOR POR PL'!$P$5,'CP RESUMO'!BE73,"")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HISTORICOS'!BF31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RESUMO'!BF31</f>
        <v/>
      </c>
      <c r="N59" s="130">
        <f>MAX(0,M59-M58)</f>
        <v/>
      </c>
      <c r="O59" s="129">
        <f>IF(B59&lt;='VALOR POR PL'!$P$5,'CP RESUMO'!BF73,"")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HISTORICOS'!BG31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RESUMO'!BG31</f>
        <v/>
      </c>
      <c r="N60" s="130">
        <f>MAX(0,M60-M59)</f>
        <v/>
      </c>
      <c r="O60" s="129">
        <f>IF(B60&lt;='VALOR POR PL'!$P$5,'CP RESUMO'!BG73,"")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HISTORICOS'!BH31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RESUMO'!BH31</f>
        <v/>
      </c>
      <c r="N61" s="130">
        <f>MAX(0,M61-M60)</f>
        <v/>
      </c>
      <c r="O61" s="129">
        <f>IF(B61&lt;='VALOR POR PL'!$P$5,'CP RESUMO'!BH73,"")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HISTORICOS'!BI31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RESUMO'!BI31</f>
        <v/>
      </c>
      <c r="N62" s="130">
        <f>MAX(0,M62-M61)</f>
        <v/>
      </c>
      <c r="O62" s="129">
        <f>IF(B62&lt;='VALOR POR PL'!$P$5,'CP RESUMO'!BI73,"")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HISTORICOS'!BJ31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RESUMO'!BJ31</f>
        <v/>
      </c>
      <c r="N63" s="130">
        <f>MAX(0,M63-M62)</f>
        <v/>
      </c>
      <c r="O63" s="129">
        <f>IF(B63&lt;='VALOR POR PL'!$P$5,'CP RESUMO'!BJ73,"")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HISTORICOS'!BK31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RESUMO'!BK31</f>
        <v/>
      </c>
      <c r="N64" s="130">
        <f>MAX(0,M64-M63)</f>
        <v/>
      </c>
      <c r="O64" s="129">
        <f>IF(B64&lt;='VALOR POR PL'!$P$5,'CP RESUMO'!BK73,"")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HISTORICOS'!BL31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RESUMO'!BL31</f>
        <v/>
      </c>
      <c r="N65" s="130">
        <f>MAX(0,M65-M64)</f>
        <v/>
      </c>
      <c r="O65" s="129">
        <f>IF(B65&lt;='VALOR POR PL'!$P$5,'CP RESUMO'!BL73,"")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HISTORICOS'!BM31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RESUMO'!BM31</f>
        <v/>
      </c>
      <c r="N66" s="130">
        <f>MAX(0,M66-M65)</f>
        <v/>
      </c>
      <c r="O66" s="129">
        <f>IF(B66&lt;='VALOR POR PL'!$P$5,'CP RESUMO'!BM73,"")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HISTORICOS'!BN31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RESUMO'!BN31</f>
        <v/>
      </c>
      <c r="N67" s="130">
        <f>MAX(0,M67-M66)</f>
        <v/>
      </c>
      <c r="O67" s="129">
        <f>IF(B67&lt;='VALOR POR PL'!$P$5,'CP RESUMO'!BN73,"")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HISTORICOS'!BO31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RESUMO'!BO31</f>
        <v/>
      </c>
      <c r="N68" s="130">
        <f>MAX(0,M68-M67)</f>
        <v/>
      </c>
      <c r="O68" s="129">
        <f>IF(B68&lt;='VALOR POR PL'!$P$5,'CP RESUMO'!BO73,"")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HISTORICOS'!BP31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RESUMO'!BP31</f>
        <v/>
      </c>
      <c r="N69" s="130">
        <f>MAX(0,M69-M68)</f>
        <v/>
      </c>
      <c r="O69" s="129">
        <f>IF(B69&lt;='VALOR POR PL'!$P$5,'CP RESUMO'!BP73,"")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HISTORICOS'!BQ31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RESUMO'!BQ31</f>
        <v/>
      </c>
      <c r="N70" s="130">
        <f>MAX(0,M70-M69)</f>
        <v/>
      </c>
      <c r="O70" s="129">
        <f>IF(B70&lt;='VALOR POR PL'!$P$5,'CP RESUMO'!BQ73,"")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HISTORICOS'!BR31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RESUMO'!BR31</f>
        <v/>
      </c>
      <c r="N71" s="130">
        <f>MAX(0,M71-M70)</f>
        <v/>
      </c>
      <c r="O71" s="129">
        <f>IF(B71&lt;='VALOR POR PL'!$P$5,'CP RESUMO'!BR73,"")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HISTORICOS'!BS31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RESUMO'!BS31</f>
        <v/>
      </c>
      <c r="N72" s="130">
        <f>MAX(0,M72-M71)</f>
        <v/>
      </c>
      <c r="O72" s="129">
        <f>IF(B72&lt;='VALOR POR PL'!$P$5,'CP RESUMO'!BS73,"")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HISTORICOS'!BT31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RESUMO'!BT31</f>
        <v/>
      </c>
      <c r="N73" s="130">
        <f>MAX(0,M73-M72)</f>
        <v/>
      </c>
      <c r="O73" s="129">
        <f>IF(B73&lt;='VALOR POR PL'!$P$5,'CP RESUMO'!BT73,"")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HISTORICOS'!BU31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RESUMO'!BU31</f>
        <v/>
      </c>
      <c r="N74" s="130">
        <f>MAX(0,M74-M73)</f>
        <v/>
      </c>
      <c r="O74" s="129">
        <f>IF(B74&lt;='VALOR POR PL'!$P$5,'CP RESUMO'!BU73,"")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HISTORICOS'!BV31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RESUMO'!BV31</f>
        <v/>
      </c>
      <c r="N75" s="130">
        <f>MAX(0,M75-M74)</f>
        <v/>
      </c>
      <c r="O75" s="129">
        <f>IF(B75&lt;='VALOR POR PL'!$P$5,'CP RESUMO'!BV73,"")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HISTORICOS'!BW31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RESUMO'!BW31</f>
        <v/>
      </c>
      <c r="N76" s="130">
        <f>MAX(0,M76-M75)</f>
        <v/>
      </c>
      <c r="O76" s="129">
        <f>IF(B76&lt;='VALOR POR PL'!$P$5,'CP RESUMO'!BW73,"")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HISTORICOS'!D32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PL'!F38</f>
        <v/>
      </c>
      <c r="K5" s="62">
        <f>'VALOR POR PL'!G38</f>
        <v/>
      </c>
      <c r="M5" s="129">
        <f>'CP RESUMO'!D32</f>
        <v/>
      </c>
      <c r="N5" s="130" t="n">
        <v>0</v>
      </c>
      <c r="O5" s="129">
        <f>IF(B5&lt;='VALOR POR PL'!$P$5,'CP RESUMO'!D74,"")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HISTORICOS'!E32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RESUMO'!E32</f>
        <v/>
      </c>
      <c r="N6" s="130">
        <f>MAX(0,M6-M5)</f>
        <v/>
      </c>
      <c r="O6" s="129">
        <f>IF(B6&lt;='VALOR POR PL'!$P$5,'CP RESUMO'!E74,"")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HISTORICOS'!F32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PL'!L38</f>
        <v/>
      </c>
      <c r="M7" s="129">
        <f>'CP RESUMO'!F32</f>
        <v/>
      </c>
      <c r="N7" s="130">
        <f>MAX(0,M7-M6)</f>
        <v/>
      </c>
      <c r="O7" s="129">
        <f>IF(B7&lt;='VALOR POR PL'!$P$5,'CP RESUMO'!F74,"")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HISTORICOS'!G32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RESUMO'!G32</f>
        <v/>
      </c>
      <c r="N8" s="130">
        <f>MAX(0,M8-M7)</f>
        <v/>
      </c>
      <c r="O8" s="129">
        <f>IF(B8&lt;='VALOR POR PL'!$P$5,'CP RESUMO'!G74,"")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HISTORICOS'!H32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RESUMO'!H32</f>
        <v/>
      </c>
      <c r="N9" s="130">
        <f>MAX(0,M9-M8)</f>
        <v/>
      </c>
      <c r="O9" s="129">
        <f>IF(B9&lt;='VALOR POR PL'!$P$5,'CP RESUMO'!H74,"")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HISTORICOS'!I32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RESUMO'!I32</f>
        <v/>
      </c>
      <c r="N10" s="130">
        <f>MAX(0,M10-M9)</f>
        <v/>
      </c>
      <c r="O10" s="129">
        <f>IF(B10&lt;='VALOR POR PL'!$P$5,'CP RESUMO'!I74,"")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HISTORICOS'!J32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RESUMO'!J32</f>
        <v/>
      </c>
      <c r="N11" s="130">
        <f>MAX(0,M11-M10)</f>
        <v/>
      </c>
      <c r="O11" s="129">
        <f>IF(B11&lt;='VALOR POR PL'!$P$5,'CP RESUMO'!J74,"")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HISTORICOS'!K32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RESUMO'!K32</f>
        <v/>
      </c>
      <c r="N12" s="130">
        <f>MAX(0,M12-M11)</f>
        <v/>
      </c>
      <c r="O12" s="129">
        <f>IF(B12&lt;='VALOR POR PL'!$P$5,'CP RESUMO'!K74,"")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HISTORICOS'!L32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PL'!I38</f>
        <v/>
      </c>
      <c r="M13" s="129">
        <f>'CP RESUMO'!L32</f>
        <v/>
      </c>
      <c r="N13" s="130">
        <f>MAX(0,M13-M12)</f>
        <v/>
      </c>
      <c r="O13" s="129">
        <f>IF(B13&lt;='VALOR POR PL'!$P$5,'CP RESUMO'!L74,"")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HISTORICOS'!M32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RESUMO'!$D$74:$BW$74,MATCH('VALOR POR PL'!$P$5,'CP RESUMO'!$D$4:$BW$4,0))/100,0)</f>
        <v/>
      </c>
      <c r="M14" s="129">
        <f>'CP RESUMO'!M32</f>
        <v/>
      </c>
      <c r="N14" s="130">
        <f>MAX(0,M14-M13)</f>
        <v/>
      </c>
      <c r="O14" s="129">
        <f>IF(B14&lt;='VALOR POR PL'!$P$5,'CP RESUMO'!M74,"")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HISTORICOS'!N32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RESUMO'!N32</f>
        <v/>
      </c>
      <c r="N15" s="130">
        <f>MAX(0,M15-M14)</f>
        <v/>
      </c>
      <c r="O15" s="129">
        <f>IF(B15&lt;='VALOR POR PL'!$P$5,'CP RESUMO'!N74,"")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HISTORICOS'!O32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RESUMO'!O32</f>
        <v/>
      </c>
      <c r="N16" s="130">
        <f>MAX(0,M16-M15)</f>
        <v/>
      </c>
      <c r="O16" s="129">
        <f>IF(B16&lt;='VALOR POR PL'!$P$5,'CP RESUMO'!O74,"")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HISTORICOS'!P32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RESUMO'!P32</f>
        <v/>
      </c>
      <c r="N17" s="130">
        <f>MAX(0,M17-M16)</f>
        <v/>
      </c>
      <c r="O17" s="129">
        <f>IF(B17&lt;='VALOR POR PL'!$P$5,'CP RESUMO'!P74,"")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HISTORICOS'!Q32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RESUMO'!Q32</f>
        <v/>
      </c>
      <c r="N18" s="130">
        <f>MAX(0,M18-M17)</f>
        <v/>
      </c>
      <c r="O18" s="129">
        <f>IF(B18&lt;='VALOR POR PL'!$P$5,'CP RESUMO'!Q74,"")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HISTORICOS'!R32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RESUMO'!R32</f>
        <v/>
      </c>
      <c r="N19" s="130">
        <f>MAX(0,M19-M18)</f>
        <v/>
      </c>
      <c r="O19" s="129">
        <f>IF(B19&lt;='VALOR POR PL'!$P$5,'CP RESUMO'!R74,"")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HISTORICOS'!S32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RESUMO'!S32</f>
        <v/>
      </c>
      <c r="N20" s="130">
        <f>MAX(0,M20-M19)</f>
        <v/>
      </c>
      <c r="O20" s="129">
        <f>IF(B20&lt;='VALOR POR PL'!$P$5,'CP RESUMO'!S74,"")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HISTORICOS'!T32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RESUMO'!T32</f>
        <v/>
      </c>
      <c r="N21" s="130">
        <f>MAX(0,M21-M20)</f>
        <v/>
      </c>
      <c r="O21" s="129">
        <f>IF(B21&lt;='VALOR POR PL'!$P$5,'CP RESUMO'!T74,"")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HISTORICOS'!U32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RESUMO'!U32</f>
        <v/>
      </c>
      <c r="N22" s="130">
        <f>MAX(0,M22-M21)</f>
        <v/>
      </c>
      <c r="O22" s="129">
        <f>IF(B22&lt;='VALOR POR PL'!$P$5,'CP RESUMO'!U74,"")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HISTORICOS'!V32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RESUMO'!V32</f>
        <v/>
      </c>
      <c r="N23" s="130">
        <f>MAX(0,M23-M22)</f>
        <v/>
      </c>
      <c r="O23" s="129">
        <f>IF(B23&lt;='VALOR POR PL'!$P$5,'CP RESUMO'!V74,"")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HISTORICOS'!W32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RESUMO'!W32</f>
        <v/>
      </c>
      <c r="N24" s="130">
        <f>MAX(0,M24-M23)</f>
        <v/>
      </c>
      <c r="O24" s="129">
        <f>IF(B24&lt;='VALOR POR PL'!$P$5,'CP RESUMO'!W74,"")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HISTORICOS'!X32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RESUMO'!X32</f>
        <v/>
      </c>
      <c r="N25" s="130">
        <f>MAX(0,M25-M24)</f>
        <v/>
      </c>
      <c r="O25" s="129">
        <f>IF(B25&lt;='VALOR POR PL'!$P$5,'CP RESUMO'!X74,"")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HISTORICOS'!Y32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RESUMO'!Y32</f>
        <v/>
      </c>
      <c r="N26" s="130">
        <f>MAX(0,M26-M25)</f>
        <v/>
      </c>
      <c r="O26" s="129">
        <f>IF(B26&lt;='VALOR POR PL'!$P$5,'CP RESUMO'!Y74,"")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HISTORICOS'!Z32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RESUMO'!Z32</f>
        <v/>
      </c>
      <c r="N27" s="130">
        <f>MAX(0,M27-M26)</f>
        <v/>
      </c>
      <c r="O27" s="129">
        <f>IF(B27&lt;='VALOR POR PL'!$P$5,'CP RESUMO'!Z74,"")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HISTORICOS'!AA32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RESUMO'!AA32</f>
        <v/>
      </c>
      <c r="N28" s="130">
        <f>MAX(0,M28-M27)</f>
        <v/>
      </c>
      <c r="O28" s="129">
        <f>IF(B28&lt;='VALOR POR PL'!$P$5,'CP RESUMO'!AA74,"")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HISTORICOS'!AB32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RESUMO'!AB32</f>
        <v/>
      </c>
      <c r="N29" s="130">
        <f>MAX(0,M29-M28)</f>
        <v/>
      </c>
      <c r="O29" s="129">
        <f>IF(B29&lt;='VALOR POR PL'!$P$5,'CP RESUMO'!AB74,"")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HISTORICOS'!AC32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RESUMO'!AC32</f>
        <v/>
      </c>
      <c r="N30" s="130">
        <f>MAX(0,M30-M29)</f>
        <v/>
      </c>
      <c r="O30" s="129">
        <f>IF(B30&lt;='VALOR POR PL'!$P$5,'CP RESUMO'!AC74,"")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HISTORICOS'!AD32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RESUMO'!AD32</f>
        <v/>
      </c>
      <c r="N31" s="130">
        <f>MAX(0,M31-M30)</f>
        <v/>
      </c>
      <c r="O31" s="129">
        <f>IF(B31&lt;='VALOR POR PL'!$P$5,'CP RESUMO'!AD74,"")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HISTORICOS'!AE32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RESUMO'!AE32</f>
        <v/>
      </c>
      <c r="N32" s="130">
        <f>MAX(0,M32-M31)</f>
        <v/>
      </c>
      <c r="O32" s="129">
        <f>IF(B32&lt;='VALOR POR PL'!$P$5,'CP RESUMO'!AE74,"")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HISTORICOS'!AF32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RESUMO'!AF32</f>
        <v/>
      </c>
      <c r="N33" s="130">
        <f>MAX(0,M33-M32)</f>
        <v/>
      </c>
      <c r="O33" s="129">
        <f>IF(B33&lt;='VALOR POR PL'!$P$5,'CP RESUMO'!AF74,"")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HISTORICOS'!AG32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1847.8</v>
      </c>
      <c r="M34" s="129">
        <f>'CP RESUMO'!AG32</f>
        <v/>
      </c>
      <c r="N34" s="130">
        <f>MAX(0,M34-M33)</f>
        <v/>
      </c>
      <c r="O34" s="129">
        <f>IF(B34&lt;='VALOR POR PL'!$P$5,'CP RESUMO'!AG74,"")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HISTORICOS'!AH32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3811.1</v>
      </c>
      <c r="M35" s="129">
        <f>'CP RESUMO'!AH32</f>
        <v/>
      </c>
      <c r="N35" s="130">
        <f>MAX(0,M35-M34)</f>
        <v/>
      </c>
      <c r="O35" s="129">
        <f>IF(B35&lt;='VALOR POR PL'!$P$5,'CP RESUMO'!AH74,"")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HISTORICOS'!AI32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32567.54</v>
      </c>
      <c r="M36" s="129">
        <f>'CP RESUMO'!AI32</f>
        <v/>
      </c>
      <c r="N36" s="130">
        <f>MAX(0,M36-M35)</f>
        <v/>
      </c>
      <c r="O36" s="129">
        <f>IF(B36&lt;='VALOR POR PL'!$P$5,'CP RESUMO'!AI74,"")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HISTORICOS'!AJ32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96547.75</v>
      </c>
      <c r="M37" s="129">
        <f>'CP RESUMO'!AJ32</f>
        <v/>
      </c>
      <c r="N37" s="130">
        <f>MAX(0,M37-M36)</f>
        <v/>
      </c>
      <c r="O37" s="129">
        <f>IF(B37&lt;='VALOR POR PL'!$P$5,'CP RESUMO'!AJ74,"")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HISTORICOS'!AK32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87886.17</v>
      </c>
      <c r="M38" s="129">
        <f>'CP RESUMO'!AK32</f>
        <v/>
      </c>
      <c r="N38" s="130">
        <f>MAX(0,M38-M37)</f>
        <v/>
      </c>
      <c r="O38" s="129">
        <f>IF(B38&lt;='VALOR POR PL'!$P$5,'CP RESUMO'!AK74,"")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HISTORICOS'!AL32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95970.31</v>
      </c>
      <c r="M39" s="129">
        <f>'CP RESUMO'!AL32</f>
        <v/>
      </c>
      <c r="N39" s="130">
        <f>MAX(0,M39-M38)</f>
        <v/>
      </c>
      <c r="O39" s="129">
        <f>IF(B39&lt;='VALOR POR PL'!$P$5,'CP RESUMO'!AL74,"")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HISTORICOS'!AM32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93083.11</v>
      </c>
      <c r="M40" s="129">
        <f>'CP RESUMO'!AM32</f>
        <v/>
      </c>
      <c r="N40" s="130">
        <f>MAX(0,M40-M39)</f>
        <v/>
      </c>
      <c r="O40" s="129">
        <f>IF(B40&lt;='VALOR POR PL'!$P$5,'CP RESUMO'!AM74,"")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HISTORICOS'!AN32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121493.1</v>
      </c>
      <c r="M41" s="129">
        <f>'CP RESUMO'!AN32</f>
        <v/>
      </c>
      <c r="N41" s="130">
        <f>MAX(0,M41-M40)</f>
        <v/>
      </c>
      <c r="O41" s="129">
        <f>IF(B41&lt;='VALOR POR PL'!$P$5,'CP RESUMO'!AN74,"")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HISTORICOS'!AO32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175887.82</v>
      </c>
      <c r="M42" s="129">
        <f>'CP RESUMO'!AO32</f>
        <v/>
      </c>
      <c r="N42" s="130">
        <f>MAX(0,M42-M41)</f>
        <v/>
      </c>
      <c r="O42" s="129">
        <f>IF(B42&lt;='VALOR POR PL'!$P$5,'CP RESUMO'!AO74,"")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HISTORICOS'!AP32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88579.09</v>
      </c>
      <c r="M43" s="129">
        <f>'CP RESUMO'!AP32</f>
        <v/>
      </c>
      <c r="N43" s="130">
        <f>MAX(0,M43-M42)</f>
        <v/>
      </c>
      <c r="O43" s="129">
        <f>IF(B43&lt;='VALOR POR PL'!$P$5,'CP RESUMO'!AP74,"")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HISTORICOS'!AQ32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99896.89</v>
      </c>
      <c r="M44" s="129">
        <f>'CP RESUMO'!AQ32</f>
        <v/>
      </c>
      <c r="N44" s="130">
        <f>MAX(0,M44-M43)</f>
        <v/>
      </c>
      <c r="O44" s="129">
        <f>IF(B44&lt;='VALOR POR PL'!$P$5,'CP RESUMO'!AQ74,"")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HISTORICOS'!AR32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87539.7</v>
      </c>
      <c r="M45" s="129">
        <f>'CP RESUMO'!AR32</f>
        <v/>
      </c>
      <c r="N45" s="130">
        <f>MAX(0,M45-M44)</f>
        <v/>
      </c>
      <c r="O45" s="129">
        <f>IF(B45&lt;='VALOR POR PL'!$P$5,'CP RESUMO'!AR74,"")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HISTORICOS'!AS32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65712.52</v>
      </c>
      <c r="M46" s="129">
        <f>'CP RESUMO'!AS32</f>
        <v/>
      </c>
      <c r="N46" s="130">
        <f>MAX(0,M46-M45)</f>
        <v/>
      </c>
      <c r="O46" s="129">
        <f>IF(B46&lt;='VALOR POR PL'!$P$5,'CP RESUMO'!AS74,"")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HISTORICOS'!AT32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36840.59</v>
      </c>
      <c r="M47" s="129">
        <f>'CP RESUMO'!AT32</f>
        <v/>
      </c>
      <c r="N47" s="130">
        <f>MAX(0,M47-M46)</f>
        <v/>
      </c>
      <c r="O47" s="129">
        <f>IF(B47&lt;='VALOR POR PL'!$P$5,'CP RESUMO'!AT74,"")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HISTORICOS'!AU32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9123.530000000001</v>
      </c>
      <c r="M48" s="129">
        <f>'CP RESUMO'!AU32</f>
        <v/>
      </c>
      <c r="N48" s="130">
        <f>MAX(0,M48-M47)</f>
        <v/>
      </c>
      <c r="O48" s="129">
        <f>IF(B48&lt;='VALOR POR PL'!$P$5,'CP RESUMO'!AU74,"")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HISTORICOS'!AV32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49775.21</v>
      </c>
      <c r="M49" s="129">
        <f>'CP RESUMO'!AV32</f>
        <v/>
      </c>
      <c r="N49" s="130">
        <f>MAX(0,M49-M48)</f>
        <v/>
      </c>
      <c r="O49" s="129">
        <f>IF(B49&lt;='VALOR POR PL'!$P$5,'CP RESUMO'!AV74,"")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HISTORICOS'!AW32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8315.120000000001</v>
      </c>
      <c r="M50" s="129">
        <f>'CP RESUMO'!AW32</f>
        <v/>
      </c>
      <c r="N50" s="130">
        <f>MAX(0,M50-M49)</f>
        <v/>
      </c>
      <c r="O50" s="129">
        <f>IF(B50&lt;='VALOR POR PL'!$P$5,'CP RESUMO'!AW74,"")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HISTORICOS'!AX32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RESUMO'!AX32</f>
        <v/>
      </c>
      <c r="N51" s="130">
        <f>MAX(0,M51-M50)</f>
        <v/>
      </c>
      <c r="O51" s="129">
        <f>IF(B51&lt;='VALOR POR PL'!$P$5,'CP RESUMO'!AX74,"")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HISTORICOS'!AY32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RESUMO'!AY32</f>
        <v/>
      </c>
      <c r="N52" s="130">
        <f>MAX(0,M52-M51)</f>
        <v/>
      </c>
      <c r="O52" s="129">
        <f>IF(B52&lt;='VALOR POR PL'!$P$5,'CP RESUMO'!AY74,"")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HISTORICOS'!AZ32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RESUMO'!AZ32</f>
        <v/>
      </c>
      <c r="N53" s="130">
        <f>MAX(0,M53-M52)</f>
        <v/>
      </c>
      <c r="O53" s="129">
        <f>IF(B53&lt;='VALOR POR PL'!$P$5,'CP RESUMO'!AZ74,"")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HISTORICOS'!BA32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RESUMO'!BA32</f>
        <v/>
      </c>
      <c r="N54" s="130">
        <f>MAX(0,M54-M53)</f>
        <v/>
      </c>
      <c r="O54" s="129">
        <f>IF(B54&lt;='VALOR POR PL'!$P$5,'CP RESUMO'!BA74,"")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HISTORICOS'!BB32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RESUMO'!BB32</f>
        <v/>
      </c>
      <c r="N55" s="130">
        <f>MAX(0,M55-M54)</f>
        <v/>
      </c>
      <c r="O55" s="129">
        <f>IF(B55&lt;='VALOR POR PL'!$P$5,'CP RESUMO'!BB74,"")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HISTORICOS'!BC32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RESUMO'!BC32</f>
        <v/>
      </c>
      <c r="N56" s="130">
        <f>MAX(0,M56-M55)</f>
        <v/>
      </c>
      <c r="O56" s="129">
        <f>IF(B56&lt;='VALOR POR PL'!$P$5,'CP RESUMO'!BC74,"")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HISTORICOS'!BD32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RESUMO'!BD32</f>
        <v/>
      </c>
      <c r="N57" s="130">
        <f>MAX(0,M57-M56)</f>
        <v/>
      </c>
      <c r="O57" s="129">
        <f>IF(B57&lt;='VALOR POR PL'!$P$5,'CP RESUMO'!BD74,"")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HISTORICOS'!BE32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RESUMO'!BE32</f>
        <v/>
      </c>
      <c r="N58" s="130">
        <f>MAX(0,M58-M57)</f>
        <v/>
      </c>
      <c r="O58" s="129">
        <f>IF(B58&lt;='VALOR POR PL'!$P$5,'CP RESUMO'!BE74,"")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HISTORICOS'!BF32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RESUMO'!BF32</f>
        <v/>
      </c>
      <c r="N59" s="130">
        <f>MAX(0,M59-M58)</f>
        <v/>
      </c>
      <c r="O59" s="129">
        <f>IF(B59&lt;='VALOR POR PL'!$P$5,'CP RESUMO'!BF74,"")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HISTORICOS'!BG32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RESUMO'!BG32</f>
        <v/>
      </c>
      <c r="N60" s="130">
        <f>MAX(0,M60-M59)</f>
        <v/>
      </c>
      <c r="O60" s="129">
        <f>IF(B60&lt;='VALOR POR PL'!$P$5,'CP RESUMO'!BG74,"")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HISTORICOS'!BH32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RESUMO'!BH32</f>
        <v/>
      </c>
      <c r="N61" s="130">
        <f>MAX(0,M61-M60)</f>
        <v/>
      </c>
      <c r="O61" s="129">
        <f>IF(B61&lt;='VALOR POR PL'!$P$5,'CP RESUMO'!BH74,"")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HISTORICOS'!BI32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RESUMO'!BI32</f>
        <v/>
      </c>
      <c r="N62" s="130">
        <f>MAX(0,M62-M61)</f>
        <v/>
      </c>
      <c r="O62" s="129">
        <f>IF(B62&lt;='VALOR POR PL'!$P$5,'CP RESUMO'!BI74,"")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HISTORICOS'!BJ32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RESUMO'!BJ32</f>
        <v/>
      </c>
      <c r="N63" s="130">
        <f>MAX(0,M63-M62)</f>
        <v/>
      </c>
      <c r="O63" s="129">
        <f>IF(B63&lt;='VALOR POR PL'!$P$5,'CP RESUMO'!BJ74,"")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HISTORICOS'!BK32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RESUMO'!BK32</f>
        <v/>
      </c>
      <c r="N64" s="130">
        <f>MAX(0,M64-M63)</f>
        <v/>
      </c>
      <c r="O64" s="129">
        <f>IF(B64&lt;='VALOR POR PL'!$P$5,'CP RESUMO'!BK74,"")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HISTORICOS'!BL32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RESUMO'!BL32</f>
        <v/>
      </c>
      <c r="N65" s="130">
        <f>MAX(0,M65-M64)</f>
        <v/>
      </c>
      <c r="O65" s="129">
        <f>IF(B65&lt;='VALOR POR PL'!$P$5,'CP RESUMO'!BL74,"")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HISTORICOS'!BM32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RESUMO'!BM32</f>
        <v/>
      </c>
      <c r="N66" s="130">
        <f>MAX(0,M66-M65)</f>
        <v/>
      </c>
      <c r="O66" s="129">
        <f>IF(B66&lt;='VALOR POR PL'!$P$5,'CP RESUMO'!BM74,"")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HISTORICOS'!BN32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RESUMO'!BN32</f>
        <v/>
      </c>
      <c r="N67" s="130">
        <f>MAX(0,M67-M66)</f>
        <v/>
      </c>
      <c r="O67" s="129">
        <f>IF(B67&lt;='VALOR POR PL'!$P$5,'CP RESUMO'!BN74,"")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HISTORICOS'!BO32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RESUMO'!BO32</f>
        <v/>
      </c>
      <c r="N68" s="130">
        <f>MAX(0,M68-M67)</f>
        <v/>
      </c>
      <c r="O68" s="129">
        <f>IF(B68&lt;='VALOR POR PL'!$P$5,'CP RESUMO'!BO74,"")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HISTORICOS'!BP32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RESUMO'!BP32</f>
        <v/>
      </c>
      <c r="N69" s="130">
        <f>MAX(0,M69-M68)</f>
        <v/>
      </c>
      <c r="O69" s="129">
        <f>IF(B69&lt;='VALOR POR PL'!$P$5,'CP RESUMO'!BP74,"")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HISTORICOS'!BQ32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RESUMO'!BQ32</f>
        <v/>
      </c>
      <c r="N70" s="130">
        <f>MAX(0,M70-M69)</f>
        <v/>
      </c>
      <c r="O70" s="129">
        <f>IF(B70&lt;='VALOR POR PL'!$P$5,'CP RESUMO'!BQ74,"")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HISTORICOS'!BR32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RESUMO'!BR32</f>
        <v/>
      </c>
      <c r="N71" s="130">
        <f>MAX(0,M71-M70)</f>
        <v/>
      </c>
      <c r="O71" s="129">
        <f>IF(B71&lt;='VALOR POR PL'!$P$5,'CP RESUMO'!BR74,"")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HISTORICOS'!BS32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RESUMO'!BS32</f>
        <v/>
      </c>
      <c r="N72" s="130">
        <f>MAX(0,M72-M71)</f>
        <v/>
      </c>
      <c r="O72" s="129">
        <f>IF(B72&lt;='VALOR POR PL'!$P$5,'CP RESUMO'!BS74,"")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HISTORICOS'!BT32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RESUMO'!BT32</f>
        <v/>
      </c>
      <c r="N73" s="130">
        <f>MAX(0,M73-M72)</f>
        <v/>
      </c>
      <c r="O73" s="129">
        <f>IF(B73&lt;='VALOR POR PL'!$P$5,'CP RESUMO'!BT74,"")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HISTORICOS'!BU32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RESUMO'!BU32</f>
        <v/>
      </c>
      <c r="N74" s="130">
        <f>MAX(0,M74-M73)</f>
        <v/>
      </c>
      <c r="O74" s="129">
        <f>IF(B74&lt;='VALOR POR PL'!$P$5,'CP RESUMO'!BU74,"")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HISTORICOS'!BV32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RESUMO'!BV32</f>
        <v/>
      </c>
      <c r="N75" s="130">
        <f>MAX(0,M75-M74)</f>
        <v/>
      </c>
      <c r="O75" s="129">
        <f>IF(B75&lt;='VALOR POR PL'!$P$5,'CP RESUMO'!BV74,"")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HISTORICOS'!BW32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RESUMO'!BW32</f>
        <v/>
      </c>
      <c r="N76" s="130">
        <f>MAX(0,M76-M75)</f>
        <v/>
      </c>
      <c r="O76" s="129">
        <f>IF(B76&lt;='VALOR POR PL'!$P$5,'CP RESUMO'!BW74,"")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HISTORICOS'!D33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PL'!F39</f>
        <v/>
      </c>
      <c r="K5" s="62">
        <f>'VALOR POR PL'!G39</f>
        <v/>
      </c>
      <c r="M5" s="129">
        <f>'CP RESUMO'!D33</f>
        <v/>
      </c>
      <c r="N5" s="130" t="n">
        <v>0</v>
      </c>
      <c r="O5" s="129">
        <f>IF(B5&lt;='VALOR POR PL'!$P$5,'CP RESUMO'!D75,"")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HISTORICOS'!E33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RESUMO'!E33</f>
        <v/>
      </c>
      <c r="N6" s="130">
        <f>MAX(0,M6-M5)</f>
        <v/>
      </c>
      <c r="O6" s="129">
        <f>IF(B6&lt;='VALOR POR PL'!$P$5,'CP RESUMO'!E75,"")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HISTORICOS'!F33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PL'!L39</f>
        <v/>
      </c>
      <c r="M7" s="129">
        <f>'CP RESUMO'!F33</f>
        <v/>
      </c>
      <c r="N7" s="130">
        <f>MAX(0,M7-M6)</f>
        <v/>
      </c>
      <c r="O7" s="129">
        <f>IF(B7&lt;='VALOR POR PL'!$P$5,'CP RESUMO'!F75,"")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HISTORICOS'!G33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RESUMO'!G33</f>
        <v/>
      </c>
      <c r="N8" s="130">
        <f>MAX(0,M8-M7)</f>
        <v/>
      </c>
      <c r="O8" s="129">
        <f>IF(B8&lt;='VALOR POR PL'!$P$5,'CP RESUMO'!G75,"")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HISTORICOS'!H33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RESUMO'!H33</f>
        <v/>
      </c>
      <c r="N9" s="130">
        <f>MAX(0,M9-M8)</f>
        <v/>
      </c>
      <c r="O9" s="129">
        <f>IF(B9&lt;='VALOR POR PL'!$P$5,'CP RESUMO'!H75,"")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HISTORICOS'!I33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RESUMO'!I33</f>
        <v/>
      </c>
      <c r="N10" s="130">
        <f>MAX(0,M10-M9)</f>
        <v/>
      </c>
      <c r="O10" s="129">
        <f>IF(B10&lt;='VALOR POR PL'!$P$5,'CP RESUMO'!I75,"")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HISTORICOS'!J33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RESUMO'!J33</f>
        <v/>
      </c>
      <c r="N11" s="130">
        <f>MAX(0,M11-M10)</f>
        <v/>
      </c>
      <c r="O11" s="129">
        <f>IF(B11&lt;='VALOR POR PL'!$P$5,'CP RESUMO'!J75,"")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HISTORICOS'!K33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RESUMO'!K33</f>
        <v/>
      </c>
      <c r="N12" s="130">
        <f>MAX(0,M12-M11)</f>
        <v/>
      </c>
      <c r="O12" s="129">
        <f>IF(B12&lt;='VALOR POR PL'!$P$5,'CP RESUMO'!K75,"")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HISTORICOS'!L33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PL'!I39</f>
        <v/>
      </c>
      <c r="M13" s="129">
        <f>'CP RESUMO'!L33</f>
        <v/>
      </c>
      <c r="N13" s="130">
        <f>MAX(0,M13-M12)</f>
        <v/>
      </c>
      <c r="O13" s="129">
        <f>IF(B13&lt;='VALOR POR PL'!$P$5,'CP RESUMO'!L75,"")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HISTORICOS'!M33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RESUMO'!$D$75:$BW$75,MATCH('VALOR POR PL'!$P$5,'CP RESUMO'!$D$4:$BW$4,0))/100,0)</f>
        <v/>
      </c>
      <c r="M14" s="129">
        <f>'CP RESUMO'!M33</f>
        <v/>
      </c>
      <c r="N14" s="130">
        <f>MAX(0,M14-M13)</f>
        <v/>
      </c>
      <c r="O14" s="129">
        <f>IF(B14&lt;='VALOR POR PL'!$P$5,'CP RESUMO'!M75,"")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HISTORICOS'!N33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RESUMO'!N33</f>
        <v/>
      </c>
      <c r="N15" s="130">
        <f>MAX(0,M15-M14)</f>
        <v/>
      </c>
      <c r="O15" s="129">
        <f>IF(B15&lt;='VALOR POR PL'!$P$5,'CP RESUMO'!N75,"")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HISTORICOS'!O33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RESUMO'!O33</f>
        <v/>
      </c>
      <c r="N16" s="130">
        <f>MAX(0,M16-M15)</f>
        <v/>
      </c>
      <c r="O16" s="129">
        <f>IF(B16&lt;='VALOR POR PL'!$P$5,'CP RESUMO'!O75,"")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HISTORICOS'!P33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RESUMO'!P33</f>
        <v/>
      </c>
      <c r="N17" s="130">
        <f>MAX(0,M17-M16)</f>
        <v/>
      </c>
      <c r="O17" s="129">
        <f>IF(B17&lt;='VALOR POR PL'!$P$5,'CP RESUMO'!P75,"")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HISTORICOS'!Q33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RESUMO'!Q33</f>
        <v/>
      </c>
      <c r="N18" s="130">
        <f>MAX(0,M18-M17)</f>
        <v/>
      </c>
      <c r="O18" s="129">
        <f>IF(B18&lt;='VALOR POR PL'!$P$5,'CP RESUMO'!Q75,"")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HISTORICOS'!R33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RESUMO'!R33</f>
        <v/>
      </c>
      <c r="N19" s="130">
        <f>MAX(0,M19-M18)</f>
        <v/>
      </c>
      <c r="O19" s="129">
        <f>IF(B19&lt;='VALOR POR PL'!$P$5,'CP RESUMO'!R75,"")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HISTORICOS'!S33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RESUMO'!S33</f>
        <v/>
      </c>
      <c r="N20" s="130">
        <f>MAX(0,M20-M19)</f>
        <v/>
      </c>
      <c r="O20" s="129">
        <f>IF(B20&lt;='VALOR POR PL'!$P$5,'CP RESUMO'!S75,"")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HISTORICOS'!T33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RESUMO'!T33</f>
        <v/>
      </c>
      <c r="N21" s="130">
        <f>MAX(0,M21-M20)</f>
        <v/>
      </c>
      <c r="O21" s="129">
        <f>IF(B21&lt;='VALOR POR PL'!$P$5,'CP RESUMO'!T75,"")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HISTORICOS'!U33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RESUMO'!U33</f>
        <v/>
      </c>
      <c r="N22" s="130">
        <f>MAX(0,M22-M21)</f>
        <v/>
      </c>
      <c r="O22" s="129">
        <f>IF(B22&lt;='VALOR POR PL'!$P$5,'CP RESUMO'!U75,"")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HISTORICOS'!V33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RESUMO'!V33</f>
        <v/>
      </c>
      <c r="N23" s="130">
        <f>MAX(0,M23-M22)</f>
        <v/>
      </c>
      <c r="O23" s="129">
        <f>IF(B23&lt;='VALOR POR PL'!$P$5,'CP RESUMO'!V75,"")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HISTORICOS'!W33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RESUMO'!W33</f>
        <v/>
      </c>
      <c r="N24" s="130">
        <f>MAX(0,M24-M23)</f>
        <v/>
      </c>
      <c r="O24" s="129">
        <f>IF(B24&lt;='VALOR POR PL'!$P$5,'CP RESUMO'!W75,"")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HISTORICOS'!X33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RESUMO'!X33</f>
        <v/>
      </c>
      <c r="N25" s="130">
        <f>MAX(0,M25-M24)</f>
        <v/>
      </c>
      <c r="O25" s="129">
        <f>IF(B25&lt;='VALOR POR PL'!$P$5,'CP RESUMO'!X75,"")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HISTORICOS'!Y33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RESUMO'!Y33</f>
        <v/>
      </c>
      <c r="N26" s="130">
        <f>MAX(0,M26-M25)</f>
        <v/>
      </c>
      <c r="O26" s="129">
        <f>IF(B26&lt;='VALOR POR PL'!$P$5,'CP RESUMO'!Y75,"")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HISTORICOS'!Z33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RESUMO'!Z33</f>
        <v/>
      </c>
      <c r="N27" s="130">
        <f>MAX(0,M27-M26)</f>
        <v/>
      </c>
      <c r="O27" s="129">
        <f>IF(B27&lt;='VALOR POR PL'!$P$5,'CP RESUMO'!Z75,"")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HISTORICOS'!AA33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RESUMO'!AA33</f>
        <v/>
      </c>
      <c r="N28" s="130">
        <f>MAX(0,M28-M27)</f>
        <v/>
      </c>
      <c r="O28" s="129">
        <f>IF(B28&lt;='VALOR POR PL'!$P$5,'CP RESUMO'!AA75,"")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HISTORICOS'!AB33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RESUMO'!AB33</f>
        <v/>
      </c>
      <c r="N29" s="130">
        <f>MAX(0,M29-M28)</f>
        <v/>
      </c>
      <c r="O29" s="129">
        <f>IF(B29&lt;='VALOR POR PL'!$P$5,'CP RESUMO'!AB75,"")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HISTORICOS'!AC33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RESUMO'!AC33</f>
        <v/>
      </c>
      <c r="N30" s="130">
        <f>MAX(0,M30-M29)</f>
        <v/>
      </c>
      <c r="O30" s="129">
        <f>IF(B30&lt;='VALOR POR PL'!$P$5,'CP RESUMO'!AC75,"")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HISTORICOS'!AD33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RESUMO'!AD33</f>
        <v/>
      </c>
      <c r="N31" s="130">
        <f>MAX(0,M31-M30)</f>
        <v/>
      </c>
      <c r="O31" s="129">
        <f>IF(B31&lt;='VALOR POR PL'!$P$5,'CP RESUMO'!AD75,"")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HISTORICOS'!AE33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RESUMO'!AE33</f>
        <v/>
      </c>
      <c r="N32" s="130">
        <f>MAX(0,M32-M31)</f>
        <v/>
      </c>
      <c r="O32" s="129">
        <f>IF(B32&lt;='VALOR POR PL'!$P$5,'CP RESUMO'!AE75,"")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HISTORICOS'!AF33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RESUMO'!AF33</f>
        <v/>
      </c>
      <c r="N33" s="130">
        <f>MAX(0,M33-M32)</f>
        <v/>
      </c>
      <c r="O33" s="129">
        <f>IF(B33&lt;='VALOR POR PL'!$P$5,'CP RESUMO'!AF75,"")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HISTORICOS'!AG33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6102.57</v>
      </c>
      <c r="M34" s="129">
        <f>'CP RESUMO'!AG33</f>
        <v/>
      </c>
      <c r="N34" s="130">
        <f>MAX(0,M34-M33)</f>
        <v/>
      </c>
      <c r="O34" s="129">
        <f>IF(B34&lt;='VALOR POR PL'!$P$5,'CP RESUMO'!AG75,"")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HISTORICOS'!AH33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31574.17</v>
      </c>
      <c r="M35" s="129">
        <f>'CP RESUMO'!AH33</f>
        <v/>
      </c>
      <c r="N35" s="130">
        <f>MAX(0,M35-M34)</f>
        <v/>
      </c>
      <c r="O35" s="129">
        <f>IF(B35&lt;='VALOR POR PL'!$P$5,'CP RESUMO'!AH75,"")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HISTORICOS'!AI33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161320.12</v>
      </c>
      <c r="M36" s="129">
        <f>'CP RESUMO'!AI33</f>
        <v/>
      </c>
      <c r="N36" s="130">
        <f>MAX(0,M36-M35)</f>
        <v/>
      </c>
      <c r="O36" s="129">
        <f>IF(B36&lt;='VALOR POR PL'!$P$5,'CP RESUMO'!AI75,"")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HISTORICOS'!AJ33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184934.41</v>
      </c>
      <c r="M37" s="129">
        <f>'CP RESUMO'!AJ33</f>
        <v/>
      </c>
      <c r="N37" s="130">
        <f>MAX(0,M37-M36)</f>
        <v/>
      </c>
      <c r="O37" s="129">
        <f>IF(B37&lt;='VALOR POR PL'!$P$5,'CP RESUMO'!AJ75,"")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HISTORICOS'!AK33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161850.78</v>
      </c>
      <c r="M38" s="129">
        <f>'CP RESUMO'!AK33</f>
        <v/>
      </c>
      <c r="N38" s="130">
        <f>MAX(0,M38-M37)</f>
        <v/>
      </c>
      <c r="O38" s="129">
        <f>IF(B38&lt;='VALOR POR PL'!$P$5,'CP RESUMO'!AK75,"")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HISTORICOS'!AL33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268513.09</v>
      </c>
      <c r="M39" s="129">
        <f>'CP RESUMO'!AL33</f>
        <v/>
      </c>
      <c r="N39" s="130">
        <f>MAX(0,M39-M38)</f>
        <v/>
      </c>
      <c r="O39" s="129">
        <f>IF(B39&lt;='VALOR POR PL'!$P$5,'CP RESUMO'!AL75,"")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HISTORICOS'!AM33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315741.68</v>
      </c>
      <c r="M40" s="129">
        <f>'CP RESUMO'!AM33</f>
        <v/>
      </c>
      <c r="N40" s="130">
        <f>MAX(0,M40-M39)</f>
        <v/>
      </c>
      <c r="O40" s="129">
        <f>IF(B40&lt;='VALOR POR PL'!$P$5,'CP RESUMO'!AM75,"")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HISTORICOS'!AN33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238796.23</v>
      </c>
      <c r="M41" s="129">
        <f>'CP RESUMO'!AN33</f>
        <v/>
      </c>
      <c r="N41" s="130">
        <f>MAX(0,M41-M40)</f>
        <v/>
      </c>
      <c r="O41" s="129">
        <f>IF(B41&lt;='VALOR POR PL'!$P$5,'CP RESUMO'!AN75,"")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HISTORICOS'!AO33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170871.97</v>
      </c>
      <c r="M42" s="129">
        <f>'CP RESUMO'!AO33</f>
        <v/>
      </c>
      <c r="N42" s="130">
        <f>MAX(0,M42-M41)</f>
        <v/>
      </c>
      <c r="O42" s="129">
        <f>IF(B42&lt;='VALOR POR PL'!$P$5,'CP RESUMO'!AO75,"")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HISTORICOS'!AP33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244898.8</v>
      </c>
      <c r="M43" s="129">
        <f>'CP RESUMO'!AP33</f>
        <v/>
      </c>
      <c r="N43" s="130">
        <f>MAX(0,M43-M42)</f>
        <v/>
      </c>
      <c r="O43" s="129">
        <f>IF(B43&lt;='VALOR POR PL'!$P$5,'CP RESUMO'!AP75,"")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HISTORICOS'!AQ33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238000.24</v>
      </c>
      <c r="M44" s="129">
        <f>'CP RESUMO'!AQ33</f>
        <v/>
      </c>
      <c r="N44" s="130">
        <f>MAX(0,M44-M43)</f>
        <v/>
      </c>
      <c r="O44" s="129">
        <f>IF(B44&lt;='VALOR POR PL'!$P$5,'CP RESUMO'!AQ75,"")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HISTORICOS'!AR33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223937.79</v>
      </c>
      <c r="M45" s="129">
        <f>'CP RESUMO'!AR33</f>
        <v/>
      </c>
      <c r="N45" s="130">
        <f>MAX(0,M45-M44)</f>
        <v/>
      </c>
      <c r="O45" s="129">
        <f>IF(B45&lt;='VALOR POR PL'!$P$5,'CP RESUMO'!AR75,"")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HISTORICOS'!AS33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109846.26</v>
      </c>
      <c r="M46" s="129">
        <f>'CP RESUMO'!AS33</f>
        <v/>
      </c>
      <c r="N46" s="130">
        <f>MAX(0,M46-M45)</f>
        <v/>
      </c>
      <c r="O46" s="129">
        <f>IF(B46&lt;='VALOR POR PL'!$P$5,'CP RESUMO'!AS75,"")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HISTORICOS'!AT33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205099.43</v>
      </c>
      <c r="M47" s="129">
        <f>'CP RESUMO'!AT33</f>
        <v/>
      </c>
      <c r="N47" s="130">
        <f>MAX(0,M47-M46)</f>
        <v/>
      </c>
      <c r="O47" s="129">
        <f>IF(B47&lt;='VALOR POR PL'!$P$5,'CP RESUMO'!AT75,"")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HISTORICOS'!AU33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91803.88</v>
      </c>
      <c r="M48" s="129">
        <f>'CP RESUMO'!AU33</f>
        <v/>
      </c>
      <c r="N48" s="130">
        <f>MAX(0,M48-M47)</f>
        <v/>
      </c>
      <c r="O48" s="129">
        <f>IF(B48&lt;='VALOR POR PL'!$P$5,'CP RESUMO'!AU75,"")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HISTORICOS'!AV33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RESUMO'!AV33</f>
        <v/>
      </c>
      <c r="N49" s="130">
        <f>MAX(0,M49-M48)</f>
        <v/>
      </c>
      <c r="O49" s="129">
        <f>IF(B49&lt;='VALOR POR PL'!$P$5,'CP RESUMO'!AV75,"")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HISTORICOS'!AW33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RESUMO'!AW33</f>
        <v/>
      </c>
      <c r="N50" s="130">
        <f>MAX(0,M50-M49)</f>
        <v/>
      </c>
      <c r="O50" s="129">
        <f>IF(B50&lt;='VALOR POR PL'!$P$5,'CP RESUMO'!AW75,"")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HISTORICOS'!AX33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RESUMO'!AX33</f>
        <v/>
      </c>
      <c r="N51" s="130">
        <f>MAX(0,M51-M50)</f>
        <v/>
      </c>
      <c r="O51" s="129">
        <f>IF(B51&lt;='VALOR POR PL'!$P$5,'CP RESUMO'!AX75,"")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HISTORICOS'!AY33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RESUMO'!AY33</f>
        <v/>
      </c>
      <c r="N52" s="130">
        <f>MAX(0,M52-M51)</f>
        <v/>
      </c>
      <c r="O52" s="129">
        <f>IF(B52&lt;='VALOR POR PL'!$P$5,'CP RESUMO'!AY75,"")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HISTORICOS'!AZ33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RESUMO'!AZ33</f>
        <v/>
      </c>
      <c r="N53" s="130">
        <f>MAX(0,M53-M52)</f>
        <v/>
      </c>
      <c r="O53" s="129">
        <f>IF(B53&lt;='VALOR POR PL'!$P$5,'CP RESUMO'!AZ75,"")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HISTORICOS'!BA33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RESUMO'!BA33</f>
        <v/>
      </c>
      <c r="N54" s="130">
        <f>MAX(0,M54-M53)</f>
        <v/>
      </c>
      <c r="O54" s="129">
        <f>IF(B54&lt;='VALOR POR PL'!$P$5,'CP RESUMO'!BA75,"")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HISTORICOS'!BB33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RESUMO'!BB33</f>
        <v/>
      </c>
      <c r="N55" s="130">
        <f>MAX(0,M55-M54)</f>
        <v/>
      </c>
      <c r="O55" s="129">
        <f>IF(B55&lt;='VALOR POR PL'!$P$5,'CP RESUMO'!BB75,"")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HISTORICOS'!BC33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RESUMO'!BC33</f>
        <v/>
      </c>
      <c r="N56" s="130">
        <f>MAX(0,M56-M55)</f>
        <v/>
      </c>
      <c r="O56" s="129">
        <f>IF(B56&lt;='VALOR POR PL'!$P$5,'CP RESUMO'!BC75,"")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HISTORICOS'!BD33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RESUMO'!BD33</f>
        <v/>
      </c>
      <c r="N57" s="130">
        <f>MAX(0,M57-M56)</f>
        <v/>
      </c>
      <c r="O57" s="129">
        <f>IF(B57&lt;='VALOR POR PL'!$P$5,'CP RESUMO'!BD75,"")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HISTORICOS'!BE33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RESUMO'!BE33</f>
        <v/>
      </c>
      <c r="N58" s="130">
        <f>MAX(0,M58-M57)</f>
        <v/>
      </c>
      <c r="O58" s="129">
        <f>IF(B58&lt;='VALOR POR PL'!$P$5,'CP RESUMO'!BE75,"")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HISTORICOS'!BF33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RESUMO'!BF33</f>
        <v/>
      </c>
      <c r="N59" s="130">
        <f>MAX(0,M59-M58)</f>
        <v/>
      </c>
      <c r="O59" s="129">
        <f>IF(B59&lt;='VALOR POR PL'!$P$5,'CP RESUMO'!BF75,"")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HISTORICOS'!BG33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RESUMO'!BG33</f>
        <v/>
      </c>
      <c r="N60" s="130">
        <f>MAX(0,M60-M59)</f>
        <v/>
      </c>
      <c r="O60" s="129">
        <f>IF(B60&lt;='VALOR POR PL'!$P$5,'CP RESUMO'!BG75,"")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HISTORICOS'!BH33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RESUMO'!BH33</f>
        <v/>
      </c>
      <c r="N61" s="130">
        <f>MAX(0,M61-M60)</f>
        <v/>
      </c>
      <c r="O61" s="129">
        <f>IF(B61&lt;='VALOR POR PL'!$P$5,'CP RESUMO'!BH75,"")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HISTORICOS'!BI33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RESUMO'!BI33</f>
        <v/>
      </c>
      <c r="N62" s="130">
        <f>MAX(0,M62-M61)</f>
        <v/>
      </c>
      <c r="O62" s="129">
        <f>IF(B62&lt;='VALOR POR PL'!$P$5,'CP RESUMO'!BI75,"")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HISTORICOS'!BJ33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RESUMO'!BJ33</f>
        <v/>
      </c>
      <c r="N63" s="130">
        <f>MAX(0,M63-M62)</f>
        <v/>
      </c>
      <c r="O63" s="129">
        <f>IF(B63&lt;='VALOR POR PL'!$P$5,'CP RESUMO'!BJ75,"")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HISTORICOS'!BK33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RESUMO'!BK33</f>
        <v/>
      </c>
      <c r="N64" s="130">
        <f>MAX(0,M64-M63)</f>
        <v/>
      </c>
      <c r="O64" s="129">
        <f>IF(B64&lt;='VALOR POR PL'!$P$5,'CP RESUMO'!BK75,"")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HISTORICOS'!BL33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RESUMO'!BL33</f>
        <v/>
      </c>
      <c r="N65" s="130">
        <f>MAX(0,M65-M64)</f>
        <v/>
      </c>
      <c r="O65" s="129">
        <f>IF(B65&lt;='VALOR POR PL'!$P$5,'CP RESUMO'!BL75,"")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HISTORICOS'!BM33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RESUMO'!BM33</f>
        <v/>
      </c>
      <c r="N66" s="130">
        <f>MAX(0,M66-M65)</f>
        <v/>
      </c>
      <c r="O66" s="129">
        <f>IF(B66&lt;='VALOR POR PL'!$P$5,'CP RESUMO'!BM75,"")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HISTORICOS'!BN33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RESUMO'!BN33</f>
        <v/>
      </c>
      <c r="N67" s="130">
        <f>MAX(0,M67-M66)</f>
        <v/>
      </c>
      <c r="O67" s="129">
        <f>IF(B67&lt;='VALOR POR PL'!$P$5,'CP RESUMO'!BN75,"")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HISTORICOS'!BO33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RESUMO'!BO33</f>
        <v/>
      </c>
      <c r="N68" s="130">
        <f>MAX(0,M68-M67)</f>
        <v/>
      </c>
      <c r="O68" s="129">
        <f>IF(B68&lt;='VALOR POR PL'!$P$5,'CP RESUMO'!BO75,"")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HISTORICOS'!BP33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RESUMO'!BP33</f>
        <v/>
      </c>
      <c r="N69" s="130">
        <f>MAX(0,M69-M68)</f>
        <v/>
      </c>
      <c r="O69" s="129">
        <f>IF(B69&lt;='VALOR POR PL'!$P$5,'CP RESUMO'!BP75,"")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HISTORICOS'!BQ33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RESUMO'!BQ33</f>
        <v/>
      </c>
      <c r="N70" s="130">
        <f>MAX(0,M70-M69)</f>
        <v/>
      </c>
      <c r="O70" s="129">
        <f>IF(B70&lt;='VALOR POR PL'!$P$5,'CP RESUMO'!BQ75,"")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HISTORICOS'!BR33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RESUMO'!BR33</f>
        <v/>
      </c>
      <c r="N71" s="130">
        <f>MAX(0,M71-M70)</f>
        <v/>
      </c>
      <c r="O71" s="129">
        <f>IF(B71&lt;='VALOR POR PL'!$P$5,'CP RESUMO'!BR75,"")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HISTORICOS'!BS33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RESUMO'!BS33</f>
        <v/>
      </c>
      <c r="N72" s="130">
        <f>MAX(0,M72-M71)</f>
        <v/>
      </c>
      <c r="O72" s="129">
        <f>IF(B72&lt;='VALOR POR PL'!$P$5,'CP RESUMO'!BS75,"")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HISTORICOS'!BT33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RESUMO'!BT33</f>
        <v/>
      </c>
      <c r="N73" s="130">
        <f>MAX(0,M73-M72)</f>
        <v/>
      </c>
      <c r="O73" s="129">
        <f>IF(B73&lt;='VALOR POR PL'!$P$5,'CP RESUMO'!BT75,"")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HISTORICOS'!BU33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RESUMO'!BU33</f>
        <v/>
      </c>
      <c r="N74" s="130">
        <f>MAX(0,M74-M73)</f>
        <v/>
      </c>
      <c r="O74" s="129">
        <f>IF(B74&lt;='VALOR POR PL'!$P$5,'CP RESUMO'!BU75,"")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HISTORICOS'!BV33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RESUMO'!BV33</f>
        <v/>
      </c>
      <c r="N75" s="130">
        <f>MAX(0,M75-M74)</f>
        <v/>
      </c>
      <c r="O75" s="129">
        <f>IF(B75&lt;='VALOR POR PL'!$P$5,'CP RESUMO'!BV75,"")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HISTORICOS'!BW33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RESUMO'!BW33</f>
        <v/>
      </c>
      <c r="N76" s="130">
        <f>MAX(0,M76-M75)</f>
        <v/>
      </c>
      <c r="O76" s="129">
        <f>IF(B76&lt;='VALOR POR PL'!$P$5,'CP RESUMO'!BW75,"")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HISTORICOS'!D34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PL'!F40</f>
        <v/>
      </c>
      <c r="K5" s="62">
        <f>'VALOR POR PL'!G40</f>
        <v/>
      </c>
      <c r="M5" s="129">
        <f>'CP RESUMO'!D34</f>
        <v/>
      </c>
      <c r="N5" s="130" t="n">
        <v>0</v>
      </c>
      <c r="O5" s="129">
        <f>IF(B5&lt;='VALOR POR PL'!$P$5,'CP RESUMO'!D76,"")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HISTORICOS'!E34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RESUMO'!E34</f>
        <v/>
      </c>
      <c r="N6" s="130">
        <f>MAX(0,M6-M5)</f>
        <v/>
      </c>
      <c r="O6" s="129">
        <f>IF(B6&lt;='VALOR POR PL'!$P$5,'CP RESUMO'!E76,"")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HISTORICOS'!F34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PL'!L40</f>
        <v/>
      </c>
      <c r="M7" s="129">
        <f>'CP RESUMO'!F34</f>
        <v/>
      </c>
      <c r="N7" s="130">
        <f>MAX(0,M7-M6)</f>
        <v/>
      </c>
      <c r="O7" s="129">
        <f>IF(B7&lt;='VALOR POR PL'!$P$5,'CP RESUMO'!F76,"")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HISTORICOS'!G34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RESUMO'!G34</f>
        <v/>
      </c>
      <c r="N8" s="130">
        <f>MAX(0,M8-M7)</f>
        <v/>
      </c>
      <c r="O8" s="129">
        <f>IF(B8&lt;='VALOR POR PL'!$P$5,'CP RESUMO'!G76,"")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HISTORICOS'!H34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RESUMO'!H34</f>
        <v/>
      </c>
      <c r="N9" s="130">
        <f>MAX(0,M9-M8)</f>
        <v/>
      </c>
      <c r="O9" s="129">
        <f>IF(B9&lt;='VALOR POR PL'!$P$5,'CP RESUMO'!H76,"")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HISTORICOS'!I34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RESUMO'!I34</f>
        <v/>
      </c>
      <c r="N10" s="130">
        <f>MAX(0,M10-M9)</f>
        <v/>
      </c>
      <c r="O10" s="129">
        <f>IF(B10&lt;='VALOR POR PL'!$P$5,'CP RESUMO'!I76,"")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HISTORICOS'!J34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RESUMO'!J34</f>
        <v/>
      </c>
      <c r="N11" s="130">
        <f>MAX(0,M11-M10)</f>
        <v/>
      </c>
      <c r="O11" s="129">
        <f>IF(B11&lt;='VALOR POR PL'!$P$5,'CP RESUMO'!J76,"")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HISTORICOS'!K34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RESUMO'!K34</f>
        <v/>
      </c>
      <c r="N12" s="130">
        <f>MAX(0,M12-M11)</f>
        <v/>
      </c>
      <c r="O12" s="129">
        <f>IF(B12&lt;='VALOR POR PL'!$P$5,'CP RESUMO'!K76,"")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HISTORICOS'!L34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PL'!I40</f>
        <v/>
      </c>
      <c r="M13" s="129">
        <f>'CP RESUMO'!L34</f>
        <v/>
      </c>
      <c r="N13" s="130">
        <f>MAX(0,M13-M12)</f>
        <v/>
      </c>
      <c r="O13" s="129">
        <f>IF(B13&lt;='VALOR POR PL'!$P$5,'CP RESUMO'!L76,"")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HISTORICOS'!M34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RESUMO'!$D$76:$BW$76,MATCH('VALOR POR PL'!$P$5,'CP RESUMO'!$D$4:$BW$4,0))/100,0)</f>
        <v/>
      </c>
      <c r="M14" s="129">
        <f>'CP RESUMO'!M34</f>
        <v/>
      </c>
      <c r="N14" s="130">
        <f>MAX(0,M14-M13)</f>
        <v/>
      </c>
      <c r="O14" s="129">
        <f>IF(B14&lt;='VALOR POR PL'!$P$5,'CP RESUMO'!M76,"")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HISTORICOS'!N34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RESUMO'!N34</f>
        <v/>
      </c>
      <c r="N15" s="130">
        <f>MAX(0,M15-M14)</f>
        <v/>
      </c>
      <c r="O15" s="129">
        <f>IF(B15&lt;='VALOR POR PL'!$P$5,'CP RESUMO'!N76,"")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HISTORICOS'!O34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RESUMO'!O34</f>
        <v/>
      </c>
      <c r="N16" s="130">
        <f>MAX(0,M16-M15)</f>
        <v/>
      </c>
      <c r="O16" s="129">
        <f>IF(B16&lt;='VALOR POR PL'!$P$5,'CP RESUMO'!O76,"")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HISTORICOS'!P34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RESUMO'!P34</f>
        <v/>
      </c>
      <c r="N17" s="130">
        <f>MAX(0,M17-M16)</f>
        <v/>
      </c>
      <c r="O17" s="129">
        <f>IF(B17&lt;='VALOR POR PL'!$P$5,'CP RESUMO'!P76,"")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HISTORICOS'!Q34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RESUMO'!Q34</f>
        <v/>
      </c>
      <c r="N18" s="130">
        <f>MAX(0,M18-M17)</f>
        <v/>
      </c>
      <c r="O18" s="129">
        <f>IF(B18&lt;='VALOR POR PL'!$P$5,'CP RESUMO'!Q76,"")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HISTORICOS'!R34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RESUMO'!R34</f>
        <v/>
      </c>
      <c r="N19" s="130">
        <f>MAX(0,M19-M18)</f>
        <v/>
      </c>
      <c r="O19" s="129">
        <f>IF(B19&lt;='VALOR POR PL'!$P$5,'CP RESUMO'!R76,"")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HISTORICOS'!S34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RESUMO'!S34</f>
        <v/>
      </c>
      <c r="N20" s="130">
        <f>MAX(0,M20-M19)</f>
        <v/>
      </c>
      <c r="O20" s="129">
        <f>IF(B20&lt;='VALOR POR PL'!$P$5,'CP RESUMO'!S76,"")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HISTORICOS'!T34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RESUMO'!T34</f>
        <v/>
      </c>
      <c r="N21" s="130">
        <f>MAX(0,M21-M20)</f>
        <v/>
      </c>
      <c r="O21" s="129">
        <f>IF(B21&lt;='VALOR POR PL'!$P$5,'CP RESUMO'!T76,"")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HISTORICOS'!U34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RESUMO'!U34</f>
        <v/>
      </c>
      <c r="N22" s="130">
        <f>MAX(0,M22-M21)</f>
        <v/>
      </c>
      <c r="O22" s="129">
        <f>IF(B22&lt;='VALOR POR PL'!$P$5,'CP RESUMO'!U76,"")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HISTORICOS'!V34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RESUMO'!V34</f>
        <v/>
      </c>
      <c r="N23" s="130">
        <f>MAX(0,M23-M22)</f>
        <v/>
      </c>
      <c r="O23" s="129">
        <f>IF(B23&lt;='VALOR POR PL'!$P$5,'CP RESUMO'!V76,"")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HISTORICOS'!W34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RESUMO'!W34</f>
        <v/>
      </c>
      <c r="N24" s="130">
        <f>MAX(0,M24-M23)</f>
        <v/>
      </c>
      <c r="O24" s="129">
        <f>IF(B24&lt;='VALOR POR PL'!$P$5,'CP RESUMO'!W76,"")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HISTORICOS'!X34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RESUMO'!X34</f>
        <v/>
      </c>
      <c r="N25" s="130">
        <f>MAX(0,M25-M24)</f>
        <v/>
      </c>
      <c r="O25" s="129">
        <f>IF(B25&lt;='VALOR POR PL'!$P$5,'CP RESUMO'!X76,"")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HISTORICOS'!Y34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RESUMO'!Y34</f>
        <v/>
      </c>
      <c r="N26" s="130">
        <f>MAX(0,M26-M25)</f>
        <v/>
      </c>
      <c r="O26" s="129">
        <f>IF(B26&lt;='VALOR POR PL'!$P$5,'CP RESUMO'!Y76,"")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HISTORICOS'!Z34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RESUMO'!Z34</f>
        <v/>
      </c>
      <c r="N27" s="130">
        <f>MAX(0,M27-M26)</f>
        <v/>
      </c>
      <c r="O27" s="129">
        <f>IF(B27&lt;='VALOR POR PL'!$P$5,'CP RESUMO'!Z76,"")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HISTORICOS'!AA34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RESUMO'!AA34</f>
        <v/>
      </c>
      <c r="N28" s="130">
        <f>MAX(0,M28-M27)</f>
        <v/>
      </c>
      <c r="O28" s="129">
        <f>IF(B28&lt;='VALOR POR PL'!$P$5,'CP RESUMO'!AA76,"")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HISTORICOS'!AB34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RESUMO'!AB34</f>
        <v/>
      </c>
      <c r="N29" s="130">
        <f>MAX(0,M29-M28)</f>
        <v/>
      </c>
      <c r="O29" s="129">
        <f>IF(B29&lt;='VALOR POR PL'!$P$5,'CP RESUMO'!AB76,"")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HISTORICOS'!AC34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RESUMO'!AC34</f>
        <v/>
      </c>
      <c r="N30" s="130">
        <f>MAX(0,M30-M29)</f>
        <v/>
      </c>
      <c r="O30" s="129">
        <f>IF(B30&lt;='VALOR POR PL'!$P$5,'CP RESUMO'!AC76,"")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HISTORICOS'!AD34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RESUMO'!AD34</f>
        <v/>
      </c>
      <c r="N31" s="130">
        <f>MAX(0,M31-M30)</f>
        <v/>
      </c>
      <c r="O31" s="129">
        <f>IF(B31&lt;='VALOR POR PL'!$P$5,'CP RESUMO'!AD76,"")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HISTORICOS'!AE34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RESUMO'!AE34</f>
        <v/>
      </c>
      <c r="N32" s="130">
        <f>MAX(0,M32-M31)</f>
        <v/>
      </c>
      <c r="O32" s="129">
        <f>IF(B32&lt;='VALOR POR PL'!$P$5,'CP RESUMO'!AE76,"")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HISTORICOS'!AF34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RESUMO'!AF34</f>
        <v/>
      </c>
      <c r="N33" s="130">
        <f>MAX(0,M33-M32)</f>
        <v/>
      </c>
      <c r="O33" s="129">
        <f>IF(B33&lt;='VALOR POR PL'!$P$5,'CP RESUMO'!AF76,"")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HISTORICOS'!AG34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RESUMO'!AG34</f>
        <v/>
      </c>
      <c r="N34" s="130">
        <f>MAX(0,M34-M33)</f>
        <v/>
      </c>
      <c r="O34" s="129">
        <f>IF(B34&lt;='VALOR POR PL'!$P$5,'CP RESUMO'!AG76,"")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HISTORICOS'!AH34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RESUMO'!AH34</f>
        <v/>
      </c>
      <c r="N35" s="130">
        <f>MAX(0,M35-M34)</f>
        <v/>
      </c>
      <c r="O35" s="129">
        <f>IF(B35&lt;='VALOR POR PL'!$P$5,'CP RESUMO'!AH76,"")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HISTORICOS'!AI34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RESUMO'!AI34</f>
        <v/>
      </c>
      <c r="N36" s="130">
        <f>MAX(0,M36-M35)</f>
        <v/>
      </c>
      <c r="O36" s="129">
        <f>IF(B36&lt;='VALOR POR PL'!$P$5,'CP RESUMO'!AI76,"")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HISTORICOS'!AJ34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RESUMO'!AJ34</f>
        <v/>
      </c>
      <c r="N37" s="130">
        <f>MAX(0,M37-M36)</f>
        <v/>
      </c>
      <c r="O37" s="129">
        <f>IF(B37&lt;='VALOR POR PL'!$P$5,'CP RESUMO'!AJ76,"")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HISTORICOS'!AK34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52610.11</v>
      </c>
      <c r="M38" s="129">
        <f>'CP RESUMO'!AK34</f>
        <v/>
      </c>
      <c r="N38" s="130">
        <f>MAX(0,M38-M37)</f>
        <v/>
      </c>
      <c r="O38" s="129">
        <f>IF(B38&lt;='VALOR POR PL'!$P$5,'CP RESUMO'!AK76,"")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HISTORICOS'!AL34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438417.58</v>
      </c>
      <c r="M39" s="129">
        <f>'CP RESUMO'!AL34</f>
        <v/>
      </c>
      <c r="N39" s="130">
        <f>MAX(0,M39-M38)</f>
        <v/>
      </c>
      <c r="O39" s="129">
        <f>IF(B39&lt;='VALOR POR PL'!$P$5,'CP RESUMO'!AL76,"")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HISTORICOS'!AM34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592959.78</v>
      </c>
      <c r="M40" s="129">
        <f>'CP RESUMO'!AM34</f>
        <v/>
      </c>
      <c r="N40" s="130">
        <f>MAX(0,M40-M39)</f>
        <v/>
      </c>
      <c r="O40" s="129">
        <f>IF(B40&lt;='VALOR POR PL'!$P$5,'CP RESUMO'!AM76,"")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HISTORICOS'!AN34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625841.1</v>
      </c>
      <c r="M41" s="129">
        <f>'CP RESUMO'!AN34</f>
        <v/>
      </c>
      <c r="N41" s="130">
        <f>MAX(0,M41-M40)</f>
        <v/>
      </c>
      <c r="O41" s="129">
        <f>IF(B41&lt;='VALOR POR PL'!$P$5,'CP RESUMO'!AN76,"")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HISTORICOS'!AO34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431841.32</v>
      </c>
      <c r="M42" s="129">
        <f>'CP RESUMO'!AO34</f>
        <v/>
      </c>
      <c r="N42" s="130">
        <f>MAX(0,M42-M41)</f>
        <v/>
      </c>
      <c r="O42" s="129">
        <f>IF(B42&lt;='VALOR POR PL'!$P$5,'CP RESUMO'!AO76,"")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HISTORICOS'!AP34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607208.35</v>
      </c>
      <c r="M43" s="129">
        <f>'CP RESUMO'!AP34</f>
        <v/>
      </c>
      <c r="N43" s="130">
        <f>MAX(0,M43-M42)</f>
        <v/>
      </c>
      <c r="O43" s="129">
        <f>IF(B43&lt;='VALOR POR PL'!$P$5,'CP RESUMO'!AP76,"")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HISTORICOS'!AQ34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773807.03</v>
      </c>
      <c r="M44" s="129">
        <f>'CP RESUMO'!AQ34</f>
        <v/>
      </c>
      <c r="N44" s="130">
        <f>MAX(0,M44-M43)</f>
        <v/>
      </c>
      <c r="O44" s="129">
        <f>IF(B44&lt;='VALOR POR PL'!$P$5,'CP RESUMO'!AQ76,"")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HISTORICOS'!AR34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887795.61</v>
      </c>
      <c r="M45" s="129">
        <f>'CP RESUMO'!AR34</f>
        <v/>
      </c>
      <c r="N45" s="130">
        <f>MAX(0,M45-M44)</f>
        <v/>
      </c>
      <c r="O45" s="129">
        <f>IF(B45&lt;='VALOR POR PL'!$P$5,'CP RESUMO'!AR76,"")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HISTORICOS'!AS34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788055.61</v>
      </c>
      <c r="M46" s="129">
        <f>'CP RESUMO'!AS34</f>
        <v/>
      </c>
      <c r="N46" s="130">
        <f>MAX(0,M46-M45)</f>
        <v/>
      </c>
      <c r="O46" s="129">
        <f>IF(B46&lt;='VALOR POR PL'!$P$5,'CP RESUMO'!AS76,"")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HISTORICOS'!AT34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839569.67</v>
      </c>
      <c r="M47" s="129">
        <f>'CP RESUMO'!AT34</f>
        <v/>
      </c>
      <c r="N47" s="130">
        <f>MAX(0,M47-M46)</f>
        <v/>
      </c>
      <c r="O47" s="129">
        <f>IF(B47&lt;='VALOR POR PL'!$P$5,'CP RESUMO'!AT76,"")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HISTORICOS'!AU34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905332.3100000001</v>
      </c>
      <c r="M48" s="129">
        <f>'CP RESUMO'!AU34</f>
        <v/>
      </c>
      <c r="N48" s="130">
        <f>MAX(0,M48-M47)</f>
        <v/>
      </c>
      <c r="O48" s="129">
        <f>IF(B48&lt;='VALOR POR PL'!$P$5,'CP RESUMO'!AU76,"")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HISTORICOS'!AV34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708044.4</v>
      </c>
      <c r="M49" s="129">
        <f>'CP RESUMO'!AV34</f>
        <v/>
      </c>
      <c r="N49" s="130">
        <f>MAX(0,M49-M48)</f>
        <v/>
      </c>
      <c r="O49" s="129">
        <f>IF(B49&lt;='VALOR POR PL'!$P$5,'CP RESUMO'!AV76,"")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HISTORICOS'!AW34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574327.03</v>
      </c>
      <c r="M50" s="129">
        <f>'CP RESUMO'!AW34</f>
        <v/>
      </c>
      <c r="N50" s="130">
        <f>MAX(0,M50-M49)</f>
        <v/>
      </c>
      <c r="O50" s="129">
        <f>IF(B50&lt;='VALOR POR PL'!$P$5,'CP RESUMO'!AW76,"")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HISTORICOS'!AX34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584191.4300000001</v>
      </c>
      <c r="M51" s="129">
        <f>'CP RESUMO'!AX34</f>
        <v/>
      </c>
      <c r="N51" s="130">
        <f>MAX(0,M51-M50)</f>
        <v/>
      </c>
      <c r="O51" s="129">
        <f>IF(B51&lt;='VALOR POR PL'!$P$5,'CP RESUMO'!AX76,"")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HISTORICOS'!AY34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486643.52</v>
      </c>
      <c r="M52" s="129">
        <f>'CP RESUMO'!AY34</f>
        <v/>
      </c>
      <c r="N52" s="130">
        <f>MAX(0,M52-M51)</f>
        <v/>
      </c>
      <c r="O52" s="129">
        <f>IF(B52&lt;='VALOR POR PL'!$P$5,'CP RESUMO'!AY76,"")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HISTORICOS'!AZ34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562270.55</v>
      </c>
      <c r="M53" s="129">
        <f>'CP RESUMO'!AZ34</f>
        <v/>
      </c>
      <c r="N53" s="130">
        <f>MAX(0,M53-M52)</f>
        <v/>
      </c>
      <c r="O53" s="129">
        <f>IF(B53&lt;='VALOR POR PL'!$P$5,'CP RESUMO'!AZ76,"")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HISTORICOS'!BA34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516236.7</v>
      </c>
      <c r="M54" s="129">
        <f>'CP RESUMO'!BA34</f>
        <v/>
      </c>
      <c r="N54" s="130">
        <f>MAX(0,M54-M53)</f>
        <v/>
      </c>
      <c r="O54" s="129">
        <f>IF(B54&lt;='VALOR POR PL'!$P$5,'CP RESUMO'!BA76,"")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HISTORICOS'!BB34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416496.7</v>
      </c>
      <c r="M55" s="129">
        <f>'CP RESUMO'!BB34</f>
        <v/>
      </c>
      <c r="N55" s="130">
        <f>MAX(0,M55-M54)</f>
        <v/>
      </c>
      <c r="O55" s="129">
        <f>IF(B55&lt;='VALOR POR PL'!$P$5,'CP RESUMO'!BB76,"")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HISTORICOS'!BC34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160196.29</v>
      </c>
      <c r="M56" s="129">
        <f>'CP RESUMO'!BC34</f>
        <v/>
      </c>
      <c r="N56" s="130">
        <f>MAX(0,M56-M55)</f>
        <v/>
      </c>
      <c r="O56" s="129">
        <f>IF(B56&lt;='VALOR POR PL'!$P$5,'CP RESUMO'!BC76,"")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HISTORICOS'!BD34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RESUMO'!BD34</f>
        <v/>
      </c>
      <c r="N57" s="130">
        <f>MAX(0,M57-M56)</f>
        <v/>
      </c>
      <c r="O57" s="129">
        <f>IF(B57&lt;='VALOR POR PL'!$P$5,'CP RESUMO'!BD76,"")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HISTORICOS'!BE34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RESUMO'!BE34</f>
        <v/>
      </c>
      <c r="N58" s="130">
        <f>MAX(0,M58-M57)</f>
        <v/>
      </c>
      <c r="O58" s="129">
        <f>IF(B58&lt;='VALOR POR PL'!$P$5,'CP RESUMO'!BE76,"")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HISTORICOS'!BF34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RESUMO'!BF34</f>
        <v/>
      </c>
      <c r="N59" s="130">
        <f>MAX(0,M59-M58)</f>
        <v/>
      </c>
      <c r="O59" s="129">
        <f>IF(B59&lt;='VALOR POR PL'!$P$5,'CP RESUMO'!BF76,"")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HISTORICOS'!BG34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RESUMO'!BG34</f>
        <v/>
      </c>
      <c r="N60" s="130">
        <f>MAX(0,M60-M59)</f>
        <v/>
      </c>
      <c r="O60" s="129">
        <f>IF(B60&lt;='VALOR POR PL'!$P$5,'CP RESUMO'!BG76,"")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HISTORICOS'!BH34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RESUMO'!BH34</f>
        <v/>
      </c>
      <c r="N61" s="130">
        <f>MAX(0,M61-M60)</f>
        <v/>
      </c>
      <c r="O61" s="129">
        <f>IF(B61&lt;='VALOR POR PL'!$P$5,'CP RESUMO'!BH76,"")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HISTORICOS'!BI34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RESUMO'!BI34</f>
        <v/>
      </c>
      <c r="N62" s="130">
        <f>MAX(0,M62-M61)</f>
        <v/>
      </c>
      <c r="O62" s="129">
        <f>IF(B62&lt;='VALOR POR PL'!$P$5,'CP RESUMO'!BI76,"")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HISTORICOS'!BJ34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RESUMO'!BJ34</f>
        <v/>
      </c>
      <c r="N63" s="130">
        <f>MAX(0,M63-M62)</f>
        <v/>
      </c>
      <c r="O63" s="129">
        <f>IF(B63&lt;='VALOR POR PL'!$P$5,'CP RESUMO'!BJ76,"")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HISTORICOS'!BK34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RESUMO'!BK34</f>
        <v/>
      </c>
      <c r="N64" s="130">
        <f>MAX(0,M64-M63)</f>
        <v/>
      </c>
      <c r="O64" s="129">
        <f>IF(B64&lt;='VALOR POR PL'!$P$5,'CP RESUMO'!BK76,"")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HISTORICOS'!BL34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RESUMO'!BL34</f>
        <v/>
      </c>
      <c r="N65" s="130">
        <f>MAX(0,M65-M64)</f>
        <v/>
      </c>
      <c r="O65" s="129">
        <f>IF(B65&lt;='VALOR POR PL'!$P$5,'CP RESUMO'!BL76,"")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HISTORICOS'!BM34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RESUMO'!BM34</f>
        <v/>
      </c>
      <c r="N66" s="130">
        <f>MAX(0,M66-M65)</f>
        <v/>
      </c>
      <c r="O66" s="129">
        <f>IF(B66&lt;='VALOR POR PL'!$P$5,'CP RESUMO'!BM76,"")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HISTORICOS'!BN34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RESUMO'!BN34</f>
        <v/>
      </c>
      <c r="N67" s="130">
        <f>MAX(0,M67-M66)</f>
        <v/>
      </c>
      <c r="O67" s="129">
        <f>IF(B67&lt;='VALOR POR PL'!$P$5,'CP RESUMO'!BN76,"")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HISTORICOS'!BO34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RESUMO'!BO34</f>
        <v/>
      </c>
      <c r="N68" s="130">
        <f>MAX(0,M68-M67)</f>
        <v/>
      </c>
      <c r="O68" s="129">
        <f>IF(B68&lt;='VALOR POR PL'!$P$5,'CP RESUMO'!BO76,"")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HISTORICOS'!BP34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RESUMO'!BP34</f>
        <v/>
      </c>
      <c r="N69" s="130">
        <f>MAX(0,M69-M68)</f>
        <v/>
      </c>
      <c r="O69" s="129">
        <f>IF(B69&lt;='VALOR POR PL'!$P$5,'CP RESUMO'!BP76,"")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HISTORICOS'!BQ34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RESUMO'!BQ34</f>
        <v/>
      </c>
      <c r="N70" s="130">
        <f>MAX(0,M70-M69)</f>
        <v/>
      </c>
      <c r="O70" s="129">
        <f>IF(B70&lt;='VALOR POR PL'!$P$5,'CP RESUMO'!BQ76,"")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HISTORICOS'!BR34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RESUMO'!BR34</f>
        <v/>
      </c>
      <c r="N71" s="130">
        <f>MAX(0,M71-M70)</f>
        <v/>
      </c>
      <c r="O71" s="129">
        <f>IF(B71&lt;='VALOR POR PL'!$P$5,'CP RESUMO'!BR76,"")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HISTORICOS'!BS34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RESUMO'!BS34</f>
        <v/>
      </c>
      <c r="N72" s="130">
        <f>MAX(0,M72-M71)</f>
        <v/>
      </c>
      <c r="O72" s="129">
        <f>IF(B72&lt;='VALOR POR PL'!$P$5,'CP RESUMO'!BS76,"")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HISTORICOS'!BT34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RESUMO'!BT34</f>
        <v/>
      </c>
      <c r="N73" s="130">
        <f>MAX(0,M73-M72)</f>
        <v/>
      </c>
      <c r="O73" s="129">
        <f>IF(B73&lt;='VALOR POR PL'!$P$5,'CP RESUMO'!BT76,"")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HISTORICOS'!BU34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RESUMO'!BU34</f>
        <v/>
      </c>
      <c r="N74" s="130">
        <f>MAX(0,M74-M73)</f>
        <v/>
      </c>
      <c r="O74" s="129">
        <f>IF(B74&lt;='VALOR POR PL'!$P$5,'CP RESUMO'!BU76,"")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HISTORICOS'!BV34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RESUMO'!BV34</f>
        <v/>
      </c>
      <c r="N75" s="130">
        <f>MAX(0,M75-M74)</f>
        <v/>
      </c>
      <c r="O75" s="129">
        <f>IF(B75&lt;='VALOR POR PL'!$P$5,'CP RESUMO'!BV76,"")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HISTORICOS'!BW34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RESUMO'!BW34</f>
        <v/>
      </c>
      <c r="N76" s="130">
        <f>MAX(0,M76-M75)</f>
        <v/>
      </c>
      <c r="O76" s="129">
        <f>IF(B76&lt;='VALOR POR PL'!$P$5,'CP RESUMO'!BW76,"")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HISTORICOS'!D35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PL'!F41</f>
        <v/>
      </c>
      <c r="K5" s="62">
        <f>'VALOR POR PL'!G41</f>
        <v/>
      </c>
      <c r="M5" s="129">
        <f>'CP RESUMO'!D35</f>
        <v/>
      </c>
      <c r="N5" s="130" t="n">
        <v>0</v>
      </c>
      <c r="O5" s="129">
        <f>IF(B5&lt;='VALOR POR PL'!$P$5,'CP RESUMO'!D77,"")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HISTORICOS'!E35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RESUMO'!E35</f>
        <v/>
      </c>
      <c r="N6" s="130">
        <f>MAX(0,M6-M5)</f>
        <v/>
      </c>
      <c r="O6" s="129">
        <f>IF(B6&lt;='VALOR POR PL'!$P$5,'CP RESUMO'!E77,"")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HISTORICOS'!F35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PL'!L41</f>
        <v/>
      </c>
      <c r="M7" s="129">
        <f>'CP RESUMO'!F35</f>
        <v/>
      </c>
      <c r="N7" s="130">
        <f>MAX(0,M7-M6)</f>
        <v/>
      </c>
      <c r="O7" s="129">
        <f>IF(B7&lt;='VALOR POR PL'!$P$5,'CP RESUMO'!F77,"")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HISTORICOS'!G35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RESUMO'!G35</f>
        <v/>
      </c>
      <c r="N8" s="130">
        <f>MAX(0,M8-M7)</f>
        <v/>
      </c>
      <c r="O8" s="129">
        <f>IF(B8&lt;='VALOR POR PL'!$P$5,'CP RESUMO'!G77,"")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HISTORICOS'!H35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RESUMO'!H35</f>
        <v/>
      </c>
      <c r="N9" s="130">
        <f>MAX(0,M9-M8)</f>
        <v/>
      </c>
      <c r="O9" s="129">
        <f>IF(B9&lt;='VALOR POR PL'!$P$5,'CP RESUMO'!H77,"")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HISTORICOS'!I35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RESUMO'!I35</f>
        <v/>
      </c>
      <c r="N10" s="130">
        <f>MAX(0,M10-M9)</f>
        <v/>
      </c>
      <c r="O10" s="129">
        <f>IF(B10&lt;='VALOR POR PL'!$P$5,'CP RESUMO'!I77,"")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HISTORICOS'!J35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RESUMO'!J35</f>
        <v/>
      </c>
      <c r="N11" s="130">
        <f>MAX(0,M11-M10)</f>
        <v/>
      </c>
      <c r="O11" s="129">
        <f>IF(B11&lt;='VALOR POR PL'!$P$5,'CP RESUMO'!J77,"")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HISTORICOS'!K35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RESUMO'!K35</f>
        <v/>
      </c>
      <c r="N12" s="130">
        <f>MAX(0,M12-M11)</f>
        <v/>
      </c>
      <c r="O12" s="129">
        <f>IF(B12&lt;='VALOR POR PL'!$P$5,'CP RESUMO'!K77,"")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HISTORICOS'!L35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PL'!I41</f>
        <v/>
      </c>
      <c r="M13" s="129">
        <f>'CP RESUMO'!L35</f>
        <v/>
      </c>
      <c r="N13" s="130">
        <f>MAX(0,M13-M12)</f>
        <v/>
      </c>
      <c r="O13" s="129">
        <f>IF(B13&lt;='VALOR POR PL'!$P$5,'CP RESUMO'!L77,"")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HISTORICOS'!M35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RESUMO'!$D$77:$BW$77,MATCH('VALOR POR PL'!$P$5,'CP RESUMO'!$D$4:$BW$4,0))/100,0)</f>
        <v/>
      </c>
      <c r="M14" s="129">
        <f>'CP RESUMO'!M35</f>
        <v/>
      </c>
      <c r="N14" s="130">
        <f>MAX(0,M14-M13)</f>
        <v/>
      </c>
      <c r="O14" s="129">
        <f>IF(B14&lt;='VALOR POR PL'!$P$5,'CP RESUMO'!M77,"")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HISTORICOS'!N35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RESUMO'!N35</f>
        <v/>
      </c>
      <c r="N15" s="130">
        <f>MAX(0,M15-M14)</f>
        <v/>
      </c>
      <c r="O15" s="129">
        <f>IF(B15&lt;='VALOR POR PL'!$P$5,'CP RESUMO'!N77,"")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HISTORICOS'!O35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RESUMO'!O35</f>
        <v/>
      </c>
      <c r="N16" s="130">
        <f>MAX(0,M16-M15)</f>
        <v/>
      </c>
      <c r="O16" s="129">
        <f>IF(B16&lt;='VALOR POR PL'!$P$5,'CP RESUMO'!O77,"")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HISTORICOS'!P35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RESUMO'!P35</f>
        <v/>
      </c>
      <c r="N17" s="130">
        <f>MAX(0,M17-M16)</f>
        <v/>
      </c>
      <c r="O17" s="129">
        <f>IF(B17&lt;='VALOR POR PL'!$P$5,'CP RESUMO'!P77,"")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HISTORICOS'!Q35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RESUMO'!Q35</f>
        <v/>
      </c>
      <c r="N18" s="130">
        <f>MAX(0,M18-M17)</f>
        <v/>
      </c>
      <c r="O18" s="129">
        <f>IF(B18&lt;='VALOR POR PL'!$P$5,'CP RESUMO'!Q77,"")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HISTORICOS'!R35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RESUMO'!R35</f>
        <v/>
      </c>
      <c r="N19" s="130">
        <f>MAX(0,M19-M18)</f>
        <v/>
      </c>
      <c r="O19" s="129">
        <f>IF(B19&lt;='VALOR POR PL'!$P$5,'CP RESUMO'!R77,"")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HISTORICOS'!S35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RESUMO'!S35</f>
        <v/>
      </c>
      <c r="N20" s="130">
        <f>MAX(0,M20-M19)</f>
        <v/>
      </c>
      <c r="O20" s="129">
        <f>IF(B20&lt;='VALOR POR PL'!$P$5,'CP RESUMO'!S77,"")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HISTORICOS'!T35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RESUMO'!T35</f>
        <v/>
      </c>
      <c r="N21" s="130">
        <f>MAX(0,M21-M20)</f>
        <v/>
      </c>
      <c r="O21" s="129">
        <f>IF(B21&lt;='VALOR POR PL'!$P$5,'CP RESUMO'!T77,"")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HISTORICOS'!U35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RESUMO'!U35</f>
        <v/>
      </c>
      <c r="N22" s="130">
        <f>MAX(0,M22-M21)</f>
        <v/>
      </c>
      <c r="O22" s="129">
        <f>IF(B22&lt;='VALOR POR PL'!$P$5,'CP RESUMO'!U77,"")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HISTORICOS'!V35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RESUMO'!V35</f>
        <v/>
      </c>
      <c r="N23" s="130">
        <f>MAX(0,M23-M22)</f>
        <v/>
      </c>
      <c r="O23" s="129">
        <f>IF(B23&lt;='VALOR POR PL'!$P$5,'CP RESUMO'!V77,"")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HISTORICOS'!W35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RESUMO'!W35</f>
        <v/>
      </c>
      <c r="N24" s="130">
        <f>MAX(0,M24-M23)</f>
        <v/>
      </c>
      <c r="O24" s="129">
        <f>IF(B24&lt;='VALOR POR PL'!$P$5,'CP RESUMO'!W77,"")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HISTORICOS'!X35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RESUMO'!X35</f>
        <v/>
      </c>
      <c r="N25" s="130">
        <f>MAX(0,M25-M24)</f>
        <v/>
      </c>
      <c r="O25" s="129">
        <f>IF(B25&lt;='VALOR POR PL'!$P$5,'CP RESUMO'!X77,"")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HISTORICOS'!Y35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RESUMO'!Y35</f>
        <v/>
      </c>
      <c r="N26" s="130">
        <f>MAX(0,M26-M25)</f>
        <v/>
      </c>
      <c r="O26" s="129">
        <f>IF(B26&lt;='VALOR POR PL'!$P$5,'CP RESUMO'!Y77,"")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HISTORICOS'!Z35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RESUMO'!Z35</f>
        <v/>
      </c>
      <c r="N27" s="130">
        <f>MAX(0,M27-M26)</f>
        <v/>
      </c>
      <c r="O27" s="129">
        <f>IF(B27&lt;='VALOR POR PL'!$P$5,'CP RESUMO'!Z77,"")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HISTORICOS'!AA35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RESUMO'!AA35</f>
        <v/>
      </c>
      <c r="N28" s="130">
        <f>MAX(0,M28-M27)</f>
        <v/>
      </c>
      <c r="O28" s="129">
        <f>IF(B28&lt;='VALOR POR PL'!$P$5,'CP RESUMO'!AA77,"")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HISTORICOS'!AB35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RESUMO'!AB35</f>
        <v/>
      </c>
      <c r="N29" s="130">
        <f>MAX(0,M29-M28)</f>
        <v/>
      </c>
      <c r="O29" s="129">
        <f>IF(B29&lt;='VALOR POR PL'!$P$5,'CP RESUMO'!AB77,"")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HISTORICOS'!AC35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RESUMO'!AC35</f>
        <v/>
      </c>
      <c r="N30" s="130">
        <f>MAX(0,M30-M29)</f>
        <v/>
      </c>
      <c r="O30" s="129">
        <f>IF(B30&lt;='VALOR POR PL'!$P$5,'CP RESUMO'!AC77,"")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HISTORICOS'!AD35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RESUMO'!AD35</f>
        <v/>
      </c>
      <c r="N31" s="130">
        <f>MAX(0,M31-M30)</f>
        <v/>
      </c>
      <c r="O31" s="129">
        <f>IF(B31&lt;='VALOR POR PL'!$P$5,'CP RESUMO'!AD77,"")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HISTORICOS'!AE35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RESUMO'!AE35</f>
        <v/>
      </c>
      <c r="N32" s="130">
        <f>MAX(0,M32-M31)</f>
        <v/>
      </c>
      <c r="O32" s="129">
        <f>IF(B32&lt;='VALOR POR PL'!$P$5,'CP RESUMO'!AE77,"")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HISTORICOS'!AF35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RESUMO'!AF35</f>
        <v/>
      </c>
      <c r="N33" s="130">
        <f>MAX(0,M33-M32)</f>
        <v/>
      </c>
      <c r="O33" s="129">
        <f>IF(B33&lt;='VALOR POR PL'!$P$5,'CP RESUMO'!AF77,"")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HISTORICOS'!AG35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RESUMO'!AG35</f>
        <v/>
      </c>
      <c r="N34" s="130">
        <f>MAX(0,M34-M33)</f>
        <v/>
      </c>
      <c r="O34" s="129">
        <f>IF(B34&lt;='VALOR POR PL'!$P$5,'CP RESUMO'!AG77,"")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HISTORICOS'!AH35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RESUMO'!AH35</f>
        <v/>
      </c>
      <c r="N35" s="130">
        <f>MAX(0,M35-M34)</f>
        <v/>
      </c>
      <c r="O35" s="129">
        <f>IF(B35&lt;='VALOR POR PL'!$P$5,'CP RESUMO'!AH77,"")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HISTORICOS'!AI35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RESUMO'!AI35</f>
        <v/>
      </c>
      <c r="N36" s="130">
        <f>MAX(0,M36-M35)</f>
        <v/>
      </c>
      <c r="O36" s="129">
        <f>IF(B36&lt;='VALOR POR PL'!$P$5,'CP RESUMO'!AI77,"")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HISTORICOS'!AJ35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RESUMO'!AJ35</f>
        <v/>
      </c>
      <c r="N37" s="130">
        <f>MAX(0,M37-M36)</f>
        <v/>
      </c>
      <c r="O37" s="129">
        <f>IF(B37&lt;='VALOR POR PL'!$P$5,'CP RESUMO'!AJ77,"")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HISTORICOS'!AK35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RESUMO'!AK35</f>
        <v/>
      </c>
      <c r="N38" s="130">
        <f>MAX(0,M38-M37)</f>
        <v/>
      </c>
      <c r="O38" s="129">
        <f>IF(B38&lt;='VALOR POR PL'!$P$5,'CP RESUMO'!AK77,"")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HISTORICOS'!AL35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RESUMO'!AL35</f>
        <v/>
      </c>
      <c r="N39" s="130">
        <f>MAX(0,M39-M38)</f>
        <v/>
      </c>
      <c r="O39" s="129">
        <f>IF(B39&lt;='VALOR POR PL'!$P$5,'CP RESUMO'!AL77,"")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HISTORICOS'!AM35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RESUMO'!AM35</f>
        <v/>
      </c>
      <c r="N40" s="130">
        <f>MAX(0,M40-M39)</f>
        <v/>
      </c>
      <c r="O40" s="129">
        <f>IF(B40&lt;='VALOR POR PL'!$P$5,'CP RESUMO'!AM77,"")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HISTORICOS'!AN35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RESUMO'!AN35</f>
        <v/>
      </c>
      <c r="N41" s="130">
        <f>MAX(0,M41-M40)</f>
        <v/>
      </c>
      <c r="O41" s="129">
        <f>IF(B41&lt;='VALOR POR PL'!$P$5,'CP RESUMO'!AN77,"")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HISTORICOS'!AO35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17063.53</v>
      </c>
      <c r="M42" s="129">
        <f>'CP RESUMO'!AO35</f>
        <v/>
      </c>
      <c r="N42" s="130">
        <f>MAX(0,M42-M41)</f>
        <v/>
      </c>
      <c r="O42" s="129">
        <f>IF(B42&lt;='VALOR POR PL'!$P$5,'CP RESUMO'!AO77,"")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HISTORICOS'!AP35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35839.05</v>
      </c>
      <c r="M43" s="129">
        <f>'CP RESUMO'!AP35</f>
        <v/>
      </c>
      <c r="N43" s="130">
        <f>MAX(0,M43-M42)</f>
        <v/>
      </c>
      <c r="O43" s="129">
        <f>IF(B43&lt;='VALOR POR PL'!$P$5,'CP RESUMO'!AP77,"")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HISTORICOS'!AQ35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35839.05</v>
      </c>
      <c r="M44" s="129">
        <f>'CP RESUMO'!AQ35</f>
        <v/>
      </c>
      <c r="N44" s="130">
        <f>MAX(0,M44-M43)</f>
        <v/>
      </c>
      <c r="O44" s="129">
        <f>IF(B44&lt;='VALOR POR PL'!$P$5,'CP RESUMO'!AQ77,"")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HISTORICOS'!AR35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23888.95</v>
      </c>
      <c r="M45" s="129">
        <f>'CP RESUMO'!AR35</f>
        <v/>
      </c>
      <c r="N45" s="130">
        <f>MAX(0,M45-M44)</f>
        <v/>
      </c>
      <c r="O45" s="129">
        <f>IF(B45&lt;='VALOR POR PL'!$P$5,'CP RESUMO'!AR77,"")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HISTORICOS'!AS35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RESUMO'!AS35</f>
        <v/>
      </c>
      <c r="N46" s="130">
        <f>MAX(0,M46-M45)</f>
        <v/>
      </c>
      <c r="O46" s="129">
        <f>IF(B46&lt;='VALOR POR PL'!$P$5,'CP RESUMO'!AS77,"")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HISTORICOS'!AT35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RESUMO'!AT35</f>
        <v/>
      </c>
      <c r="N47" s="130">
        <f>MAX(0,M47-M46)</f>
        <v/>
      </c>
      <c r="O47" s="129">
        <f>IF(B47&lt;='VALOR POR PL'!$P$5,'CP RESUMO'!AT77,"")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HISTORICOS'!AU35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RESUMO'!AU35</f>
        <v/>
      </c>
      <c r="N48" s="130">
        <f>MAX(0,M48-M47)</f>
        <v/>
      </c>
      <c r="O48" s="129">
        <f>IF(B48&lt;='VALOR POR PL'!$P$5,'CP RESUMO'!AU77,"")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HISTORICOS'!AV35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RESUMO'!AV35</f>
        <v/>
      </c>
      <c r="N49" s="130">
        <f>MAX(0,M49-M48)</f>
        <v/>
      </c>
      <c r="O49" s="129">
        <f>IF(B49&lt;='VALOR POR PL'!$P$5,'CP RESUMO'!AV77,"")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HISTORICOS'!AW35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RESUMO'!AW35</f>
        <v/>
      </c>
      <c r="N50" s="130">
        <f>MAX(0,M50-M49)</f>
        <v/>
      </c>
      <c r="O50" s="129">
        <f>IF(B50&lt;='VALOR POR PL'!$P$5,'CP RESUMO'!AW77,"")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HISTORICOS'!AX35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RESUMO'!AX35</f>
        <v/>
      </c>
      <c r="N51" s="130">
        <f>MAX(0,M51-M50)</f>
        <v/>
      </c>
      <c r="O51" s="129">
        <f>IF(B51&lt;='VALOR POR PL'!$P$5,'CP RESUMO'!AX77,"")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HISTORICOS'!AY35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RESUMO'!AY35</f>
        <v/>
      </c>
      <c r="N52" s="130">
        <f>MAX(0,M52-M51)</f>
        <v/>
      </c>
      <c r="O52" s="129">
        <f>IF(B52&lt;='VALOR POR PL'!$P$5,'CP RESUMO'!AY77,"")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HISTORICOS'!AZ35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RESUMO'!AZ35</f>
        <v/>
      </c>
      <c r="N53" s="130">
        <f>MAX(0,M53-M52)</f>
        <v/>
      </c>
      <c r="O53" s="129">
        <f>IF(B53&lt;='VALOR POR PL'!$P$5,'CP RESUMO'!AZ77,"")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HISTORICOS'!BA35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RESUMO'!BA35</f>
        <v/>
      </c>
      <c r="N54" s="130">
        <f>MAX(0,M54-M53)</f>
        <v/>
      </c>
      <c r="O54" s="129">
        <f>IF(B54&lt;='VALOR POR PL'!$P$5,'CP RESUMO'!BA77,"")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HISTORICOS'!BB35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RESUMO'!BB35</f>
        <v/>
      </c>
      <c r="N55" s="130">
        <f>MAX(0,M55-M54)</f>
        <v/>
      </c>
      <c r="O55" s="129">
        <f>IF(B55&lt;='VALOR POR PL'!$P$5,'CP RESUMO'!BB77,"")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HISTORICOS'!BC35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RESUMO'!BC35</f>
        <v/>
      </c>
      <c r="N56" s="130">
        <f>MAX(0,M56-M55)</f>
        <v/>
      </c>
      <c r="O56" s="129">
        <f>IF(B56&lt;='VALOR POR PL'!$P$5,'CP RESUMO'!BC77,"")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HISTORICOS'!BD35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RESUMO'!BD35</f>
        <v/>
      </c>
      <c r="N57" s="130">
        <f>MAX(0,M57-M56)</f>
        <v/>
      </c>
      <c r="O57" s="129">
        <f>IF(B57&lt;='VALOR POR PL'!$P$5,'CP RESUMO'!BD77,"")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HISTORICOS'!BE35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RESUMO'!BE35</f>
        <v/>
      </c>
      <c r="N58" s="130">
        <f>MAX(0,M58-M57)</f>
        <v/>
      </c>
      <c r="O58" s="129">
        <f>IF(B58&lt;='VALOR POR PL'!$P$5,'CP RESUMO'!BE77,"")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HISTORICOS'!BF35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RESUMO'!BF35</f>
        <v/>
      </c>
      <c r="N59" s="130">
        <f>MAX(0,M59-M58)</f>
        <v/>
      </c>
      <c r="O59" s="129">
        <f>IF(B59&lt;='VALOR POR PL'!$P$5,'CP RESUMO'!BF77,"")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HISTORICOS'!BG35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RESUMO'!BG35</f>
        <v/>
      </c>
      <c r="N60" s="130">
        <f>MAX(0,M60-M59)</f>
        <v/>
      </c>
      <c r="O60" s="129">
        <f>IF(B60&lt;='VALOR POR PL'!$P$5,'CP RESUMO'!BG77,"")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HISTORICOS'!BH35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RESUMO'!BH35</f>
        <v/>
      </c>
      <c r="N61" s="130">
        <f>MAX(0,M61-M60)</f>
        <v/>
      </c>
      <c r="O61" s="129">
        <f>IF(B61&lt;='VALOR POR PL'!$P$5,'CP RESUMO'!BH77,"")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HISTORICOS'!BI35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RESUMO'!BI35</f>
        <v/>
      </c>
      <c r="N62" s="130">
        <f>MAX(0,M62-M61)</f>
        <v/>
      </c>
      <c r="O62" s="129">
        <f>IF(B62&lt;='VALOR POR PL'!$P$5,'CP RESUMO'!BI77,"")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HISTORICOS'!BJ35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RESUMO'!BJ35</f>
        <v/>
      </c>
      <c r="N63" s="130">
        <f>MAX(0,M63-M62)</f>
        <v/>
      </c>
      <c r="O63" s="129">
        <f>IF(B63&lt;='VALOR POR PL'!$P$5,'CP RESUMO'!BJ77,"")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HISTORICOS'!BK35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RESUMO'!BK35</f>
        <v/>
      </c>
      <c r="N64" s="130">
        <f>MAX(0,M64-M63)</f>
        <v/>
      </c>
      <c r="O64" s="129">
        <f>IF(B64&lt;='VALOR POR PL'!$P$5,'CP RESUMO'!BK77,"")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HISTORICOS'!BL35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RESUMO'!BL35</f>
        <v/>
      </c>
      <c r="N65" s="130">
        <f>MAX(0,M65-M64)</f>
        <v/>
      </c>
      <c r="O65" s="129">
        <f>IF(B65&lt;='VALOR POR PL'!$P$5,'CP RESUMO'!BL77,"")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HISTORICOS'!BM35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RESUMO'!BM35</f>
        <v/>
      </c>
      <c r="N66" s="130">
        <f>MAX(0,M66-M65)</f>
        <v/>
      </c>
      <c r="O66" s="129">
        <f>IF(B66&lt;='VALOR POR PL'!$P$5,'CP RESUMO'!BM77,"")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HISTORICOS'!BN35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RESUMO'!BN35</f>
        <v/>
      </c>
      <c r="N67" s="130">
        <f>MAX(0,M67-M66)</f>
        <v/>
      </c>
      <c r="O67" s="129">
        <f>IF(B67&lt;='VALOR POR PL'!$P$5,'CP RESUMO'!BN77,"")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HISTORICOS'!BO35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RESUMO'!BO35</f>
        <v/>
      </c>
      <c r="N68" s="130">
        <f>MAX(0,M68-M67)</f>
        <v/>
      </c>
      <c r="O68" s="129">
        <f>IF(B68&lt;='VALOR POR PL'!$P$5,'CP RESUMO'!BO77,"")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HISTORICOS'!BP35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RESUMO'!BP35</f>
        <v/>
      </c>
      <c r="N69" s="130">
        <f>MAX(0,M69-M68)</f>
        <v/>
      </c>
      <c r="O69" s="129">
        <f>IF(B69&lt;='VALOR POR PL'!$P$5,'CP RESUMO'!BP77,"")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HISTORICOS'!BQ35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RESUMO'!BQ35</f>
        <v/>
      </c>
      <c r="N70" s="130">
        <f>MAX(0,M70-M69)</f>
        <v/>
      </c>
      <c r="O70" s="129">
        <f>IF(B70&lt;='VALOR POR PL'!$P$5,'CP RESUMO'!BQ77,"")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HISTORICOS'!BR35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RESUMO'!BR35</f>
        <v/>
      </c>
      <c r="N71" s="130">
        <f>MAX(0,M71-M70)</f>
        <v/>
      </c>
      <c r="O71" s="129">
        <f>IF(B71&lt;='VALOR POR PL'!$P$5,'CP RESUMO'!BR77,"")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HISTORICOS'!BS35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RESUMO'!BS35</f>
        <v/>
      </c>
      <c r="N72" s="130">
        <f>MAX(0,M72-M71)</f>
        <v/>
      </c>
      <c r="O72" s="129">
        <f>IF(B72&lt;='VALOR POR PL'!$P$5,'CP RESUMO'!BS77,"")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HISTORICOS'!BT35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RESUMO'!BT35</f>
        <v/>
      </c>
      <c r="N73" s="130">
        <f>MAX(0,M73-M72)</f>
        <v/>
      </c>
      <c r="O73" s="129">
        <f>IF(B73&lt;='VALOR POR PL'!$P$5,'CP RESUMO'!BT77,"")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HISTORICOS'!BU35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RESUMO'!BU35</f>
        <v/>
      </c>
      <c r="N74" s="130">
        <f>MAX(0,M74-M73)</f>
        <v/>
      </c>
      <c r="O74" s="129">
        <f>IF(B74&lt;='VALOR POR PL'!$P$5,'CP RESUMO'!BU77,"")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HISTORICOS'!BV35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RESUMO'!BV35</f>
        <v/>
      </c>
      <c r="N75" s="130">
        <f>MAX(0,M75-M74)</f>
        <v/>
      </c>
      <c r="O75" s="129">
        <f>IF(B75&lt;='VALOR POR PL'!$P$5,'CP RESUMO'!BV77,"")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HISTORICOS'!BW35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RESUMO'!BW35</f>
        <v/>
      </c>
      <c r="N76" s="130">
        <f>MAX(0,M76-M75)</f>
        <v/>
      </c>
      <c r="O76" s="129">
        <f>IF(B76&lt;='VALOR POR PL'!$P$5,'CP RESUMO'!BW77,"")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HISTORICOS'!D36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PL'!F42</f>
        <v/>
      </c>
      <c r="K5" s="62">
        <f>'VALOR POR PL'!G42</f>
        <v/>
      </c>
      <c r="M5" s="129">
        <f>'CP RESUMO'!D36</f>
        <v/>
      </c>
      <c r="N5" s="130" t="n">
        <v>0</v>
      </c>
      <c r="O5" s="129">
        <f>IF(B5&lt;='VALOR POR PL'!$P$5,'CP RESUMO'!D78,"")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HISTORICOS'!E36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RESUMO'!E36</f>
        <v/>
      </c>
      <c r="N6" s="130">
        <f>MAX(0,M6-M5)</f>
        <v/>
      </c>
      <c r="O6" s="129">
        <f>IF(B6&lt;='VALOR POR PL'!$P$5,'CP RESUMO'!E78,"")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HISTORICOS'!F36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PL'!L42</f>
        <v/>
      </c>
      <c r="M7" s="129">
        <f>'CP RESUMO'!F36</f>
        <v/>
      </c>
      <c r="N7" s="130">
        <f>MAX(0,M7-M6)</f>
        <v/>
      </c>
      <c r="O7" s="129">
        <f>IF(B7&lt;='VALOR POR PL'!$P$5,'CP RESUMO'!F78,"")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HISTORICOS'!G36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RESUMO'!G36</f>
        <v/>
      </c>
      <c r="N8" s="130">
        <f>MAX(0,M8-M7)</f>
        <v/>
      </c>
      <c r="O8" s="129">
        <f>IF(B8&lt;='VALOR POR PL'!$P$5,'CP RESUMO'!G78,"")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HISTORICOS'!H36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RESUMO'!H36</f>
        <v/>
      </c>
      <c r="N9" s="130">
        <f>MAX(0,M9-M8)</f>
        <v/>
      </c>
      <c r="O9" s="129">
        <f>IF(B9&lt;='VALOR POR PL'!$P$5,'CP RESUMO'!H78,"")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HISTORICOS'!I36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RESUMO'!I36</f>
        <v/>
      </c>
      <c r="N10" s="130">
        <f>MAX(0,M10-M9)</f>
        <v/>
      </c>
      <c r="O10" s="129">
        <f>IF(B10&lt;='VALOR POR PL'!$P$5,'CP RESUMO'!I78,"")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HISTORICOS'!J36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RESUMO'!J36</f>
        <v/>
      </c>
      <c r="N11" s="130">
        <f>MAX(0,M11-M10)</f>
        <v/>
      </c>
      <c r="O11" s="129">
        <f>IF(B11&lt;='VALOR POR PL'!$P$5,'CP RESUMO'!J78,"")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HISTORICOS'!K36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RESUMO'!K36</f>
        <v/>
      </c>
      <c r="N12" s="130">
        <f>MAX(0,M12-M11)</f>
        <v/>
      </c>
      <c r="O12" s="129">
        <f>IF(B12&lt;='VALOR POR PL'!$P$5,'CP RESUMO'!K78,"")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HISTORICOS'!L36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PL'!I42</f>
        <v/>
      </c>
      <c r="M13" s="129">
        <f>'CP RESUMO'!L36</f>
        <v/>
      </c>
      <c r="N13" s="130">
        <f>MAX(0,M13-M12)</f>
        <v/>
      </c>
      <c r="O13" s="129">
        <f>IF(B13&lt;='VALOR POR PL'!$P$5,'CP RESUMO'!L78,"")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HISTORICOS'!M36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RESUMO'!$D$78:$BW$78,MATCH('VALOR POR PL'!$P$5,'CP RESUMO'!$D$4:$BW$4,0))/100,0)</f>
        <v/>
      </c>
      <c r="M14" s="129">
        <f>'CP RESUMO'!M36</f>
        <v/>
      </c>
      <c r="N14" s="130">
        <f>MAX(0,M14-M13)</f>
        <v/>
      </c>
      <c r="O14" s="129">
        <f>IF(B14&lt;='VALOR POR PL'!$P$5,'CP RESUMO'!M78,"")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HISTORICOS'!N36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RESUMO'!N36</f>
        <v/>
      </c>
      <c r="N15" s="130">
        <f>MAX(0,M15-M14)</f>
        <v/>
      </c>
      <c r="O15" s="129">
        <f>IF(B15&lt;='VALOR POR PL'!$P$5,'CP RESUMO'!N78,"")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HISTORICOS'!O36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RESUMO'!O36</f>
        <v/>
      </c>
      <c r="N16" s="130">
        <f>MAX(0,M16-M15)</f>
        <v/>
      </c>
      <c r="O16" s="129">
        <f>IF(B16&lt;='VALOR POR PL'!$P$5,'CP RESUMO'!O78,"")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HISTORICOS'!P36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RESUMO'!P36</f>
        <v/>
      </c>
      <c r="N17" s="130">
        <f>MAX(0,M17-M16)</f>
        <v/>
      </c>
      <c r="O17" s="129">
        <f>IF(B17&lt;='VALOR POR PL'!$P$5,'CP RESUMO'!P78,"")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HISTORICOS'!Q36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RESUMO'!Q36</f>
        <v/>
      </c>
      <c r="N18" s="130">
        <f>MAX(0,M18-M17)</f>
        <v/>
      </c>
      <c r="O18" s="129">
        <f>IF(B18&lt;='VALOR POR PL'!$P$5,'CP RESUMO'!Q78,"")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HISTORICOS'!R36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RESUMO'!R36</f>
        <v/>
      </c>
      <c r="N19" s="130">
        <f>MAX(0,M19-M18)</f>
        <v/>
      </c>
      <c r="O19" s="129">
        <f>IF(B19&lt;='VALOR POR PL'!$P$5,'CP RESUMO'!R78,"")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HISTORICOS'!S36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RESUMO'!S36</f>
        <v/>
      </c>
      <c r="N20" s="130">
        <f>MAX(0,M20-M19)</f>
        <v/>
      </c>
      <c r="O20" s="129">
        <f>IF(B20&lt;='VALOR POR PL'!$P$5,'CP RESUMO'!S78,"")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HISTORICOS'!T36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RESUMO'!T36</f>
        <v/>
      </c>
      <c r="N21" s="130">
        <f>MAX(0,M21-M20)</f>
        <v/>
      </c>
      <c r="O21" s="129">
        <f>IF(B21&lt;='VALOR POR PL'!$P$5,'CP RESUMO'!T78,"")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HISTORICOS'!U36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RESUMO'!U36</f>
        <v/>
      </c>
      <c r="N22" s="130">
        <f>MAX(0,M22-M21)</f>
        <v/>
      </c>
      <c r="O22" s="129">
        <f>IF(B22&lt;='VALOR POR PL'!$P$5,'CP RESUMO'!U78,"")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HISTORICOS'!V36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RESUMO'!V36</f>
        <v/>
      </c>
      <c r="N23" s="130">
        <f>MAX(0,M23-M22)</f>
        <v/>
      </c>
      <c r="O23" s="129">
        <f>IF(B23&lt;='VALOR POR PL'!$P$5,'CP RESUMO'!V78,"")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HISTORICOS'!W36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RESUMO'!W36</f>
        <v/>
      </c>
      <c r="N24" s="130">
        <f>MAX(0,M24-M23)</f>
        <v/>
      </c>
      <c r="O24" s="129">
        <f>IF(B24&lt;='VALOR POR PL'!$P$5,'CP RESUMO'!W78,"")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HISTORICOS'!X36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RESUMO'!X36</f>
        <v/>
      </c>
      <c r="N25" s="130">
        <f>MAX(0,M25-M24)</f>
        <v/>
      </c>
      <c r="O25" s="129">
        <f>IF(B25&lt;='VALOR POR PL'!$P$5,'CP RESUMO'!X78,"")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HISTORICOS'!Y36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RESUMO'!Y36</f>
        <v/>
      </c>
      <c r="N26" s="130">
        <f>MAX(0,M26-M25)</f>
        <v/>
      </c>
      <c r="O26" s="129">
        <f>IF(B26&lt;='VALOR POR PL'!$P$5,'CP RESUMO'!Y78,"")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HISTORICOS'!Z36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RESUMO'!Z36</f>
        <v/>
      </c>
      <c r="N27" s="130">
        <f>MAX(0,M27-M26)</f>
        <v/>
      </c>
      <c r="O27" s="129">
        <f>IF(B27&lt;='VALOR POR PL'!$P$5,'CP RESUMO'!Z78,"")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HISTORICOS'!AA36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RESUMO'!AA36</f>
        <v/>
      </c>
      <c r="N28" s="130">
        <f>MAX(0,M28-M27)</f>
        <v/>
      </c>
      <c r="O28" s="129">
        <f>IF(B28&lt;='VALOR POR PL'!$P$5,'CP RESUMO'!AA78,"")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HISTORICOS'!AB36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RESUMO'!AB36</f>
        <v/>
      </c>
      <c r="N29" s="130">
        <f>MAX(0,M29-M28)</f>
        <v/>
      </c>
      <c r="O29" s="129">
        <f>IF(B29&lt;='VALOR POR PL'!$P$5,'CP RESUMO'!AB78,"")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HISTORICOS'!AC36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RESUMO'!AC36</f>
        <v/>
      </c>
      <c r="N30" s="130">
        <f>MAX(0,M30-M29)</f>
        <v/>
      </c>
      <c r="O30" s="129">
        <f>IF(B30&lt;='VALOR POR PL'!$P$5,'CP RESUMO'!AC78,"")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HISTORICOS'!AD36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RESUMO'!AD36</f>
        <v/>
      </c>
      <c r="N31" s="130">
        <f>MAX(0,M31-M30)</f>
        <v/>
      </c>
      <c r="O31" s="129">
        <f>IF(B31&lt;='VALOR POR PL'!$P$5,'CP RESUMO'!AD78,"")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HISTORICOS'!AE36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RESUMO'!AE36</f>
        <v/>
      </c>
      <c r="N32" s="130">
        <f>MAX(0,M32-M31)</f>
        <v/>
      </c>
      <c r="O32" s="129">
        <f>IF(B32&lt;='VALOR POR PL'!$P$5,'CP RESUMO'!AE78,"")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HISTORICOS'!AF36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RESUMO'!AF36</f>
        <v/>
      </c>
      <c r="N33" s="130">
        <f>MAX(0,M33-M32)</f>
        <v/>
      </c>
      <c r="O33" s="129">
        <f>IF(B33&lt;='VALOR POR PL'!$P$5,'CP RESUMO'!AF78,"")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HISTORICOS'!AG36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RESUMO'!AG36</f>
        <v/>
      </c>
      <c r="N34" s="130">
        <f>MAX(0,M34-M33)</f>
        <v/>
      </c>
      <c r="O34" s="129">
        <f>IF(B34&lt;='VALOR POR PL'!$P$5,'CP RESUMO'!AG78,"")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HISTORICOS'!AH36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RESUMO'!AH36</f>
        <v/>
      </c>
      <c r="N35" s="130">
        <f>MAX(0,M35-M34)</f>
        <v/>
      </c>
      <c r="O35" s="129">
        <f>IF(B35&lt;='VALOR POR PL'!$P$5,'CP RESUMO'!AH78,"")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HISTORICOS'!AI36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RESUMO'!AI36</f>
        <v/>
      </c>
      <c r="N36" s="130">
        <f>MAX(0,M36-M35)</f>
        <v/>
      </c>
      <c r="O36" s="129">
        <f>IF(B36&lt;='VALOR POR PL'!$P$5,'CP RESUMO'!AI78,"")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HISTORICOS'!AJ36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RESUMO'!AJ36</f>
        <v/>
      </c>
      <c r="N37" s="130">
        <f>MAX(0,M37-M36)</f>
        <v/>
      </c>
      <c r="O37" s="129">
        <f>IF(B37&lt;='VALOR POR PL'!$P$5,'CP RESUMO'!AJ78,"")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HISTORICOS'!AK36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124648.41</v>
      </c>
      <c r="M38" s="129">
        <f>'CP RESUMO'!AK36</f>
        <v/>
      </c>
      <c r="N38" s="130">
        <f>MAX(0,M38-M37)</f>
        <v/>
      </c>
      <c r="O38" s="129">
        <f>IF(B38&lt;='VALOR POR PL'!$P$5,'CP RESUMO'!AK78,"")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HISTORICOS'!AL36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342516.77</v>
      </c>
      <c r="M39" s="129">
        <f>'CP RESUMO'!AL36</f>
        <v/>
      </c>
      <c r="N39" s="130">
        <f>MAX(0,M39-M38)</f>
        <v/>
      </c>
      <c r="O39" s="129">
        <f>IF(B39&lt;='VALOR POR PL'!$P$5,'CP RESUMO'!AL78,"")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HISTORICOS'!AM36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420821.54</v>
      </c>
      <c r="M40" s="129">
        <f>'CP RESUMO'!AM36</f>
        <v/>
      </c>
      <c r="N40" s="130">
        <f>MAX(0,M40-M39)</f>
        <v/>
      </c>
      <c r="O40" s="129">
        <f>IF(B40&lt;='VALOR POR PL'!$P$5,'CP RESUMO'!AM78,"")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HISTORICOS'!AN36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361160.76</v>
      </c>
      <c r="M41" s="129">
        <f>'CP RESUMO'!AN36</f>
        <v/>
      </c>
      <c r="N41" s="130">
        <f>MAX(0,M41-M40)</f>
        <v/>
      </c>
      <c r="O41" s="129">
        <f>IF(B41&lt;='VALOR POR PL'!$P$5,'CP RESUMO'!AN78,"")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HISTORICOS'!AO36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278594.51</v>
      </c>
      <c r="M42" s="129">
        <f>'CP RESUMO'!AO36</f>
        <v/>
      </c>
      <c r="N42" s="130">
        <f>MAX(0,M42-M41)</f>
        <v/>
      </c>
      <c r="O42" s="129">
        <f>IF(B42&lt;='VALOR POR PL'!$P$5,'CP RESUMO'!AO78,"")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HISTORICOS'!AP36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267408.12</v>
      </c>
      <c r="M43" s="129">
        <f>'CP RESUMO'!AP36</f>
        <v/>
      </c>
      <c r="N43" s="130">
        <f>MAX(0,M43-M42)</f>
        <v/>
      </c>
      <c r="O43" s="129">
        <f>IF(B43&lt;='VALOR POR PL'!$P$5,'CP RESUMO'!AP78,"")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HISTORICOS'!AQ36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422419.6</v>
      </c>
      <c r="M44" s="129">
        <f>'CP RESUMO'!AQ36</f>
        <v/>
      </c>
      <c r="N44" s="130">
        <f>MAX(0,M44-M43)</f>
        <v/>
      </c>
      <c r="O44" s="129">
        <f>IF(B44&lt;='VALOR POR PL'!$P$5,'CP RESUMO'!AQ78,"")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HISTORICOS'!AR36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359562.71</v>
      </c>
      <c r="M45" s="129">
        <f>'CP RESUMO'!AR36</f>
        <v/>
      </c>
      <c r="N45" s="130">
        <f>MAX(0,M45-M44)</f>
        <v/>
      </c>
      <c r="O45" s="129">
        <f>IF(B45&lt;='VALOR POR PL'!$P$5,'CP RESUMO'!AR78,"")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HISTORICOS'!AS36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299369.25</v>
      </c>
      <c r="M46" s="129">
        <f>'CP RESUMO'!AS36</f>
        <v/>
      </c>
      <c r="N46" s="130">
        <f>MAX(0,M46-M45)</f>
        <v/>
      </c>
      <c r="O46" s="129">
        <f>IF(B46&lt;='VALOR POR PL'!$P$5,'CP RESUMO'!AS78,"")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HISTORICOS'!AT36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266342.75</v>
      </c>
      <c r="M47" s="129">
        <f>'CP RESUMO'!AT36</f>
        <v/>
      </c>
      <c r="N47" s="130">
        <f>MAX(0,M47-M46)</f>
        <v/>
      </c>
      <c r="O47" s="129">
        <f>IF(B47&lt;='VALOR POR PL'!$P$5,'CP RESUMO'!AT78,"")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HISTORICOS'!AU36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314817.13</v>
      </c>
      <c r="M48" s="129">
        <f>'CP RESUMO'!AU36</f>
        <v/>
      </c>
      <c r="N48" s="130">
        <f>MAX(0,M48-M47)</f>
        <v/>
      </c>
      <c r="O48" s="129">
        <f>IF(B48&lt;='VALOR POR PL'!$P$5,'CP RESUMO'!AU78,"")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HISTORICOS'!AV36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406971.72</v>
      </c>
      <c r="M49" s="129">
        <f>'CP RESUMO'!AV36</f>
        <v/>
      </c>
      <c r="N49" s="130">
        <f>MAX(0,M49-M48)</f>
        <v/>
      </c>
      <c r="O49" s="129">
        <f>IF(B49&lt;='VALOR POR PL'!$P$5,'CP RESUMO'!AV78,"")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HISTORICOS'!AW36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621643.97</v>
      </c>
      <c r="M50" s="129">
        <f>'CP RESUMO'!AW36</f>
        <v/>
      </c>
      <c r="N50" s="130">
        <f>MAX(0,M50-M49)</f>
        <v/>
      </c>
      <c r="O50" s="129">
        <f>IF(B50&lt;='VALOR POR PL'!$P$5,'CP RESUMO'!AW78,"")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HISTORICOS'!AX36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275931.09</v>
      </c>
      <c r="M51" s="129">
        <f>'CP RESUMO'!AX36</f>
        <v/>
      </c>
      <c r="N51" s="130">
        <f>MAX(0,M51-M50)</f>
        <v/>
      </c>
      <c r="O51" s="129">
        <f>IF(B51&lt;='VALOR POR PL'!$P$5,'CP RESUMO'!AX78,"")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HISTORICOS'!AY36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254090.98</v>
      </c>
      <c r="M52" s="129">
        <f>'CP RESUMO'!AY36</f>
        <v/>
      </c>
      <c r="N52" s="130">
        <f>MAX(0,M52-M51)</f>
        <v/>
      </c>
      <c r="O52" s="129">
        <f>IF(B52&lt;='VALOR POR PL'!$P$5,'CP RESUMO'!AY78,"")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HISTORICOS'!AZ36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176851.58</v>
      </c>
      <c r="M53" s="129">
        <f>'CP RESUMO'!AZ36</f>
        <v/>
      </c>
      <c r="N53" s="130">
        <f>MAX(0,M53-M52)</f>
        <v/>
      </c>
      <c r="O53" s="129">
        <f>IF(B53&lt;='VALOR POR PL'!$P$5,'CP RESUMO'!AZ78,"")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HISTORICOS'!BA36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113994.7</v>
      </c>
      <c r="M54" s="129">
        <f>'CP RESUMO'!BA36</f>
        <v/>
      </c>
      <c r="N54" s="130">
        <f>MAX(0,M54-M53)</f>
        <v/>
      </c>
      <c r="O54" s="129">
        <f>IF(B54&lt;='VALOR POR PL'!$P$5,'CP RESUMO'!BA78,"")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HISTORICOS'!BB36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10653.71</v>
      </c>
      <c r="M55" s="129">
        <f>'CP RESUMO'!BB36</f>
        <v/>
      </c>
      <c r="N55" s="130">
        <f>MAX(0,M55-M54)</f>
        <v/>
      </c>
      <c r="O55" s="129">
        <f>IF(B55&lt;='VALOR POR PL'!$P$5,'CP RESUMO'!BB78,"")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HISTORICOS'!BC36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9055.65</v>
      </c>
      <c r="M56" s="129">
        <f>'CP RESUMO'!BC36</f>
        <v/>
      </c>
      <c r="N56" s="130">
        <f>MAX(0,M56-M55)</f>
        <v/>
      </c>
      <c r="O56" s="129">
        <f>IF(B56&lt;='VALOR POR PL'!$P$5,'CP RESUMO'!BC78,"")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HISTORICOS'!BD36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RESUMO'!BD36</f>
        <v/>
      </c>
      <c r="N57" s="130">
        <f>MAX(0,M57-M56)</f>
        <v/>
      </c>
      <c r="O57" s="129">
        <f>IF(B57&lt;='VALOR POR PL'!$P$5,'CP RESUMO'!BD78,"")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HISTORICOS'!BE36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RESUMO'!BE36</f>
        <v/>
      </c>
      <c r="N58" s="130">
        <f>MAX(0,M58-M57)</f>
        <v/>
      </c>
      <c r="O58" s="129">
        <f>IF(B58&lt;='VALOR POR PL'!$P$5,'CP RESUMO'!BE78,"")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HISTORICOS'!BF36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RESUMO'!BF36</f>
        <v/>
      </c>
      <c r="N59" s="130">
        <f>MAX(0,M59-M58)</f>
        <v/>
      </c>
      <c r="O59" s="129">
        <f>IF(B59&lt;='VALOR POR PL'!$P$5,'CP RESUMO'!BF78,"")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HISTORICOS'!BG36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RESUMO'!BG36</f>
        <v/>
      </c>
      <c r="N60" s="130">
        <f>MAX(0,M60-M59)</f>
        <v/>
      </c>
      <c r="O60" s="129">
        <f>IF(B60&lt;='VALOR POR PL'!$P$5,'CP RESUMO'!BG78,"")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HISTORICOS'!BH36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RESUMO'!BH36</f>
        <v/>
      </c>
      <c r="N61" s="130">
        <f>MAX(0,M61-M60)</f>
        <v/>
      </c>
      <c r="O61" s="129">
        <f>IF(B61&lt;='VALOR POR PL'!$P$5,'CP RESUMO'!BH78,"")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HISTORICOS'!BI36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RESUMO'!BI36</f>
        <v/>
      </c>
      <c r="N62" s="130">
        <f>MAX(0,M62-M61)</f>
        <v/>
      </c>
      <c r="O62" s="129">
        <f>IF(B62&lt;='VALOR POR PL'!$P$5,'CP RESUMO'!BI78,"")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HISTORICOS'!BJ36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RESUMO'!BJ36</f>
        <v/>
      </c>
      <c r="N63" s="130">
        <f>MAX(0,M63-M62)</f>
        <v/>
      </c>
      <c r="O63" s="129">
        <f>IF(B63&lt;='VALOR POR PL'!$P$5,'CP RESUMO'!BJ78,"")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HISTORICOS'!BK36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RESUMO'!BK36</f>
        <v/>
      </c>
      <c r="N64" s="130">
        <f>MAX(0,M64-M63)</f>
        <v/>
      </c>
      <c r="O64" s="129">
        <f>IF(B64&lt;='VALOR POR PL'!$P$5,'CP RESUMO'!BK78,"")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HISTORICOS'!BL36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RESUMO'!BL36</f>
        <v/>
      </c>
      <c r="N65" s="130">
        <f>MAX(0,M65-M64)</f>
        <v/>
      </c>
      <c r="O65" s="129">
        <f>IF(B65&lt;='VALOR POR PL'!$P$5,'CP RESUMO'!BL78,"")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HISTORICOS'!BM36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RESUMO'!BM36</f>
        <v/>
      </c>
      <c r="N66" s="130">
        <f>MAX(0,M66-M65)</f>
        <v/>
      </c>
      <c r="O66" s="129">
        <f>IF(B66&lt;='VALOR POR PL'!$P$5,'CP RESUMO'!BM78,"")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HISTORICOS'!BN36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RESUMO'!BN36</f>
        <v/>
      </c>
      <c r="N67" s="130">
        <f>MAX(0,M67-M66)</f>
        <v/>
      </c>
      <c r="O67" s="129">
        <f>IF(B67&lt;='VALOR POR PL'!$P$5,'CP RESUMO'!BN78,"")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HISTORICOS'!BO36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RESUMO'!BO36</f>
        <v/>
      </c>
      <c r="N68" s="130">
        <f>MAX(0,M68-M67)</f>
        <v/>
      </c>
      <c r="O68" s="129">
        <f>IF(B68&lt;='VALOR POR PL'!$P$5,'CP RESUMO'!BO78,"")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HISTORICOS'!BP36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RESUMO'!BP36</f>
        <v/>
      </c>
      <c r="N69" s="130">
        <f>MAX(0,M69-M68)</f>
        <v/>
      </c>
      <c r="O69" s="129">
        <f>IF(B69&lt;='VALOR POR PL'!$P$5,'CP RESUMO'!BP78,"")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HISTORICOS'!BQ36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RESUMO'!BQ36</f>
        <v/>
      </c>
      <c r="N70" s="130">
        <f>MAX(0,M70-M69)</f>
        <v/>
      </c>
      <c r="O70" s="129">
        <f>IF(B70&lt;='VALOR POR PL'!$P$5,'CP RESUMO'!BQ78,"")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HISTORICOS'!BR36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RESUMO'!BR36</f>
        <v/>
      </c>
      <c r="N71" s="130">
        <f>MAX(0,M71-M70)</f>
        <v/>
      </c>
      <c r="O71" s="129">
        <f>IF(B71&lt;='VALOR POR PL'!$P$5,'CP RESUMO'!BR78,"")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HISTORICOS'!BS36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RESUMO'!BS36</f>
        <v/>
      </c>
      <c r="N72" s="130">
        <f>MAX(0,M72-M71)</f>
        <v/>
      </c>
      <c r="O72" s="129">
        <f>IF(B72&lt;='VALOR POR PL'!$P$5,'CP RESUMO'!BS78,"")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HISTORICOS'!BT36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RESUMO'!BT36</f>
        <v/>
      </c>
      <c r="N73" s="130">
        <f>MAX(0,M73-M72)</f>
        <v/>
      </c>
      <c r="O73" s="129">
        <f>IF(B73&lt;='VALOR POR PL'!$P$5,'CP RESUMO'!BT78,"")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HISTORICOS'!BU36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RESUMO'!BU36</f>
        <v/>
      </c>
      <c r="N74" s="130">
        <f>MAX(0,M74-M73)</f>
        <v/>
      </c>
      <c r="O74" s="129">
        <f>IF(B74&lt;='VALOR POR PL'!$P$5,'CP RESUMO'!BU78,"")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HISTORICOS'!BV36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RESUMO'!BV36</f>
        <v/>
      </c>
      <c r="N75" s="130">
        <f>MAX(0,M75-M74)</f>
        <v/>
      </c>
      <c r="O75" s="129">
        <f>IF(B75&lt;='VALOR POR PL'!$P$5,'CP RESUMO'!BV78,"")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HISTORICOS'!BW36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RESUMO'!BW36</f>
        <v/>
      </c>
      <c r="N76" s="130">
        <f>MAX(0,M76-M75)</f>
        <v/>
      </c>
      <c r="O76" s="129">
        <f>IF(B76&lt;='VALOR POR PL'!$P$5,'CP RESUMO'!BW78,"")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HISTORICOS'!D37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PL'!F43</f>
        <v/>
      </c>
      <c r="K5" s="62">
        <f>'VALOR POR PL'!G43</f>
        <v/>
      </c>
      <c r="M5" s="129">
        <f>'CP RESUMO'!D37</f>
        <v/>
      </c>
      <c r="N5" s="130" t="n">
        <v>0</v>
      </c>
      <c r="O5" s="129">
        <f>IF(B5&lt;='VALOR POR PL'!$P$5,'CP RESUMO'!D79,"")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HISTORICOS'!E37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RESUMO'!E37</f>
        <v/>
      </c>
      <c r="N6" s="130">
        <f>MAX(0,M6-M5)</f>
        <v/>
      </c>
      <c r="O6" s="129">
        <f>IF(B6&lt;='VALOR POR PL'!$P$5,'CP RESUMO'!E79,"")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HISTORICOS'!F37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PL'!L43</f>
        <v/>
      </c>
      <c r="M7" s="129">
        <f>'CP RESUMO'!F37</f>
        <v/>
      </c>
      <c r="N7" s="130">
        <f>MAX(0,M7-M6)</f>
        <v/>
      </c>
      <c r="O7" s="129">
        <f>IF(B7&lt;='VALOR POR PL'!$P$5,'CP RESUMO'!F79,"")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HISTORICOS'!G37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RESUMO'!G37</f>
        <v/>
      </c>
      <c r="N8" s="130">
        <f>MAX(0,M8-M7)</f>
        <v/>
      </c>
      <c r="O8" s="129">
        <f>IF(B8&lt;='VALOR POR PL'!$P$5,'CP RESUMO'!G79,"")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HISTORICOS'!H37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RESUMO'!H37</f>
        <v/>
      </c>
      <c r="N9" s="130">
        <f>MAX(0,M9-M8)</f>
        <v/>
      </c>
      <c r="O9" s="129">
        <f>IF(B9&lt;='VALOR POR PL'!$P$5,'CP RESUMO'!H79,"")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HISTORICOS'!I37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RESUMO'!I37</f>
        <v/>
      </c>
      <c r="N10" s="130">
        <f>MAX(0,M10-M9)</f>
        <v/>
      </c>
      <c r="O10" s="129">
        <f>IF(B10&lt;='VALOR POR PL'!$P$5,'CP RESUMO'!I79,"")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HISTORICOS'!J37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RESUMO'!J37</f>
        <v/>
      </c>
      <c r="N11" s="130">
        <f>MAX(0,M11-M10)</f>
        <v/>
      </c>
      <c r="O11" s="129">
        <f>IF(B11&lt;='VALOR POR PL'!$P$5,'CP RESUMO'!J79,"")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HISTORICOS'!K37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RESUMO'!K37</f>
        <v/>
      </c>
      <c r="N12" s="130">
        <f>MAX(0,M12-M11)</f>
        <v/>
      </c>
      <c r="O12" s="129">
        <f>IF(B12&lt;='VALOR POR PL'!$P$5,'CP RESUMO'!K79,"")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HISTORICOS'!L37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PL'!I43</f>
        <v/>
      </c>
      <c r="M13" s="129">
        <f>'CP RESUMO'!L37</f>
        <v/>
      </c>
      <c r="N13" s="130">
        <f>MAX(0,M13-M12)</f>
        <v/>
      </c>
      <c r="O13" s="129">
        <f>IF(B13&lt;='VALOR POR PL'!$P$5,'CP RESUMO'!L79,"")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HISTORICOS'!M37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RESUMO'!$D$79:$BW$79,MATCH('VALOR POR PL'!$P$5,'CP RESUMO'!$D$4:$BW$4,0))/100,0)</f>
        <v/>
      </c>
      <c r="M14" s="129">
        <f>'CP RESUMO'!M37</f>
        <v/>
      </c>
      <c r="N14" s="130">
        <f>MAX(0,M14-M13)</f>
        <v/>
      </c>
      <c r="O14" s="129">
        <f>IF(B14&lt;='VALOR POR PL'!$P$5,'CP RESUMO'!M79,"")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HISTORICOS'!N37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RESUMO'!N37</f>
        <v/>
      </c>
      <c r="N15" s="130">
        <f>MAX(0,M15-M14)</f>
        <v/>
      </c>
      <c r="O15" s="129">
        <f>IF(B15&lt;='VALOR POR PL'!$P$5,'CP RESUMO'!N79,"")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HISTORICOS'!O37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RESUMO'!O37</f>
        <v/>
      </c>
      <c r="N16" s="130">
        <f>MAX(0,M16-M15)</f>
        <v/>
      </c>
      <c r="O16" s="129">
        <f>IF(B16&lt;='VALOR POR PL'!$P$5,'CP RESUMO'!O79,"")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HISTORICOS'!P37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RESUMO'!P37</f>
        <v/>
      </c>
      <c r="N17" s="130">
        <f>MAX(0,M17-M16)</f>
        <v/>
      </c>
      <c r="O17" s="129">
        <f>IF(B17&lt;='VALOR POR PL'!$P$5,'CP RESUMO'!P79,"")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HISTORICOS'!Q37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RESUMO'!Q37</f>
        <v/>
      </c>
      <c r="N18" s="130">
        <f>MAX(0,M18-M17)</f>
        <v/>
      </c>
      <c r="O18" s="129">
        <f>IF(B18&lt;='VALOR POR PL'!$P$5,'CP RESUMO'!Q79,"")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HISTORICOS'!R37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RESUMO'!R37</f>
        <v/>
      </c>
      <c r="N19" s="130">
        <f>MAX(0,M19-M18)</f>
        <v/>
      </c>
      <c r="O19" s="129">
        <f>IF(B19&lt;='VALOR POR PL'!$P$5,'CP RESUMO'!R79,"")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HISTORICOS'!S37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RESUMO'!S37</f>
        <v/>
      </c>
      <c r="N20" s="130">
        <f>MAX(0,M20-M19)</f>
        <v/>
      </c>
      <c r="O20" s="129">
        <f>IF(B20&lt;='VALOR POR PL'!$P$5,'CP RESUMO'!S79,"")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HISTORICOS'!T37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RESUMO'!T37</f>
        <v/>
      </c>
      <c r="N21" s="130">
        <f>MAX(0,M21-M20)</f>
        <v/>
      </c>
      <c r="O21" s="129">
        <f>IF(B21&lt;='VALOR POR PL'!$P$5,'CP RESUMO'!T79,"")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HISTORICOS'!U37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RESUMO'!U37</f>
        <v/>
      </c>
      <c r="N22" s="130">
        <f>MAX(0,M22-M21)</f>
        <v/>
      </c>
      <c r="O22" s="129">
        <f>IF(B22&lt;='VALOR POR PL'!$P$5,'CP RESUMO'!U79,"")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HISTORICOS'!V37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RESUMO'!V37</f>
        <v/>
      </c>
      <c r="N23" s="130">
        <f>MAX(0,M23-M22)</f>
        <v/>
      </c>
      <c r="O23" s="129">
        <f>IF(B23&lt;='VALOR POR PL'!$P$5,'CP RESUMO'!V79,"")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HISTORICOS'!W37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RESUMO'!W37</f>
        <v/>
      </c>
      <c r="N24" s="130">
        <f>MAX(0,M24-M23)</f>
        <v/>
      </c>
      <c r="O24" s="129">
        <f>IF(B24&lt;='VALOR POR PL'!$P$5,'CP RESUMO'!W79,"")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HISTORICOS'!X37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RESUMO'!X37</f>
        <v/>
      </c>
      <c r="N25" s="130">
        <f>MAX(0,M25-M24)</f>
        <v/>
      </c>
      <c r="O25" s="129">
        <f>IF(B25&lt;='VALOR POR PL'!$P$5,'CP RESUMO'!X79,"")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HISTORICOS'!Y37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RESUMO'!Y37</f>
        <v/>
      </c>
      <c r="N26" s="130">
        <f>MAX(0,M26-M25)</f>
        <v/>
      </c>
      <c r="O26" s="129">
        <f>IF(B26&lt;='VALOR POR PL'!$P$5,'CP RESUMO'!Y79,"")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HISTORICOS'!Z37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RESUMO'!Z37</f>
        <v/>
      </c>
      <c r="N27" s="130">
        <f>MAX(0,M27-M26)</f>
        <v/>
      </c>
      <c r="O27" s="129">
        <f>IF(B27&lt;='VALOR POR PL'!$P$5,'CP RESUMO'!Z79,"")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HISTORICOS'!AA37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RESUMO'!AA37</f>
        <v/>
      </c>
      <c r="N28" s="130">
        <f>MAX(0,M28-M27)</f>
        <v/>
      </c>
      <c r="O28" s="129">
        <f>IF(B28&lt;='VALOR POR PL'!$P$5,'CP RESUMO'!AA79,"")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HISTORICOS'!AB37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RESUMO'!AB37</f>
        <v/>
      </c>
      <c r="N29" s="130">
        <f>MAX(0,M29-M28)</f>
        <v/>
      </c>
      <c r="O29" s="129">
        <f>IF(B29&lt;='VALOR POR PL'!$P$5,'CP RESUMO'!AB79,"")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HISTORICOS'!AC37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RESUMO'!AC37</f>
        <v/>
      </c>
      <c r="N30" s="130">
        <f>MAX(0,M30-M29)</f>
        <v/>
      </c>
      <c r="O30" s="129">
        <f>IF(B30&lt;='VALOR POR PL'!$P$5,'CP RESUMO'!AC79,"")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HISTORICOS'!AD37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RESUMO'!AD37</f>
        <v/>
      </c>
      <c r="N31" s="130">
        <f>MAX(0,M31-M30)</f>
        <v/>
      </c>
      <c r="O31" s="129">
        <f>IF(B31&lt;='VALOR POR PL'!$P$5,'CP RESUMO'!AD79,"")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HISTORICOS'!AE37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RESUMO'!AE37</f>
        <v/>
      </c>
      <c r="N32" s="130">
        <f>MAX(0,M32-M31)</f>
        <v/>
      </c>
      <c r="O32" s="129">
        <f>IF(B32&lt;='VALOR POR PL'!$P$5,'CP RESUMO'!AE79,"")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HISTORICOS'!AF37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RESUMO'!AF37</f>
        <v/>
      </c>
      <c r="N33" s="130">
        <f>MAX(0,M33-M32)</f>
        <v/>
      </c>
      <c r="O33" s="129">
        <f>IF(B33&lt;='VALOR POR PL'!$P$5,'CP RESUMO'!AF79,"")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HISTORICOS'!AG37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RESUMO'!AG37</f>
        <v/>
      </c>
      <c r="N34" s="130">
        <f>MAX(0,M34-M33)</f>
        <v/>
      </c>
      <c r="O34" s="129">
        <f>IF(B34&lt;='VALOR POR PL'!$P$5,'CP RESUMO'!AG79,"")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HISTORICOS'!AH37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RESUMO'!AH37</f>
        <v/>
      </c>
      <c r="N35" s="130">
        <f>MAX(0,M35-M34)</f>
        <v/>
      </c>
      <c r="O35" s="129">
        <f>IF(B35&lt;='VALOR POR PL'!$P$5,'CP RESUMO'!AH79,"")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HISTORICOS'!AI37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RESUMO'!AI37</f>
        <v/>
      </c>
      <c r="N36" s="130">
        <f>MAX(0,M36-M35)</f>
        <v/>
      </c>
      <c r="O36" s="129">
        <f>IF(B36&lt;='VALOR POR PL'!$P$5,'CP RESUMO'!AI79,"")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HISTORICOS'!AJ37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RESUMO'!AJ37</f>
        <v/>
      </c>
      <c r="N37" s="130">
        <f>MAX(0,M37-M36)</f>
        <v/>
      </c>
      <c r="O37" s="129">
        <f>IF(B37&lt;='VALOR POR PL'!$P$5,'CP RESUMO'!AJ79,"")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HISTORICOS'!AK37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RESUMO'!AK37</f>
        <v/>
      </c>
      <c r="N38" s="130">
        <f>MAX(0,M38-M37)</f>
        <v/>
      </c>
      <c r="O38" s="129">
        <f>IF(B38&lt;='VALOR POR PL'!$P$5,'CP RESUMO'!AK79,"")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HISTORICOS'!AL37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RESUMO'!AL37</f>
        <v/>
      </c>
      <c r="N39" s="130">
        <f>MAX(0,M39-M38)</f>
        <v/>
      </c>
      <c r="O39" s="129">
        <f>IF(B39&lt;='VALOR POR PL'!$P$5,'CP RESUMO'!AL79,"")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HISTORICOS'!AM37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69290.32000000001</v>
      </c>
      <c r="M40" s="129">
        <f>'CP RESUMO'!AM37</f>
        <v/>
      </c>
      <c r="N40" s="130">
        <f>MAX(0,M40-M39)</f>
        <v/>
      </c>
      <c r="O40" s="129">
        <f>IF(B40&lt;='VALOR POR PL'!$P$5,'CP RESUMO'!AM79,"")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HISTORICOS'!AN37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132168.16</v>
      </c>
      <c r="M41" s="129">
        <f>'CP RESUMO'!AN37</f>
        <v/>
      </c>
      <c r="N41" s="130">
        <f>MAX(0,M41-M40)</f>
        <v/>
      </c>
      <c r="O41" s="129">
        <f>IF(B41&lt;='VALOR POR PL'!$P$5,'CP RESUMO'!AN79,"")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HISTORICOS'!AO37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113999.49</v>
      </c>
      <c r="M42" s="129">
        <f>'CP RESUMO'!AO37</f>
        <v/>
      </c>
      <c r="N42" s="130">
        <f>MAX(0,M42-M41)</f>
        <v/>
      </c>
      <c r="O42" s="129">
        <f>IF(B42&lt;='VALOR POR PL'!$P$5,'CP RESUMO'!AO79,"")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HISTORICOS'!AP37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155680.56</v>
      </c>
      <c r="M43" s="129">
        <f>'CP RESUMO'!AP37</f>
        <v/>
      </c>
      <c r="N43" s="130">
        <f>MAX(0,M43-M42)</f>
        <v/>
      </c>
      <c r="O43" s="129">
        <f>IF(B43&lt;='VALOR POR PL'!$P$5,'CP RESUMO'!AP79,"")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HISTORICOS'!AQ37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148199.34</v>
      </c>
      <c r="M44" s="129">
        <f>'CP RESUMO'!AQ37</f>
        <v/>
      </c>
      <c r="N44" s="130">
        <f>MAX(0,M44-M43)</f>
        <v/>
      </c>
      <c r="O44" s="129">
        <f>IF(B44&lt;='VALOR POR PL'!$P$5,'CP RESUMO'!AQ79,"")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HISTORICOS'!AR37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290876.84</v>
      </c>
      <c r="M45" s="129">
        <f>'CP RESUMO'!AR37</f>
        <v/>
      </c>
      <c r="N45" s="130">
        <f>MAX(0,M45-M44)</f>
        <v/>
      </c>
      <c r="O45" s="129">
        <f>IF(B45&lt;='VALOR POR PL'!$P$5,'CP RESUMO'!AR79,"")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HISTORICOS'!AS37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198252.25</v>
      </c>
      <c r="M46" s="129">
        <f>'CP RESUMO'!AS37</f>
        <v/>
      </c>
      <c r="N46" s="130">
        <f>MAX(0,M46-M45)</f>
        <v/>
      </c>
      <c r="O46" s="129">
        <f>IF(B46&lt;='VALOR POR PL'!$P$5,'CP RESUMO'!AS79,"")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HISTORICOS'!AT37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153008.7</v>
      </c>
      <c r="M47" s="129">
        <f>'CP RESUMO'!AT37</f>
        <v/>
      </c>
      <c r="N47" s="130">
        <f>MAX(0,M47-M46)</f>
        <v/>
      </c>
      <c r="O47" s="129">
        <f>IF(B47&lt;='VALOR POR PL'!$P$5,'CP RESUMO'!AT79,"")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HISTORICOS'!AU37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144814.98</v>
      </c>
      <c r="M48" s="129">
        <f>'CP RESUMO'!AU37</f>
        <v/>
      </c>
      <c r="N48" s="130">
        <f>MAX(0,M48-M47)</f>
        <v/>
      </c>
      <c r="O48" s="129">
        <f>IF(B48&lt;='VALOR POR PL'!$P$5,'CP RESUMO'!AU79,"")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HISTORICOS'!AV37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139827.51</v>
      </c>
      <c r="M49" s="129">
        <f>'CP RESUMO'!AV37</f>
        <v/>
      </c>
      <c r="N49" s="130">
        <f>MAX(0,M49-M48)</f>
        <v/>
      </c>
      <c r="O49" s="129">
        <f>IF(B49&lt;='VALOR POR PL'!$P$5,'CP RESUMO'!AV79,"")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HISTORICOS'!AW37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132524.41</v>
      </c>
      <c r="M50" s="129">
        <f>'CP RESUMO'!AW37</f>
        <v/>
      </c>
      <c r="N50" s="130">
        <f>MAX(0,M50-M49)</f>
        <v/>
      </c>
      <c r="O50" s="129">
        <f>IF(B50&lt;='VALOR POR PL'!$P$5,'CP RESUMO'!AW79,"")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HISTORICOS'!AX37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29746.74</v>
      </c>
      <c r="M51" s="129">
        <f>'CP RESUMO'!AX37</f>
        <v/>
      </c>
      <c r="N51" s="130">
        <f>MAX(0,M51-M50)</f>
        <v/>
      </c>
      <c r="O51" s="129">
        <f>IF(B51&lt;='VALOR POR PL'!$P$5,'CP RESUMO'!AX79,"")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HISTORICOS'!AY37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56643.5</v>
      </c>
      <c r="M52" s="129">
        <f>'CP RESUMO'!AY37</f>
        <v/>
      </c>
      <c r="N52" s="130">
        <f>MAX(0,M52-M51)</f>
        <v/>
      </c>
      <c r="O52" s="129">
        <f>IF(B52&lt;='VALOR POR PL'!$P$5,'CP RESUMO'!AY79,"")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HISTORICOS'!AZ37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16209.3</v>
      </c>
      <c r="M53" s="129">
        <f>'CP RESUMO'!AZ37</f>
        <v/>
      </c>
      <c r="N53" s="130">
        <f>MAX(0,M53-M52)</f>
        <v/>
      </c>
      <c r="O53" s="129">
        <f>IF(B53&lt;='VALOR POR PL'!$P$5,'CP RESUMO'!AZ79,"")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HISTORICOS'!BA37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RESUMO'!BA37</f>
        <v/>
      </c>
      <c r="N54" s="130">
        <f>MAX(0,M54-M53)</f>
        <v/>
      </c>
      <c r="O54" s="129">
        <f>IF(B54&lt;='VALOR POR PL'!$P$5,'CP RESUMO'!BA79,"")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HISTORICOS'!BB37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RESUMO'!BB37</f>
        <v/>
      </c>
      <c r="N55" s="130">
        <f>MAX(0,M55-M54)</f>
        <v/>
      </c>
      <c r="O55" s="129">
        <f>IF(B55&lt;='VALOR POR PL'!$P$5,'CP RESUMO'!BB79,"")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HISTORICOS'!BC37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RESUMO'!BC37</f>
        <v/>
      </c>
      <c r="N56" s="130">
        <f>MAX(0,M56-M55)</f>
        <v/>
      </c>
      <c r="O56" s="129">
        <f>IF(B56&lt;='VALOR POR PL'!$P$5,'CP RESUMO'!BC79,"")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HISTORICOS'!BD37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RESUMO'!BD37</f>
        <v/>
      </c>
      <c r="N57" s="130">
        <f>MAX(0,M57-M56)</f>
        <v/>
      </c>
      <c r="O57" s="129">
        <f>IF(B57&lt;='VALOR POR PL'!$P$5,'CP RESUMO'!BD79,"")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HISTORICOS'!BE37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RESUMO'!BE37</f>
        <v/>
      </c>
      <c r="N58" s="130">
        <f>MAX(0,M58-M57)</f>
        <v/>
      </c>
      <c r="O58" s="129">
        <f>IF(B58&lt;='VALOR POR PL'!$P$5,'CP RESUMO'!BE79,"")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HISTORICOS'!BF37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RESUMO'!BF37</f>
        <v/>
      </c>
      <c r="N59" s="130">
        <f>MAX(0,M59-M58)</f>
        <v/>
      </c>
      <c r="O59" s="129">
        <f>IF(B59&lt;='VALOR POR PL'!$P$5,'CP RESUMO'!BF79,"")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HISTORICOS'!BG37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RESUMO'!BG37</f>
        <v/>
      </c>
      <c r="N60" s="130">
        <f>MAX(0,M60-M59)</f>
        <v/>
      </c>
      <c r="O60" s="129">
        <f>IF(B60&lt;='VALOR POR PL'!$P$5,'CP RESUMO'!BG79,"")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HISTORICOS'!BH37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RESUMO'!BH37</f>
        <v/>
      </c>
      <c r="N61" s="130">
        <f>MAX(0,M61-M60)</f>
        <v/>
      </c>
      <c r="O61" s="129">
        <f>IF(B61&lt;='VALOR POR PL'!$P$5,'CP RESUMO'!BH79,"")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HISTORICOS'!BI37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RESUMO'!BI37</f>
        <v/>
      </c>
      <c r="N62" s="130">
        <f>MAX(0,M62-M61)</f>
        <v/>
      </c>
      <c r="O62" s="129">
        <f>IF(B62&lt;='VALOR POR PL'!$P$5,'CP RESUMO'!BI79,"")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HISTORICOS'!BJ37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RESUMO'!BJ37</f>
        <v/>
      </c>
      <c r="N63" s="130">
        <f>MAX(0,M63-M62)</f>
        <v/>
      </c>
      <c r="O63" s="129">
        <f>IF(B63&lt;='VALOR POR PL'!$P$5,'CP RESUMO'!BJ79,"")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HISTORICOS'!BK37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RESUMO'!BK37</f>
        <v/>
      </c>
      <c r="N64" s="130">
        <f>MAX(0,M64-M63)</f>
        <v/>
      </c>
      <c r="O64" s="129">
        <f>IF(B64&lt;='VALOR POR PL'!$P$5,'CP RESUMO'!BK79,"")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HISTORICOS'!BL37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RESUMO'!BL37</f>
        <v/>
      </c>
      <c r="N65" s="130">
        <f>MAX(0,M65-M64)</f>
        <v/>
      </c>
      <c r="O65" s="129">
        <f>IF(B65&lt;='VALOR POR PL'!$P$5,'CP RESUMO'!BL79,"")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HISTORICOS'!BM37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RESUMO'!BM37</f>
        <v/>
      </c>
      <c r="N66" s="130">
        <f>MAX(0,M66-M65)</f>
        <v/>
      </c>
      <c r="O66" s="129">
        <f>IF(B66&lt;='VALOR POR PL'!$P$5,'CP RESUMO'!BM79,"")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HISTORICOS'!BN37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RESUMO'!BN37</f>
        <v/>
      </c>
      <c r="N67" s="130">
        <f>MAX(0,M67-M66)</f>
        <v/>
      </c>
      <c r="O67" s="129">
        <f>IF(B67&lt;='VALOR POR PL'!$P$5,'CP RESUMO'!BN79,"")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HISTORICOS'!BO37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RESUMO'!BO37</f>
        <v/>
      </c>
      <c r="N68" s="130">
        <f>MAX(0,M68-M67)</f>
        <v/>
      </c>
      <c r="O68" s="129">
        <f>IF(B68&lt;='VALOR POR PL'!$P$5,'CP RESUMO'!BO79,"")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HISTORICOS'!BP37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RESUMO'!BP37</f>
        <v/>
      </c>
      <c r="N69" s="130">
        <f>MAX(0,M69-M68)</f>
        <v/>
      </c>
      <c r="O69" s="129">
        <f>IF(B69&lt;='VALOR POR PL'!$P$5,'CP RESUMO'!BP79,"")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HISTORICOS'!BQ37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RESUMO'!BQ37</f>
        <v/>
      </c>
      <c r="N70" s="130">
        <f>MAX(0,M70-M69)</f>
        <v/>
      </c>
      <c r="O70" s="129">
        <f>IF(B70&lt;='VALOR POR PL'!$P$5,'CP RESUMO'!BQ79,"")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HISTORICOS'!BR37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RESUMO'!BR37</f>
        <v/>
      </c>
      <c r="N71" s="130">
        <f>MAX(0,M71-M70)</f>
        <v/>
      </c>
      <c r="O71" s="129">
        <f>IF(B71&lt;='VALOR POR PL'!$P$5,'CP RESUMO'!BR79,"")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HISTORICOS'!BS37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RESUMO'!BS37</f>
        <v/>
      </c>
      <c r="N72" s="130">
        <f>MAX(0,M72-M71)</f>
        <v/>
      </c>
      <c r="O72" s="129">
        <f>IF(B72&lt;='VALOR POR PL'!$P$5,'CP RESUMO'!BS79,"")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HISTORICOS'!BT37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RESUMO'!BT37</f>
        <v/>
      </c>
      <c r="N73" s="130">
        <f>MAX(0,M73-M72)</f>
        <v/>
      </c>
      <c r="O73" s="129">
        <f>IF(B73&lt;='VALOR POR PL'!$P$5,'CP RESUMO'!BT79,"")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HISTORICOS'!BU37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RESUMO'!BU37</f>
        <v/>
      </c>
      <c r="N74" s="130">
        <f>MAX(0,M74-M73)</f>
        <v/>
      </c>
      <c r="O74" s="129">
        <f>IF(B74&lt;='VALOR POR PL'!$P$5,'CP RESUMO'!BU79,"")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HISTORICOS'!BV37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RESUMO'!BV37</f>
        <v/>
      </c>
      <c r="N75" s="130">
        <f>MAX(0,M75-M74)</f>
        <v/>
      </c>
      <c r="O75" s="129">
        <f>IF(B75&lt;='VALOR POR PL'!$P$5,'CP RESUMO'!BV79,"")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HISTORICOS'!BW37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RESUMO'!BW37</f>
        <v/>
      </c>
      <c r="N76" s="130">
        <f>MAX(0,M76-M75)</f>
        <v/>
      </c>
      <c r="O76" s="129">
        <f>IF(B76&lt;='VALOR POR PL'!$P$5,'CP RESUMO'!BW79,"")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0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HISTORICOS'!D38</f>
        <v/>
      </c>
      <c r="D5" s="49">
        <f>IF(B5&lt;='VALOR POR PL'!$P$5,0,IF($K$16="MDO PREVISION + MATERIAL PREMISSA",R5+U5,IF($K$17&gt;0,$K$18*P5/$K$17,0)))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PL'!F44</f>
        <v/>
      </c>
      <c r="K5" s="62">
        <f>'VALOR POR PL'!G44</f>
        <v/>
      </c>
      <c r="M5" s="129">
        <f>'CP RESUMO'!D38</f>
        <v/>
      </c>
      <c r="N5" s="130" t="n">
        <v>0</v>
      </c>
      <c r="O5" s="129">
        <f>IF(B5&lt;='VALOR POR PL'!$P$5,'CP RESUMO'!D80,"")</f>
        <v/>
      </c>
      <c r="P5" s="71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0">
        <f>(IF(AND(1+$K$33&gt;=1,1+$K$33&lt;=72),INDEX($N$5:$N$76,1+$K$33),0)+IF(AND(1+$K$34&gt;=1,1+$K$34&lt;=72),INDEX($N$5:$N$76,1+$K$34),0)+IF(AND(1+$K$35&gt;=1,1+$K$35&lt;=72),INDEX($N$5:$N$76,1+$K$35),0))/3</f>
        <v/>
      </c>
      <c r="T5" s="130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31">
        <f>DATE(YEAR(B5),MONTH(B5)+1,1)</f>
        <v/>
      </c>
      <c r="C6" s="62">
        <f>'DADOS HISTORICOS'!E38</f>
        <v/>
      </c>
      <c r="D6" s="49">
        <f>IF(B6&lt;='VALOR POR PL'!$P$5,0,IF($K$16="MDO PREVISION + MATERIAL PREMISSA",R6+U6,IF($K$17&gt;0,$K$18*P6/$K$17,0)))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RESUMO'!E38</f>
        <v/>
      </c>
      <c r="N6" s="130">
        <f>MAX(0,M6-M5)</f>
        <v/>
      </c>
      <c r="O6" s="129">
        <f>IF(B6&lt;='VALOR POR PL'!$P$5,'CP RESUMO'!E80,"")</f>
        <v/>
      </c>
      <c r="P6" s="71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0">
        <f>(IF(AND(2+$K$33&gt;=1,2+$K$33&lt;=72),INDEX($N$5:$N$76,2+$K$33),0)+IF(AND(2+$K$34&gt;=1,2+$K$34&lt;=72),INDEX($N$5:$N$76,2+$K$34),0)+IF(AND(2+$K$35&gt;=1,2+$K$35&lt;=72),INDEX($N$5:$N$76,2+$K$35),0))/3</f>
        <v/>
      </c>
      <c r="T6" s="130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31">
        <f>DATE(YEAR(B6),MONTH(B6)+1,1)</f>
        <v/>
      </c>
      <c r="C7" s="62">
        <f>'DADOS HISTORICOS'!F38</f>
        <v/>
      </c>
      <c r="D7" s="49">
        <f>IF(B7&lt;='VALOR POR PL'!$P$5,0,IF($K$16="MDO PREVISION + MATERIAL PREMISSA",R7+U7,IF($K$17&gt;0,$K$18*P7/$K$17,0)))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PL'!L44</f>
        <v/>
      </c>
      <c r="M7" s="129">
        <f>'CP RESUMO'!F38</f>
        <v/>
      </c>
      <c r="N7" s="130">
        <f>MAX(0,M7-M6)</f>
        <v/>
      </c>
      <c r="O7" s="129">
        <f>IF(B7&lt;='VALOR POR PL'!$P$5,'CP RESUMO'!F80,"")</f>
        <v/>
      </c>
      <c r="P7" s="71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0">
        <f>(IF(AND(3+$K$33&gt;=1,3+$K$33&lt;=72),INDEX($N$5:$N$76,3+$K$33),0)+IF(AND(3+$K$34&gt;=1,3+$K$34&lt;=72),INDEX($N$5:$N$76,3+$K$34),0)+IF(AND(3+$K$35&gt;=1,3+$K$35&lt;=72),INDEX($N$5:$N$76,3+$K$35),0))/3</f>
        <v/>
      </c>
      <c r="T7" s="130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31">
        <f>DATE(YEAR(B7),MONTH(B7)+1,1)</f>
        <v/>
      </c>
      <c r="C8" s="62">
        <f>'DADOS HISTORICOS'!G38</f>
        <v/>
      </c>
      <c r="D8" s="49">
        <f>IF(B8&lt;='VALOR POR PL'!$P$5,0,IF($K$16="MDO PREVISION + MATERIAL PREMISSA",R8+U8,IF($K$17&gt;0,$K$18*P8/$K$17,0)))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RESUMO'!G38</f>
        <v/>
      </c>
      <c r="N8" s="130">
        <f>MAX(0,M8-M7)</f>
        <v/>
      </c>
      <c r="O8" s="129">
        <f>IF(B8&lt;='VALOR POR PL'!$P$5,'CP RESUMO'!G80,"")</f>
        <v/>
      </c>
      <c r="P8" s="71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0">
        <f>(IF(AND(4+$K$33&gt;=1,4+$K$33&lt;=72),INDEX($N$5:$N$76,4+$K$33),0)+IF(AND(4+$K$34&gt;=1,4+$K$34&lt;=72),INDEX($N$5:$N$76,4+$K$34),0)+IF(AND(4+$K$35&gt;=1,4+$K$35&lt;=72),INDEX($N$5:$N$76,4+$K$35),0))/3</f>
        <v/>
      </c>
      <c r="T8" s="130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31">
        <f>DATE(YEAR(B8),MONTH(B8)+1,1)</f>
        <v/>
      </c>
      <c r="C9" s="62">
        <f>'DADOS HISTORICOS'!H38</f>
        <v/>
      </c>
      <c r="D9" s="49">
        <f>IF(B9&lt;='VALOR POR PL'!$P$5,0,IF($K$16="MDO PREVISION + MATERIAL PREMISSA",R9+U9,IF($K$17&gt;0,$K$18*P9/$K$17,0)))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RESUMO'!H38</f>
        <v/>
      </c>
      <c r="N9" s="130">
        <f>MAX(0,M9-M8)</f>
        <v/>
      </c>
      <c r="O9" s="129">
        <f>IF(B9&lt;='VALOR POR PL'!$P$5,'CP RESUMO'!H80,"")</f>
        <v/>
      </c>
      <c r="P9" s="71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0">
        <f>(IF(AND(5+$K$33&gt;=1,5+$K$33&lt;=72),INDEX($N$5:$N$76,5+$K$33),0)+IF(AND(5+$K$34&gt;=1,5+$K$34&lt;=72),INDEX($N$5:$N$76,5+$K$34),0)+IF(AND(5+$K$35&gt;=1,5+$K$35&lt;=72),INDEX($N$5:$N$76,5+$K$35),0))/3</f>
        <v/>
      </c>
      <c r="T9" s="130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31">
        <f>DATE(YEAR(B9),MONTH(B9)+1,1)</f>
        <v/>
      </c>
      <c r="C10" s="62">
        <f>'DADOS HISTORICOS'!I38</f>
        <v/>
      </c>
      <c r="D10" s="49">
        <f>IF(B10&lt;='VALOR POR PL'!$P$5,0,IF($K$16="MDO PREVISION + MATERIAL PREMISSA",R10+U10,IF($K$17&gt;0,$K$18*P10/$K$17,0)))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RESUMO'!I38</f>
        <v/>
      </c>
      <c r="N10" s="130">
        <f>MAX(0,M10-M9)</f>
        <v/>
      </c>
      <c r="O10" s="129">
        <f>IF(B10&lt;='VALOR POR PL'!$P$5,'CP RESUMO'!I80,"")</f>
        <v/>
      </c>
      <c r="P10" s="71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0">
        <f>(IF(AND(6+$K$33&gt;=1,6+$K$33&lt;=72),INDEX($N$5:$N$76,6+$K$33),0)+IF(AND(6+$K$34&gt;=1,6+$K$34&lt;=72),INDEX($N$5:$N$76,6+$K$34),0)+IF(AND(6+$K$35&gt;=1,6+$K$35&lt;=72),INDEX($N$5:$N$76,6+$K$35),0))/3</f>
        <v/>
      </c>
      <c r="T10" s="130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31">
        <f>DATE(YEAR(B10),MONTH(B10)+1,1)</f>
        <v/>
      </c>
      <c r="C11" s="62">
        <f>'DADOS HISTORICOS'!J38</f>
        <v/>
      </c>
      <c r="D11" s="49">
        <f>IF(B11&lt;='VALOR POR PL'!$P$5,0,IF($K$16="MDO PREVISION + MATERIAL PREMISSA",R11+U11,IF($K$17&gt;0,$K$18*P11/$K$17,0)))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RESUMO'!J38</f>
        <v/>
      </c>
      <c r="N11" s="130">
        <f>MAX(0,M11-M10)</f>
        <v/>
      </c>
      <c r="O11" s="129">
        <f>IF(B11&lt;='VALOR POR PL'!$P$5,'CP RESUMO'!J80,"")</f>
        <v/>
      </c>
      <c r="P11" s="71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0">
        <f>(IF(AND(7+$K$33&gt;=1,7+$K$33&lt;=72),INDEX($N$5:$N$76,7+$K$33),0)+IF(AND(7+$K$34&gt;=1,7+$K$34&lt;=72),INDEX($N$5:$N$76,7+$K$34),0)+IF(AND(7+$K$35&gt;=1,7+$K$35&lt;=72),INDEX($N$5:$N$76,7+$K$35),0))/3</f>
        <v/>
      </c>
      <c r="T11" s="130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31">
        <f>DATE(YEAR(B11),MONTH(B11)+1,1)</f>
        <v/>
      </c>
      <c r="C12" s="62">
        <f>'DADOS HISTORICOS'!K38</f>
        <v/>
      </c>
      <c r="D12" s="49">
        <f>IF(B12&lt;='VALOR POR PL'!$P$5,0,IF($K$16="MDO PREVISION + MATERIAL PREMISSA",R12+U12,IF($K$17&gt;0,$K$18*P12/$K$17,0)))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RESUMO'!K38</f>
        <v/>
      </c>
      <c r="N12" s="130">
        <f>MAX(0,M12-M11)</f>
        <v/>
      </c>
      <c r="O12" s="129">
        <f>IF(B12&lt;='VALOR POR PL'!$P$5,'CP RESUMO'!K80,"")</f>
        <v/>
      </c>
      <c r="P12" s="71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0">
        <f>(IF(AND(8+$K$33&gt;=1,8+$K$33&lt;=72),INDEX($N$5:$N$76,8+$K$33),0)+IF(AND(8+$K$34&gt;=1,8+$K$34&lt;=72),INDEX($N$5:$N$76,8+$K$34),0)+IF(AND(8+$K$35&gt;=1,8+$K$35&lt;=72),INDEX($N$5:$N$76,8+$K$35),0))/3</f>
        <v/>
      </c>
      <c r="T12" s="130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31">
        <f>DATE(YEAR(B12),MONTH(B12)+1,1)</f>
        <v/>
      </c>
      <c r="C13" s="62">
        <f>'DADOS HISTORICOS'!L38</f>
        <v/>
      </c>
      <c r="D13" s="49">
        <f>IF(B13&lt;='VALOR POR PL'!$P$5,0,IF($K$16="MDO PREVISION + MATERIAL PREMISSA",R13+U13,IF($K$17&gt;0,$K$18*P13/$K$17,0)))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PL'!I44</f>
        <v/>
      </c>
      <c r="M13" s="129">
        <f>'CP RESUMO'!L38</f>
        <v/>
      </c>
      <c r="N13" s="130">
        <f>MAX(0,M13-M12)</f>
        <v/>
      </c>
      <c r="O13" s="129">
        <f>IF(B13&lt;='VALOR POR PL'!$P$5,'CP RESUMO'!L80,"")</f>
        <v/>
      </c>
      <c r="P13" s="71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0">
        <f>(IF(AND(9+$K$33&gt;=1,9+$K$33&lt;=72),INDEX($N$5:$N$76,9+$K$33),0)+IF(AND(9+$K$34&gt;=1,9+$K$34&lt;=72),INDEX($N$5:$N$76,9+$K$34),0)+IF(AND(9+$K$35&gt;=1,9+$K$35&lt;=72),INDEX($N$5:$N$76,9+$K$35),0))/3</f>
        <v/>
      </c>
      <c r="T13" s="130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31">
        <f>DATE(YEAR(B13),MONTH(B13)+1,1)</f>
        <v/>
      </c>
      <c r="C14" s="62">
        <f>'DADOS HISTORICOS'!M38</f>
        <v/>
      </c>
      <c r="D14" s="49">
        <f>IF(B14&lt;='VALOR POR PL'!$P$5,0,IF($K$16="MDO PREVISION + MATERIAL PREMISSA",R14+U14,IF($K$17&gt;0,$K$18*P14/$K$17,0)))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RESUMO'!$D$80:$BW$80,MATCH('VALOR POR PL'!$P$5,'CP RESUMO'!$D$4:$BW$4,0))/100,0)</f>
        <v/>
      </c>
      <c r="M14" s="129">
        <f>'CP RESUMO'!M38</f>
        <v/>
      </c>
      <c r="N14" s="130">
        <f>MAX(0,M14-M13)</f>
        <v/>
      </c>
      <c r="O14" s="129">
        <f>IF(B14&lt;='VALOR POR PL'!$P$5,'CP RESUMO'!M80,"")</f>
        <v/>
      </c>
      <c r="P14" s="71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0">
        <f>(IF(AND(10+$K$33&gt;=1,10+$K$33&lt;=72),INDEX($N$5:$N$76,10+$K$33),0)+IF(AND(10+$K$34&gt;=1,10+$K$34&lt;=72),INDEX($N$5:$N$76,10+$K$34),0)+IF(AND(10+$K$35&gt;=1,10+$K$35&lt;=72),INDEX($N$5:$N$76,10+$K$35),0))/3</f>
        <v/>
      </c>
      <c r="T14" s="130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31">
        <f>DATE(YEAR(B14),MONTH(B14)+1,1)</f>
        <v/>
      </c>
      <c r="C15" s="62">
        <f>'DADOS HISTORICOS'!N38</f>
        <v/>
      </c>
      <c r="D15" s="49">
        <f>IF(B15&lt;='VALOR POR PL'!$P$5,0,IF($K$16="MDO PREVISION + MATERIAL PREMISSA",R15+U15,IF($K$17&gt;0,$K$18*P15/$K$17,0)))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MDO PREVISION + MATERIAL PREMISSA</t>
        </is>
      </c>
      <c r="M15" s="129">
        <f>'CP RESUMO'!N38</f>
        <v/>
      </c>
      <c r="N15" s="130">
        <f>MAX(0,M15-M14)</f>
        <v/>
      </c>
      <c r="O15" s="129">
        <f>IF(B15&lt;='VALOR POR PL'!$P$5,'CP RESUMO'!N80,"")</f>
        <v/>
      </c>
      <c r="P15" s="71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0">
        <f>(IF(AND(11+$K$33&gt;=1,11+$K$33&lt;=72),INDEX($N$5:$N$76,11+$K$33),0)+IF(AND(11+$K$34&gt;=1,11+$K$34&lt;=72),INDEX($N$5:$N$76,11+$K$34),0)+IF(AND(11+$K$35&gt;=1,11+$K$35&lt;=72),INDEX($N$5:$N$76,11+$K$35),0))/3</f>
        <v/>
      </c>
      <c r="T15" s="130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31">
        <f>DATE(YEAR(B15),MONTH(B15)+1,1)</f>
        <v/>
      </c>
      <c r="C16" s="62">
        <f>'DADOS HISTORICOS'!O38</f>
        <v/>
      </c>
      <c r="D16" s="49">
        <f>IF(B16&lt;='VALOR POR PL'!$P$5,0,IF($K$16="MDO PREVISION + MATERIAL PREMISSA",R16+U16,IF($K$17&gt;0,$K$18*P16/$K$17,0)))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CURVA"))))))</f>
        <v/>
      </c>
      <c r="M16" s="129">
        <f>'CP RESUMO'!O38</f>
        <v/>
      </c>
      <c r="N16" s="130">
        <f>MAX(0,M16-M15)</f>
        <v/>
      </c>
      <c r="O16" s="129">
        <f>IF(B16&lt;='VALOR POR PL'!$P$5,'CP RESUMO'!O80,"")</f>
        <v/>
      </c>
      <c r="P16" s="71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0">
        <f>(IF(AND(12+$K$33&gt;=1,12+$K$33&lt;=72),INDEX($N$5:$N$76,12+$K$33),0)+IF(AND(12+$K$34&gt;=1,12+$K$34&lt;=72),INDEX($N$5:$N$76,12+$K$34),0)+IF(AND(12+$K$35&gt;=1,12+$K$35&lt;=72),INDEX($N$5:$N$76,12+$K$35),0))/3</f>
        <v/>
      </c>
      <c r="T16" s="130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31">
        <f>DATE(YEAR(B16),MONTH(B16)+1,1)</f>
        <v/>
      </c>
      <c r="C17" s="62">
        <f>'DADOS HISTORICOS'!P38</f>
        <v/>
      </c>
      <c r="D17" s="49">
        <f>IF(B17&lt;='VALOR POR PL'!$P$5,0,IF($K$16="MDO PREVISION + MATERIAL PREMISSA",R17+U17,IF($K$17&gt;0,$K$18*P17/$K$17,0)))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RESUMO'!P38</f>
        <v/>
      </c>
      <c r="N17" s="130">
        <f>MAX(0,M17-M16)</f>
        <v/>
      </c>
      <c r="O17" s="129">
        <f>IF(B17&lt;='VALOR POR PL'!$P$5,'CP RESUMO'!P80,"")</f>
        <v/>
      </c>
      <c r="P17" s="71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0">
        <f>(IF(AND(13+$K$33&gt;=1,13+$K$33&lt;=72),INDEX($N$5:$N$76,13+$K$33),0)+IF(AND(13+$K$34&gt;=1,13+$K$34&lt;=72),INDEX($N$5:$N$76,13+$K$34),0)+IF(AND(13+$K$35&gt;=1,13+$K$35&lt;=72),INDEX($N$5:$N$76,13+$K$35),0))/3</f>
        <v/>
      </c>
      <c r="T17" s="130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31">
        <f>DATE(YEAR(B17),MONTH(B17)+1,1)</f>
        <v/>
      </c>
      <c r="C18" s="62">
        <f>'DADOS HISTORICOS'!Q38</f>
        <v/>
      </c>
      <c r="D18" s="49">
        <f>IF(B18&lt;='VALOR POR PL'!$P$5,0,IF($K$16="MDO PREVISION + MATERIAL PREMISSA",R18+U18,IF($K$17&gt;0,$K$18*P18/$K$17,0)))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RESUMO'!Q38</f>
        <v/>
      </c>
      <c r="N18" s="130">
        <f>MAX(0,M18-M17)</f>
        <v/>
      </c>
      <c r="O18" s="129">
        <f>IF(B18&lt;='VALOR POR PL'!$P$5,'CP RESUMO'!Q80,"")</f>
        <v/>
      </c>
      <c r="P18" s="71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0">
        <f>(IF(AND(14+$K$33&gt;=1,14+$K$33&lt;=72),INDEX($N$5:$N$76,14+$K$33),0)+IF(AND(14+$K$34&gt;=1,14+$K$34&lt;=72),INDEX($N$5:$N$76,14+$K$34),0)+IF(AND(14+$K$35&gt;=1,14+$K$35&lt;=72),INDEX($N$5:$N$76,14+$K$35),0))/3</f>
        <v/>
      </c>
      <c r="T18" s="130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31">
        <f>DATE(YEAR(B18),MONTH(B18)+1,1)</f>
        <v/>
      </c>
      <c r="C19" s="62">
        <f>'DADOS HISTORICOS'!R38</f>
        <v/>
      </c>
      <c r="D19" s="49">
        <f>IF(B19&lt;='VALOR POR PL'!$P$5,0,IF($K$16="MDO PREVISION + MATERIAL PREMISSA",R19+U19,IF($K$17&gt;0,$K$18*P19/$K$17,0)))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RESUMO'!R38</f>
        <v/>
      </c>
      <c r="N19" s="130">
        <f>MAX(0,M19-M18)</f>
        <v/>
      </c>
      <c r="O19" s="129">
        <f>IF(B19&lt;='VALOR POR PL'!$P$5,'CP RESUMO'!R80,"")</f>
        <v/>
      </c>
      <c r="P19" s="71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0">
        <f>(IF(AND(15+$K$33&gt;=1,15+$K$33&lt;=72),INDEX($N$5:$N$76,15+$K$33),0)+IF(AND(15+$K$34&gt;=1,15+$K$34&lt;=72),INDEX($N$5:$N$76,15+$K$34),0)+IF(AND(15+$K$35&gt;=1,15+$K$35&lt;=72),INDEX($N$5:$N$76,15+$K$35),0))/3</f>
        <v/>
      </c>
      <c r="T19" s="130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31">
        <f>DATE(YEAR(B19),MONTH(B19)+1,1)</f>
        <v/>
      </c>
      <c r="C20" s="62">
        <f>'DADOS HISTORICOS'!S38</f>
        <v/>
      </c>
      <c r="D20" s="49">
        <f>IF(B20&lt;='VALOR POR PL'!$P$5,0,IF($K$16="MDO PREVISION + MATERIAL PREMISSA",R20+U20,IF($K$17&gt;0,$K$18*P20/$K$17,0)))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RESUMO'!S38</f>
        <v/>
      </c>
      <c r="N20" s="130">
        <f>MAX(0,M20-M19)</f>
        <v/>
      </c>
      <c r="O20" s="129">
        <f>IF(B20&lt;='VALOR POR PL'!$P$5,'CP RESUMO'!S80,"")</f>
        <v/>
      </c>
      <c r="P20" s="71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0">
        <f>(IF(AND(16+$K$33&gt;=1,16+$K$33&lt;=72),INDEX($N$5:$N$76,16+$K$33),0)+IF(AND(16+$K$34&gt;=1,16+$K$34&lt;=72),INDEX($N$5:$N$76,16+$K$34),0)+IF(AND(16+$K$35&gt;=1,16+$K$35&lt;=72),INDEX($N$5:$N$76,16+$K$35),0))/3</f>
        <v/>
      </c>
      <c r="T20" s="130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31">
        <f>DATE(YEAR(B20),MONTH(B20)+1,1)</f>
        <v/>
      </c>
      <c r="C21" s="62">
        <f>'DADOS HISTORICOS'!T38</f>
        <v/>
      </c>
      <c r="D21" s="49">
        <f>IF(B21&lt;='VALOR POR PL'!$P$5,0,IF($K$16="MDO PREVISION + MATERIAL PREMISSA",R21+U21,IF($K$17&gt;0,$K$18*P21/$K$17,0)))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RESUMO'!T38</f>
        <v/>
      </c>
      <c r="N21" s="130">
        <f>MAX(0,M21-M20)</f>
        <v/>
      </c>
      <c r="O21" s="129">
        <f>IF(B21&lt;='VALOR POR PL'!$P$5,'CP RESUMO'!T80,"")</f>
        <v/>
      </c>
      <c r="P21" s="71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0">
        <f>(IF(AND(17+$K$33&gt;=1,17+$K$33&lt;=72),INDEX($N$5:$N$76,17+$K$33),0)+IF(AND(17+$K$34&gt;=1,17+$K$34&lt;=72),INDEX($N$5:$N$76,17+$K$34),0)+IF(AND(17+$K$35&gt;=1,17+$K$35&lt;=72),INDEX($N$5:$N$76,17+$K$35),0))/3</f>
        <v/>
      </c>
      <c r="T21" s="130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31">
        <f>DATE(YEAR(B21),MONTH(B21)+1,1)</f>
        <v/>
      </c>
      <c r="C22" s="62">
        <f>'DADOS HISTORICOS'!U38</f>
        <v/>
      </c>
      <c r="D22" s="49">
        <f>IF(B22&lt;='VALOR POR PL'!$P$5,0,IF($K$16="MDO PREVISION + MATERIAL PREMISSA",R22+U22,IF($K$17&gt;0,$K$18*P22/$K$17,0)))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RESUMO'!U38</f>
        <v/>
      </c>
      <c r="N22" s="130">
        <f>MAX(0,M22-M21)</f>
        <v/>
      </c>
      <c r="O22" s="129">
        <f>IF(B22&lt;='VALOR POR PL'!$P$5,'CP RESUMO'!U80,"")</f>
        <v/>
      </c>
      <c r="P22" s="71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0">
        <f>(IF(AND(18+$K$33&gt;=1,18+$K$33&lt;=72),INDEX($N$5:$N$76,18+$K$33),0)+IF(AND(18+$K$34&gt;=1,18+$K$34&lt;=72),INDEX($N$5:$N$76,18+$K$34),0)+IF(AND(18+$K$35&gt;=1,18+$K$35&lt;=72),INDEX($N$5:$N$76,18+$K$35),0))/3</f>
        <v/>
      </c>
      <c r="T22" s="130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31">
        <f>DATE(YEAR(B22),MONTH(B22)+1,1)</f>
        <v/>
      </c>
      <c r="C23" s="62">
        <f>'DADOS HISTORICOS'!V38</f>
        <v/>
      </c>
      <c r="D23" s="49">
        <f>IF(B23&lt;='VALOR POR PL'!$P$5,0,IF($K$16="MDO PREVISION + MATERIAL PREMISSA",R23+U23,IF($K$17&gt;0,$K$18*P23/$K$17,0)))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RESUMO'!V38</f>
        <v/>
      </c>
      <c r="N23" s="130">
        <f>MAX(0,M23-M22)</f>
        <v/>
      </c>
      <c r="O23" s="129">
        <f>IF(B23&lt;='VALOR POR PL'!$P$5,'CP RESUMO'!V80,"")</f>
        <v/>
      </c>
      <c r="P23" s="71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0">
        <f>(IF(AND(19+$K$33&gt;=1,19+$K$33&lt;=72),INDEX($N$5:$N$76,19+$K$33),0)+IF(AND(19+$K$34&gt;=1,19+$K$34&lt;=72),INDEX($N$5:$N$76,19+$K$34),0)+IF(AND(19+$K$35&gt;=1,19+$K$35&lt;=72),INDEX($N$5:$N$76,19+$K$35),0))/3</f>
        <v/>
      </c>
      <c r="T23" s="130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31">
        <f>DATE(YEAR(B23),MONTH(B23)+1,1)</f>
        <v/>
      </c>
      <c r="C24" s="62">
        <f>'DADOS HISTORICOS'!W38</f>
        <v/>
      </c>
      <c r="D24" s="49">
        <f>IF(B24&lt;='VALOR POR PL'!$P$5,0,IF($K$16="MDO PREVISION + MATERIAL PREMISSA",R24+U24,IF($K$17&gt;0,$K$18*P24/$K$17,0)))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Saldo dividido: MDO segue a curva do Prevision; material segue a premissa (pedido antecipado, pagamento 28/56/84 dias).</t>
        </is>
      </c>
      <c r="M24" s="129">
        <f>'CP RESUMO'!W38</f>
        <v/>
      </c>
      <c r="N24" s="130">
        <f>MAX(0,M24-M23)</f>
        <v/>
      </c>
      <c r="O24" s="129">
        <f>IF(B24&lt;='VALOR POR PL'!$P$5,'CP RESUMO'!W80,"")</f>
        <v/>
      </c>
      <c r="P24" s="71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0">
        <f>(IF(AND(20+$K$33&gt;=1,20+$K$33&lt;=72),INDEX($N$5:$N$76,20+$K$33),0)+IF(AND(20+$K$34&gt;=1,20+$K$34&lt;=72),INDEX($N$5:$N$76,20+$K$34),0)+IF(AND(20+$K$35&gt;=1,20+$K$35&lt;=72),INDEX($N$5:$N$76,20+$K$35),0))/3</f>
        <v/>
      </c>
      <c r="T24" s="130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31">
        <f>DATE(YEAR(B24),MONTH(B24)+1,1)</f>
        <v/>
      </c>
      <c r="C25" s="62">
        <f>'DADOS HISTORICOS'!X38</f>
        <v/>
      </c>
      <c r="D25" s="49">
        <f>IF(B25&lt;='VALOR POR PL'!$P$5,0,IF($K$16="MDO PREVISION + MATERIAL PREMISSA",R25+U25,IF($K$17&gt;0,$K$18*P25/$K$17,0)))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I25" s="65" t="inlineStr">
        <is>
          <t>DIVISÃO MDO × MATERIAL</t>
        </is>
      </c>
      <c r="J25" s="66" t="n"/>
      <c r="K25" s="67" t="n"/>
      <c r="M25" s="129">
        <f>'CP RESUMO'!X38</f>
        <v/>
      </c>
      <c r="N25" s="130">
        <f>MAX(0,M25-M24)</f>
        <v/>
      </c>
      <c r="O25" s="129">
        <f>IF(B25&lt;='VALOR POR PL'!$P$5,'CP RESUMO'!X80,"")</f>
        <v/>
      </c>
      <c r="P25" s="71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0">
        <f>(IF(AND(21+$K$33&gt;=1,21+$K$33&lt;=72),INDEX($N$5:$N$76,21+$K$33),0)+IF(AND(21+$K$34&gt;=1,21+$K$34&lt;=72),INDEX($N$5:$N$76,21+$K$34),0)+IF(AND(21+$K$35&gt;=1,21+$K$35&lt;=72),INDEX($N$5:$N$76,21+$K$35),0))/3</f>
        <v/>
      </c>
      <c r="T25" s="130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31">
        <f>DATE(YEAR(B25),MONTH(B25)+1,1)</f>
        <v/>
      </c>
      <c r="C26" s="62">
        <f>'DADOS HISTORICOS'!Y38</f>
        <v/>
      </c>
      <c r="D26" s="49">
        <f>IF(B26&lt;='VALOR POR PL'!$P$5,0,IF($K$16="MDO PREVISION + MATERIAL PREMISSA",R26+U26,IF($K$17&gt;0,$K$18*P26/$K$17,0)))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I26" s="46" t="inlineStr">
        <is>
          <t>% MÃO DE OBRA (segue a curva do Prevision)</t>
        </is>
      </c>
      <c r="K26" s="55" t="n">
        <v>0.4</v>
      </c>
      <c r="M26" s="129">
        <f>'CP RESUMO'!Y38</f>
        <v/>
      </c>
      <c r="N26" s="130">
        <f>MAX(0,M26-M25)</f>
        <v/>
      </c>
      <c r="O26" s="129">
        <f>IF(B26&lt;='VALOR POR PL'!$P$5,'CP RESUMO'!Y80,"")</f>
        <v/>
      </c>
      <c r="P26" s="71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0">
        <f>(IF(AND(22+$K$33&gt;=1,22+$K$33&lt;=72),INDEX($N$5:$N$76,22+$K$33),0)+IF(AND(22+$K$34&gt;=1,22+$K$34&lt;=72),INDEX($N$5:$N$76,22+$K$34),0)+IF(AND(22+$K$35&gt;=1,22+$K$35&lt;=72),INDEX($N$5:$N$76,22+$K$35),0))/3</f>
        <v/>
      </c>
      <c r="T26" s="130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31">
        <f>DATE(YEAR(B26),MONTH(B26)+1,1)</f>
        <v/>
      </c>
      <c r="C27" s="62">
        <f>'DADOS HISTORICOS'!Z38</f>
        <v/>
      </c>
      <c r="D27" s="49">
        <f>IF(B27&lt;='VALOR POR PL'!$P$5,0,IF($K$16="MDO PREVISION + MATERIAL PREMISSA",R27+U27,IF($K$17&gt;0,$K$18*P27/$K$17,0)))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I27" s="46" t="inlineStr">
        <is>
          <t>% MATERIAL (segue a premissa)</t>
        </is>
      </c>
      <c r="K27" s="139">
        <f>1-K26</f>
        <v/>
      </c>
      <c r="M27" s="129">
        <f>'CP RESUMO'!Z38</f>
        <v/>
      </c>
      <c r="N27" s="130">
        <f>MAX(0,M27-M26)</f>
        <v/>
      </c>
      <c r="O27" s="129">
        <f>IF(B27&lt;='VALOR POR PL'!$P$5,'CP RESUMO'!Z80,"")</f>
        <v/>
      </c>
      <c r="P27" s="71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0">
        <f>(IF(AND(23+$K$33&gt;=1,23+$K$33&lt;=72),INDEX($N$5:$N$76,23+$K$33),0)+IF(AND(23+$K$34&gt;=1,23+$K$34&lt;=72),INDEX($N$5:$N$76,23+$K$34),0)+IF(AND(23+$K$35&gt;=1,23+$K$35&lt;=72),INDEX($N$5:$N$76,23+$K$35),0))/3</f>
        <v/>
      </c>
      <c r="T27" s="130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31">
        <f>DATE(YEAR(B27),MONTH(B27)+1,1)</f>
        <v/>
      </c>
      <c r="C28" s="62">
        <f>'DADOS HISTORICOS'!AA38</f>
        <v/>
      </c>
      <c r="D28" s="49">
        <f>IF(B28&lt;='VALOR POR PL'!$P$5,0,IF($K$16="MDO PREVISION + MATERIAL PREMISSA",R28+U28,IF($K$17&gt;0,$K$18*P28/$K$17,0)))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I28" s="46" t="inlineStr">
        <is>
          <t>ANTECEDÊNCIA DO PEDIDO (dias antes da instalação)</t>
        </is>
      </c>
      <c r="K28" s="140" t="n">
        <v>180</v>
      </c>
      <c r="M28" s="129">
        <f>'CP RESUMO'!AA38</f>
        <v/>
      </c>
      <c r="N28" s="130">
        <f>MAX(0,M28-M27)</f>
        <v/>
      </c>
      <c r="O28" s="129">
        <f>IF(B28&lt;='VALOR POR PL'!$P$5,'CP RESUMO'!AA80,"")</f>
        <v/>
      </c>
      <c r="P28" s="71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0">
        <f>(IF(AND(24+$K$33&gt;=1,24+$K$33&lt;=72),INDEX($N$5:$N$76,24+$K$33),0)+IF(AND(24+$K$34&gt;=1,24+$K$34&lt;=72),INDEX($N$5:$N$76,24+$K$34),0)+IF(AND(24+$K$35&gt;=1,24+$K$35&lt;=72),INDEX($N$5:$N$76,24+$K$35),0))/3</f>
        <v/>
      </c>
      <c r="T28" s="130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31">
        <f>DATE(YEAR(B28),MONTH(B28)+1,1)</f>
        <v/>
      </c>
      <c r="C29" s="62">
        <f>'DADOS HISTORICOS'!AB38</f>
        <v/>
      </c>
      <c r="D29" s="49">
        <f>IF(B29&lt;='VALOR POR PL'!$P$5,0,IF($K$16="MDO PREVISION + MATERIAL PREMISSA",R29+U29,IF($K$17&gt;0,$K$18*P29/$K$17,0)))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I29" s="46" t="inlineStr">
        <is>
          <t>1ª PARCELA (dias após o pedido)</t>
        </is>
      </c>
      <c r="K29" s="140" t="n">
        <v>28</v>
      </c>
      <c r="M29" s="129">
        <f>'CP RESUMO'!AB38</f>
        <v/>
      </c>
      <c r="N29" s="130">
        <f>MAX(0,M29-M28)</f>
        <v/>
      </c>
      <c r="O29" s="129">
        <f>IF(B29&lt;='VALOR POR PL'!$P$5,'CP RESUMO'!AB80,"")</f>
        <v/>
      </c>
      <c r="P29" s="71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0">
        <f>(IF(AND(25+$K$33&gt;=1,25+$K$33&lt;=72),INDEX($N$5:$N$76,25+$K$33),0)+IF(AND(25+$K$34&gt;=1,25+$K$34&lt;=72),INDEX($N$5:$N$76,25+$K$34),0)+IF(AND(25+$K$35&gt;=1,25+$K$35&lt;=72),INDEX($N$5:$N$76,25+$K$35),0))/3</f>
        <v/>
      </c>
      <c r="T29" s="130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31">
        <f>DATE(YEAR(B29),MONTH(B29)+1,1)</f>
        <v/>
      </c>
      <c r="C30" s="62">
        <f>'DADOS HISTORICOS'!AC38</f>
        <v/>
      </c>
      <c r="D30" s="49">
        <f>IF(B30&lt;='VALOR POR PL'!$P$5,0,IF($K$16="MDO PREVISION + MATERIAL PREMISSA",R30+U30,IF($K$17&gt;0,$K$18*P30/$K$17,0)))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I30" s="46" t="inlineStr">
        <is>
          <t>2ª PARCELA (dias após o pedido)</t>
        </is>
      </c>
      <c r="K30" s="140" t="n">
        <v>56</v>
      </c>
      <c r="M30" s="129">
        <f>'CP RESUMO'!AC38</f>
        <v/>
      </c>
      <c r="N30" s="130">
        <f>MAX(0,M30-M29)</f>
        <v/>
      </c>
      <c r="O30" s="129">
        <f>IF(B30&lt;='VALOR POR PL'!$P$5,'CP RESUMO'!AC80,"")</f>
        <v/>
      </c>
      <c r="P30" s="71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0">
        <f>(IF(AND(26+$K$33&gt;=1,26+$K$33&lt;=72),INDEX($N$5:$N$76,26+$K$33),0)+IF(AND(26+$K$34&gt;=1,26+$K$34&lt;=72),INDEX($N$5:$N$76,26+$K$34),0)+IF(AND(26+$K$35&gt;=1,26+$K$35&lt;=72),INDEX($N$5:$N$76,26+$K$35),0))/3</f>
        <v/>
      </c>
      <c r="T30" s="130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31">
        <f>DATE(YEAR(B30),MONTH(B30)+1,1)</f>
        <v/>
      </c>
      <c r="C31" s="62">
        <f>'DADOS HISTORICOS'!AD38</f>
        <v/>
      </c>
      <c r="D31" s="49">
        <f>IF(B31&lt;='VALOR POR PL'!$P$5,0,IF($K$16="MDO PREVISION + MATERIAL PREMISSA",R31+U31,IF($K$17&gt;0,$K$18*P31/$K$17,0)))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I31" s="46" t="inlineStr">
        <is>
          <t>3ª PARCELA (dias após o pedido)</t>
        </is>
      </c>
      <c r="K31" s="140" t="n">
        <v>84</v>
      </c>
      <c r="M31" s="129">
        <f>'CP RESUMO'!AD38</f>
        <v/>
      </c>
      <c r="N31" s="130">
        <f>MAX(0,M31-M30)</f>
        <v/>
      </c>
      <c r="O31" s="129">
        <f>IF(B31&lt;='VALOR POR PL'!$P$5,'CP RESUMO'!AD80,"")</f>
        <v/>
      </c>
      <c r="P31" s="71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0">
        <f>(IF(AND(27+$K$33&gt;=1,27+$K$33&lt;=72),INDEX($N$5:$N$76,27+$K$33),0)+IF(AND(27+$K$34&gt;=1,27+$K$34&lt;=72),INDEX($N$5:$N$76,27+$K$34),0)+IF(AND(27+$K$35&gt;=1,27+$K$35&lt;=72),INDEX($N$5:$N$76,27+$K$35),0))/3</f>
        <v/>
      </c>
      <c r="T31" s="130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31">
        <f>DATE(YEAR(B31),MONTH(B31)+1,1)</f>
        <v/>
      </c>
      <c r="C32" s="62">
        <f>'DADOS HISTORICOS'!AE38</f>
        <v/>
      </c>
      <c r="D32" s="49">
        <f>IF(B32&lt;='VALOR POR PL'!$P$5,0,IF($K$16="MDO PREVISION + MATERIAL PREMISSA",R32+U32,IF($K$17&gt;0,$K$18*P32/$K$17,0)))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I32" s="46" t="inlineStr">
        <is>
          <t>Σ PESOS DO MATERIAL (meses futuros)</t>
        </is>
      </c>
      <c r="K32" s="130">
        <f>SUM(T5:T76)</f>
        <v/>
      </c>
      <c r="M32" s="129">
        <f>'CP RESUMO'!AE38</f>
        <v/>
      </c>
      <c r="N32" s="130">
        <f>MAX(0,M32-M31)</f>
        <v/>
      </c>
      <c r="O32" s="129">
        <f>IF(B32&lt;='VALOR POR PL'!$P$5,'CP RESUMO'!AE80,"")</f>
        <v/>
      </c>
      <c r="P32" s="71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0">
        <f>(IF(AND(28+$K$33&gt;=1,28+$K$33&lt;=72),INDEX($N$5:$N$76,28+$K$33),0)+IF(AND(28+$K$34&gt;=1,28+$K$34&lt;=72),INDEX($N$5:$N$76,28+$K$34),0)+IF(AND(28+$K$35&gt;=1,28+$K$35&lt;=72),INDEX($N$5:$N$76,28+$K$35),0))/3</f>
        <v/>
      </c>
      <c r="T32" s="130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31">
        <f>DATE(YEAR(B32),MONTH(B32)+1,1)</f>
        <v/>
      </c>
      <c r="C33" s="62">
        <f>'DADOS HISTORICOS'!AF38</f>
        <v/>
      </c>
      <c r="D33" s="49">
        <f>IF(B33&lt;='VALOR POR PL'!$P$5,0,IF($K$16="MDO PREVISION + MATERIAL PREMISSA",R33+U33,IF($K$17&gt;0,$K$18*P33/$K$17,0)))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I33" s="46" t="inlineStr">
        <is>
          <t>Parcela 1 paga X meses antes da instalação</t>
        </is>
      </c>
      <c r="K33" s="68">
        <f>ROUND((K28-K29)/30,0)</f>
        <v/>
      </c>
      <c r="M33" s="129">
        <f>'CP RESUMO'!AF38</f>
        <v/>
      </c>
      <c r="N33" s="130">
        <f>MAX(0,M33-M32)</f>
        <v/>
      </c>
      <c r="O33" s="129">
        <f>IF(B33&lt;='VALOR POR PL'!$P$5,'CP RESUMO'!AF80,"")</f>
        <v/>
      </c>
      <c r="P33" s="71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0">
        <f>(IF(AND(29+$K$33&gt;=1,29+$K$33&lt;=72),INDEX($N$5:$N$76,29+$K$33),0)+IF(AND(29+$K$34&gt;=1,29+$K$34&lt;=72),INDEX($N$5:$N$76,29+$K$34),0)+IF(AND(29+$K$35&gt;=1,29+$K$35&lt;=72),INDEX($N$5:$N$76,29+$K$35),0))/3</f>
        <v/>
      </c>
      <c r="T33" s="130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31">
        <f>DATE(YEAR(B33),MONTH(B33)+1,1)</f>
        <v/>
      </c>
      <c r="C34" s="62">
        <f>'DADOS HISTORICOS'!AG38</f>
        <v/>
      </c>
      <c r="D34" s="49">
        <f>IF(B34&lt;='VALOR POR PL'!$P$5,0,IF($K$16="MDO PREVISION + MATERIAL PREMISSA",R34+U34,IF($K$17&gt;0,$K$18*P34/$K$17,0)))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I34" s="46" t="inlineStr">
        <is>
          <t>Parcela 2 paga X meses antes da instalação</t>
        </is>
      </c>
      <c r="K34" s="68">
        <f>ROUND((K28-K30)/30,0)</f>
        <v/>
      </c>
      <c r="M34" s="129">
        <f>'CP RESUMO'!AG38</f>
        <v/>
      </c>
      <c r="N34" s="130">
        <f>MAX(0,M34-M33)</f>
        <v/>
      </c>
      <c r="O34" s="129">
        <f>IF(B34&lt;='VALOR POR PL'!$P$5,'CP RESUMO'!AG80,"")</f>
        <v/>
      </c>
      <c r="P34" s="71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0">
        <f>(IF(AND(30+$K$33&gt;=1,30+$K$33&lt;=72),INDEX($N$5:$N$76,30+$K$33),0)+IF(AND(30+$K$34&gt;=1,30+$K$34&lt;=72),INDEX($N$5:$N$76,30+$K$34),0)+IF(AND(30+$K$35&gt;=1,30+$K$35&lt;=72),INDEX($N$5:$N$76,30+$K$35),0))/3</f>
        <v/>
      </c>
      <c r="T34" s="130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31">
        <f>DATE(YEAR(B34),MONTH(B34)+1,1)</f>
        <v/>
      </c>
      <c r="C35" s="62">
        <f>'DADOS HISTORICOS'!AH38</f>
        <v/>
      </c>
      <c r="D35" s="49">
        <f>IF(B35&lt;='VALOR POR PL'!$P$5,0,IF($K$16="MDO PREVISION + MATERIAL PREMISSA",R35+U35,IF($K$17&gt;0,$K$18*P35/$K$17,0)))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I35" s="46" t="inlineStr">
        <is>
          <t>Parcela 3 paga X meses antes da instalação</t>
        </is>
      </c>
      <c r="K35" s="68">
        <f>ROUND((K28-K31)/30,0)</f>
        <v/>
      </c>
      <c r="M35" s="129">
        <f>'CP RESUMO'!AH38</f>
        <v/>
      </c>
      <c r="N35" s="130">
        <f>MAX(0,M35-M34)</f>
        <v/>
      </c>
      <c r="O35" s="129">
        <f>IF(B35&lt;='VALOR POR PL'!$P$5,'CP RESUMO'!AH80,"")</f>
        <v/>
      </c>
      <c r="P35" s="71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0">
        <f>(IF(AND(31+$K$33&gt;=1,31+$K$33&lt;=72),INDEX($N$5:$N$76,31+$K$33),0)+IF(AND(31+$K$34&gt;=1,31+$K$34&lt;=72),INDEX($N$5:$N$76,31+$K$34),0)+IF(AND(31+$K$35&gt;=1,31+$K$35&lt;=72),INDEX($N$5:$N$76,31+$K$35),0))/3</f>
        <v/>
      </c>
      <c r="T35" s="130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31">
        <f>DATE(YEAR(B35),MONTH(B35)+1,1)</f>
        <v/>
      </c>
      <c r="C36" s="62">
        <f>'DADOS HISTORICOS'!AI38</f>
        <v/>
      </c>
      <c r="D36" s="49">
        <f>IF(B36&lt;='VALOR POR PL'!$P$5,0,IF($K$16="MDO PREVISION + MATERIAL PREMISSA",R36+U36,IF($K$17&gt;0,$K$18*P36/$K$17,0)))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I36" s="46" t="inlineStr">
        <is>
          <t>MDO no fluxo (R$)</t>
        </is>
      </c>
      <c r="K36" s="49">
        <f>SUM(R5:R76)</f>
        <v/>
      </c>
      <c r="M36" s="129">
        <f>'CP RESUMO'!AI38</f>
        <v/>
      </c>
      <c r="N36" s="130">
        <f>MAX(0,M36-M35)</f>
        <v/>
      </c>
      <c r="O36" s="129">
        <f>IF(B36&lt;='VALOR POR PL'!$P$5,'CP RESUMO'!AI80,"")</f>
        <v/>
      </c>
      <c r="P36" s="71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0">
        <f>(IF(AND(32+$K$33&gt;=1,32+$K$33&lt;=72),INDEX($N$5:$N$76,32+$K$33),0)+IF(AND(32+$K$34&gt;=1,32+$K$34&lt;=72),INDEX($N$5:$N$76,32+$K$34),0)+IF(AND(32+$K$35&gt;=1,32+$K$35&lt;=72),INDEX($N$5:$N$76,32+$K$35),0))/3</f>
        <v/>
      </c>
      <c r="T36" s="130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31">
        <f>DATE(YEAR(B36),MONTH(B36)+1,1)</f>
        <v/>
      </c>
      <c r="C37" s="62">
        <f>'DADOS HISTORICOS'!AJ38</f>
        <v/>
      </c>
      <c r="D37" s="49">
        <f>IF(B37&lt;='VALOR POR PL'!$P$5,0,IF($K$16="MDO PREVISION + MATERIAL PREMISSA",R37+U37,IF($K$17&gt;0,$K$18*P37/$K$17,0)))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I37" s="46" t="inlineStr">
        <is>
          <t>MATERIAL no fluxo (R$)</t>
        </is>
      </c>
      <c r="K37" s="49">
        <f>SUM(U5:U76)</f>
        <v/>
      </c>
      <c r="M37" s="129">
        <f>'CP RESUMO'!AJ38</f>
        <v/>
      </c>
      <c r="N37" s="130">
        <f>MAX(0,M37-M36)</f>
        <v/>
      </c>
      <c r="O37" s="129">
        <f>IF(B37&lt;='VALOR POR PL'!$P$5,'CP RESUMO'!AJ80,"")</f>
        <v/>
      </c>
      <c r="P37" s="71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0">
        <f>(IF(AND(33+$K$33&gt;=1,33+$K$33&lt;=72),INDEX($N$5:$N$76,33+$K$33),0)+IF(AND(33+$K$34&gt;=1,33+$K$34&lt;=72),INDEX($N$5:$N$76,33+$K$34),0)+IF(AND(33+$K$35&gt;=1,33+$K$35&lt;=72),INDEX($N$5:$N$76,33+$K$35),0))/3</f>
        <v/>
      </c>
      <c r="T37" s="130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31">
        <f>DATE(YEAR(B37),MONTH(B37)+1,1)</f>
        <v/>
      </c>
      <c r="C38" s="62">
        <f>'DADOS HISTORICOS'!AK38</f>
        <v/>
      </c>
      <c r="D38" s="49">
        <f>IF(B38&lt;='VALOR POR PL'!$P$5,0,IF($K$16="MDO PREVISION + MATERIAL PREMISSA",R38+U38,IF($K$17&gt;0,$K$18*P38/$K$17,0)))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RESUMO'!AK38</f>
        <v/>
      </c>
      <c r="N38" s="130">
        <f>MAX(0,M38-M37)</f>
        <v/>
      </c>
      <c r="O38" s="129">
        <f>IF(B38&lt;='VALOR POR PL'!$P$5,'CP RESUMO'!AK80,"")</f>
        <v/>
      </c>
      <c r="P38" s="71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0">
        <f>(IF(AND(34+$K$33&gt;=1,34+$K$33&lt;=72),INDEX($N$5:$N$76,34+$K$33),0)+IF(AND(34+$K$34&gt;=1,34+$K$34&lt;=72),INDEX($N$5:$N$76,34+$K$34),0)+IF(AND(34+$K$35&gt;=1,34+$K$35&lt;=72),INDEX($N$5:$N$76,34+$K$35),0))/3</f>
        <v/>
      </c>
      <c r="T38" s="130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31">
        <f>DATE(YEAR(B38),MONTH(B38)+1,1)</f>
        <v/>
      </c>
      <c r="C39" s="62">
        <f>'DADOS HISTORICOS'!AL38</f>
        <v/>
      </c>
      <c r="D39" s="49">
        <f>IF(B39&lt;='VALOR POR PL'!$P$5,0,IF($K$16="MDO PREVISION + MATERIAL PREMISSA",R39+U39,IF($K$17&gt;0,$K$18*P39/$K$17,0)))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RESUMO'!AL38</f>
        <v/>
      </c>
      <c r="N39" s="130">
        <f>MAX(0,M39-M38)</f>
        <v/>
      </c>
      <c r="O39" s="129">
        <f>IF(B39&lt;='VALOR POR PL'!$P$5,'CP RESUMO'!AL80,"")</f>
        <v/>
      </c>
      <c r="P39" s="71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0">
        <f>(IF(AND(35+$K$33&gt;=1,35+$K$33&lt;=72),INDEX($N$5:$N$76,35+$K$33),0)+IF(AND(35+$K$34&gt;=1,35+$K$34&lt;=72),INDEX($N$5:$N$76,35+$K$34),0)+IF(AND(35+$K$35&gt;=1,35+$K$35&lt;=72),INDEX($N$5:$N$76,35+$K$35),0))/3</f>
        <v/>
      </c>
      <c r="T39" s="130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31">
        <f>DATE(YEAR(B39),MONTH(B39)+1,1)</f>
        <v/>
      </c>
      <c r="C40" s="62">
        <f>'DADOS HISTORICOS'!AM38</f>
        <v/>
      </c>
      <c r="D40" s="49">
        <f>IF(B40&lt;='VALOR POR PL'!$P$5,0,IF($K$16="MDO PREVISION + MATERIAL PREMISSA",R40+U40,IF($K$17&gt;0,$K$18*P40/$K$17,0)))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RESUMO'!AM38</f>
        <v/>
      </c>
      <c r="N40" s="130">
        <f>MAX(0,M40-M39)</f>
        <v/>
      </c>
      <c r="O40" s="129">
        <f>IF(B40&lt;='VALOR POR PL'!$P$5,'CP RESUMO'!AM80,"")</f>
        <v/>
      </c>
      <c r="P40" s="71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0">
        <f>(IF(AND(36+$K$33&gt;=1,36+$K$33&lt;=72),INDEX($N$5:$N$76,36+$K$33),0)+IF(AND(36+$K$34&gt;=1,36+$K$34&lt;=72),INDEX($N$5:$N$76,36+$K$34),0)+IF(AND(36+$K$35&gt;=1,36+$K$35&lt;=72),INDEX($N$5:$N$76,36+$K$35),0))/3</f>
        <v/>
      </c>
      <c r="T40" s="130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31">
        <f>DATE(YEAR(B40),MONTH(B40)+1,1)</f>
        <v/>
      </c>
      <c r="C41" s="62">
        <f>'DADOS HISTORICOS'!AN38</f>
        <v/>
      </c>
      <c r="D41" s="49">
        <f>IF(B41&lt;='VALOR POR PL'!$P$5,0,IF($K$16="MDO PREVISION + MATERIAL PREMISSA",R41+U41,IF($K$17&gt;0,$K$18*P41/$K$17,0)))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RESUMO'!AN38</f>
        <v/>
      </c>
      <c r="N41" s="130">
        <f>MAX(0,M41-M40)</f>
        <v/>
      </c>
      <c r="O41" s="129">
        <f>IF(B41&lt;='VALOR POR PL'!$P$5,'CP RESUMO'!AN80,"")</f>
        <v/>
      </c>
      <c r="P41" s="71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0">
        <f>(IF(AND(37+$K$33&gt;=1,37+$K$33&lt;=72),INDEX($N$5:$N$76,37+$K$33),0)+IF(AND(37+$K$34&gt;=1,37+$K$34&lt;=72),INDEX($N$5:$N$76,37+$K$34),0)+IF(AND(37+$K$35&gt;=1,37+$K$35&lt;=72),INDEX($N$5:$N$76,37+$K$35),0))/3</f>
        <v/>
      </c>
      <c r="T41" s="130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31">
        <f>DATE(YEAR(B41),MONTH(B41)+1,1)</f>
        <v/>
      </c>
      <c r="C42" s="62">
        <f>'DADOS HISTORICOS'!AO38</f>
        <v/>
      </c>
      <c r="D42" s="49">
        <f>IF(B42&lt;='VALOR POR PL'!$P$5,0,IF($K$16="MDO PREVISION + MATERIAL PREMISSA",R42+U42,IF($K$17&gt;0,$K$18*P42/$K$17,0)))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RESUMO'!AO38</f>
        <v/>
      </c>
      <c r="N42" s="130">
        <f>MAX(0,M42-M41)</f>
        <v/>
      </c>
      <c r="O42" s="129">
        <f>IF(B42&lt;='VALOR POR PL'!$P$5,'CP RESUMO'!AO80,"")</f>
        <v/>
      </c>
      <c r="P42" s="71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0">
        <f>(IF(AND(38+$K$33&gt;=1,38+$K$33&lt;=72),INDEX($N$5:$N$76,38+$K$33),0)+IF(AND(38+$K$34&gt;=1,38+$K$34&lt;=72),INDEX($N$5:$N$76,38+$K$34),0)+IF(AND(38+$K$35&gt;=1,38+$K$35&lt;=72),INDEX($N$5:$N$76,38+$K$35),0))/3</f>
        <v/>
      </c>
      <c r="T42" s="130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31">
        <f>DATE(YEAR(B42),MONTH(B42)+1,1)</f>
        <v/>
      </c>
      <c r="C43" s="62">
        <f>'DADOS HISTORICOS'!AP38</f>
        <v/>
      </c>
      <c r="D43" s="49">
        <f>IF(B43&lt;='VALOR POR PL'!$P$5,0,IF($K$16="MDO PREVISION + MATERIAL PREMISSA",R43+U43,IF($K$17&gt;0,$K$18*P43/$K$17,0)))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RESUMO'!AP38</f>
        <v/>
      </c>
      <c r="N43" s="130">
        <f>MAX(0,M43-M42)</f>
        <v/>
      </c>
      <c r="O43" s="129">
        <f>IF(B43&lt;='VALOR POR PL'!$P$5,'CP RESUMO'!AP80,"")</f>
        <v/>
      </c>
      <c r="P43" s="71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0">
        <f>(IF(AND(39+$K$33&gt;=1,39+$K$33&lt;=72),INDEX($N$5:$N$76,39+$K$33),0)+IF(AND(39+$K$34&gt;=1,39+$K$34&lt;=72),INDEX($N$5:$N$76,39+$K$34),0)+IF(AND(39+$K$35&gt;=1,39+$K$35&lt;=72),INDEX($N$5:$N$76,39+$K$35),0))/3</f>
        <v/>
      </c>
      <c r="T43" s="130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31">
        <f>DATE(YEAR(B43),MONTH(B43)+1,1)</f>
        <v/>
      </c>
      <c r="C44" s="62">
        <f>'DADOS HISTORICOS'!AQ38</f>
        <v/>
      </c>
      <c r="D44" s="49">
        <f>IF(B44&lt;='VALOR POR PL'!$P$5,0,IF($K$16="MDO PREVISION + MATERIAL PREMISSA",R44+U44,IF($K$17&gt;0,$K$18*P44/$K$17,0)))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RESUMO'!AQ38</f>
        <v/>
      </c>
      <c r="N44" s="130">
        <f>MAX(0,M44-M43)</f>
        <v/>
      </c>
      <c r="O44" s="129">
        <f>IF(B44&lt;='VALOR POR PL'!$P$5,'CP RESUMO'!AQ80,"")</f>
        <v/>
      </c>
      <c r="P44" s="71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0">
        <f>(IF(AND(40+$K$33&gt;=1,40+$K$33&lt;=72),INDEX($N$5:$N$76,40+$K$33),0)+IF(AND(40+$K$34&gt;=1,40+$K$34&lt;=72),INDEX($N$5:$N$76,40+$K$34),0)+IF(AND(40+$K$35&gt;=1,40+$K$35&lt;=72),INDEX($N$5:$N$76,40+$K$35),0))/3</f>
        <v/>
      </c>
      <c r="T44" s="130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31">
        <f>DATE(YEAR(B44),MONTH(B44)+1,1)</f>
        <v/>
      </c>
      <c r="C45" s="62">
        <f>'DADOS HISTORICOS'!AR38</f>
        <v/>
      </c>
      <c r="D45" s="49">
        <f>IF(B45&lt;='VALOR POR PL'!$P$5,0,IF($K$16="MDO PREVISION + MATERIAL PREMISSA",R45+U45,IF($K$17&gt;0,$K$18*P45/$K$17,0)))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204179.37</v>
      </c>
      <c r="M45" s="129">
        <f>'CP RESUMO'!AR38</f>
        <v/>
      </c>
      <c r="N45" s="130">
        <f>MAX(0,M45-M44)</f>
        <v/>
      </c>
      <c r="O45" s="129">
        <f>IF(B45&lt;='VALOR POR PL'!$P$5,'CP RESUMO'!AR80,"")</f>
        <v/>
      </c>
      <c r="P45" s="71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0">
        <f>(IF(AND(41+$K$33&gt;=1,41+$K$33&lt;=72),INDEX($N$5:$N$76,41+$K$33),0)+IF(AND(41+$K$34&gt;=1,41+$K$34&lt;=72),INDEX($N$5:$N$76,41+$K$34),0)+IF(AND(41+$K$35&gt;=1,41+$K$35&lt;=72),INDEX($N$5:$N$76,41+$K$35),0))/3</f>
        <v/>
      </c>
      <c r="T45" s="130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31">
        <f>DATE(YEAR(B45),MONTH(B45)+1,1)</f>
        <v/>
      </c>
      <c r="C46" s="62">
        <f>'DADOS HISTORICOS'!AS38</f>
        <v/>
      </c>
      <c r="D46" s="49">
        <f>IF(B46&lt;='VALOR POR PL'!$P$5,0,IF($K$16="MDO PREVISION + MATERIAL PREMISSA",R46+U46,IF($K$17&gt;0,$K$18*P46/$K$17,0)))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174146.64</v>
      </c>
      <c r="M46" s="129">
        <f>'CP RESUMO'!AS38</f>
        <v/>
      </c>
      <c r="N46" s="130">
        <f>MAX(0,M46-M45)</f>
        <v/>
      </c>
      <c r="O46" s="129">
        <f>IF(B46&lt;='VALOR POR PL'!$P$5,'CP RESUMO'!AS80,"")</f>
        <v/>
      </c>
      <c r="P46" s="71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0">
        <f>(IF(AND(42+$K$33&gt;=1,42+$K$33&lt;=72),INDEX($N$5:$N$76,42+$K$33),0)+IF(AND(42+$K$34&gt;=1,42+$K$34&lt;=72),INDEX($N$5:$N$76,42+$K$34),0)+IF(AND(42+$K$35&gt;=1,42+$K$35&lt;=72),INDEX($N$5:$N$76,42+$K$35),0))/3</f>
        <v/>
      </c>
      <c r="T46" s="130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31">
        <f>DATE(YEAR(B46),MONTH(B46)+1,1)</f>
        <v/>
      </c>
      <c r="C47" s="62">
        <f>'DADOS HISTORICOS'!AT38</f>
        <v/>
      </c>
      <c r="D47" s="49">
        <f>IF(B47&lt;='VALOR POR PL'!$P$5,0,IF($K$16="MDO PREVISION + MATERIAL PREMISSA",R47+U47,IF($K$17&gt;0,$K$18*P47/$K$17,0)))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227082.03</v>
      </c>
      <c r="M47" s="129">
        <f>'CP RESUMO'!AT38</f>
        <v/>
      </c>
      <c r="N47" s="130">
        <f>MAX(0,M47-M46)</f>
        <v/>
      </c>
      <c r="O47" s="129">
        <f>IF(B47&lt;='VALOR POR PL'!$P$5,'CP RESUMO'!AT80,"")</f>
        <v/>
      </c>
      <c r="P47" s="71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0">
        <f>(IF(AND(43+$K$33&gt;=1,43+$K$33&lt;=72),INDEX($N$5:$N$76,43+$K$33),0)+IF(AND(43+$K$34&gt;=1,43+$K$34&lt;=72),INDEX($N$5:$N$76,43+$K$34),0)+IF(AND(43+$K$35&gt;=1,43+$K$35&lt;=72),INDEX($N$5:$N$76,43+$K$35),0))/3</f>
        <v/>
      </c>
      <c r="T47" s="130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31">
        <f>DATE(YEAR(B47),MONTH(B47)+1,1)</f>
        <v/>
      </c>
      <c r="C48" s="62">
        <f>'DADOS HISTORICOS'!AU38</f>
        <v/>
      </c>
      <c r="D48" s="49">
        <f>IF(B48&lt;='VALOR POR PL'!$P$5,0,IF($K$16="MDO PREVISION + MATERIAL PREMISSA",R48+U48,IF($K$17&gt;0,$K$18*P48/$K$17,0)))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213686.14</v>
      </c>
      <c r="M48" s="129">
        <f>'CP RESUMO'!AU38</f>
        <v/>
      </c>
      <c r="N48" s="130">
        <f>MAX(0,M48-M47)</f>
        <v/>
      </c>
      <c r="O48" s="129">
        <f>IF(B48&lt;='VALOR POR PL'!$P$5,'CP RESUMO'!AU80,"")</f>
        <v/>
      </c>
      <c r="P48" s="71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0">
        <f>(IF(AND(44+$K$33&gt;=1,44+$K$33&lt;=72),INDEX($N$5:$N$76,44+$K$33),0)+IF(AND(44+$K$34&gt;=1,44+$K$34&lt;=72),INDEX($N$5:$N$76,44+$K$34),0)+IF(AND(44+$K$35&gt;=1,44+$K$35&lt;=72),INDEX($N$5:$N$76,44+$K$35),0))/3</f>
        <v/>
      </c>
      <c r="T48" s="130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31">
        <f>DATE(YEAR(B48),MONTH(B48)+1,1)</f>
        <v/>
      </c>
      <c r="C49" s="62">
        <f>'DADOS HISTORICOS'!AV38</f>
        <v/>
      </c>
      <c r="D49" s="49">
        <f>IF(B49&lt;='VALOR POR PL'!$P$5,0,IF($K$16="MDO PREVISION + MATERIAL PREMISSA",R49+U49,IF($K$17&gt;0,$K$18*P49/$K$17,0)))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207420.32</v>
      </c>
      <c r="M49" s="129">
        <f>'CP RESUMO'!AV38</f>
        <v/>
      </c>
      <c r="N49" s="130">
        <f>MAX(0,M49-M48)</f>
        <v/>
      </c>
      <c r="O49" s="129">
        <f>IF(B49&lt;='VALOR POR PL'!$P$5,'CP RESUMO'!AV80,"")</f>
        <v/>
      </c>
      <c r="P49" s="71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0">
        <f>(IF(AND(45+$K$33&gt;=1,45+$K$33&lt;=72),INDEX($N$5:$N$76,45+$K$33),0)+IF(AND(45+$K$34&gt;=1,45+$K$34&lt;=72),INDEX($N$5:$N$76,45+$K$34),0)+IF(AND(45+$K$35&gt;=1,45+$K$35&lt;=72),INDEX($N$5:$N$76,45+$K$35),0))/3</f>
        <v/>
      </c>
      <c r="T49" s="130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31">
        <f>DATE(YEAR(B49),MONTH(B49)+1,1)</f>
        <v/>
      </c>
      <c r="C50" s="62">
        <f>'DADOS HISTORICOS'!AW38</f>
        <v/>
      </c>
      <c r="D50" s="49">
        <f>IF(B50&lt;='VALOR POR PL'!$P$5,0,IF($K$16="MDO PREVISION + MATERIAL PREMISSA",R50+U50,IF($K$17&gt;0,$K$18*P50/$K$17,0)))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226001.72</v>
      </c>
      <c r="M50" s="129">
        <f>'CP RESUMO'!AW38</f>
        <v/>
      </c>
      <c r="N50" s="130">
        <f>MAX(0,M50-M49)</f>
        <v/>
      </c>
      <c r="O50" s="129">
        <f>IF(B50&lt;='VALOR POR PL'!$P$5,'CP RESUMO'!AW80,"")</f>
        <v/>
      </c>
      <c r="P50" s="71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0">
        <f>(IF(AND(46+$K$33&gt;=1,46+$K$33&lt;=72),INDEX($N$5:$N$76,46+$K$33),0)+IF(AND(46+$K$34&gt;=1,46+$K$34&lt;=72),INDEX($N$5:$N$76,46+$K$34),0)+IF(AND(46+$K$35&gt;=1,46+$K$35&lt;=72),INDEX($N$5:$N$76,46+$K$35),0))/3</f>
        <v/>
      </c>
      <c r="T50" s="130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31">
        <f>DATE(YEAR(B50),MONTH(B50)+1,1)</f>
        <v/>
      </c>
      <c r="C51" s="62">
        <f>'DADOS HISTORICOS'!AX38</f>
        <v/>
      </c>
      <c r="D51" s="49">
        <f>IF(B51&lt;='VALOR POR PL'!$P$5,0,IF($K$16="MDO PREVISION + MATERIAL PREMISSA",R51+U51,IF($K$17&gt;0,$K$18*P51/$K$17,0)))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177603.65</v>
      </c>
      <c r="M51" s="129">
        <f>'CP RESUMO'!AX38</f>
        <v/>
      </c>
      <c r="N51" s="130">
        <f>MAX(0,M51-M50)</f>
        <v/>
      </c>
      <c r="O51" s="129">
        <f>IF(B51&lt;='VALOR POR PL'!$P$5,'CP RESUMO'!AX80,"")</f>
        <v/>
      </c>
      <c r="P51" s="71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0">
        <f>(IF(AND(47+$K$33&gt;=1,47+$K$33&lt;=72),INDEX($N$5:$N$76,47+$K$33),0)+IF(AND(47+$K$34&gt;=1,47+$K$34&lt;=72),INDEX($N$5:$N$76,47+$K$34),0)+IF(AND(47+$K$35&gt;=1,47+$K$35&lt;=72),INDEX($N$5:$N$76,47+$K$35),0))/3</f>
        <v/>
      </c>
      <c r="T51" s="130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31">
        <f>DATE(YEAR(B51),MONTH(B51)+1,1)</f>
        <v/>
      </c>
      <c r="C52" s="62">
        <f>'DADOS HISTORICOS'!AY38</f>
        <v/>
      </c>
      <c r="D52" s="49">
        <f>IF(B52&lt;='VALOR POR PL'!$P$5,0,IF($K$16="MDO PREVISION + MATERIAL PREMISSA",R52+U52,IF($K$17&gt;0,$K$18*P52/$K$17,0)))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186894.35</v>
      </c>
      <c r="M52" s="129">
        <f>'CP RESUMO'!AY38</f>
        <v/>
      </c>
      <c r="N52" s="130">
        <f>MAX(0,M52-M51)</f>
        <v/>
      </c>
      <c r="O52" s="129">
        <f>IF(B52&lt;='VALOR POR PL'!$P$5,'CP RESUMO'!AY80,"")</f>
        <v/>
      </c>
      <c r="P52" s="71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0">
        <f>(IF(AND(48+$K$33&gt;=1,48+$K$33&lt;=72),INDEX($N$5:$N$76,48+$K$33),0)+IF(AND(48+$K$34&gt;=1,48+$K$34&lt;=72),INDEX($N$5:$N$76,48+$K$34),0)+IF(AND(48+$K$35&gt;=1,48+$K$35&lt;=72),INDEX($N$5:$N$76,48+$K$35),0))/3</f>
        <v/>
      </c>
      <c r="T52" s="130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31">
        <f>DATE(YEAR(B52),MONTH(B52)+1,1)</f>
        <v/>
      </c>
      <c r="C53" s="62">
        <f>'DADOS HISTORICOS'!AZ38</f>
        <v/>
      </c>
      <c r="D53" s="49">
        <f>IF(B53&lt;='VALOR POR PL'!$P$5,0,IF($K$16="MDO PREVISION + MATERIAL PREMISSA",R53+U53,IF($K$17&gt;0,$K$18*P53/$K$17,0)))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176091.21</v>
      </c>
      <c r="M53" s="129">
        <f>'CP RESUMO'!AZ38</f>
        <v/>
      </c>
      <c r="N53" s="130">
        <f>MAX(0,M53-M52)</f>
        <v/>
      </c>
      <c r="O53" s="129">
        <f>IF(B53&lt;='VALOR POR PL'!$P$5,'CP RESUMO'!AZ80,"")</f>
        <v/>
      </c>
      <c r="P53" s="71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0">
        <f>(IF(AND(49+$K$33&gt;=1,49+$K$33&lt;=72),INDEX($N$5:$N$76,49+$K$33),0)+IF(AND(49+$K$34&gt;=1,49+$K$34&lt;=72),INDEX($N$5:$N$76,49+$K$34),0)+IF(AND(49+$K$35&gt;=1,49+$K$35&lt;=72),INDEX($N$5:$N$76,49+$K$35),0))/3</f>
        <v/>
      </c>
      <c r="T53" s="130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31">
        <f>DATE(YEAR(B53),MONTH(B53)+1,1)</f>
        <v/>
      </c>
      <c r="C54" s="62">
        <f>'DADOS HISTORICOS'!BA38</f>
        <v/>
      </c>
      <c r="D54" s="49">
        <f>IF(B54&lt;='VALOR POR PL'!$P$5,0,IF($K$16="MDO PREVISION + MATERIAL PREMISSA",R54+U54,IF($K$17&gt;0,$K$18*P54/$K$17,0)))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151676.11</v>
      </c>
      <c r="M54" s="129">
        <f>'CP RESUMO'!BA38</f>
        <v/>
      </c>
      <c r="N54" s="130">
        <f>MAX(0,M54-M53)</f>
        <v/>
      </c>
      <c r="O54" s="129">
        <f>IF(B54&lt;='VALOR POR PL'!$P$5,'CP RESUMO'!BA80,"")</f>
        <v/>
      </c>
      <c r="P54" s="71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0">
        <f>(IF(AND(50+$K$33&gt;=1,50+$K$33&lt;=72),INDEX($N$5:$N$76,50+$K$33),0)+IF(AND(50+$K$34&gt;=1,50+$K$34&lt;=72),INDEX($N$5:$N$76,50+$K$34),0)+IF(AND(50+$K$35&gt;=1,50+$K$35&lt;=72),INDEX($N$5:$N$76,50+$K$35),0))/3</f>
        <v/>
      </c>
      <c r="T54" s="130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31">
        <f>DATE(YEAR(B54),MONTH(B54)+1,1)</f>
        <v/>
      </c>
      <c r="C55" s="62">
        <f>'DADOS HISTORICOS'!BB38</f>
        <v/>
      </c>
      <c r="D55" s="49">
        <f>IF(B55&lt;='VALOR POR PL'!$P$5,0,IF($K$16="MDO PREVISION + MATERIAL PREMISSA",R55+U55,IF($K$17&gt;0,$K$18*P55/$K$17,0)))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187326.47</v>
      </c>
      <c r="M55" s="129">
        <f>'CP RESUMO'!BB38</f>
        <v/>
      </c>
      <c r="N55" s="130">
        <f>MAX(0,M55-M54)</f>
        <v/>
      </c>
      <c r="O55" s="129">
        <f>IF(B55&lt;='VALOR POR PL'!$P$5,'CP RESUMO'!BB80,"")</f>
        <v/>
      </c>
      <c r="P55" s="71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0">
        <f>(IF(AND(51+$K$33&gt;=1,51+$K$33&lt;=72),INDEX($N$5:$N$76,51+$K$33),0)+IF(AND(51+$K$34&gt;=1,51+$K$34&lt;=72),INDEX($N$5:$N$76,51+$K$34),0)+IF(AND(51+$K$35&gt;=1,51+$K$35&lt;=72),INDEX($N$5:$N$76,51+$K$35),0))/3</f>
        <v/>
      </c>
      <c r="T55" s="130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31">
        <f>DATE(YEAR(B55),MONTH(B55)+1,1)</f>
        <v/>
      </c>
      <c r="C56" s="62">
        <f>'DADOS HISTORICOS'!BC38</f>
        <v/>
      </c>
      <c r="D56" s="49">
        <f>IF(B56&lt;='VALOR POR PL'!$P$5,0,IF($K$16="MDO PREVISION + MATERIAL PREMISSA",R56+U56,IF($K$17&gt;0,$K$18*P56/$K$17,0)))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28520.29</v>
      </c>
      <c r="M56" s="129">
        <f>'CP RESUMO'!BC38</f>
        <v/>
      </c>
      <c r="N56" s="130">
        <f>MAX(0,M56-M55)</f>
        <v/>
      </c>
      <c r="O56" s="129">
        <f>IF(B56&lt;='VALOR POR PL'!$P$5,'CP RESUMO'!BC80,"")</f>
        <v/>
      </c>
      <c r="P56" s="71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0">
        <f>(IF(AND(52+$K$33&gt;=1,52+$K$33&lt;=72),INDEX($N$5:$N$76,52+$K$33),0)+IF(AND(52+$K$34&gt;=1,52+$K$34&lt;=72),INDEX($N$5:$N$76,52+$K$34),0)+IF(AND(52+$K$35&gt;=1,52+$K$35&lt;=72),INDEX($N$5:$N$76,52+$K$35),0))/3</f>
        <v/>
      </c>
      <c r="T56" s="130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31">
        <f>DATE(YEAR(B56),MONTH(B56)+1,1)</f>
        <v/>
      </c>
      <c r="C57" s="62">
        <f>'DADOS HISTORICOS'!BD38</f>
        <v/>
      </c>
      <c r="D57" s="49">
        <f>IF(B57&lt;='VALOR POR PL'!$P$5,0,IF($K$16="MDO PREVISION + MATERIAL PREMISSA",R57+U57,IF($K$17&gt;0,$K$18*P57/$K$17,0)))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RESUMO'!BD38</f>
        <v/>
      </c>
      <c r="N57" s="130">
        <f>MAX(0,M57-M56)</f>
        <v/>
      </c>
      <c r="O57" s="129">
        <f>IF(B57&lt;='VALOR POR PL'!$P$5,'CP RESUMO'!BD80,"")</f>
        <v/>
      </c>
      <c r="P57" s="71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0">
        <f>(IF(AND(53+$K$33&gt;=1,53+$K$33&lt;=72),INDEX($N$5:$N$76,53+$K$33),0)+IF(AND(53+$K$34&gt;=1,53+$K$34&lt;=72),INDEX($N$5:$N$76,53+$K$34),0)+IF(AND(53+$K$35&gt;=1,53+$K$35&lt;=72),INDEX($N$5:$N$76,53+$K$35),0))/3</f>
        <v/>
      </c>
      <c r="T57" s="130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31">
        <f>DATE(YEAR(B57),MONTH(B57)+1,1)</f>
        <v/>
      </c>
      <c r="C58" s="62">
        <f>'DADOS HISTORICOS'!BE38</f>
        <v/>
      </c>
      <c r="D58" s="49">
        <f>IF(B58&lt;='VALOR POR PL'!$P$5,0,IF($K$16="MDO PREVISION + MATERIAL PREMISSA",R58+U58,IF($K$17&gt;0,$K$18*P58/$K$17,0)))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RESUMO'!BE38</f>
        <v/>
      </c>
      <c r="N58" s="130">
        <f>MAX(0,M58-M57)</f>
        <v/>
      </c>
      <c r="O58" s="129">
        <f>IF(B58&lt;='VALOR POR PL'!$P$5,'CP RESUMO'!BE80,"")</f>
        <v/>
      </c>
      <c r="P58" s="71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0">
        <f>(IF(AND(54+$K$33&gt;=1,54+$K$33&lt;=72),INDEX($N$5:$N$76,54+$K$33),0)+IF(AND(54+$K$34&gt;=1,54+$K$34&lt;=72),INDEX($N$5:$N$76,54+$K$34),0)+IF(AND(54+$K$35&gt;=1,54+$K$35&lt;=72),INDEX($N$5:$N$76,54+$K$35),0))/3</f>
        <v/>
      </c>
      <c r="T58" s="130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31">
        <f>DATE(YEAR(B58),MONTH(B58)+1,1)</f>
        <v/>
      </c>
      <c r="C59" s="62">
        <f>'DADOS HISTORICOS'!BF38</f>
        <v/>
      </c>
      <c r="D59" s="49">
        <f>IF(B59&lt;='VALOR POR PL'!$P$5,0,IF($K$16="MDO PREVISION + MATERIAL PREMISSA",R59+U59,IF($K$17&gt;0,$K$18*P59/$K$17,0)))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RESUMO'!BF38</f>
        <v/>
      </c>
      <c r="N59" s="130">
        <f>MAX(0,M59-M58)</f>
        <v/>
      </c>
      <c r="O59" s="129">
        <f>IF(B59&lt;='VALOR POR PL'!$P$5,'CP RESUMO'!BF80,"")</f>
        <v/>
      </c>
      <c r="P59" s="71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0">
        <f>(IF(AND(55+$K$33&gt;=1,55+$K$33&lt;=72),INDEX($N$5:$N$76,55+$K$33),0)+IF(AND(55+$K$34&gt;=1,55+$K$34&lt;=72),INDEX($N$5:$N$76,55+$K$34),0)+IF(AND(55+$K$35&gt;=1,55+$K$35&lt;=72),INDEX($N$5:$N$76,55+$K$35),0))/3</f>
        <v/>
      </c>
      <c r="T59" s="130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31">
        <f>DATE(YEAR(B59),MONTH(B59)+1,1)</f>
        <v/>
      </c>
      <c r="C60" s="62">
        <f>'DADOS HISTORICOS'!BG38</f>
        <v/>
      </c>
      <c r="D60" s="49">
        <f>IF(B60&lt;='VALOR POR PL'!$P$5,0,IF($K$16="MDO PREVISION + MATERIAL PREMISSA",R60+U60,IF($K$17&gt;0,$K$18*P60/$K$17,0)))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RESUMO'!BG38</f>
        <v/>
      </c>
      <c r="N60" s="130">
        <f>MAX(0,M60-M59)</f>
        <v/>
      </c>
      <c r="O60" s="129">
        <f>IF(B60&lt;='VALOR POR PL'!$P$5,'CP RESUMO'!BG80,"")</f>
        <v/>
      </c>
      <c r="P60" s="71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0">
        <f>(IF(AND(56+$K$33&gt;=1,56+$K$33&lt;=72),INDEX($N$5:$N$76,56+$K$33),0)+IF(AND(56+$K$34&gt;=1,56+$K$34&lt;=72),INDEX($N$5:$N$76,56+$K$34),0)+IF(AND(56+$K$35&gt;=1,56+$K$35&lt;=72),INDEX($N$5:$N$76,56+$K$35),0))/3</f>
        <v/>
      </c>
      <c r="T60" s="130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31">
        <f>DATE(YEAR(B60),MONTH(B60)+1,1)</f>
        <v/>
      </c>
      <c r="C61" s="62">
        <f>'DADOS HISTORICOS'!BH38</f>
        <v/>
      </c>
      <c r="D61" s="49">
        <f>IF(B61&lt;='VALOR POR PL'!$P$5,0,IF($K$16="MDO PREVISION + MATERIAL PREMISSA",R61+U61,IF($K$17&gt;0,$K$18*P61/$K$17,0)))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RESUMO'!BH38</f>
        <v/>
      </c>
      <c r="N61" s="130">
        <f>MAX(0,M61-M60)</f>
        <v/>
      </c>
      <c r="O61" s="129">
        <f>IF(B61&lt;='VALOR POR PL'!$P$5,'CP RESUMO'!BH80,"")</f>
        <v/>
      </c>
      <c r="P61" s="71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0">
        <f>(IF(AND(57+$K$33&gt;=1,57+$K$33&lt;=72),INDEX($N$5:$N$76,57+$K$33),0)+IF(AND(57+$K$34&gt;=1,57+$K$34&lt;=72),INDEX($N$5:$N$76,57+$K$34),0)+IF(AND(57+$K$35&gt;=1,57+$K$35&lt;=72),INDEX($N$5:$N$76,57+$K$35),0))/3</f>
        <v/>
      </c>
      <c r="T61" s="130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31">
        <f>DATE(YEAR(B61),MONTH(B61)+1,1)</f>
        <v/>
      </c>
      <c r="C62" s="62">
        <f>'DADOS HISTORICOS'!BI38</f>
        <v/>
      </c>
      <c r="D62" s="49">
        <f>IF(B62&lt;='VALOR POR PL'!$P$5,0,IF($K$16="MDO PREVISION + MATERIAL PREMISSA",R62+U62,IF($K$17&gt;0,$K$18*P62/$K$17,0)))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RESUMO'!BI38</f>
        <v/>
      </c>
      <c r="N62" s="130">
        <f>MAX(0,M62-M61)</f>
        <v/>
      </c>
      <c r="O62" s="129">
        <f>IF(B62&lt;='VALOR POR PL'!$P$5,'CP RESUMO'!BI80,"")</f>
        <v/>
      </c>
      <c r="P62" s="71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0">
        <f>(IF(AND(58+$K$33&gt;=1,58+$K$33&lt;=72),INDEX($N$5:$N$76,58+$K$33),0)+IF(AND(58+$K$34&gt;=1,58+$K$34&lt;=72),INDEX($N$5:$N$76,58+$K$34),0)+IF(AND(58+$K$35&gt;=1,58+$K$35&lt;=72),INDEX($N$5:$N$76,58+$K$35),0))/3</f>
        <v/>
      </c>
      <c r="T62" s="130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31">
        <f>DATE(YEAR(B62),MONTH(B62)+1,1)</f>
        <v/>
      </c>
      <c r="C63" s="62">
        <f>'DADOS HISTORICOS'!BJ38</f>
        <v/>
      </c>
      <c r="D63" s="49">
        <f>IF(B63&lt;='VALOR POR PL'!$P$5,0,IF($K$16="MDO PREVISION + MATERIAL PREMISSA",R63+U63,IF($K$17&gt;0,$K$18*P63/$K$17,0)))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RESUMO'!BJ38</f>
        <v/>
      </c>
      <c r="N63" s="130">
        <f>MAX(0,M63-M62)</f>
        <v/>
      </c>
      <c r="O63" s="129">
        <f>IF(B63&lt;='VALOR POR PL'!$P$5,'CP RESUMO'!BJ80,"")</f>
        <v/>
      </c>
      <c r="P63" s="71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0">
        <f>(IF(AND(59+$K$33&gt;=1,59+$K$33&lt;=72),INDEX($N$5:$N$76,59+$K$33),0)+IF(AND(59+$K$34&gt;=1,59+$K$34&lt;=72),INDEX($N$5:$N$76,59+$K$34),0)+IF(AND(59+$K$35&gt;=1,59+$K$35&lt;=72),INDEX($N$5:$N$76,59+$K$35),0))/3</f>
        <v/>
      </c>
      <c r="T63" s="130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31">
        <f>DATE(YEAR(B63),MONTH(B63)+1,1)</f>
        <v/>
      </c>
      <c r="C64" s="62">
        <f>'DADOS HISTORICOS'!BK38</f>
        <v/>
      </c>
      <c r="D64" s="49">
        <f>IF(B64&lt;='VALOR POR PL'!$P$5,0,IF($K$16="MDO PREVISION + MATERIAL PREMISSA",R64+U64,IF($K$17&gt;0,$K$18*P64/$K$17,0)))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RESUMO'!BK38</f>
        <v/>
      </c>
      <c r="N64" s="130">
        <f>MAX(0,M64-M63)</f>
        <v/>
      </c>
      <c r="O64" s="129">
        <f>IF(B64&lt;='VALOR POR PL'!$P$5,'CP RESUMO'!BK80,"")</f>
        <v/>
      </c>
      <c r="P64" s="71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0">
        <f>(IF(AND(60+$K$33&gt;=1,60+$K$33&lt;=72),INDEX($N$5:$N$76,60+$K$33),0)+IF(AND(60+$K$34&gt;=1,60+$K$34&lt;=72),INDEX($N$5:$N$76,60+$K$34),0)+IF(AND(60+$K$35&gt;=1,60+$K$35&lt;=72),INDEX($N$5:$N$76,60+$K$35),0))/3</f>
        <v/>
      </c>
      <c r="T64" s="130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31">
        <f>DATE(YEAR(B64),MONTH(B64)+1,1)</f>
        <v/>
      </c>
      <c r="C65" s="62">
        <f>'DADOS HISTORICOS'!BL38</f>
        <v/>
      </c>
      <c r="D65" s="49">
        <f>IF(B65&lt;='VALOR POR PL'!$P$5,0,IF($K$16="MDO PREVISION + MATERIAL PREMISSA",R65+U65,IF($K$17&gt;0,$K$18*P65/$K$17,0)))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RESUMO'!BL38</f>
        <v/>
      </c>
      <c r="N65" s="130">
        <f>MAX(0,M65-M64)</f>
        <v/>
      </c>
      <c r="O65" s="129">
        <f>IF(B65&lt;='VALOR POR PL'!$P$5,'CP RESUMO'!BL80,"")</f>
        <v/>
      </c>
      <c r="P65" s="71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0">
        <f>(IF(AND(61+$K$33&gt;=1,61+$K$33&lt;=72),INDEX($N$5:$N$76,61+$K$33),0)+IF(AND(61+$K$34&gt;=1,61+$K$34&lt;=72),INDEX($N$5:$N$76,61+$K$34),0)+IF(AND(61+$K$35&gt;=1,61+$K$35&lt;=72),INDEX($N$5:$N$76,61+$K$35),0))/3</f>
        <v/>
      </c>
      <c r="T65" s="130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31">
        <f>DATE(YEAR(B65),MONTH(B65)+1,1)</f>
        <v/>
      </c>
      <c r="C66" s="62">
        <f>'DADOS HISTORICOS'!BM38</f>
        <v/>
      </c>
      <c r="D66" s="49">
        <f>IF(B66&lt;='VALOR POR PL'!$P$5,0,IF($K$16="MDO PREVISION + MATERIAL PREMISSA",R66+U66,IF($K$17&gt;0,$K$18*P66/$K$17,0)))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RESUMO'!BM38</f>
        <v/>
      </c>
      <c r="N66" s="130">
        <f>MAX(0,M66-M65)</f>
        <v/>
      </c>
      <c r="O66" s="129">
        <f>IF(B66&lt;='VALOR POR PL'!$P$5,'CP RESUMO'!BM80,"")</f>
        <v/>
      </c>
      <c r="P66" s="71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0">
        <f>(IF(AND(62+$K$33&gt;=1,62+$K$33&lt;=72),INDEX($N$5:$N$76,62+$K$33),0)+IF(AND(62+$K$34&gt;=1,62+$K$34&lt;=72),INDEX($N$5:$N$76,62+$K$34),0)+IF(AND(62+$K$35&gt;=1,62+$K$35&lt;=72),INDEX($N$5:$N$76,62+$K$35),0))/3</f>
        <v/>
      </c>
      <c r="T66" s="130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31">
        <f>DATE(YEAR(B66),MONTH(B66)+1,1)</f>
        <v/>
      </c>
      <c r="C67" s="62">
        <f>'DADOS HISTORICOS'!BN38</f>
        <v/>
      </c>
      <c r="D67" s="49">
        <f>IF(B67&lt;='VALOR POR PL'!$P$5,0,IF($K$16="MDO PREVISION + MATERIAL PREMISSA",R67+U67,IF($K$17&gt;0,$K$18*P67/$K$17,0)))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RESUMO'!BN38</f>
        <v/>
      </c>
      <c r="N67" s="130">
        <f>MAX(0,M67-M66)</f>
        <v/>
      </c>
      <c r="O67" s="129">
        <f>IF(B67&lt;='VALOR POR PL'!$P$5,'CP RESUMO'!BN80,"")</f>
        <v/>
      </c>
      <c r="P67" s="71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0">
        <f>(IF(AND(63+$K$33&gt;=1,63+$K$33&lt;=72),INDEX($N$5:$N$76,63+$K$33),0)+IF(AND(63+$K$34&gt;=1,63+$K$34&lt;=72),INDEX($N$5:$N$76,63+$K$34),0)+IF(AND(63+$K$35&gt;=1,63+$K$35&lt;=72),INDEX($N$5:$N$76,63+$K$35),0))/3</f>
        <v/>
      </c>
      <c r="T67" s="130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31">
        <f>DATE(YEAR(B67),MONTH(B67)+1,1)</f>
        <v/>
      </c>
      <c r="C68" s="62">
        <f>'DADOS HISTORICOS'!BO38</f>
        <v/>
      </c>
      <c r="D68" s="49">
        <f>IF(B68&lt;='VALOR POR PL'!$P$5,0,IF($K$16="MDO PREVISION + MATERIAL PREMISSA",R68+U68,IF($K$17&gt;0,$K$18*P68/$K$17,0)))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RESUMO'!BO38</f>
        <v/>
      </c>
      <c r="N68" s="130">
        <f>MAX(0,M68-M67)</f>
        <v/>
      </c>
      <c r="O68" s="129">
        <f>IF(B68&lt;='VALOR POR PL'!$P$5,'CP RESUMO'!BO80,"")</f>
        <v/>
      </c>
      <c r="P68" s="71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0">
        <f>(IF(AND(64+$K$33&gt;=1,64+$K$33&lt;=72),INDEX($N$5:$N$76,64+$K$33),0)+IF(AND(64+$K$34&gt;=1,64+$K$34&lt;=72),INDEX($N$5:$N$76,64+$K$34),0)+IF(AND(64+$K$35&gt;=1,64+$K$35&lt;=72),INDEX($N$5:$N$76,64+$K$35),0))/3</f>
        <v/>
      </c>
      <c r="T68" s="130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31">
        <f>DATE(YEAR(B68),MONTH(B68)+1,1)</f>
        <v/>
      </c>
      <c r="C69" s="62">
        <f>'DADOS HISTORICOS'!BP38</f>
        <v/>
      </c>
      <c r="D69" s="49">
        <f>IF(B69&lt;='VALOR POR PL'!$P$5,0,IF($K$16="MDO PREVISION + MATERIAL PREMISSA",R69+U69,IF($K$17&gt;0,$K$18*P69/$K$17,0)))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RESUMO'!BP38</f>
        <v/>
      </c>
      <c r="N69" s="130">
        <f>MAX(0,M69-M68)</f>
        <v/>
      </c>
      <c r="O69" s="129">
        <f>IF(B69&lt;='VALOR POR PL'!$P$5,'CP RESUMO'!BP80,"")</f>
        <v/>
      </c>
      <c r="P69" s="71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0">
        <f>(IF(AND(65+$K$33&gt;=1,65+$K$33&lt;=72),INDEX($N$5:$N$76,65+$K$33),0)+IF(AND(65+$K$34&gt;=1,65+$K$34&lt;=72),INDEX($N$5:$N$76,65+$K$34),0)+IF(AND(65+$K$35&gt;=1,65+$K$35&lt;=72),INDEX($N$5:$N$76,65+$K$35),0))/3</f>
        <v/>
      </c>
      <c r="T69" s="130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31">
        <f>DATE(YEAR(B69),MONTH(B69)+1,1)</f>
        <v/>
      </c>
      <c r="C70" s="62">
        <f>'DADOS HISTORICOS'!BQ38</f>
        <v/>
      </c>
      <c r="D70" s="49">
        <f>IF(B70&lt;='VALOR POR PL'!$P$5,0,IF($K$16="MDO PREVISION + MATERIAL PREMISSA",R70+U70,IF($K$17&gt;0,$K$18*P70/$K$17,0)))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RESUMO'!BQ38</f>
        <v/>
      </c>
      <c r="N70" s="130">
        <f>MAX(0,M70-M69)</f>
        <v/>
      </c>
      <c r="O70" s="129">
        <f>IF(B70&lt;='VALOR POR PL'!$P$5,'CP RESUMO'!BQ80,"")</f>
        <v/>
      </c>
      <c r="P70" s="71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0">
        <f>(IF(AND(66+$K$33&gt;=1,66+$K$33&lt;=72),INDEX($N$5:$N$76,66+$K$33),0)+IF(AND(66+$K$34&gt;=1,66+$K$34&lt;=72),INDEX($N$5:$N$76,66+$K$34),0)+IF(AND(66+$K$35&gt;=1,66+$K$35&lt;=72),INDEX($N$5:$N$76,66+$K$35),0))/3</f>
        <v/>
      </c>
      <c r="T70" s="130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31">
        <f>DATE(YEAR(B70),MONTH(B70)+1,1)</f>
        <v/>
      </c>
      <c r="C71" s="62">
        <f>'DADOS HISTORICOS'!BR38</f>
        <v/>
      </c>
      <c r="D71" s="49">
        <f>IF(B71&lt;='VALOR POR PL'!$P$5,0,IF($K$16="MDO PREVISION + MATERIAL PREMISSA",R71+U71,IF($K$17&gt;0,$K$18*P71/$K$17,0)))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RESUMO'!BR38</f>
        <v/>
      </c>
      <c r="N71" s="130">
        <f>MAX(0,M71-M70)</f>
        <v/>
      </c>
      <c r="O71" s="129">
        <f>IF(B71&lt;='VALOR POR PL'!$P$5,'CP RESUMO'!BR80,"")</f>
        <v/>
      </c>
      <c r="P71" s="71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0">
        <f>(IF(AND(67+$K$33&gt;=1,67+$K$33&lt;=72),INDEX($N$5:$N$76,67+$K$33),0)+IF(AND(67+$K$34&gt;=1,67+$K$34&lt;=72),INDEX($N$5:$N$76,67+$K$34),0)+IF(AND(67+$K$35&gt;=1,67+$K$35&lt;=72),INDEX($N$5:$N$76,67+$K$35),0))/3</f>
        <v/>
      </c>
      <c r="T71" s="130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31">
        <f>DATE(YEAR(B71),MONTH(B71)+1,1)</f>
        <v/>
      </c>
      <c r="C72" s="62">
        <f>'DADOS HISTORICOS'!BS38</f>
        <v/>
      </c>
      <c r="D72" s="49">
        <f>IF(B72&lt;='VALOR POR PL'!$P$5,0,IF($K$16="MDO PREVISION + MATERIAL PREMISSA",R72+U72,IF($K$17&gt;0,$K$18*P72/$K$17,0)))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RESUMO'!BS38</f>
        <v/>
      </c>
      <c r="N72" s="130">
        <f>MAX(0,M72-M71)</f>
        <v/>
      </c>
      <c r="O72" s="129">
        <f>IF(B72&lt;='VALOR POR PL'!$P$5,'CP RESUMO'!BS80,"")</f>
        <v/>
      </c>
      <c r="P72" s="71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0">
        <f>(IF(AND(68+$K$33&gt;=1,68+$K$33&lt;=72),INDEX($N$5:$N$76,68+$K$33),0)+IF(AND(68+$K$34&gt;=1,68+$K$34&lt;=72),INDEX($N$5:$N$76,68+$K$34),0)+IF(AND(68+$K$35&gt;=1,68+$K$35&lt;=72),INDEX($N$5:$N$76,68+$K$35),0))/3</f>
        <v/>
      </c>
      <c r="T72" s="130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31">
        <f>DATE(YEAR(B72),MONTH(B72)+1,1)</f>
        <v/>
      </c>
      <c r="C73" s="62">
        <f>'DADOS HISTORICOS'!BT38</f>
        <v/>
      </c>
      <c r="D73" s="49">
        <f>IF(B73&lt;='VALOR POR PL'!$P$5,0,IF($K$16="MDO PREVISION + MATERIAL PREMISSA",R73+U73,IF($K$17&gt;0,$K$18*P73/$K$17,0)))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RESUMO'!BT38</f>
        <v/>
      </c>
      <c r="N73" s="130">
        <f>MAX(0,M73-M72)</f>
        <v/>
      </c>
      <c r="O73" s="129">
        <f>IF(B73&lt;='VALOR POR PL'!$P$5,'CP RESUMO'!BT80,"")</f>
        <v/>
      </c>
      <c r="P73" s="71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0">
        <f>(IF(AND(69+$K$33&gt;=1,69+$K$33&lt;=72),INDEX($N$5:$N$76,69+$K$33),0)+IF(AND(69+$K$34&gt;=1,69+$K$34&lt;=72),INDEX($N$5:$N$76,69+$K$34),0)+IF(AND(69+$K$35&gt;=1,69+$K$35&lt;=72),INDEX($N$5:$N$76,69+$K$35),0))/3</f>
        <v/>
      </c>
      <c r="T73" s="130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31">
        <f>DATE(YEAR(B73),MONTH(B73)+1,1)</f>
        <v/>
      </c>
      <c r="C74" s="62">
        <f>'DADOS HISTORICOS'!BU38</f>
        <v/>
      </c>
      <c r="D74" s="49">
        <f>IF(B74&lt;='VALOR POR PL'!$P$5,0,IF($K$16="MDO PREVISION + MATERIAL PREMISSA",R74+U74,IF($K$17&gt;0,$K$18*P74/$K$17,0)))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RESUMO'!BU38</f>
        <v/>
      </c>
      <c r="N74" s="130">
        <f>MAX(0,M74-M73)</f>
        <v/>
      </c>
      <c r="O74" s="129">
        <f>IF(B74&lt;='VALOR POR PL'!$P$5,'CP RESUMO'!BU80,"")</f>
        <v/>
      </c>
      <c r="P74" s="71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0">
        <f>(IF(AND(70+$K$33&gt;=1,70+$K$33&lt;=72),INDEX($N$5:$N$76,70+$K$33),0)+IF(AND(70+$K$34&gt;=1,70+$K$34&lt;=72),INDEX($N$5:$N$76,70+$K$34),0)+IF(AND(70+$K$35&gt;=1,70+$K$35&lt;=72),INDEX($N$5:$N$76,70+$K$35),0))/3</f>
        <v/>
      </c>
      <c r="T74" s="130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31">
        <f>DATE(YEAR(B74),MONTH(B74)+1,1)</f>
        <v/>
      </c>
      <c r="C75" s="62">
        <f>'DADOS HISTORICOS'!BV38</f>
        <v/>
      </c>
      <c r="D75" s="49">
        <f>IF(B75&lt;='VALOR POR PL'!$P$5,0,IF($K$16="MDO PREVISION + MATERIAL PREMISSA",R75+U75,IF($K$17&gt;0,$K$18*P75/$K$17,0)))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RESUMO'!BV38</f>
        <v/>
      </c>
      <c r="N75" s="130">
        <f>MAX(0,M75-M74)</f>
        <v/>
      </c>
      <c r="O75" s="129">
        <f>IF(B75&lt;='VALOR POR PL'!$P$5,'CP RESUMO'!BV80,"")</f>
        <v/>
      </c>
      <c r="P75" s="71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0">
        <f>(IF(AND(71+$K$33&gt;=1,71+$K$33&lt;=72),INDEX($N$5:$N$76,71+$K$33),0)+IF(AND(71+$K$34&gt;=1,71+$K$34&lt;=72),INDEX($N$5:$N$76,71+$K$34),0)+IF(AND(71+$K$35&gt;=1,71+$K$35&lt;=72),INDEX($N$5:$N$76,71+$K$35),0))/3</f>
        <v/>
      </c>
      <c r="T75" s="130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31">
        <f>DATE(YEAR(B75),MONTH(B75)+1,1)</f>
        <v/>
      </c>
      <c r="C76" s="62">
        <f>'DADOS HISTORICOS'!BW38</f>
        <v/>
      </c>
      <c r="D76" s="49">
        <f>IF(B76&lt;='VALOR POR PL'!$P$5,0,IF($K$16="MDO PREVISION + MATERIAL PREMISSA",R76+U76,IF($K$17&gt;0,$K$18*P76/$K$17,0)))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RESUMO'!BW38</f>
        <v/>
      </c>
      <c r="N76" s="130">
        <f>MAX(0,M76-M75)</f>
        <v/>
      </c>
      <c r="O76" s="129">
        <f>IF(B76&lt;='VALOR POR PL'!$P$5,'CP RESUMO'!BW80,"")</f>
        <v/>
      </c>
      <c r="P76" s="71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0">
        <f>(IF(AND(72+$K$33&gt;=1,72+$K$33&lt;=72),INDEX($N$5:$N$76,72+$K$33),0)+IF(AND(72+$K$34&gt;=1,72+$K$34&lt;=72),INDEX($N$5:$N$76,72+$K$34),0)+IF(AND(72+$K$35&gt;=1,72+$K$35&lt;=72),INDEX($N$5:$N$76,72+$K$35),0))/3</f>
        <v/>
      </c>
      <c r="T76" s="130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  <c r="R78" s="64">
        <f>SUM(R5:R76)</f>
        <v/>
      </c>
      <c r="U78" s="64">
        <f>SUM(U5:U76)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INFORMADA,MDO PREVISION + MATERIAL PREMISSA"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HISTORICOS'!D39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PL'!F45</f>
        <v/>
      </c>
      <c r="K5" s="62">
        <f>'VALOR POR PL'!G45</f>
        <v/>
      </c>
      <c r="M5" s="129">
        <f>'CP RESUMO'!D39</f>
        <v/>
      </c>
      <c r="N5" s="130" t="n">
        <v>0</v>
      </c>
      <c r="O5" s="129">
        <f>IF(B5&lt;='VALOR POR PL'!$P$5,'CP RESUMO'!D81,"")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HISTORICOS'!E39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RESUMO'!E39</f>
        <v/>
      </c>
      <c r="N6" s="130">
        <f>MAX(0,M6-M5)</f>
        <v/>
      </c>
      <c r="O6" s="129">
        <f>IF(B6&lt;='VALOR POR PL'!$P$5,'CP RESUMO'!E81,"")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HISTORICOS'!F39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PL'!L45</f>
        <v/>
      </c>
      <c r="M7" s="129">
        <f>'CP RESUMO'!F39</f>
        <v/>
      </c>
      <c r="N7" s="130">
        <f>MAX(0,M7-M6)</f>
        <v/>
      </c>
      <c r="O7" s="129">
        <f>IF(B7&lt;='VALOR POR PL'!$P$5,'CP RESUMO'!F81,"")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HISTORICOS'!G39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RESUMO'!G39</f>
        <v/>
      </c>
      <c r="N8" s="130">
        <f>MAX(0,M8-M7)</f>
        <v/>
      </c>
      <c r="O8" s="129">
        <f>IF(B8&lt;='VALOR POR PL'!$P$5,'CP RESUMO'!G81,"")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HISTORICOS'!H39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RESUMO'!H39</f>
        <v/>
      </c>
      <c r="N9" s="130">
        <f>MAX(0,M9-M8)</f>
        <v/>
      </c>
      <c r="O9" s="129">
        <f>IF(B9&lt;='VALOR POR PL'!$P$5,'CP RESUMO'!H81,"")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HISTORICOS'!I39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RESUMO'!I39</f>
        <v/>
      </c>
      <c r="N10" s="130">
        <f>MAX(0,M10-M9)</f>
        <v/>
      </c>
      <c r="O10" s="129">
        <f>IF(B10&lt;='VALOR POR PL'!$P$5,'CP RESUMO'!I81,"")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HISTORICOS'!J39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RESUMO'!J39</f>
        <v/>
      </c>
      <c r="N11" s="130">
        <f>MAX(0,M11-M10)</f>
        <v/>
      </c>
      <c r="O11" s="129">
        <f>IF(B11&lt;='VALOR POR PL'!$P$5,'CP RESUMO'!J81,"")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HISTORICOS'!K39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RESUMO'!K39</f>
        <v/>
      </c>
      <c r="N12" s="130">
        <f>MAX(0,M12-M11)</f>
        <v/>
      </c>
      <c r="O12" s="129">
        <f>IF(B12&lt;='VALOR POR PL'!$P$5,'CP RESUMO'!K81,"")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HISTORICOS'!L39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PL'!I45</f>
        <v/>
      </c>
      <c r="M13" s="129">
        <f>'CP RESUMO'!L39</f>
        <v/>
      </c>
      <c r="N13" s="130">
        <f>MAX(0,M13-M12)</f>
        <v/>
      </c>
      <c r="O13" s="129">
        <f>IF(B13&lt;='VALOR POR PL'!$P$5,'CP RESUMO'!L81,"")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HISTORICOS'!M39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RESUMO'!$D$81:$BW$81,MATCH('VALOR POR PL'!$P$5,'CP RESUMO'!$D$4:$BW$4,0))/100,0)</f>
        <v/>
      </c>
      <c r="M14" s="129">
        <f>'CP RESUMO'!M39</f>
        <v/>
      </c>
      <c r="N14" s="130">
        <f>MAX(0,M14-M13)</f>
        <v/>
      </c>
      <c r="O14" s="129">
        <f>IF(B14&lt;='VALOR POR PL'!$P$5,'CP RESUMO'!M81,"")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HISTORICOS'!N39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RESUMO'!N39</f>
        <v/>
      </c>
      <c r="N15" s="130">
        <f>MAX(0,M15-M14)</f>
        <v/>
      </c>
      <c r="O15" s="129">
        <f>IF(B15&lt;='VALOR POR PL'!$P$5,'CP RESUMO'!N81,"")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HISTORICOS'!O39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RESUMO'!O39</f>
        <v/>
      </c>
      <c r="N16" s="130">
        <f>MAX(0,M16-M15)</f>
        <v/>
      </c>
      <c r="O16" s="129">
        <f>IF(B16&lt;='VALOR POR PL'!$P$5,'CP RESUMO'!O81,"")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HISTORICOS'!P39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RESUMO'!P39</f>
        <v/>
      </c>
      <c r="N17" s="130">
        <f>MAX(0,M17-M16)</f>
        <v/>
      </c>
      <c r="O17" s="129">
        <f>IF(B17&lt;='VALOR POR PL'!$P$5,'CP RESUMO'!P81,"")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HISTORICOS'!Q39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RESUMO'!Q39</f>
        <v/>
      </c>
      <c r="N18" s="130">
        <f>MAX(0,M18-M17)</f>
        <v/>
      </c>
      <c r="O18" s="129">
        <f>IF(B18&lt;='VALOR POR PL'!$P$5,'CP RESUMO'!Q81,"")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HISTORICOS'!R39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RESUMO'!R39</f>
        <v/>
      </c>
      <c r="N19" s="130">
        <f>MAX(0,M19-M18)</f>
        <v/>
      </c>
      <c r="O19" s="129">
        <f>IF(B19&lt;='VALOR POR PL'!$P$5,'CP RESUMO'!R81,"")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HISTORICOS'!S39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RESUMO'!S39</f>
        <v/>
      </c>
      <c r="N20" s="130">
        <f>MAX(0,M20-M19)</f>
        <v/>
      </c>
      <c r="O20" s="129">
        <f>IF(B20&lt;='VALOR POR PL'!$P$5,'CP RESUMO'!S81,"")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HISTORICOS'!T39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RESUMO'!T39</f>
        <v/>
      </c>
      <c r="N21" s="130">
        <f>MAX(0,M21-M20)</f>
        <v/>
      </c>
      <c r="O21" s="129">
        <f>IF(B21&lt;='VALOR POR PL'!$P$5,'CP RESUMO'!T81,"")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HISTORICOS'!U39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RESUMO'!U39</f>
        <v/>
      </c>
      <c r="N22" s="130">
        <f>MAX(0,M22-M21)</f>
        <v/>
      </c>
      <c r="O22" s="129">
        <f>IF(B22&lt;='VALOR POR PL'!$P$5,'CP RESUMO'!U81,"")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HISTORICOS'!V39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RESUMO'!V39</f>
        <v/>
      </c>
      <c r="N23" s="130">
        <f>MAX(0,M23-M22)</f>
        <v/>
      </c>
      <c r="O23" s="129">
        <f>IF(B23&lt;='VALOR POR PL'!$P$5,'CP RESUMO'!V81,"")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HISTORICOS'!W39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RESUMO'!W39</f>
        <v/>
      </c>
      <c r="N24" s="130">
        <f>MAX(0,M24-M23)</f>
        <v/>
      </c>
      <c r="O24" s="129">
        <f>IF(B24&lt;='VALOR POR PL'!$P$5,'CP RESUMO'!W81,"")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HISTORICOS'!X39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RESUMO'!X39</f>
        <v/>
      </c>
      <c r="N25" s="130">
        <f>MAX(0,M25-M24)</f>
        <v/>
      </c>
      <c r="O25" s="129">
        <f>IF(B25&lt;='VALOR POR PL'!$P$5,'CP RESUMO'!X81,"")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HISTORICOS'!Y39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RESUMO'!Y39</f>
        <v/>
      </c>
      <c r="N26" s="130">
        <f>MAX(0,M26-M25)</f>
        <v/>
      </c>
      <c r="O26" s="129">
        <f>IF(B26&lt;='VALOR POR PL'!$P$5,'CP RESUMO'!Y81,"")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HISTORICOS'!Z39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RESUMO'!Z39</f>
        <v/>
      </c>
      <c r="N27" s="130">
        <f>MAX(0,M27-M26)</f>
        <v/>
      </c>
      <c r="O27" s="129">
        <f>IF(B27&lt;='VALOR POR PL'!$P$5,'CP RESUMO'!Z81,"")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HISTORICOS'!AA39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RESUMO'!AA39</f>
        <v/>
      </c>
      <c r="N28" s="130">
        <f>MAX(0,M28-M27)</f>
        <v/>
      </c>
      <c r="O28" s="129">
        <f>IF(B28&lt;='VALOR POR PL'!$P$5,'CP RESUMO'!AA81,"")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HISTORICOS'!AB39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RESUMO'!AB39</f>
        <v/>
      </c>
      <c r="N29" s="130">
        <f>MAX(0,M29-M28)</f>
        <v/>
      </c>
      <c r="O29" s="129">
        <f>IF(B29&lt;='VALOR POR PL'!$P$5,'CP RESUMO'!AB81,"")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HISTORICOS'!AC39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RESUMO'!AC39</f>
        <v/>
      </c>
      <c r="N30" s="130">
        <f>MAX(0,M30-M29)</f>
        <v/>
      </c>
      <c r="O30" s="129">
        <f>IF(B30&lt;='VALOR POR PL'!$P$5,'CP RESUMO'!AC81,"")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HISTORICOS'!AD39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RESUMO'!AD39</f>
        <v/>
      </c>
      <c r="N31" s="130">
        <f>MAX(0,M31-M30)</f>
        <v/>
      </c>
      <c r="O31" s="129">
        <f>IF(B31&lt;='VALOR POR PL'!$P$5,'CP RESUMO'!AD81,"")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HISTORICOS'!AE39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RESUMO'!AE39</f>
        <v/>
      </c>
      <c r="N32" s="130">
        <f>MAX(0,M32-M31)</f>
        <v/>
      </c>
      <c r="O32" s="129">
        <f>IF(B32&lt;='VALOR POR PL'!$P$5,'CP RESUMO'!AE81,"")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HISTORICOS'!AF39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6143.06</v>
      </c>
      <c r="M33" s="129">
        <f>'CP RESUMO'!AF39</f>
        <v/>
      </c>
      <c r="N33" s="130">
        <f>MAX(0,M33-M32)</f>
        <v/>
      </c>
      <c r="O33" s="129">
        <f>IF(B33&lt;='VALOR POR PL'!$P$5,'CP RESUMO'!AF81,"")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HISTORICOS'!AG39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11788.04</v>
      </c>
      <c r="M34" s="129">
        <f>'CP RESUMO'!AG39</f>
        <v/>
      </c>
      <c r="N34" s="130">
        <f>MAX(0,M34-M33)</f>
        <v/>
      </c>
      <c r="O34" s="129">
        <f>IF(B34&lt;='VALOR POR PL'!$P$5,'CP RESUMO'!AG81,"")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HISTORICOS'!AH39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19370.02</v>
      </c>
      <c r="M35" s="129">
        <f>'CP RESUMO'!AH39</f>
        <v/>
      </c>
      <c r="N35" s="130">
        <f>MAX(0,M35-M34)</f>
        <v/>
      </c>
      <c r="O35" s="129">
        <f>IF(B35&lt;='VALOR POR PL'!$P$5,'CP RESUMO'!AH81,"")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HISTORICOS'!AI39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36470.97</v>
      </c>
      <c r="M36" s="129">
        <f>'CP RESUMO'!AI39</f>
        <v/>
      </c>
      <c r="N36" s="130">
        <f>MAX(0,M36-M35)</f>
        <v/>
      </c>
      <c r="O36" s="129">
        <f>IF(B36&lt;='VALOR POR PL'!$P$5,'CP RESUMO'!AI81,"")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HISTORICOS'!AJ39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33925.2</v>
      </c>
      <c r="M37" s="129">
        <f>'CP RESUMO'!AJ39</f>
        <v/>
      </c>
      <c r="N37" s="130">
        <f>MAX(0,M37-M36)</f>
        <v/>
      </c>
      <c r="O37" s="129">
        <f>IF(B37&lt;='VALOR POR PL'!$P$5,'CP RESUMO'!AJ81,"")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HISTORICOS'!AK39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47816.27</v>
      </c>
      <c r="M38" s="129">
        <f>'CP RESUMO'!AK39</f>
        <v/>
      </c>
      <c r="N38" s="130">
        <f>MAX(0,M38-M37)</f>
        <v/>
      </c>
      <c r="O38" s="129">
        <f>IF(B38&lt;='VALOR POR PL'!$P$5,'CP RESUMO'!AK81,"")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HISTORICOS'!AL39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49421.21</v>
      </c>
      <c r="M39" s="129">
        <f>'CP RESUMO'!AL39</f>
        <v/>
      </c>
      <c r="N39" s="130">
        <f>MAX(0,M39-M38)</f>
        <v/>
      </c>
      <c r="O39" s="129">
        <f>IF(B39&lt;='VALOR POR PL'!$P$5,'CP RESUMO'!AL81,"")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HISTORICOS'!AM39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55564.28</v>
      </c>
      <c r="M40" s="129">
        <f>'CP RESUMO'!AM39</f>
        <v/>
      </c>
      <c r="N40" s="130">
        <f>MAX(0,M40-M39)</f>
        <v/>
      </c>
      <c r="O40" s="129">
        <f>IF(B40&lt;='VALOR POR PL'!$P$5,'CP RESUMO'!AM81,"")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HISTORICOS'!AN39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120000</v>
      </c>
      <c r="M41" s="129">
        <f>'CP RESUMO'!AN39</f>
        <v/>
      </c>
      <c r="N41" s="130">
        <f>MAX(0,M41-M40)</f>
        <v/>
      </c>
      <c r="O41" s="129">
        <f>IF(B41&lt;='VALOR POR PL'!$P$5,'CP RESUMO'!AN81,"")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HISTORICOS'!AO39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297136.05</v>
      </c>
      <c r="M42" s="129">
        <f>'CP RESUMO'!AO39</f>
        <v/>
      </c>
      <c r="N42" s="130">
        <f>MAX(0,M42-M41)</f>
        <v/>
      </c>
      <c r="O42" s="129">
        <f>IF(B42&lt;='VALOR POR PL'!$P$5,'CP RESUMO'!AO81,"")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HISTORICOS'!AP39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318055.67</v>
      </c>
      <c r="M43" s="129">
        <f>'CP RESUMO'!AP39</f>
        <v/>
      </c>
      <c r="N43" s="130">
        <f>MAX(0,M43-M42)</f>
        <v/>
      </c>
      <c r="O43" s="129">
        <f>IF(B43&lt;='VALOR POR PL'!$P$5,'CP RESUMO'!AP81,"")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HISTORICOS'!AQ39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266531.43</v>
      </c>
      <c r="M44" s="129">
        <f>'CP RESUMO'!AQ39</f>
        <v/>
      </c>
      <c r="N44" s="130">
        <f>MAX(0,M44-M43)</f>
        <v/>
      </c>
      <c r="O44" s="129">
        <f>IF(B44&lt;='VALOR POR PL'!$P$5,'CP RESUMO'!AQ81,"")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HISTORICOS'!AR39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319992.67</v>
      </c>
      <c r="M45" s="129">
        <f>'CP RESUMO'!AR39</f>
        <v/>
      </c>
      <c r="N45" s="130">
        <f>MAX(0,M45-M44)</f>
        <v/>
      </c>
      <c r="O45" s="129">
        <f>IF(B45&lt;='VALOR POR PL'!$P$5,'CP RESUMO'!AR81,"")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HISTORICOS'!AS39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166969.54</v>
      </c>
      <c r="M46" s="129">
        <f>'CP RESUMO'!AS39</f>
        <v/>
      </c>
      <c r="N46" s="130">
        <f>MAX(0,M46-M45)</f>
        <v/>
      </c>
      <c r="O46" s="129">
        <f>IF(B46&lt;='VALOR POR PL'!$P$5,'CP RESUMO'!AS81,"")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HISTORICOS'!AT39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158467.79</v>
      </c>
      <c r="M47" s="129">
        <f>'CP RESUMO'!AT39</f>
        <v/>
      </c>
      <c r="N47" s="130">
        <f>MAX(0,M47-M46)</f>
        <v/>
      </c>
      <c r="O47" s="129">
        <f>IF(B47&lt;='VALOR POR PL'!$P$5,'CP RESUMO'!AT81,"")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HISTORICOS'!AU39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158467.79</v>
      </c>
      <c r="M48" s="129">
        <f>'CP RESUMO'!AU39</f>
        <v/>
      </c>
      <c r="N48" s="130">
        <f>MAX(0,M48-M47)</f>
        <v/>
      </c>
      <c r="O48" s="129">
        <f>IF(B48&lt;='VALOR POR PL'!$P$5,'CP RESUMO'!AU81,"")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HISTORICOS'!AV39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158467.79</v>
      </c>
      <c r="M49" s="129">
        <f>'CP RESUMO'!AV39</f>
        <v/>
      </c>
      <c r="N49" s="130">
        <f>MAX(0,M49-M48)</f>
        <v/>
      </c>
      <c r="O49" s="129">
        <f>IF(B49&lt;='VALOR POR PL'!$P$5,'CP RESUMO'!AV81,"")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HISTORICOS'!AW39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158467.79</v>
      </c>
      <c r="M50" s="129">
        <f>'CP RESUMO'!AW39</f>
        <v/>
      </c>
      <c r="N50" s="130">
        <f>MAX(0,M50-M49)</f>
        <v/>
      </c>
      <c r="O50" s="129">
        <f>IF(B50&lt;='VALOR POR PL'!$P$5,'CP RESUMO'!AW81,"")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HISTORICOS'!AX39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158467.79</v>
      </c>
      <c r="M51" s="129">
        <f>'CP RESUMO'!AX39</f>
        <v/>
      </c>
      <c r="N51" s="130">
        <f>MAX(0,M51-M50)</f>
        <v/>
      </c>
      <c r="O51" s="129">
        <f>IF(B51&lt;='VALOR POR PL'!$P$5,'CP RESUMO'!AX81,"")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HISTORICOS'!AY39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158467.79</v>
      </c>
      <c r="M52" s="129">
        <f>'CP RESUMO'!AY39</f>
        <v/>
      </c>
      <c r="N52" s="130">
        <f>MAX(0,M52-M51)</f>
        <v/>
      </c>
      <c r="O52" s="129">
        <f>IF(B52&lt;='VALOR POR PL'!$P$5,'CP RESUMO'!AY81,"")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HISTORICOS'!AZ39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158467.79</v>
      </c>
      <c r="M53" s="129">
        <f>'CP RESUMO'!AZ39</f>
        <v/>
      </c>
      <c r="N53" s="130">
        <f>MAX(0,M53-M52)</f>
        <v/>
      </c>
      <c r="O53" s="129">
        <f>IF(B53&lt;='VALOR POR PL'!$P$5,'CP RESUMO'!AZ81,"")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HISTORICOS'!BA39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158467.79</v>
      </c>
      <c r="M54" s="129">
        <f>'CP RESUMO'!BA39</f>
        <v/>
      </c>
      <c r="N54" s="130">
        <f>MAX(0,M54-M53)</f>
        <v/>
      </c>
      <c r="O54" s="129">
        <f>IF(B54&lt;='VALOR POR PL'!$P$5,'CP RESUMO'!BA81,"")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HISTORICOS'!BB39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158467.79</v>
      </c>
      <c r="M55" s="129">
        <f>'CP RESUMO'!BB39</f>
        <v/>
      </c>
      <c r="N55" s="130">
        <f>MAX(0,M55-M54)</f>
        <v/>
      </c>
      <c r="O55" s="129">
        <f>IF(B55&lt;='VALOR POR PL'!$P$5,'CP RESUMO'!BB81,"")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HISTORICOS'!BC39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158467.79</v>
      </c>
      <c r="M56" s="129">
        <f>'CP RESUMO'!BC39</f>
        <v/>
      </c>
      <c r="N56" s="130">
        <f>MAX(0,M56-M55)</f>
        <v/>
      </c>
      <c r="O56" s="129">
        <f>IF(B56&lt;='VALOR POR PL'!$P$5,'CP RESUMO'!BC81,"")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HISTORICOS'!BD39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158467.79</v>
      </c>
      <c r="M57" s="129">
        <f>'CP RESUMO'!BD39</f>
        <v/>
      </c>
      <c r="N57" s="130">
        <f>MAX(0,M57-M56)</f>
        <v/>
      </c>
      <c r="O57" s="129">
        <f>IF(B57&lt;='VALOR POR PL'!$P$5,'CP RESUMO'!BD81,"")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HISTORICOS'!BE39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267371.55</v>
      </c>
      <c r="M58" s="129">
        <f>'CP RESUMO'!BE39</f>
        <v/>
      </c>
      <c r="N58" s="130">
        <f>MAX(0,M58-M57)</f>
        <v/>
      </c>
      <c r="O58" s="129">
        <f>IF(B58&lt;='VALOR POR PL'!$P$5,'CP RESUMO'!BE81,"")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HISTORICOS'!BF39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RESUMO'!BF39</f>
        <v/>
      </c>
      <c r="N59" s="130">
        <f>MAX(0,M59-M58)</f>
        <v/>
      </c>
      <c r="O59" s="129">
        <f>IF(B59&lt;='VALOR POR PL'!$P$5,'CP RESUMO'!BF81,"")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HISTORICOS'!BG39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RESUMO'!BG39</f>
        <v/>
      </c>
      <c r="N60" s="130">
        <f>MAX(0,M60-M59)</f>
        <v/>
      </c>
      <c r="O60" s="129">
        <f>IF(B60&lt;='VALOR POR PL'!$P$5,'CP RESUMO'!BG81,"")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HISTORICOS'!BH39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RESUMO'!BH39</f>
        <v/>
      </c>
      <c r="N61" s="130">
        <f>MAX(0,M61-M60)</f>
        <v/>
      </c>
      <c r="O61" s="129">
        <f>IF(B61&lt;='VALOR POR PL'!$P$5,'CP RESUMO'!BH81,"")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HISTORICOS'!BI39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RESUMO'!BI39</f>
        <v/>
      </c>
      <c r="N62" s="130">
        <f>MAX(0,M62-M61)</f>
        <v/>
      </c>
      <c r="O62" s="129">
        <f>IF(B62&lt;='VALOR POR PL'!$P$5,'CP RESUMO'!BI81,"")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HISTORICOS'!BJ39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RESUMO'!BJ39</f>
        <v/>
      </c>
      <c r="N63" s="130">
        <f>MAX(0,M63-M62)</f>
        <v/>
      </c>
      <c r="O63" s="129">
        <f>IF(B63&lt;='VALOR POR PL'!$P$5,'CP RESUMO'!BJ81,"")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HISTORICOS'!BK39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RESUMO'!BK39</f>
        <v/>
      </c>
      <c r="N64" s="130">
        <f>MAX(0,M64-M63)</f>
        <v/>
      </c>
      <c r="O64" s="129">
        <f>IF(B64&lt;='VALOR POR PL'!$P$5,'CP RESUMO'!BK81,"")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HISTORICOS'!BL39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RESUMO'!BL39</f>
        <v/>
      </c>
      <c r="N65" s="130">
        <f>MAX(0,M65-M64)</f>
        <v/>
      </c>
      <c r="O65" s="129">
        <f>IF(B65&lt;='VALOR POR PL'!$P$5,'CP RESUMO'!BL81,"")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HISTORICOS'!BM39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RESUMO'!BM39</f>
        <v/>
      </c>
      <c r="N66" s="130">
        <f>MAX(0,M66-M65)</f>
        <v/>
      </c>
      <c r="O66" s="129">
        <f>IF(B66&lt;='VALOR POR PL'!$P$5,'CP RESUMO'!BM81,"")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HISTORICOS'!BN39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RESUMO'!BN39</f>
        <v/>
      </c>
      <c r="N67" s="130">
        <f>MAX(0,M67-M66)</f>
        <v/>
      </c>
      <c r="O67" s="129">
        <f>IF(B67&lt;='VALOR POR PL'!$P$5,'CP RESUMO'!BN81,"")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HISTORICOS'!BO39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RESUMO'!BO39</f>
        <v/>
      </c>
      <c r="N68" s="130">
        <f>MAX(0,M68-M67)</f>
        <v/>
      </c>
      <c r="O68" s="129">
        <f>IF(B68&lt;='VALOR POR PL'!$P$5,'CP RESUMO'!BO81,"")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HISTORICOS'!BP39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RESUMO'!BP39</f>
        <v/>
      </c>
      <c r="N69" s="130">
        <f>MAX(0,M69-M68)</f>
        <v/>
      </c>
      <c r="O69" s="129">
        <f>IF(B69&lt;='VALOR POR PL'!$P$5,'CP RESUMO'!BP81,"")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HISTORICOS'!BQ39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RESUMO'!BQ39</f>
        <v/>
      </c>
      <c r="N70" s="130">
        <f>MAX(0,M70-M69)</f>
        <v/>
      </c>
      <c r="O70" s="129">
        <f>IF(B70&lt;='VALOR POR PL'!$P$5,'CP RESUMO'!BQ81,"")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HISTORICOS'!BR39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RESUMO'!BR39</f>
        <v/>
      </c>
      <c r="N71" s="130">
        <f>MAX(0,M71-M70)</f>
        <v/>
      </c>
      <c r="O71" s="129">
        <f>IF(B71&lt;='VALOR POR PL'!$P$5,'CP RESUMO'!BR81,"")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HISTORICOS'!BS39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RESUMO'!BS39</f>
        <v/>
      </c>
      <c r="N72" s="130">
        <f>MAX(0,M72-M71)</f>
        <v/>
      </c>
      <c r="O72" s="129">
        <f>IF(B72&lt;='VALOR POR PL'!$P$5,'CP RESUMO'!BS81,"")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HISTORICOS'!BT39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RESUMO'!BT39</f>
        <v/>
      </c>
      <c r="N73" s="130">
        <f>MAX(0,M73-M72)</f>
        <v/>
      </c>
      <c r="O73" s="129">
        <f>IF(B73&lt;='VALOR POR PL'!$P$5,'CP RESUMO'!BT81,"")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HISTORICOS'!BU39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RESUMO'!BU39</f>
        <v/>
      </c>
      <c r="N74" s="130">
        <f>MAX(0,M74-M73)</f>
        <v/>
      </c>
      <c r="O74" s="129">
        <f>IF(B74&lt;='VALOR POR PL'!$P$5,'CP RESUMO'!BU81,"")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HISTORICOS'!BV39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RESUMO'!BV39</f>
        <v/>
      </c>
      <c r="N75" s="130">
        <f>MAX(0,M75-M74)</f>
        <v/>
      </c>
      <c r="O75" s="129">
        <f>IF(B75&lt;='VALOR POR PL'!$P$5,'CP RESUMO'!BV81,"")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HISTORICOS'!BW39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RESUMO'!BW39</f>
        <v/>
      </c>
      <c r="N76" s="130">
        <f>MAX(0,M76-M75)</f>
        <v/>
      </c>
      <c r="O76" s="129">
        <f>IF(B76&lt;='VALOR POR PL'!$P$5,'CP RESUMO'!BW81,"")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HISTORICOS'!D40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PL'!F46</f>
        <v/>
      </c>
      <c r="K5" s="62">
        <f>'VALOR POR PL'!G46</f>
        <v/>
      </c>
      <c r="M5" s="129">
        <f>'CP RESUMO'!D40</f>
        <v/>
      </c>
      <c r="N5" s="130" t="n">
        <v>0</v>
      </c>
      <c r="O5" s="129">
        <f>IF(B5&lt;='VALOR POR PL'!$P$5,'CP RESUMO'!D82,"")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HISTORICOS'!E40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RESUMO'!E40</f>
        <v/>
      </c>
      <c r="N6" s="130">
        <f>MAX(0,M6-M5)</f>
        <v/>
      </c>
      <c r="O6" s="129">
        <f>IF(B6&lt;='VALOR POR PL'!$P$5,'CP RESUMO'!E82,"")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HISTORICOS'!F40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PL'!L46</f>
        <v/>
      </c>
      <c r="M7" s="129">
        <f>'CP RESUMO'!F40</f>
        <v/>
      </c>
      <c r="N7" s="130">
        <f>MAX(0,M7-M6)</f>
        <v/>
      </c>
      <c r="O7" s="129">
        <f>IF(B7&lt;='VALOR POR PL'!$P$5,'CP RESUMO'!F82,"")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HISTORICOS'!G40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RESUMO'!G40</f>
        <v/>
      </c>
      <c r="N8" s="130">
        <f>MAX(0,M8-M7)</f>
        <v/>
      </c>
      <c r="O8" s="129">
        <f>IF(B8&lt;='VALOR POR PL'!$P$5,'CP RESUMO'!G82,"")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HISTORICOS'!H40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RESUMO'!H40</f>
        <v/>
      </c>
      <c r="N9" s="130">
        <f>MAX(0,M9-M8)</f>
        <v/>
      </c>
      <c r="O9" s="129">
        <f>IF(B9&lt;='VALOR POR PL'!$P$5,'CP RESUMO'!H82,"")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HISTORICOS'!I40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RESUMO'!I40</f>
        <v/>
      </c>
      <c r="N10" s="130">
        <f>MAX(0,M10-M9)</f>
        <v/>
      </c>
      <c r="O10" s="129">
        <f>IF(B10&lt;='VALOR POR PL'!$P$5,'CP RESUMO'!I82,"")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HISTORICOS'!J40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RESUMO'!J40</f>
        <v/>
      </c>
      <c r="N11" s="130">
        <f>MAX(0,M11-M10)</f>
        <v/>
      </c>
      <c r="O11" s="129">
        <f>IF(B11&lt;='VALOR POR PL'!$P$5,'CP RESUMO'!J82,"")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HISTORICOS'!K40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RESUMO'!K40</f>
        <v/>
      </c>
      <c r="N12" s="130">
        <f>MAX(0,M12-M11)</f>
        <v/>
      </c>
      <c r="O12" s="129">
        <f>IF(B12&lt;='VALOR POR PL'!$P$5,'CP RESUMO'!K82,"")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HISTORICOS'!L40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PL'!I46</f>
        <v/>
      </c>
      <c r="M13" s="129">
        <f>'CP RESUMO'!L40</f>
        <v/>
      </c>
      <c r="N13" s="130">
        <f>MAX(0,M13-M12)</f>
        <v/>
      </c>
      <c r="O13" s="129">
        <f>IF(B13&lt;='VALOR POR PL'!$P$5,'CP RESUMO'!L82,"")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HISTORICOS'!M40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RESUMO'!$D$82:$BW$82,MATCH('VALOR POR PL'!$P$5,'CP RESUMO'!$D$4:$BW$4,0))/100,0)</f>
        <v/>
      </c>
      <c r="M14" s="129">
        <f>'CP RESUMO'!M40</f>
        <v/>
      </c>
      <c r="N14" s="130">
        <f>MAX(0,M14-M13)</f>
        <v/>
      </c>
      <c r="O14" s="129">
        <f>IF(B14&lt;='VALOR POR PL'!$P$5,'CP RESUMO'!M82,"")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HISTORICOS'!N40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RESUMO'!N40</f>
        <v/>
      </c>
      <c r="N15" s="130">
        <f>MAX(0,M15-M14)</f>
        <v/>
      </c>
      <c r="O15" s="129">
        <f>IF(B15&lt;='VALOR POR PL'!$P$5,'CP RESUMO'!N82,"")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HISTORICOS'!O40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RESUMO'!O40</f>
        <v/>
      </c>
      <c r="N16" s="130">
        <f>MAX(0,M16-M15)</f>
        <v/>
      </c>
      <c r="O16" s="129">
        <f>IF(B16&lt;='VALOR POR PL'!$P$5,'CP RESUMO'!O82,"")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HISTORICOS'!P40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RESUMO'!P40</f>
        <v/>
      </c>
      <c r="N17" s="130">
        <f>MAX(0,M17-M16)</f>
        <v/>
      </c>
      <c r="O17" s="129">
        <f>IF(B17&lt;='VALOR POR PL'!$P$5,'CP RESUMO'!P82,"")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HISTORICOS'!Q40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RESUMO'!Q40</f>
        <v/>
      </c>
      <c r="N18" s="130">
        <f>MAX(0,M18-M17)</f>
        <v/>
      </c>
      <c r="O18" s="129">
        <f>IF(B18&lt;='VALOR POR PL'!$P$5,'CP RESUMO'!Q82,"")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HISTORICOS'!R40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RESUMO'!R40</f>
        <v/>
      </c>
      <c r="N19" s="130">
        <f>MAX(0,M19-M18)</f>
        <v/>
      </c>
      <c r="O19" s="129">
        <f>IF(B19&lt;='VALOR POR PL'!$P$5,'CP RESUMO'!R82,"")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HISTORICOS'!S40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RESUMO'!S40</f>
        <v/>
      </c>
      <c r="N20" s="130">
        <f>MAX(0,M20-M19)</f>
        <v/>
      </c>
      <c r="O20" s="129">
        <f>IF(B20&lt;='VALOR POR PL'!$P$5,'CP RESUMO'!S82,"")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HISTORICOS'!T40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RESUMO'!T40</f>
        <v/>
      </c>
      <c r="N21" s="130">
        <f>MAX(0,M21-M20)</f>
        <v/>
      </c>
      <c r="O21" s="129">
        <f>IF(B21&lt;='VALOR POR PL'!$P$5,'CP RESUMO'!T82,"")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HISTORICOS'!U40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RESUMO'!U40</f>
        <v/>
      </c>
      <c r="N22" s="130">
        <f>MAX(0,M22-M21)</f>
        <v/>
      </c>
      <c r="O22" s="129">
        <f>IF(B22&lt;='VALOR POR PL'!$P$5,'CP RESUMO'!U82,"")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HISTORICOS'!V40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RESUMO'!V40</f>
        <v/>
      </c>
      <c r="N23" s="130">
        <f>MAX(0,M23-M22)</f>
        <v/>
      </c>
      <c r="O23" s="129">
        <f>IF(B23&lt;='VALOR POR PL'!$P$5,'CP RESUMO'!V82,"")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HISTORICOS'!W40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RESUMO'!W40</f>
        <v/>
      </c>
      <c r="N24" s="130">
        <f>MAX(0,M24-M23)</f>
        <v/>
      </c>
      <c r="O24" s="129">
        <f>IF(B24&lt;='VALOR POR PL'!$P$5,'CP RESUMO'!W82,"")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HISTORICOS'!X40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RESUMO'!X40</f>
        <v/>
      </c>
      <c r="N25" s="130">
        <f>MAX(0,M25-M24)</f>
        <v/>
      </c>
      <c r="O25" s="129">
        <f>IF(B25&lt;='VALOR POR PL'!$P$5,'CP RESUMO'!X82,"")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HISTORICOS'!Y40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RESUMO'!Y40</f>
        <v/>
      </c>
      <c r="N26" s="130">
        <f>MAX(0,M26-M25)</f>
        <v/>
      </c>
      <c r="O26" s="129">
        <f>IF(B26&lt;='VALOR POR PL'!$P$5,'CP RESUMO'!Y82,"")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HISTORICOS'!Z40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RESUMO'!Z40</f>
        <v/>
      </c>
      <c r="N27" s="130">
        <f>MAX(0,M27-M26)</f>
        <v/>
      </c>
      <c r="O27" s="129">
        <f>IF(B27&lt;='VALOR POR PL'!$P$5,'CP RESUMO'!Z82,"")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HISTORICOS'!AA40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RESUMO'!AA40</f>
        <v/>
      </c>
      <c r="N28" s="130">
        <f>MAX(0,M28-M27)</f>
        <v/>
      </c>
      <c r="O28" s="129">
        <f>IF(B28&lt;='VALOR POR PL'!$P$5,'CP RESUMO'!AA82,"")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HISTORICOS'!AB40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RESUMO'!AB40</f>
        <v/>
      </c>
      <c r="N29" s="130">
        <f>MAX(0,M29-M28)</f>
        <v/>
      </c>
      <c r="O29" s="129">
        <f>IF(B29&lt;='VALOR POR PL'!$P$5,'CP RESUMO'!AB82,"")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HISTORICOS'!AC40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RESUMO'!AC40</f>
        <v/>
      </c>
      <c r="N30" s="130">
        <f>MAX(0,M30-M29)</f>
        <v/>
      </c>
      <c r="O30" s="129">
        <f>IF(B30&lt;='VALOR POR PL'!$P$5,'CP RESUMO'!AC82,"")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HISTORICOS'!AD40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RESUMO'!AD40</f>
        <v/>
      </c>
      <c r="N31" s="130">
        <f>MAX(0,M31-M30)</f>
        <v/>
      </c>
      <c r="O31" s="129">
        <f>IF(B31&lt;='VALOR POR PL'!$P$5,'CP RESUMO'!AD82,"")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HISTORICOS'!AE40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RESUMO'!AE40</f>
        <v/>
      </c>
      <c r="N32" s="130">
        <f>MAX(0,M32-M31)</f>
        <v/>
      </c>
      <c r="O32" s="129">
        <f>IF(B32&lt;='VALOR POR PL'!$P$5,'CP RESUMO'!AE82,"")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HISTORICOS'!AF40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RESUMO'!AF40</f>
        <v/>
      </c>
      <c r="N33" s="130">
        <f>MAX(0,M33-M32)</f>
        <v/>
      </c>
      <c r="O33" s="129">
        <f>IF(B33&lt;='VALOR POR PL'!$P$5,'CP RESUMO'!AF82,"")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HISTORICOS'!AG40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RESUMO'!AG40</f>
        <v/>
      </c>
      <c r="N34" s="130">
        <f>MAX(0,M34-M33)</f>
        <v/>
      </c>
      <c r="O34" s="129">
        <f>IF(B34&lt;='VALOR POR PL'!$P$5,'CP RESUMO'!AG82,"")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HISTORICOS'!AH40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RESUMO'!AH40</f>
        <v/>
      </c>
      <c r="N35" s="130">
        <f>MAX(0,M35-M34)</f>
        <v/>
      </c>
      <c r="O35" s="129">
        <f>IF(B35&lt;='VALOR POR PL'!$P$5,'CP RESUMO'!AH82,"")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HISTORICOS'!AI40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RESUMO'!AI40</f>
        <v/>
      </c>
      <c r="N36" s="130">
        <f>MAX(0,M36-M35)</f>
        <v/>
      </c>
      <c r="O36" s="129">
        <f>IF(B36&lt;='VALOR POR PL'!$P$5,'CP RESUMO'!AI82,"")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HISTORICOS'!AJ40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RESUMO'!AJ40</f>
        <v/>
      </c>
      <c r="N37" s="130">
        <f>MAX(0,M37-M36)</f>
        <v/>
      </c>
      <c r="O37" s="129">
        <f>IF(B37&lt;='VALOR POR PL'!$P$5,'CP RESUMO'!AJ82,"")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HISTORICOS'!AK40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RESUMO'!AK40</f>
        <v/>
      </c>
      <c r="N38" s="130">
        <f>MAX(0,M38-M37)</f>
        <v/>
      </c>
      <c r="O38" s="129">
        <f>IF(B38&lt;='VALOR POR PL'!$P$5,'CP RESUMO'!AK82,"")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HISTORICOS'!AL40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RESUMO'!AL40</f>
        <v/>
      </c>
      <c r="N39" s="130">
        <f>MAX(0,M39-M38)</f>
        <v/>
      </c>
      <c r="O39" s="129">
        <f>IF(B39&lt;='VALOR POR PL'!$P$5,'CP RESUMO'!AL82,"")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HISTORICOS'!AM40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RESUMO'!AM40</f>
        <v/>
      </c>
      <c r="N40" s="130">
        <f>MAX(0,M40-M39)</f>
        <v/>
      </c>
      <c r="O40" s="129">
        <f>IF(B40&lt;='VALOR POR PL'!$P$5,'CP RESUMO'!AM82,"")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HISTORICOS'!AN40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RESUMO'!AN40</f>
        <v/>
      </c>
      <c r="N41" s="130">
        <f>MAX(0,M41-M40)</f>
        <v/>
      </c>
      <c r="O41" s="129">
        <f>IF(B41&lt;='VALOR POR PL'!$P$5,'CP RESUMO'!AN82,"")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HISTORICOS'!AO40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RESUMO'!AO40</f>
        <v/>
      </c>
      <c r="N42" s="130">
        <f>MAX(0,M42-M41)</f>
        <v/>
      </c>
      <c r="O42" s="129">
        <f>IF(B42&lt;='VALOR POR PL'!$P$5,'CP RESUMO'!AO82,"")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HISTORICOS'!AP40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RESUMO'!AP40</f>
        <v/>
      </c>
      <c r="N43" s="130">
        <f>MAX(0,M43-M42)</f>
        <v/>
      </c>
      <c r="O43" s="129">
        <f>IF(B43&lt;='VALOR POR PL'!$P$5,'CP RESUMO'!AP82,"")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HISTORICOS'!AQ40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RESUMO'!AQ40</f>
        <v/>
      </c>
      <c r="N44" s="130">
        <f>MAX(0,M44-M43)</f>
        <v/>
      </c>
      <c r="O44" s="129">
        <f>IF(B44&lt;='VALOR POR PL'!$P$5,'CP RESUMO'!AQ82,"")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HISTORICOS'!AR40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RESUMO'!AR40</f>
        <v/>
      </c>
      <c r="N45" s="130">
        <f>MAX(0,M45-M44)</f>
        <v/>
      </c>
      <c r="O45" s="129">
        <f>IF(B45&lt;='VALOR POR PL'!$P$5,'CP RESUMO'!AR82,"")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HISTORICOS'!AS40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RESUMO'!AS40</f>
        <v/>
      </c>
      <c r="N46" s="130">
        <f>MAX(0,M46-M45)</f>
        <v/>
      </c>
      <c r="O46" s="129">
        <f>IF(B46&lt;='VALOR POR PL'!$P$5,'CP RESUMO'!AS82,"")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HISTORICOS'!AT40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RESUMO'!AT40</f>
        <v/>
      </c>
      <c r="N47" s="130">
        <f>MAX(0,M47-M46)</f>
        <v/>
      </c>
      <c r="O47" s="129">
        <f>IF(B47&lt;='VALOR POR PL'!$P$5,'CP RESUMO'!AT82,"")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HISTORICOS'!AU40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RESUMO'!AU40</f>
        <v/>
      </c>
      <c r="N48" s="130">
        <f>MAX(0,M48-M47)</f>
        <v/>
      </c>
      <c r="O48" s="129">
        <f>IF(B48&lt;='VALOR POR PL'!$P$5,'CP RESUMO'!AU82,"")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HISTORICOS'!AV40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RESUMO'!AV40</f>
        <v/>
      </c>
      <c r="N49" s="130">
        <f>MAX(0,M49-M48)</f>
        <v/>
      </c>
      <c r="O49" s="129">
        <f>IF(B49&lt;='VALOR POR PL'!$P$5,'CP RESUMO'!AV82,"")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HISTORICOS'!AW40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377793.34</v>
      </c>
      <c r="M50" s="129">
        <f>'CP RESUMO'!AW40</f>
        <v/>
      </c>
      <c r="N50" s="130">
        <f>MAX(0,M50-M49)</f>
        <v/>
      </c>
      <c r="O50" s="129">
        <f>IF(B50&lt;='VALOR POR PL'!$P$5,'CP RESUMO'!AW82,"")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HISTORICOS'!AX40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346604.79</v>
      </c>
      <c r="M51" s="129">
        <f>'CP RESUMO'!AX40</f>
        <v/>
      </c>
      <c r="N51" s="130">
        <f>MAX(0,M51-M50)</f>
        <v/>
      </c>
      <c r="O51" s="129">
        <f>IF(B51&lt;='VALOR POR PL'!$P$5,'CP RESUMO'!AX82,"")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HISTORICOS'!AY40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267750.73</v>
      </c>
      <c r="M52" s="129">
        <f>'CP RESUMO'!AY40</f>
        <v/>
      </c>
      <c r="N52" s="130">
        <f>MAX(0,M52-M51)</f>
        <v/>
      </c>
      <c r="O52" s="129">
        <f>IF(B52&lt;='VALOR POR PL'!$P$5,'CP RESUMO'!AY82,"")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HISTORICOS'!AZ40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123341.88</v>
      </c>
      <c r="M53" s="129">
        <f>'CP RESUMO'!AZ40</f>
        <v/>
      </c>
      <c r="N53" s="130">
        <f>MAX(0,M53-M52)</f>
        <v/>
      </c>
      <c r="O53" s="129">
        <f>IF(B53&lt;='VALOR POR PL'!$P$5,'CP RESUMO'!AZ82,"")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HISTORICOS'!BA40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61435.55</v>
      </c>
      <c r="M54" s="129">
        <f>'CP RESUMO'!BA40</f>
        <v/>
      </c>
      <c r="N54" s="130">
        <f>MAX(0,M54-M53)</f>
        <v/>
      </c>
      <c r="O54" s="129">
        <f>IF(B54&lt;='VALOR POR PL'!$P$5,'CP RESUMO'!BA82,"")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HISTORICOS'!BB40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RESUMO'!BB40</f>
        <v/>
      </c>
      <c r="N55" s="130">
        <f>MAX(0,M55-M54)</f>
        <v/>
      </c>
      <c r="O55" s="129">
        <f>IF(B55&lt;='VALOR POR PL'!$P$5,'CP RESUMO'!BB82,"")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HISTORICOS'!BC40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RESUMO'!BC40</f>
        <v/>
      </c>
      <c r="N56" s="130">
        <f>MAX(0,M56-M55)</f>
        <v/>
      </c>
      <c r="O56" s="129">
        <f>IF(B56&lt;='VALOR POR PL'!$P$5,'CP RESUMO'!BC82,"")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HISTORICOS'!BD40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RESUMO'!BD40</f>
        <v/>
      </c>
      <c r="N57" s="130">
        <f>MAX(0,M57-M56)</f>
        <v/>
      </c>
      <c r="O57" s="129">
        <f>IF(B57&lt;='VALOR POR PL'!$P$5,'CP RESUMO'!BD82,"")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HISTORICOS'!BE40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RESUMO'!BE40</f>
        <v/>
      </c>
      <c r="N58" s="130">
        <f>MAX(0,M58-M57)</f>
        <v/>
      </c>
      <c r="O58" s="129">
        <f>IF(B58&lt;='VALOR POR PL'!$P$5,'CP RESUMO'!BE82,"")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HISTORICOS'!BF40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RESUMO'!BF40</f>
        <v/>
      </c>
      <c r="N59" s="130">
        <f>MAX(0,M59-M58)</f>
        <v/>
      </c>
      <c r="O59" s="129">
        <f>IF(B59&lt;='VALOR POR PL'!$P$5,'CP RESUMO'!BF82,"")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HISTORICOS'!BG40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RESUMO'!BG40</f>
        <v/>
      </c>
      <c r="N60" s="130">
        <f>MAX(0,M60-M59)</f>
        <v/>
      </c>
      <c r="O60" s="129">
        <f>IF(B60&lt;='VALOR POR PL'!$P$5,'CP RESUMO'!BG82,"")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HISTORICOS'!BH40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RESUMO'!BH40</f>
        <v/>
      </c>
      <c r="N61" s="130">
        <f>MAX(0,M61-M60)</f>
        <v/>
      </c>
      <c r="O61" s="129">
        <f>IF(B61&lt;='VALOR POR PL'!$P$5,'CP RESUMO'!BH82,"")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HISTORICOS'!BI40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RESUMO'!BI40</f>
        <v/>
      </c>
      <c r="N62" s="130">
        <f>MAX(0,M62-M61)</f>
        <v/>
      </c>
      <c r="O62" s="129">
        <f>IF(B62&lt;='VALOR POR PL'!$P$5,'CP RESUMO'!BI82,"")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HISTORICOS'!BJ40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RESUMO'!BJ40</f>
        <v/>
      </c>
      <c r="N63" s="130">
        <f>MAX(0,M63-M62)</f>
        <v/>
      </c>
      <c r="O63" s="129">
        <f>IF(B63&lt;='VALOR POR PL'!$P$5,'CP RESUMO'!BJ82,"")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HISTORICOS'!BK40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RESUMO'!BK40</f>
        <v/>
      </c>
      <c r="N64" s="130">
        <f>MAX(0,M64-M63)</f>
        <v/>
      </c>
      <c r="O64" s="129">
        <f>IF(B64&lt;='VALOR POR PL'!$P$5,'CP RESUMO'!BK82,"")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HISTORICOS'!BL40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RESUMO'!BL40</f>
        <v/>
      </c>
      <c r="N65" s="130">
        <f>MAX(0,M65-M64)</f>
        <v/>
      </c>
      <c r="O65" s="129">
        <f>IF(B65&lt;='VALOR POR PL'!$P$5,'CP RESUMO'!BL82,"")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HISTORICOS'!BM40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RESUMO'!BM40</f>
        <v/>
      </c>
      <c r="N66" s="130">
        <f>MAX(0,M66-M65)</f>
        <v/>
      </c>
      <c r="O66" s="129">
        <f>IF(B66&lt;='VALOR POR PL'!$P$5,'CP RESUMO'!BM82,"")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HISTORICOS'!BN40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RESUMO'!BN40</f>
        <v/>
      </c>
      <c r="N67" s="130">
        <f>MAX(0,M67-M66)</f>
        <v/>
      </c>
      <c r="O67" s="129">
        <f>IF(B67&lt;='VALOR POR PL'!$P$5,'CP RESUMO'!BN82,"")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HISTORICOS'!BO40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RESUMO'!BO40</f>
        <v/>
      </c>
      <c r="N68" s="130">
        <f>MAX(0,M68-M67)</f>
        <v/>
      </c>
      <c r="O68" s="129">
        <f>IF(B68&lt;='VALOR POR PL'!$P$5,'CP RESUMO'!BO82,"")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HISTORICOS'!BP40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RESUMO'!BP40</f>
        <v/>
      </c>
      <c r="N69" s="130">
        <f>MAX(0,M69-M68)</f>
        <v/>
      </c>
      <c r="O69" s="129">
        <f>IF(B69&lt;='VALOR POR PL'!$P$5,'CP RESUMO'!BP82,"")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HISTORICOS'!BQ40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RESUMO'!BQ40</f>
        <v/>
      </c>
      <c r="N70" s="130">
        <f>MAX(0,M70-M69)</f>
        <v/>
      </c>
      <c r="O70" s="129">
        <f>IF(B70&lt;='VALOR POR PL'!$P$5,'CP RESUMO'!BQ82,"")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HISTORICOS'!BR40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RESUMO'!BR40</f>
        <v/>
      </c>
      <c r="N71" s="130">
        <f>MAX(0,M71-M70)</f>
        <v/>
      </c>
      <c r="O71" s="129">
        <f>IF(B71&lt;='VALOR POR PL'!$P$5,'CP RESUMO'!BR82,"")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HISTORICOS'!BS40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RESUMO'!BS40</f>
        <v/>
      </c>
      <c r="N72" s="130">
        <f>MAX(0,M72-M71)</f>
        <v/>
      </c>
      <c r="O72" s="129">
        <f>IF(B72&lt;='VALOR POR PL'!$P$5,'CP RESUMO'!BS82,"")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HISTORICOS'!BT40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RESUMO'!BT40</f>
        <v/>
      </c>
      <c r="N73" s="130">
        <f>MAX(0,M73-M72)</f>
        <v/>
      </c>
      <c r="O73" s="129">
        <f>IF(B73&lt;='VALOR POR PL'!$P$5,'CP RESUMO'!BT82,"")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HISTORICOS'!BU40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RESUMO'!BU40</f>
        <v/>
      </c>
      <c r="N74" s="130">
        <f>MAX(0,M74-M73)</f>
        <v/>
      </c>
      <c r="O74" s="129">
        <f>IF(B74&lt;='VALOR POR PL'!$P$5,'CP RESUMO'!BU82,"")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HISTORICOS'!BV40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RESUMO'!BV40</f>
        <v/>
      </c>
      <c r="N75" s="130">
        <f>MAX(0,M75-M74)</f>
        <v/>
      </c>
      <c r="O75" s="129">
        <f>IF(B75&lt;='VALOR POR PL'!$P$5,'CP RESUMO'!BV82,"")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HISTORICOS'!BW40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RESUMO'!BW40</f>
        <v/>
      </c>
      <c r="N76" s="130">
        <f>MAX(0,M76-M75)</f>
        <v/>
      </c>
      <c r="O76" s="129">
        <f>IF(B76&lt;='VALOR POR PL'!$P$5,'CP RESUMO'!BW82,"")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HISTORICOS'!D41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PL'!F47</f>
        <v/>
      </c>
      <c r="K5" s="62">
        <f>'VALOR POR PL'!G47</f>
        <v/>
      </c>
      <c r="M5" s="129">
        <f>'CP RESUMO'!D41</f>
        <v/>
      </c>
      <c r="N5" s="130" t="n">
        <v>0</v>
      </c>
      <c r="O5" s="129">
        <f>IF(B5&lt;='VALOR POR PL'!$P$5,'CP RESUMO'!D83,"")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HISTORICOS'!E41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RESUMO'!E41</f>
        <v/>
      </c>
      <c r="N6" s="130">
        <f>MAX(0,M6-M5)</f>
        <v/>
      </c>
      <c r="O6" s="129">
        <f>IF(B6&lt;='VALOR POR PL'!$P$5,'CP RESUMO'!E83,"")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HISTORICOS'!F41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PL'!L47</f>
        <v/>
      </c>
      <c r="M7" s="129">
        <f>'CP RESUMO'!F41</f>
        <v/>
      </c>
      <c r="N7" s="130">
        <f>MAX(0,M7-M6)</f>
        <v/>
      </c>
      <c r="O7" s="129">
        <f>IF(B7&lt;='VALOR POR PL'!$P$5,'CP RESUMO'!F83,"")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HISTORICOS'!G41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RESUMO'!G41</f>
        <v/>
      </c>
      <c r="N8" s="130">
        <f>MAX(0,M8-M7)</f>
        <v/>
      </c>
      <c r="O8" s="129">
        <f>IF(B8&lt;='VALOR POR PL'!$P$5,'CP RESUMO'!G83,"")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HISTORICOS'!H41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RESUMO'!H41</f>
        <v/>
      </c>
      <c r="N9" s="130">
        <f>MAX(0,M9-M8)</f>
        <v/>
      </c>
      <c r="O9" s="129">
        <f>IF(B9&lt;='VALOR POR PL'!$P$5,'CP RESUMO'!H83,"")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HISTORICOS'!I41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RESUMO'!I41</f>
        <v/>
      </c>
      <c r="N10" s="130">
        <f>MAX(0,M10-M9)</f>
        <v/>
      </c>
      <c r="O10" s="129">
        <f>IF(B10&lt;='VALOR POR PL'!$P$5,'CP RESUMO'!I83,"")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HISTORICOS'!J41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RESUMO'!J41</f>
        <v/>
      </c>
      <c r="N11" s="130">
        <f>MAX(0,M11-M10)</f>
        <v/>
      </c>
      <c r="O11" s="129">
        <f>IF(B11&lt;='VALOR POR PL'!$P$5,'CP RESUMO'!J83,"")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HISTORICOS'!K41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RESUMO'!K41</f>
        <v/>
      </c>
      <c r="N12" s="130">
        <f>MAX(0,M12-M11)</f>
        <v/>
      </c>
      <c r="O12" s="129">
        <f>IF(B12&lt;='VALOR POR PL'!$P$5,'CP RESUMO'!K83,"")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HISTORICOS'!L41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PL'!I47</f>
        <v/>
      </c>
      <c r="M13" s="129">
        <f>'CP RESUMO'!L41</f>
        <v/>
      </c>
      <c r="N13" s="130">
        <f>MAX(0,M13-M12)</f>
        <v/>
      </c>
      <c r="O13" s="129">
        <f>IF(B13&lt;='VALOR POR PL'!$P$5,'CP RESUMO'!L83,"")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HISTORICOS'!M41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RESUMO'!$D$83:$BW$83,MATCH('VALOR POR PL'!$P$5,'CP RESUMO'!$D$4:$BW$4,0))/100,0)</f>
        <v/>
      </c>
      <c r="M14" s="129">
        <f>'CP RESUMO'!M41</f>
        <v/>
      </c>
      <c r="N14" s="130">
        <f>MAX(0,M14-M13)</f>
        <v/>
      </c>
      <c r="O14" s="129">
        <f>IF(B14&lt;='VALOR POR PL'!$P$5,'CP RESUMO'!M83,"")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HISTORICOS'!N41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RESUMO'!N41</f>
        <v/>
      </c>
      <c r="N15" s="130">
        <f>MAX(0,M15-M14)</f>
        <v/>
      </c>
      <c r="O15" s="129">
        <f>IF(B15&lt;='VALOR POR PL'!$P$5,'CP RESUMO'!N83,"")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HISTORICOS'!O41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RESUMO'!O41</f>
        <v/>
      </c>
      <c r="N16" s="130">
        <f>MAX(0,M16-M15)</f>
        <v/>
      </c>
      <c r="O16" s="129">
        <f>IF(B16&lt;='VALOR POR PL'!$P$5,'CP RESUMO'!O83,"")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HISTORICOS'!P41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RESUMO'!P41</f>
        <v/>
      </c>
      <c r="N17" s="130">
        <f>MAX(0,M17-M16)</f>
        <v/>
      </c>
      <c r="O17" s="129">
        <f>IF(B17&lt;='VALOR POR PL'!$P$5,'CP RESUMO'!P83,"")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HISTORICOS'!Q41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RESUMO'!Q41</f>
        <v/>
      </c>
      <c r="N18" s="130">
        <f>MAX(0,M18-M17)</f>
        <v/>
      </c>
      <c r="O18" s="129">
        <f>IF(B18&lt;='VALOR POR PL'!$P$5,'CP RESUMO'!Q83,"")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HISTORICOS'!R41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RESUMO'!R41</f>
        <v/>
      </c>
      <c r="N19" s="130">
        <f>MAX(0,M19-M18)</f>
        <v/>
      </c>
      <c r="O19" s="129">
        <f>IF(B19&lt;='VALOR POR PL'!$P$5,'CP RESUMO'!R83,"")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HISTORICOS'!S41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RESUMO'!S41</f>
        <v/>
      </c>
      <c r="N20" s="130">
        <f>MAX(0,M20-M19)</f>
        <v/>
      </c>
      <c r="O20" s="129">
        <f>IF(B20&lt;='VALOR POR PL'!$P$5,'CP RESUMO'!S83,"")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HISTORICOS'!T41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RESUMO'!T41</f>
        <v/>
      </c>
      <c r="N21" s="130">
        <f>MAX(0,M21-M20)</f>
        <v/>
      </c>
      <c r="O21" s="129">
        <f>IF(B21&lt;='VALOR POR PL'!$P$5,'CP RESUMO'!T83,"")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HISTORICOS'!U41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RESUMO'!U41</f>
        <v/>
      </c>
      <c r="N22" s="130">
        <f>MAX(0,M22-M21)</f>
        <v/>
      </c>
      <c r="O22" s="129">
        <f>IF(B22&lt;='VALOR POR PL'!$P$5,'CP RESUMO'!U83,"")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HISTORICOS'!V41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RESUMO'!V41</f>
        <v/>
      </c>
      <c r="N23" s="130">
        <f>MAX(0,M23-M22)</f>
        <v/>
      </c>
      <c r="O23" s="129">
        <f>IF(B23&lt;='VALOR POR PL'!$P$5,'CP RESUMO'!V83,"")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HISTORICOS'!W41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RESUMO'!W41</f>
        <v/>
      </c>
      <c r="N24" s="130">
        <f>MAX(0,M24-M23)</f>
        <v/>
      </c>
      <c r="O24" s="129">
        <f>IF(B24&lt;='VALOR POR PL'!$P$5,'CP RESUMO'!W83,"")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HISTORICOS'!X41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RESUMO'!X41</f>
        <v/>
      </c>
      <c r="N25" s="130">
        <f>MAX(0,M25-M24)</f>
        <v/>
      </c>
      <c r="O25" s="129">
        <f>IF(B25&lt;='VALOR POR PL'!$P$5,'CP RESUMO'!X83,"")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HISTORICOS'!Y41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RESUMO'!Y41</f>
        <v/>
      </c>
      <c r="N26" s="130">
        <f>MAX(0,M26-M25)</f>
        <v/>
      </c>
      <c r="O26" s="129">
        <f>IF(B26&lt;='VALOR POR PL'!$P$5,'CP RESUMO'!Y83,"")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HISTORICOS'!Z41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RESUMO'!Z41</f>
        <v/>
      </c>
      <c r="N27" s="130">
        <f>MAX(0,M27-M26)</f>
        <v/>
      </c>
      <c r="O27" s="129">
        <f>IF(B27&lt;='VALOR POR PL'!$P$5,'CP RESUMO'!Z83,"")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HISTORICOS'!AA41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RESUMO'!AA41</f>
        <v/>
      </c>
      <c r="N28" s="130">
        <f>MAX(0,M28-M27)</f>
        <v/>
      </c>
      <c r="O28" s="129">
        <f>IF(B28&lt;='VALOR POR PL'!$P$5,'CP RESUMO'!AA83,"")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HISTORICOS'!AB41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RESUMO'!AB41</f>
        <v/>
      </c>
      <c r="N29" s="130">
        <f>MAX(0,M29-M28)</f>
        <v/>
      </c>
      <c r="O29" s="129">
        <f>IF(B29&lt;='VALOR POR PL'!$P$5,'CP RESUMO'!AB83,"")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HISTORICOS'!AC41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RESUMO'!AC41</f>
        <v/>
      </c>
      <c r="N30" s="130">
        <f>MAX(0,M30-M29)</f>
        <v/>
      </c>
      <c r="O30" s="129">
        <f>IF(B30&lt;='VALOR POR PL'!$P$5,'CP RESUMO'!AC83,"")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HISTORICOS'!AD41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RESUMO'!AD41</f>
        <v/>
      </c>
      <c r="N31" s="130">
        <f>MAX(0,M31-M30)</f>
        <v/>
      </c>
      <c r="O31" s="129">
        <f>IF(B31&lt;='VALOR POR PL'!$P$5,'CP RESUMO'!AD83,"")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HISTORICOS'!AE41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RESUMO'!AE41</f>
        <v/>
      </c>
      <c r="N32" s="130">
        <f>MAX(0,M32-M31)</f>
        <v/>
      </c>
      <c r="O32" s="129">
        <f>IF(B32&lt;='VALOR POR PL'!$P$5,'CP RESUMO'!AE83,"")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HISTORICOS'!AF41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RESUMO'!AF41</f>
        <v/>
      </c>
      <c r="N33" s="130">
        <f>MAX(0,M33-M32)</f>
        <v/>
      </c>
      <c r="O33" s="129">
        <f>IF(B33&lt;='VALOR POR PL'!$P$5,'CP RESUMO'!AF83,"")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HISTORICOS'!AG41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RESUMO'!AG41</f>
        <v/>
      </c>
      <c r="N34" s="130">
        <f>MAX(0,M34-M33)</f>
        <v/>
      </c>
      <c r="O34" s="129">
        <f>IF(B34&lt;='VALOR POR PL'!$P$5,'CP RESUMO'!AG83,"")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HISTORICOS'!AH41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RESUMO'!AH41</f>
        <v/>
      </c>
      <c r="N35" s="130">
        <f>MAX(0,M35-M34)</f>
        <v/>
      </c>
      <c r="O35" s="129">
        <f>IF(B35&lt;='VALOR POR PL'!$P$5,'CP RESUMO'!AH83,"")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HISTORICOS'!AI41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RESUMO'!AI41</f>
        <v/>
      </c>
      <c r="N36" s="130">
        <f>MAX(0,M36-M35)</f>
        <v/>
      </c>
      <c r="O36" s="129">
        <f>IF(B36&lt;='VALOR POR PL'!$P$5,'CP RESUMO'!AI83,"")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HISTORICOS'!AJ41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RESUMO'!AJ41</f>
        <v/>
      </c>
      <c r="N37" s="130">
        <f>MAX(0,M37-M36)</f>
        <v/>
      </c>
      <c r="O37" s="129">
        <f>IF(B37&lt;='VALOR POR PL'!$P$5,'CP RESUMO'!AJ83,"")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HISTORICOS'!AK41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RESUMO'!AK41</f>
        <v/>
      </c>
      <c r="N38" s="130">
        <f>MAX(0,M38-M37)</f>
        <v/>
      </c>
      <c r="O38" s="129">
        <f>IF(B38&lt;='VALOR POR PL'!$P$5,'CP RESUMO'!AK83,"")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HISTORICOS'!AL41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RESUMO'!AL41</f>
        <v/>
      </c>
      <c r="N39" s="130">
        <f>MAX(0,M39-M38)</f>
        <v/>
      </c>
      <c r="O39" s="129">
        <f>IF(B39&lt;='VALOR POR PL'!$P$5,'CP RESUMO'!AL83,"")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HISTORICOS'!AM41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RESUMO'!AM41</f>
        <v/>
      </c>
      <c r="N40" s="130">
        <f>MAX(0,M40-M39)</f>
        <v/>
      </c>
      <c r="O40" s="129">
        <f>IF(B40&lt;='VALOR POR PL'!$P$5,'CP RESUMO'!AM83,"")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HISTORICOS'!AN41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RESUMO'!AN41</f>
        <v/>
      </c>
      <c r="N41" s="130">
        <f>MAX(0,M41-M40)</f>
        <v/>
      </c>
      <c r="O41" s="129">
        <f>IF(B41&lt;='VALOR POR PL'!$P$5,'CP RESUMO'!AN83,"")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HISTORICOS'!AO41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RESUMO'!AO41</f>
        <v/>
      </c>
      <c r="N42" s="130">
        <f>MAX(0,M42-M41)</f>
        <v/>
      </c>
      <c r="O42" s="129">
        <f>IF(B42&lt;='VALOR POR PL'!$P$5,'CP RESUMO'!AO83,"")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HISTORICOS'!AP41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RESUMO'!AP41</f>
        <v/>
      </c>
      <c r="N43" s="130">
        <f>MAX(0,M43-M42)</f>
        <v/>
      </c>
      <c r="O43" s="129">
        <f>IF(B43&lt;='VALOR POR PL'!$P$5,'CP RESUMO'!AP83,"")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HISTORICOS'!AQ41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RESUMO'!AQ41</f>
        <v/>
      </c>
      <c r="N44" s="130">
        <f>MAX(0,M44-M43)</f>
        <v/>
      </c>
      <c r="O44" s="129">
        <f>IF(B44&lt;='VALOR POR PL'!$P$5,'CP RESUMO'!AQ83,"")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HISTORICOS'!AR41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19082.06</v>
      </c>
      <c r="M45" s="129">
        <f>'CP RESUMO'!AR41</f>
        <v/>
      </c>
      <c r="N45" s="130">
        <f>MAX(0,M45-M44)</f>
        <v/>
      </c>
      <c r="O45" s="129">
        <f>IF(B45&lt;='VALOR POR PL'!$P$5,'CP RESUMO'!AR83,"")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HISTORICOS'!AS41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36106.25</v>
      </c>
      <c r="M46" s="129">
        <f>'CP RESUMO'!AS41</f>
        <v/>
      </c>
      <c r="N46" s="130">
        <f>MAX(0,M46-M45)</f>
        <v/>
      </c>
      <c r="O46" s="129">
        <f>IF(B46&lt;='VALOR POR PL'!$P$5,'CP RESUMO'!AS83,"")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HISTORICOS'!AT41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66038.89</v>
      </c>
      <c r="M47" s="129">
        <f>'CP RESUMO'!AT41</f>
        <v/>
      </c>
      <c r="N47" s="130">
        <f>MAX(0,M47-M46)</f>
        <v/>
      </c>
      <c r="O47" s="129">
        <f>IF(B47&lt;='VALOR POR PL'!$P$5,'CP RESUMO'!AT83,"")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HISTORICOS'!AU41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81005.21000000001</v>
      </c>
      <c r="M48" s="129">
        <f>'CP RESUMO'!AU41</f>
        <v/>
      </c>
      <c r="N48" s="130">
        <f>MAX(0,M48-M47)</f>
        <v/>
      </c>
      <c r="O48" s="129">
        <f>IF(B48&lt;='VALOR POR PL'!$P$5,'CP RESUMO'!AU83,"")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HISTORICOS'!AV41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86430.5</v>
      </c>
      <c r="M49" s="129">
        <f>'CP RESUMO'!AV41</f>
        <v/>
      </c>
      <c r="N49" s="130">
        <f>MAX(0,M49-M48)</f>
        <v/>
      </c>
      <c r="O49" s="129">
        <f>IF(B49&lt;='VALOR POR PL'!$P$5,'CP RESUMO'!AV83,"")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HISTORICOS'!AW41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83343.7</v>
      </c>
      <c r="M50" s="129">
        <f>'CP RESUMO'!AW41</f>
        <v/>
      </c>
      <c r="N50" s="130">
        <f>MAX(0,M50-M49)</f>
        <v/>
      </c>
      <c r="O50" s="129">
        <f>IF(B50&lt;='VALOR POR PL'!$P$5,'CP RESUMO'!AW83,"")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HISTORICOS'!AX41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83437.24000000001</v>
      </c>
      <c r="M51" s="129">
        <f>'CP RESUMO'!AX41</f>
        <v/>
      </c>
      <c r="N51" s="130">
        <f>MAX(0,M51-M50)</f>
        <v/>
      </c>
      <c r="O51" s="129">
        <f>IF(B51&lt;='VALOR POR PL'!$P$5,'CP RESUMO'!AX83,"")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HISTORICOS'!AY41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77824.87</v>
      </c>
      <c r="M52" s="129">
        <f>'CP RESUMO'!AY41</f>
        <v/>
      </c>
      <c r="N52" s="130">
        <f>MAX(0,M52-M51)</f>
        <v/>
      </c>
      <c r="O52" s="129">
        <f>IF(B52&lt;='VALOR POR PL'!$P$5,'CP RESUMO'!AY83,"")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HISTORICOS'!AZ41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69219.23</v>
      </c>
      <c r="M53" s="129">
        <f>'CP RESUMO'!AZ41</f>
        <v/>
      </c>
      <c r="N53" s="130">
        <f>MAX(0,M53-M52)</f>
        <v/>
      </c>
      <c r="O53" s="129">
        <f>IF(B53&lt;='VALOR POR PL'!$P$5,'CP RESUMO'!AZ83,"")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HISTORICOS'!BA41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55843.08</v>
      </c>
      <c r="M54" s="129">
        <f>'CP RESUMO'!BA41</f>
        <v/>
      </c>
      <c r="N54" s="130">
        <f>MAX(0,M54-M53)</f>
        <v/>
      </c>
      <c r="O54" s="129">
        <f>IF(B54&lt;='VALOR POR PL'!$P$5,'CP RESUMO'!BA83,"")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HISTORICOS'!BB41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95784.45</v>
      </c>
      <c r="M55" s="129">
        <f>'CP RESUMO'!BB41</f>
        <v/>
      </c>
      <c r="N55" s="130">
        <f>MAX(0,M55-M54)</f>
        <v/>
      </c>
      <c r="O55" s="129">
        <f>IF(B55&lt;='VALOR POR PL'!$P$5,'CP RESUMO'!BB83,"")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HISTORICOS'!BC41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86711.12</v>
      </c>
      <c r="M56" s="129">
        <f>'CP RESUMO'!BC41</f>
        <v/>
      </c>
      <c r="N56" s="130">
        <f>MAX(0,M56-M55)</f>
        <v/>
      </c>
      <c r="O56" s="129">
        <f>IF(B56&lt;='VALOR POR PL'!$P$5,'CP RESUMO'!BC83,"")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HISTORICOS'!BD41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81940.60000000001</v>
      </c>
      <c r="M57" s="129">
        <f>'CP RESUMO'!BD41</f>
        <v/>
      </c>
      <c r="N57" s="130">
        <f>MAX(0,M57-M56)</f>
        <v/>
      </c>
      <c r="O57" s="129">
        <f>IF(B57&lt;='VALOR POR PL'!$P$5,'CP RESUMO'!BD83,"")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HISTORICOS'!BE41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12160.14</v>
      </c>
      <c r="M58" s="129">
        <f>'CP RESUMO'!BE41</f>
        <v/>
      </c>
      <c r="N58" s="130">
        <f>MAX(0,M58-M57)</f>
        <v/>
      </c>
      <c r="O58" s="129">
        <f>IF(B58&lt;='VALOR POR PL'!$P$5,'CP RESUMO'!BE83,"")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HISTORICOS'!BF41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RESUMO'!BF41</f>
        <v/>
      </c>
      <c r="N59" s="130">
        <f>MAX(0,M59-M58)</f>
        <v/>
      </c>
      <c r="O59" s="129">
        <f>IF(B59&lt;='VALOR POR PL'!$P$5,'CP RESUMO'!BF83,"")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HISTORICOS'!BG41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RESUMO'!BG41</f>
        <v/>
      </c>
      <c r="N60" s="130">
        <f>MAX(0,M60-M59)</f>
        <v/>
      </c>
      <c r="O60" s="129">
        <f>IF(B60&lt;='VALOR POR PL'!$P$5,'CP RESUMO'!BG83,"")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HISTORICOS'!BH41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RESUMO'!BH41</f>
        <v/>
      </c>
      <c r="N61" s="130">
        <f>MAX(0,M61-M60)</f>
        <v/>
      </c>
      <c r="O61" s="129">
        <f>IF(B61&lt;='VALOR POR PL'!$P$5,'CP RESUMO'!BH83,"")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HISTORICOS'!BI41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RESUMO'!BI41</f>
        <v/>
      </c>
      <c r="N62" s="130">
        <f>MAX(0,M62-M61)</f>
        <v/>
      </c>
      <c r="O62" s="129">
        <f>IF(B62&lt;='VALOR POR PL'!$P$5,'CP RESUMO'!BI83,"")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HISTORICOS'!BJ41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RESUMO'!BJ41</f>
        <v/>
      </c>
      <c r="N63" s="130">
        <f>MAX(0,M63-M62)</f>
        <v/>
      </c>
      <c r="O63" s="129">
        <f>IF(B63&lt;='VALOR POR PL'!$P$5,'CP RESUMO'!BJ83,"")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HISTORICOS'!BK41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RESUMO'!BK41</f>
        <v/>
      </c>
      <c r="N64" s="130">
        <f>MAX(0,M64-M63)</f>
        <v/>
      </c>
      <c r="O64" s="129">
        <f>IF(B64&lt;='VALOR POR PL'!$P$5,'CP RESUMO'!BK83,"")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HISTORICOS'!BL41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RESUMO'!BL41</f>
        <v/>
      </c>
      <c r="N65" s="130">
        <f>MAX(0,M65-M64)</f>
        <v/>
      </c>
      <c r="O65" s="129">
        <f>IF(B65&lt;='VALOR POR PL'!$P$5,'CP RESUMO'!BL83,"")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HISTORICOS'!BM41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RESUMO'!BM41</f>
        <v/>
      </c>
      <c r="N66" s="130">
        <f>MAX(0,M66-M65)</f>
        <v/>
      </c>
      <c r="O66" s="129">
        <f>IF(B66&lt;='VALOR POR PL'!$P$5,'CP RESUMO'!BM83,"")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HISTORICOS'!BN41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RESUMO'!BN41</f>
        <v/>
      </c>
      <c r="N67" s="130">
        <f>MAX(0,M67-M66)</f>
        <v/>
      </c>
      <c r="O67" s="129">
        <f>IF(B67&lt;='VALOR POR PL'!$P$5,'CP RESUMO'!BN83,"")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HISTORICOS'!BO41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RESUMO'!BO41</f>
        <v/>
      </c>
      <c r="N68" s="130">
        <f>MAX(0,M68-M67)</f>
        <v/>
      </c>
      <c r="O68" s="129">
        <f>IF(B68&lt;='VALOR POR PL'!$P$5,'CP RESUMO'!BO83,"")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HISTORICOS'!BP41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RESUMO'!BP41</f>
        <v/>
      </c>
      <c r="N69" s="130">
        <f>MAX(0,M69-M68)</f>
        <v/>
      </c>
      <c r="O69" s="129">
        <f>IF(B69&lt;='VALOR POR PL'!$P$5,'CP RESUMO'!BP83,"")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HISTORICOS'!BQ41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RESUMO'!BQ41</f>
        <v/>
      </c>
      <c r="N70" s="130">
        <f>MAX(0,M70-M69)</f>
        <v/>
      </c>
      <c r="O70" s="129">
        <f>IF(B70&lt;='VALOR POR PL'!$P$5,'CP RESUMO'!BQ83,"")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HISTORICOS'!BR41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RESUMO'!BR41</f>
        <v/>
      </c>
      <c r="N71" s="130">
        <f>MAX(0,M71-M70)</f>
        <v/>
      </c>
      <c r="O71" s="129">
        <f>IF(B71&lt;='VALOR POR PL'!$P$5,'CP RESUMO'!BR83,"")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HISTORICOS'!BS41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RESUMO'!BS41</f>
        <v/>
      </c>
      <c r="N72" s="130">
        <f>MAX(0,M72-M71)</f>
        <v/>
      </c>
      <c r="O72" s="129">
        <f>IF(B72&lt;='VALOR POR PL'!$P$5,'CP RESUMO'!BS83,"")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HISTORICOS'!BT41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RESUMO'!BT41</f>
        <v/>
      </c>
      <c r="N73" s="130">
        <f>MAX(0,M73-M72)</f>
        <v/>
      </c>
      <c r="O73" s="129">
        <f>IF(B73&lt;='VALOR POR PL'!$P$5,'CP RESUMO'!BT83,"")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HISTORICOS'!BU41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RESUMO'!BU41</f>
        <v/>
      </c>
      <c r="N74" s="130">
        <f>MAX(0,M74-M73)</f>
        <v/>
      </c>
      <c r="O74" s="129">
        <f>IF(B74&lt;='VALOR POR PL'!$P$5,'CP RESUMO'!BU83,"")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HISTORICOS'!BV41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RESUMO'!BV41</f>
        <v/>
      </c>
      <c r="N75" s="130">
        <f>MAX(0,M75-M74)</f>
        <v/>
      </c>
      <c r="O75" s="129">
        <f>IF(B75&lt;='VALOR POR PL'!$P$5,'CP RESUMO'!BV83,"")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HISTORICOS'!BW41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RESUMO'!BW41</f>
        <v/>
      </c>
      <c r="N76" s="130">
        <f>MAX(0,M76-M75)</f>
        <v/>
      </c>
      <c r="O76" s="129">
        <f>IF(B76&lt;='VALOR POR PL'!$P$5,'CP RESUMO'!BW83,"")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2026-09-25T20:45:57Z</dcterms:created>
  <dcterms:modified xsi:type="dcterms:W3CDTF">2026-09-25T20:46:00Z</dcterms:modified>
</cp:coreProperties>
</file>